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J:\AGUA\3. CONVOCATORIAS\ESTUDIOS PREVIOS\OBRA SANTANDER DE QUILICHAO\ACTUALIZACIÓN EP OBRA SANTANDER DE QUILICHAO 09 DE JUNIO DE 2015\"/>
    </mc:Choice>
  </mc:AlternateContent>
  <bookViews>
    <workbookView xWindow="-15" yWindow="-15" windowWidth="12000" windowHeight="10155" tabRatio="877" activeTab="5"/>
  </bookViews>
  <sheets>
    <sheet name="PPTO  Obra Civil " sheetId="19" r:id="rId1"/>
    <sheet name="PPTO Obra Civil" sheetId="10" state="hidden" r:id="rId2"/>
    <sheet name="APU´s civil 1 " sheetId="3" state="hidden" r:id="rId3"/>
    <sheet name="APU' civil 2" sheetId="5" state="hidden" r:id="rId4"/>
    <sheet name="APU' civil 3" sheetId="11" state="hidden" r:id="rId5"/>
    <sheet name="PPTO Suministros " sheetId="18" r:id="rId6"/>
    <sheet name="PPTO Suministros" sheetId="8" state="hidden" r:id="rId7"/>
    <sheet name="APU Suministros" sheetId="7" state="hidden" r:id="rId8"/>
    <sheet name="Memoria de Calculo" sheetId="2" state="hidden" r:id="rId9"/>
    <sheet name="APU' PUESTA EN MARCHA" sheetId="17" state="hidden" r:id="rId10"/>
    <sheet name="Listado de insumos" sheetId="16" state="hidden" r:id="rId11"/>
    <sheet name="Resumen" sheetId="15" r:id="rId12"/>
  </sheets>
  <externalReferences>
    <externalReference r:id="rId13"/>
  </externalReferences>
  <definedNames>
    <definedName name="_xlnm._FilterDatabase" localSheetId="0" hidden="1">'PPTO  Obra Civil '!$B$1:$B$441</definedName>
    <definedName name="Altura">'[1]Rejillas Finas'!$D$36</definedName>
    <definedName name="Altura_drenaje" localSheetId="3">#REF!</definedName>
    <definedName name="Altura_drenaje" localSheetId="4">#REF!</definedName>
    <definedName name="Altura_drenaje" localSheetId="9">#REF!</definedName>
    <definedName name="Altura_drenaje" localSheetId="7">#REF!</definedName>
    <definedName name="Altura_drenaje" localSheetId="2">#REF!</definedName>
    <definedName name="Altura_drenaje" localSheetId="0">#REF!</definedName>
    <definedName name="Altura_drenaje" localSheetId="5">#REF!</definedName>
    <definedName name="Altura_drenaje" localSheetId="11">#REF!</definedName>
    <definedName name="Altura_drenaje">#REF!</definedName>
    <definedName name="Altura_lamina" localSheetId="3">#REF!</definedName>
    <definedName name="Altura_lamina" localSheetId="4">#REF!</definedName>
    <definedName name="Altura_lamina" localSheetId="9">#REF!</definedName>
    <definedName name="Altura_lamina" localSheetId="7">#REF!</definedName>
    <definedName name="Altura_lamina" localSheetId="2">#REF!</definedName>
    <definedName name="Altura_lamina" localSheetId="0">#REF!</definedName>
    <definedName name="Altura_lamina" localSheetId="5">#REF!</definedName>
    <definedName name="Altura_lamina" localSheetId="11">#REF!</definedName>
    <definedName name="Altura_lamina">#REF!</definedName>
    <definedName name="Ancho_barra" localSheetId="3">#REF!</definedName>
    <definedName name="Ancho_barra" localSheetId="4">#REF!</definedName>
    <definedName name="Ancho_barra" localSheetId="9">#REF!</definedName>
    <definedName name="Ancho_barra" localSheetId="7">#REF!</definedName>
    <definedName name="Ancho_barra" localSheetId="2">#REF!</definedName>
    <definedName name="Ancho_barra" localSheetId="0">#REF!</definedName>
    <definedName name="Ancho_barra" localSheetId="5">#REF!</definedName>
    <definedName name="Ancho_barra" localSheetId="11">#REF!</definedName>
    <definedName name="Ancho_barra">#REF!</definedName>
    <definedName name="Ancho_superior" localSheetId="3">#REF!</definedName>
    <definedName name="Ancho_superior" localSheetId="4">#REF!</definedName>
    <definedName name="Ancho_superior" localSheetId="9">#REF!</definedName>
    <definedName name="Ancho_superior" localSheetId="7">#REF!</definedName>
    <definedName name="Ancho_superior" localSheetId="2">#REF!</definedName>
    <definedName name="Ancho_superior" localSheetId="0">#REF!</definedName>
    <definedName name="Ancho_superior" localSheetId="5">#REF!</definedName>
    <definedName name="Ancho_superior" localSheetId="11">#REF!</definedName>
    <definedName name="Ancho_superior">#REF!</definedName>
    <definedName name="Ancho_ventana" localSheetId="3">#REF!</definedName>
    <definedName name="Ancho_ventana" localSheetId="4">#REF!</definedName>
    <definedName name="Ancho_ventana" localSheetId="9">#REF!</definedName>
    <definedName name="Ancho_ventana" localSheetId="7">#REF!</definedName>
    <definedName name="Ancho_ventana" localSheetId="2">#REF!</definedName>
    <definedName name="Ancho_ventana" localSheetId="0">#REF!</definedName>
    <definedName name="Ancho_ventana" localSheetId="5">#REF!</definedName>
    <definedName name="Ancho_ventana" localSheetId="11">#REF!</definedName>
    <definedName name="Ancho_ventana">#REF!</definedName>
    <definedName name="_xlnm.Print_Area" localSheetId="10">'Listado de insumos'!$C$1:$H$302</definedName>
    <definedName name="_xlnm.Print_Area" localSheetId="11">Resumen!#REF!</definedName>
    <definedName name="Area_superficial" localSheetId="3">#REF!</definedName>
    <definedName name="Area_superficial" localSheetId="4">#REF!</definedName>
    <definedName name="Area_superficial" localSheetId="9">#REF!</definedName>
    <definedName name="Area_superficial" localSheetId="7">#REF!</definedName>
    <definedName name="Area_superficial" localSheetId="2">#REF!</definedName>
    <definedName name="Area_superficial" localSheetId="0">#REF!</definedName>
    <definedName name="Area_superficial" localSheetId="5">#REF!</definedName>
    <definedName name="Area_superficial" localSheetId="11">#REF!</definedName>
    <definedName name="Area_superficial">#REF!</definedName>
    <definedName name="Area_ventana" localSheetId="3">#REF!</definedName>
    <definedName name="Area_ventana" localSheetId="4">#REF!</definedName>
    <definedName name="Area_ventana" localSheetId="9">#REF!</definedName>
    <definedName name="Area_ventana" localSheetId="7">#REF!</definedName>
    <definedName name="Area_ventana" localSheetId="2">#REF!</definedName>
    <definedName name="Area_ventana" localSheetId="0">#REF!</definedName>
    <definedName name="Area_ventana" localSheetId="5">#REF!</definedName>
    <definedName name="Area_ventana" localSheetId="11">#REF!</definedName>
    <definedName name="Area_ventana">#REF!</definedName>
    <definedName name="Area_ventilación" localSheetId="3">#REF!</definedName>
    <definedName name="Area_ventilación" localSheetId="4">#REF!</definedName>
    <definedName name="Area_ventilación" localSheetId="9">#REF!</definedName>
    <definedName name="Area_ventilación" localSheetId="7">#REF!</definedName>
    <definedName name="Area_ventilación" localSheetId="2">#REF!</definedName>
    <definedName name="Area_ventilación" localSheetId="0">#REF!</definedName>
    <definedName name="Area_ventilación" localSheetId="5">#REF!</definedName>
    <definedName name="Area_ventilación" localSheetId="11">#REF!</definedName>
    <definedName name="Area_ventilación">#REF!</definedName>
    <definedName name="Au_fina" localSheetId="3">#REF!</definedName>
    <definedName name="Au_fina" localSheetId="4">#REF!</definedName>
    <definedName name="Au_fina" localSheetId="9">#REF!</definedName>
    <definedName name="Au_fina" localSheetId="7">#REF!</definedName>
    <definedName name="Au_fina" localSheetId="2">#REF!</definedName>
    <definedName name="Au_fina" localSheetId="0">#REF!</definedName>
    <definedName name="Au_fina" localSheetId="1">#REF!</definedName>
    <definedName name="Au_fina" localSheetId="5">#REF!</definedName>
    <definedName name="Au_fina" localSheetId="11">#REF!</definedName>
    <definedName name="Au_fina">#REF!</definedName>
    <definedName name="Au_gruesa" localSheetId="3">#REF!</definedName>
    <definedName name="Au_gruesa" localSheetId="4">#REF!</definedName>
    <definedName name="Au_gruesa" localSheetId="9">#REF!</definedName>
    <definedName name="Au_gruesa" localSheetId="7">#REF!</definedName>
    <definedName name="Au_gruesa" localSheetId="2">#REF!</definedName>
    <definedName name="Au_gruesa" localSheetId="0">#REF!</definedName>
    <definedName name="Au_gruesa" localSheetId="5">#REF!</definedName>
    <definedName name="Au_gruesa" localSheetId="11">#REF!</definedName>
    <definedName name="Au_gruesa">#REF!</definedName>
    <definedName name="b">'[1]Rejillas Finas'!$D$45</definedName>
    <definedName name="b_fina" localSheetId="3">#REF!</definedName>
    <definedName name="b_fina" localSheetId="4">#REF!</definedName>
    <definedName name="b_fina" localSheetId="9">#REF!</definedName>
    <definedName name="b_fina" localSheetId="7">#REF!</definedName>
    <definedName name="b_fina" localSheetId="2">#REF!</definedName>
    <definedName name="b_fina" localSheetId="0">#REF!</definedName>
    <definedName name="b_fina" localSheetId="1">#REF!</definedName>
    <definedName name="b_fina" localSheetId="5">#REF!</definedName>
    <definedName name="b_fina" localSheetId="11">#REF!</definedName>
    <definedName name="b_fina">#REF!</definedName>
    <definedName name="b_gruesa" localSheetId="3">#REF!</definedName>
    <definedName name="b_gruesa" localSheetId="4">#REF!</definedName>
    <definedName name="b_gruesa" localSheetId="9">#REF!</definedName>
    <definedName name="b_gruesa" localSheetId="7">#REF!</definedName>
    <definedName name="b_gruesa" localSheetId="2">#REF!</definedName>
    <definedName name="b_gruesa" localSheetId="0">#REF!</definedName>
    <definedName name="b_gruesa" localSheetId="5">#REF!</definedName>
    <definedName name="b_gruesa" localSheetId="11">#REF!</definedName>
    <definedName name="b_gruesa">#REF!</definedName>
    <definedName name="Borde_libre" localSheetId="3">#REF!</definedName>
    <definedName name="Borde_libre" localSheetId="4">#REF!</definedName>
    <definedName name="Borde_libre" localSheetId="9">#REF!</definedName>
    <definedName name="Borde_libre" localSheetId="7">#REF!</definedName>
    <definedName name="Borde_libre" localSheetId="2">#REF!</definedName>
    <definedName name="Borde_libre" localSheetId="0">#REF!</definedName>
    <definedName name="Borde_libre" localSheetId="5">#REF!</definedName>
    <definedName name="Borde_libre" localSheetId="11">#REF!</definedName>
    <definedName name="Borde_libre">#REF!</definedName>
    <definedName name="Cantidad_material" localSheetId="3">#REF!</definedName>
    <definedName name="Cantidad_material" localSheetId="4">#REF!</definedName>
    <definedName name="Cantidad_material" localSheetId="9">#REF!</definedName>
    <definedName name="Cantidad_material" localSheetId="7">#REF!</definedName>
    <definedName name="Cantidad_material" localSheetId="2">#REF!</definedName>
    <definedName name="Cantidad_material" localSheetId="0">#REF!</definedName>
    <definedName name="Cantidad_material" localSheetId="5">#REF!</definedName>
    <definedName name="Cantidad_material" localSheetId="11">#REF!</definedName>
    <definedName name="Cantidad_material">#REF!</definedName>
    <definedName name="Carga_hidraulica" localSheetId="3">#REF!</definedName>
    <definedName name="Carga_hidraulica" localSheetId="4">#REF!</definedName>
    <definedName name="Carga_hidraulica" localSheetId="9">#REF!</definedName>
    <definedName name="Carga_hidraulica" localSheetId="7">#REF!</definedName>
    <definedName name="Carga_hidraulica" localSheetId="2">#REF!</definedName>
    <definedName name="Carga_hidraulica" localSheetId="0">#REF!</definedName>
    <definedName name="Carga_hidraulica" localSheetId="5">#REF!</definedName>
    <definedName name="Carga_hidraulica" localSheetId="11">#REF!</definedName>
    <definedName name="Carga_hidraulica">#REF!</definedName>
    <definedName name="CIVIL">#REF!</definedName>
    <definedName name="Coef." localSheetId="3">#REF!</definedName>
    <definedName name="Coef." localSheetId="4">#REF!</definedName>
    <definedName name="Coef." localSheetId="9">#REF!</definedName>
    <definedName name="Coef." localSheetId="7">#REF!</definedName>
    <definedName name="Coef." localSheetId="2">#REF!</definedName>
    <definedName name="Coef." localSheetId="0">#REF!</definedName>
    <definedName name="Coef." localSheetId="5">#REF!</definedName>
    <definedName name="Coef." localSheetId="11">#REF!</definedName>
    <definedName name="Coef.">#REF!</definedName>
    <definedName name="Coef_manning" localSheetId="3">#REF!</definedName>
    <definedName name="Coef_manning" localSheetId="4">#REF!</definedName>
    <definedName name="Coef_manning" localSheetId="9">#REF!</definedName>
    <definedName name="Coef_manning" localSheetId="7">#REF!</definedName>
    <definedName name="Coef_manning" localSheetId="2">#REF!</definedName>
    <definedName name="Coef_manning" localSheetId="0">#REF!</definedName>
    <definedName name="Coef_manning" localSheetId="5">#REF!</definedName>
    <definedName name="Coef_manning" localSheetId="11">#REF!</definedName>
    <definedName name="Coef_manning">#REF!</definedName>
    <definedName name="Diametro" localSheetId="3">#REF!</definedName>
    <definedName name="Diametro" localSheetId="4">#REF!</definedName>
    <definedName name="Diametro" localSheetId="9">#REF!</definedName>
    <definedName name="Diametro" localSheetId="7">#REF!</definedName>
    <definedName name="Diametro" localSheetId="2">#REF!</definedName>
    <definedName name="Diametro" localSheetId="0">#REF!</definedName>
    <definedName name="Diametro" localSheetId="5">#REF!</definedName>
    <definedName name="Diametro" localSheetId="11">#REF!</definedName>
    <definedName name="Diametro">#REF!</definedName>
    <definedName name="DQO" localSheetId="3">#REF!</definedName>
    <definedName name="DQO" localSheetId="4">#REF!</definedName>
    <definedName name="DQO" localSheetId="9">#REF!</definedName>
    <definedName name="DQO" localSheetId="7">#REF!</definedName>
    <definedName name="DQO" localSheetId="2">#REF!</definedName>
    <definedName name="DQO" localSheetId="0">#REF!</definedName>
    <definedName name="DQO" localSheetId="5">#REF!</definedName>
    <definedName name="DQO" localSheetId="11">#REF!</definedName>
    <definedName name="DQO">#REF!</definedName>
    <definedName name="E_fina" localSheetId="3">#REF!</definedName>
    <definedName name="E_fina" localSheetId="4">#REF!</definedName>
    <definedName name="E_fina" localSheetId="9">#REF!</definedName>
    <definedName name="E_fina" localSheetId="7">#REF!</definedName>
    <definedName name="E_fina" localSheetId="2">#REF!</definedName>
    <definedName name="E_fina" localSheetId="0">#REF!</definedName>
    <definedName name="E_fina" localSheetId="1">#REF!</definedName>
    <definedName name="E_fina" localSheetId="5">#REF!</definedName>
    <definedName name="E_fina" localSheetId="11">#REF!</definedName>
    <definedName name="E_fina">#REF!</definedName>
    <definedName name="E_gruesa" localSheetId="3">#REF!</definedName>
    <definedName name="E_gruesa" localSheetId="4">#REF!</definedName>
    <definedName name="E_gruesa" localSheetId="9">#REF!</definedName>
    <definedName name="E_gruesa" localSheetId="7">#REF!</definedName>
    <definedName name="E_gruesa" localSheetId="2">#REF!</definedName>
    <definedName name="E_gruesa" localSheetId="0">#REF!</definedName>
    <definedName name="E_gruesa" localSheetId="5">#REF!</definedName>
    <definedName name="E_gruesa" localSheetId="11">#REF!</definedName>
    <definedName name="E_gruesa">#REF!</definedName>
    <definedName name="Factor" localSheetId="3">#REF!</definedName>
    <definedName name="Factor" localSheetId="4">#REF!</definedName>
    <definedName name="Factor" localSheetId="9">#REF!</definedName>
    <definedName name="Factor" localSheetId="7">#REF!</definedName>
    <definedName name="Factor" localSheetId="2">#REF!</definedName>
    <definedName name="Factor" localSheetId="0">#REF!</definedName>
    <definedName name="Factor" localSheetId="1">#REF!</definedName>
    <definedName name="Factor" localSheetId="5">#REF!</definedName>
    <definedName name="Factor" localSheetId="11">#REF!</definedName>
    <definedName name="Factor">#REF!</definedName>
    <definedName name="Factor_sección" localSheetId="3">#REF!</definedName>
    <definedName name="Factor_sección" localSheetId="4">#REF!</definedName>
    <definedName name="Factor_sección" localSheetId="9">#REF!</definedName>
    <definedName name="Factor_sección" localSheetId="7">#REF!</definedName>
    <definedName name="Factor_sección" localSheetId="2">#REF!</definedName>
    <definedName name="Factor_sección" localSheetId="0">#REF!</definedName>
    <definedName name="Factor_sección" localSheetId="5">#REF!</definedName>
    <definedName name="Factor_sección" localSheetId="11">#REF!</definedName>
    <definedName name="Factor_sección">#REF!</definedName>
    <definedName name="Forma" localSheetId="3">#REF!</definedName>
    <definedName name="Forma" localSheetId="4">#REF!</definedName>
    <definedName name="Forma" localSheetId="9">#REF!</definedName>
    <definedName name="Forma" localSheetId="7">#REF!</definedName>
    <definedName name="Forma" localSheetId="2">#REF!</definedName>
    <definedName name="Forma" localSheetId="0">#REF!</definedName>
    <definedName name="Forma" localSheetId="5">#REF!</definedName>
    <definedName name="Forma" localSheetId="11">#REF!</definedName>
    <definedName name="Forma">#REF!</definedName>
    <definedName name="Inclinación">'[1]Rejillas Finas'!$D$35</definedName>
    <definedName name="Inclinación_barra" localSheetId="3">#REF!</definedName>
    <definedName name="Inclinación_barra" localSheetId="4">#REF!</definedName>
    <definedName name="Inclinación_barra" localSheetId="9">#REF!</definedName>
    <definedName name="Inclinación_barra" localSheetId="7">#REF!</definedName>
    <definedName name="Inclinación_barra" localSheetId="2">#REF!</definedName>
    <definedName name="Inclinación_barra" localSheetId="0">#REF!</definedName>
    <definedName name="Inclinación_barra" localSheetId="5">#REF!</definedName>
    <definedName name="Inclinación_barra" localSheetId="11">#REF!</definedName>
    <definedName name="Inclinación_barra">#REF!</definedName>
    <definedName name="Lamina">'[1]Rejillas Finas'!$D$20</definedName>
    <definedName name="Lamina_agua" localSheetId="3">#REF!</definedName>
    <definedName name="Lamina_agua" localSheetId="4">#REF!</definedName>
    <definedName name="Lamina_agua" localSheetId="9">#REF!</definedName>
    <definedName name="Lamina_agua" localSheetId="7">#REF!</definedName>
    <definedName name="Lamina_agua" localSheetId="2">#REF!</definedName>
    <definedName name="Lamina_agua" localSheetId="0">#REF!</definedName>
    <definedName name="Lamina_agua" localSheetId="5">#REF!</definedName>
    <definedName name="Lamina_agua" localSheetId="11">#REF!</definedName>
    <definedName name="Lamina_agua">#REF!</definedName>
    <definedName name="Largo">'[1]Rejillas Finas'!$D$8</definedName>
    <definedName name="Largo_barra" localSheetId="3">#REF!</definedName>
    <definedName name="Largo_barra" localSheetId="4">#REF!</definedName>
    <definedName name="Largo_barra" localSheetId="9">#REF!</definedName>
    <definedName name="Largo_barra" localSheetId="7">#REF!</definedName>
    <definedName name="Largo_barra" localSheetId="2">#REF!</definedName>
    <definedName name="Largo_barra" localSheetId="0">#REF!</definedName>
    <definedName name="Largo_barra" localSheetId="5">#REF!</definedName>
    <definedName name="Largo_barra" localSheetId="11">#REF!</definedName>
    <definedName name="Largo_barra">#REF!</definedName>
    <definedName name="Largo_canal" localSheetId="3">#REF!</definedName>
    <definedName name="Largo_canal" localSheetId="4">#REF!</definedName>
    <definedName name="Largo_canal" localSheetId="9">#REF!</definedName>
    <definedName name="Largo_canal" localSheetId="7">#REF!</definedName>
    <definedName name="Largo_canal" localSheetId="2">#REF!</definedName>
    <definedName name="Largo_canal" localSheetId="0">#REF!</definedName>
    <definedName name="Largo_canal" localSheetId="5">#REF!</definedName>
    <definedName name="Largo_canal" localSheetId="11">#REF!</definedName>
    <definedName name="Largo_canal">#REF!</definedName>
    <definedName name="Largo_entrada" localSheetId="3">#REF!</definedName>
    <definedName name="Largo_entrada" localSheetId="4">#REF!</definedName>
    <definedName name="Largo_entrada" localSheetId="9">#REF!</definedName>
    <definedName name="Largo_entrada" localSheetId="7">#REF!</definedName>
    <definedName name="Largo_entrada" localSheetId="2">#REF!</definedName>
    <definedName name="Largo_entrada" localSheetId="0">#REF!</definedName>
    <definedName name="Largo_entrada" localSheetId="5">#REF!</definedName>
    <definedName name="Largo_entrada" localSheetId="11">#REF!</definedName>
    <definedName name="Largo_entrada">#REF!</definedName>
    <definedName name="Largo_ventana" localSheetId="3">#REF!</definedName>
    <definedName name="Largo_ventana" localSheetId="4">#REF!</definedName>
    <definedName name="Largo_ventana" localSheetId="9">#REF!</definedName>
    <definedName name="Largo_ventana" localSheetId="7">#REF!</definedName>
    <definedName name="Largo_ventana" localSheetId="2">#REF!</definedName>
    <definedName name="Largo_ventana" localSheetId="0">#REF!</definedName>
    <definedName name="Largo_ventana" localSheetId="5">#REF!</definedName>
    <definedName name="Largo_ventana" localSheetId="11">#REF!</definedName>
    <definedName name="Largo_ventana">#REF!</definedName>
    <definedName name="n_fina" localSheetId="3">#REF!</definedName>
    <definedName name="n_fina" localSheetId="4">#REF!</definedName>
    <definedName name="n_fina" localSheetId="9">#REF!</definedName>
    <definedName name="n_fina" localSheetId="7">#REF!</definedName>
    <definedName name="n_fina" localSheetId="2">#REF!</definedName>
    <definedName name="n_fina" localSheetId="0">#REF!</definedName>
    <definedName name="n_fina" localSheetId="1">#REF!</definedName>
    <definedName name="n_fina" localSheetId="5">#REF!</definedName>
    <definedName name="n_fina" localSheetId="11">#REF!</definedName>
    <definedName name="n_fina">#REF!</definedName>
    <definedName name="n_gruesa" localSheetId="3">#REF!</definedName>
    <definedName name="n_gruesa" localSheetId="4">#REF!</definedName>
    <definedName name="n_gruesa" localSheetId="9">#REF!</definedName>
    <definedName name="n_gruesa" localSheetId="7">#REF!</definedName>
    <definedName name="n_gruesa" localSheetId="2">#REF!</definedName>
    <definedName name="n_gruesa" localSheetId="0">#REF!</definedName>
    <definedName name="n_gruesa" localSheetId="5">#REF!</definedName>
    <definedName name="n_gruesa" localSheetId="11">#REF!</definedName>
    <definedName name="n_gruesa">#REF!</definedName>
    <definedName name="nn_fina" localSheetId="3">#REF!</definedName>
    <definedName name="nn_fina" localSheetId="4">#REF!</definedName>
    <definedName name="nn_fina" localSheetId="9">#REF!</definedName>
    <definedName name="nn_fina" localSheetId="7">#REF!</definedName>
    <definedName name="nn_fina" localSheetId="2">#REF!</definedName>
    <definedName name="nn_fina" localSheetId="0">#REF!</definedName>
    <definedName name="nn_fina" localSheetId="1">#REF!</definedName>
    <definedName name="nn_fina" localSheetId="5">#REF!</definedName>
    <definedName name="nn_fina" localSheetId="11">#REF!</definedName>
    <definedName name="nn_fina">#REF!</definedName>
    <definedName name="nn_gruesa" localSheetId="3">#REF!</definedName>
    <definedName name="nn_gruesa" localSheetId="4">#REF!</definedName>
    <definedName name="nn_gruesa" localSheetId="9">#REF!</definedName>
    <definedName name="nn_gruesa" localSheetId="7">#REF!</definedName>
    <definedName name="nn_gruesa" localSheetId="2">#REF!</definedName>
    <definedName name="nn_gruesa" localSheetId="0">#REF!</definedName>
    <definedName name="nn_gruesa" localSheetId="5">#REF!</definedName>
    <definedName name="nn_gruesa" localSheetId="11">#REF!</definedName>
    <definedName name="nn_gruesa">#REF!</definedName>
    <definedName name="Numero_ventanas" localSheetId="3">#REF!</definedName>
    <definedName name="Numero_ventanas" localSheetId="4">#REF!</definedName>
    <definedName name="Numero_ventanas" localSheetId="9">#REF!</definedName>
    <definedName name="Numero_ventanas" localSheetId="7">#REF!</definedName>
    <definedName name="Numero_ventanas" localSheetId="2">#REF!</definedName>
    <definedName name="Numero_ventanas" localSheetId="0">#REF!</definedName>
    <definedName name="Numero_ventanas" localSheetId="5">#REF!</definedName>
    <definedName name="Numero_ventanas" localSheetId="11">#REF!</definedName>
    <definedName name="Numero_ventanas">#REF!</definedName>
    <definedName name="Pendiente">'[1]Rejillas Finas'!$D$7</definedName>
    <definedName name="Pendiente_canal" localSheetId="3">#REF!</definedName>
    <definedName name="Pendiente_canal" localSheetId="4">#REF!</definedName>
    <definedName name="Pendiente_canal" localSheetId="9">#REF!</definedName>
    <definedName name="Pendiente_canal" localSheetId="7">#REF!</definedName>
    <definedName name="Pendiente_canal" localSheetId="2">#REF!</definedName>
    <definedName name="Pendiente_canal" localSheetId="0">#REF!</definedName>
    <definedName name="Pendiente_canal" localSheetId="5">#REF!</definedName>
    <definedName name="Pendiente_canal" localSheetId="11">#REF!</definedName>
    <definedName name="Pendiente_canal">#REF!</definedName>
    <definedName name="Perdida_carga" localSheetId="3">#REF!</definedName>
    <definedName name="Perdida_carga" localSheetId="4">#REF!</definedName>
    <definedName name="Perdida_carga" localSheetId="9">#REF!</definedName>
    <definedName name="Perdida_carga" localSheetId="7">#REF!</definedName>
    <definedName name="Perdida_carga" localSheetId="2">#REF!</definedName>
    <definedName name="Perdida_carga" localSheetId="0">#REF!</definedName>
    <definedName name="Perdida_carga" localSheetId="5">#REF!</definedName>
    <definedName name="Perdida_carga" localSheetId="11">#REF!</definedName>
    <definedName name="Perdida_carga">#REF!</definedName>
    <definedName name="Perimetro" localSheetId="3">#REF!</definedName>
    <definedName name="Perimetro" localSheetId="4">#REF!</definedName>
    <definedName name="Perimetro" localSheetId="9">#REF!</definedName>
    <definedName name="Perimetro" localSheetId="7">#REF!</definedName>
    <definedName name="Perimetro" localSheetId="2">#REF!</definedName>
    <definedName name="Perimetro" localSheetId="0">#REF!</definedName>
    <definedName name="Perimetro" localSheetId="5">#REF!</definedName>
    <definedName name="Perimetro" localSheetId="11">#REF!</definedName>
    <definedName name="Perimetro">#REF!</definedName>
    <definedName name="Perimetro_ventana" localSheetId="3">#REF!</definedName>
    <definedName name="Perimetro_ventana" localSheetId="4">#REF!</definedName>
    <definedName name="Perimetro_ventana" localSheetId="9">#REF!</definedName>
    <definedName name="Perimetro_ventana" localSheetId="7">#REF!</definedName>
    <definedName name="Perimetro_ventana" localSheetId="2">#REF!</definedName>
    <definedName name="Perimetro_ventana" localSheetId="0">#REF!</definedName>
    <definedName name="Perimetro_ventana" localSheetId="5">#REF!</definedName>
    <definedName name="Perimetro_ventana" localSheetId="11">#REF!</definedName>
    <definedName name="Perimetro_ventana">#REF!</definedName>
    <definedName name="Plantilla" localSheetId="3">#REF!</definedName>
    <definedName name="Plantilla" localSheetId="4">#REF!</definedName>
    <definedName name="Plantilla" localSheetId="9">#REF!</definedName>
    <definedName name="Plantilla" localSheetId="7">#REF!</definedName>
    <definedName name="Plantilla" localSheetId="2">#REF!</definedName>
    <definedName name="Plantilla" localSheetId="0">#REF!</definedName>
    <definedName name="Plantilla" localSheetId="1">#REF!</definedName>
    <definedName name="Plantilla" localSheetId="5">#REF!</definedName>
    <definedName name="Plantilla" localSheetId="11">#REF!</definedName>
    <definedName name="Plantilla">#REF!</definedName>
    <definedName name="Plantilla_canal" localSheetId="3">#REF!</definedName>
    <definedName name="Plantilla_canal" localSheetId="4">#REF!</definedName>
    <definedName name="Plantilla_canal" localSheetId="9">#REF!</definedName>
    <definedName name="Plantilla_canal" localSheetId="7">#REF!</definedName>
    <definedName name="Plantilla_canal" localSheetId="2">#REF!</definedName>
    <definedName name="Plantilla_canal" localSheetId="0">#REF!</definedName>
    <definedName name="Plantilla_canal" localSheetId="5">#REF!</definedName>
    <definedName name="Plantilla_canal" localSheetId="11">#REF!</definedName>
    <definedName name="Plantilla_canal">#REF!</definedName>
    <definedName name="Profundidad" localSheetId="3">#REF!</definedName>
    <definedName name="Profundidad" localSheetId="4">#REF!</definedName>
    <definedName name="Profundidad" localSheetId="9">#REF!</definedName>
    <definedName name="Profundidad" localSheetId="7">#REF!</definedName>
    <definedName name="Profundidad" localSheetId="2">#REF!</definedName>
    <definedName name="Profundidad" localSheetId="0">#REF!</definedName>
    <definedName name="Profundidad" localSheetId="5">#REF!</definedName>
    <definedName name="Profundidad" localSheetId="11">#REF!</definedName>
    <definedName name="Profundidad">#REF!</definedName>
    <definedName name="Profundidad_barra" localSheetId="3">#REF!</definedName>
    <definedName name="Profundidad_barra" localSheetId="4">#REF!</definedName>
    <definedName name="Profundidad_barra" localSheetId="9">#REF!</definedName>
    <definedName name="Profundidad_barra" localSheetId="7">#REF!</definedName>
    <definedName name="Profundidad_barra" localSheetId="2">#REF!</definedName>
    <definedName name="Profundidad_barra" localSheetId="0">#REF!</definedName>
    <definedName name="Profundidad_barra" localSheetId="5">#REF!</definedName>
    <definedName name="Profundidad_barra" localSheetId="11">#REF!</definedName>
    <definedName name="Profundidad_barra">#REF!</definedName>
    <definedName name="Qdiseño" localSheetId="3">#REF!</definedName>
    <definedName name="Qdiseño" localSheetId="4">#REF!</definedName>
    <definedName name="Qdiseño" localSheetId="9">#REF!</definedName>
    <definedName name="Qdiseño" localSheetId="7">#REF!</definedName>
    <definedName name="Qdiseño" localSheetId="2">#REF!</definedName>
    <definedName name="Qdiseño" localSheetId="0">#REF!</definedName>
    <definedName name="Qdiseño" localSheetId="5">#REF!</definedName>
    <definedName name="Qdiseño" localSheetId="11">#REF!</definedName>
    <definedName name="Qdiseño">#REF!</definedName>
    <definedName name="Qdmax" localSheetId="3">#REF!</definedName>
    <definedName name="Qdmax" localSheetId="4">#REF!</definedName>
    <definedName name="Qdmax" localSheetId="9">#REF!</definedName>
    <definedName name="Qdmax" localSheetId="7">#REF!</definedName>
    <definedName name="Qdmax" localSheetId="2">#REF!</definedName>
    <definedName name="Qdmax" localSheetId="0">#REF!</definedName>
    <definedName name="Qdmax" localSheetId="1">#REF!</definedName>
    <definedName name="Qdmax" localSheetId="5">#REF!</definedName>
    <definedName name="Qdmax" localSheetId="11">#REF!</definedName>
    <definedName name="Qdmax">#REF!</definedName>
    <definedName name="Qdmaxs">'[1]Rejillas Finas'!$D$27</definedName>
    <definedName name="Qmax" localSheetId="3">#REF!</definedName>
    <definedName name="Qmax" localSheetId="4">#REF!</definedName>
    <definedName name="Qmax" localSheetId="9">#REF!</definedName>
    <definedName name="Qmax" localSheetId="7">#REF!</definedName>
    <definedName name="Qmax" localSheetId="2">#REF!</definedName>
    <definedName name="Qmax" localSheetId="0">#REF!</definedName>
    <definedName name="Qmax" localSheetId="5">#REF!</definedName>
    <definedName name="Qmax" localSheetId="11">#REF!</definedName>
    <definedName name="Qmax">#REF!</definedName>
    <definedName name="Qmed" localSheetId="3">#REF!</definedName>
    <definedName name="Qmed" localSheetId="4">#REF!</definedName>
    <definedName name="Qmed" localSheetId="9">#REF!</definedName>
    <definedName name="Qmed" localSheetId="7">#REF!</definedName>
    <definedName name="Qmed" localSheetId="2">#REF!</definedName>
    <definedName name="Qmed" localSheetId="0">#REF!</definedName>
    <definedName name="Qmed" localSheetId="5">#REF!</definedName>
    <definedName name="Qmed" localSheetId="11">#REF!</definedName>
    <definedName name="Qmed">#REF!</definedName>
    <definedName name="S_fina" localSheetId="3">#REF!</definedName>
    <definedName name="S_fina" localSheetId="4">#REF!</definedName>
    <definedName name="S_fina" localSheetId="9">#REF!</definedName>
    <definedName name="S_fina" localSheetId="7">#REF!</definedName>
    <definedName name="S_fina" localSheetId="2">#REF!</definedName>
    <definedName name="S_fina" localSheetId="0">#REF!</definedName>
    <definedName name="S_fina" localSheetId="1">#REF!</definedName>
    <definedName name="S_fina" localSheetId="5">#REF!</definedName>
    <definedName name="S_fina" localSheetId="11">#REF!</definedName>
    <definedName name="S_fina">#REF!</definedName>
    <definedName name="S_gruesa" localSheetId="3">#REF!</definedName>
    <definedName name="S_gruesa" localSheetId="4">#REF!</definedName>
    <definedName name="S_gruesa" localSheetId="9">#REF!</definedName>
    <definedName name="S_gruesa" localSheetId="7">#REF!</definedName>
    <definedName name="S_gruesa" localSheetId="2">#REF!</definedName>
    <definedName name="S_gruesa" localSheetId="0">#REF!</definedName>
    <definedName name="S_gruesa" localSheetId="5">#REF!</definedName>
    <definedName name="S_gruesa" localSheetId="11">#REF!</definedName>
    <definedName name="S_gruesa">#REF!</definedName>
    <definedName name="Sección">'[1]Rejillas Finas'!$D$5</definedName>
    <definedName name="Sección_canal" localSheetId="3">#REF!</definedName>
    <definedName name="Sección_canal" localSheetId="4">#REF!</definedName>
    <definedName name="Sección_canal" localSheetId="9">#REF!</definedName>
    <definedName name="Sección_canal" localSheetId="7">#REF!</definedName>
    <definedName name="Sección_canal" localSheetId="2">#REF!</definedName>
    <definedName name="Sección_canal" localSheetId="0">#REF!</definedName>
    <definedName name="Sección_canal" localSheetId="5">#REF!</definedName>
    <definedName name="Sección_canal" localSheetId="11">#REF!</definedName>
    <definedName name="Sección_canal">#REF!</definedName>
    <definedName name="Sepa_fina" localSheetId="3">#REF!</definedName>
    <definedName name="Sepa_fina" localSheetId="4">#REF!</definedName>
    <definedName name="Sepa_fina" localSheetId="9">#REF!</definedName>
    <definedName name="Sepa_fina" localSheetId="7">#REF!</definedName>
    <definedName name="Sepa_fina" localSheetId="2">#REF!</definedName>
    <definedName name="Sepa_fina" localSheetId="0">#REF!</definedName>
    <definedName name="Sepa_fina" localSheetId="1">#REF!</definedName>
    <definedName name="Sepa_fina" localSheetId="5">#REF!</definedName>
    <definedName name="Sepa_fina" localSheetId="11">#REF!</definedName>
    <definedName name="Sepa_fina">#REF!</definedName>
    <definedName name="Sepa_gruesa" localSheetId="3">#REF!</definedName>
    <definedName name="Sepa_gruesa" localSheetId="4">#REF!</definedName>
    <definedName name="Sepa_gruesa" localSheetId="9">#REF!</definedName>
    <definedName name="Sepa_gruesa" localSheetId="7">#REF!</definedName>
    <definedName name="Sepa_gruesa" localSheetId="2">#REF!</definedName>
    <definedName name="Sepa_gruesa" localSheetId="0">#REF!</definedName>
    <definedName name="Sepa_gruesa" localSheetId="5">#REF!</definedName>
    <definedName name="Sepa_gruesa" localSheetId="11">#REF!</definedName>
    <definedName name="Sepa_gruesa">#REF!</definedName>
    <definedName name="Separación_ventanas" localSheetId="3">#REF!</definedName>
    <definedName name="Separación_ventanas" localSheetId="4">#REF!</definedName>
    <definedName name="Separación_ventanas" localSheetId="9">#REF!</definedName>
    <definedName name="Separación_ventanas" localSheetId="7">#REF!</definedName>
    <definedName name="Separación_ventanas" localSheetId="2">#REF!</definedName>
    <definedName name="Separación_ventanas" localSheetId="0">#REF!</definedName>
    <definedName name="Separación_ventanas" localSheetId="5">#REF!</definedName>
    <definedName name="Separación_ventanas" localSheetId="11">#REF!</definedName>
    <definedName name="Separación_ventanas">#REF!</definedName>
    <definedName name="Vel_paso" localSheetId="3">#REF!</definedName>
    <definedName name="Vel_paso" localSheetId="4">#REF!</definedName>
    <definedName name="Vel_paso" localSheetId="9">#REF!</definedName>
    <definedName name="Vel_paso" localSheetId="7">#REF!</definedName>
    <definedName name="Vel_paso" localSheetId="2">#REF!</definedName>
    <definedName name="Vel_paso" localSheetId="0">#REF!</definedName>
    <definedName name="Vel_paso" localSheetId="5">#REF!</definedName>
    <definedName name="Vel_paso" localSheetId="11">#REF!</definedName>
    <definedName name="Vel_paso">#REF!</definedName>
    <definedName name="Velocidad_canal" localSheetId="3">#REF!</definedName>
    <definedName name="Velocidad_canal" localSheetId="4">#REF!</definedName>
    <definedName name="Velocidad_canal" localSheetId="9">#REF!</definedName>
    <definedName name="Velocidad_canal" localSheetId="7">#REF!</definedName>
    <definedName name="Velocidad_canal" localSheetId="2">#REF!</definedName>
    <definedName name="Velocidad_canal" localSheetId="0">#REF!</definedName>
    <definedName name="Velocidad_canal" localSheetId="5">#REF!</definedName>
    <definedName name="Velocidad_canal" localSheetId="11">#REF!</definedName>
    <definedName name="Velocidad_canal">#REF!</definedName>
    <definedName name="Volumen_drenaje" localSheetId="3">#REF!</definedName>
    <definedName name="Volumen_drenaje" localSheetId="4">#REF!</definedName>
    <definedName name="Volumen_drenaje" localSheetId="9">#REF!</definedName>
    <definedName name="Volumen_drenaje" localSheetId="7">#REF!</definedName>
    <definedName name="Volumen_drenaje" localSheetId="2">#REF!</definedName>
    <definedName name="Volumen_drenaje" localSheetId="0">#REF!</definedName>
    <definedName name="Volumen_drenaje" localSheetId="5">#REF!</definedName>
    <definedName name="Volumen_drenaje" localSheetId="11">#REF!</definedName>
    <definedName name="Volumen_drenaje">#REF!</definedName>
    <definedName name="Volumen_medio" localSheetId="3">#REF!</definedName>
    <definedName name="Volumen_medio" localSheetId="4">#REF!</definedName>
    <definedName name="Volumen_medio" localSheetId="9">#REF!</definedName>
    <definedName name="Volumen_medio" localSheetId="7">#REF!</definedName>
    <definedName name="Volumen_medio" localSheetId="2">#REF!</definedName>
    <definedName name="Volumen_medio" localSheetId="0">#REF!</definedName>
    <definedName name="Volumen_medio" localSheetId="5">#REF!</definedName>
    <definedName name="Volumen_medio" localSheetId="11">#REF!</definedName>
    <definedName name="Volumen_medio">#REF!</definedName>
    <definedName name="Volumen_total" localSheetId="3">#REF!</definedName>
    <definedName name="Volumen_total" localSheetId="4">#REF!</definedName>
    <definedName name="Volumen_total" localSheetId="9">#REF!</definedName>
    <definedName name="Volumen_total" localSheetId="7">#REF!</definedName>
    <definedName name="Volumen_total" localSheetId="2">#REF!</definedName>
    <definedName name="Volumen_total" localSheetId="0">#REF!</definedName>
    <definedName name="Volumen_total" localSheetId="5">#REF!</definedName>
    <definedName name="Volumen_total" localSheetId="11">#REF!</definedName>
    <definedName name="Volumen_total">#REF!</definedName>
    <definedName name="wqd" localSheetId="3">#REF!</definedName>
    <definedName name="wqd" localSheetId="4">#REF!</definedName>
    <definedName name="wqd" localSheetId="9">#REF!</definedName>
    <definedName name="wqd" localSheetId="7">#REF!</definedName>
    <definedName name="wqd" localSheetId="0">#REF!</definedName>
    <definedName name="wqd" localSheetId="5">#REF!</definedName>
    <definedName name="wqd" localSheetId="11">#REF!</definedName>
    <definedName name="wqd">#REF!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430" i="19" l="1"/>
  <c r="F16" i="19" l="1"/>
  <c r="F171" i="18" l="1"/>
  <c r="F170" i="18"/>
  <c r="F169" i="18"/>
  <c r="F168" i="18"/>
  <c r="F167" i="18"/>
  <c r="F166" i="18"/>
  <c r="F165" i="18"/>
  <c r="F160" i="18"/>
  <c r="F159" i="18"/>
  <c r="F156" i="18"/>
  <c r="F155" i="18"/>
  <c r="F152" i="18"/>
  <c r="F151" i="18"/>
  <c r="F148" i="18"/>
  <c r="F145" i="18"/>
  <c r="F144" i="18"/>
  <c r="F143" i="18"/>
  <c r="F142" i="18"/>
  <c r="F141" i="18"/>
  <c r="F140" i="18"/>
  <c r="F139" i="18"/>
  <c r="F138" i="18"/>
  <c r="F137" i="18"/>
  <c r="F136" i="18"/>
  <c r="F135" i="18"/>
  <c r="F134" i="18"/>
  <c r="F133" i="18"/>
  <c r="F132" i="18"/>
  <c r="F131" i="18"/>
  <c r="F130" i="18"/>
  <c r="F129" i="18"/>
  <c r="F128" i="18"/>
  <c r="F127" i="18"/>
  <c r="F126" i="18"/>
  <c r="F125" i="18"/>
  <c r="F124" i="18"/>
  <c r="F123" i="18"/>
  <c r="F122" i="18"/>
  <c r="F121" i="18"/>
  <c r="F120" i="18"/>
  <c r="F119" i="18"/>
  <c r="F116" i="18"/>
  <c r="F115" i="18"/>
  <c r="F114" i="18"/>
  <c r="F113" i="18"/>
  <c r="F110" i="18"/>
  <c r="F109" i="18"/>
  <c r="F106" i="18"/>
  <c r="F105" i="18"/>
  <c r="F101" i="18"/>
  <c r="F100" i="18"/>
  <c r="F97" i="18"/>
  <c r="F96" i="18"/>
  <c r="F90" i="18" l="1"/>
  <c r="F89" i="18"/>
  <c r="F88" i="18"/>
  <c r="F87" i="18"/>
  <c r="F86" i="18"/>
  <c r="F146" i="18"/>
  <c r="F76" i="18"/>
  <c r="F75" i="18"/>
  <c r="F74" i="18"/>
  <c r="F73" i="18"/>
  <c r="F72"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39" i="18"/>
  <c r="F38" i="18"/>
  <c r="F37" i="18"/>
  <c r="F36" i="18"/>
  <c r="F35" i="18"/>
  <c r="F34" i="18"/>
  <c r="F33" i="18"/>
  <c r="F32" i="18"/>
  <c r="F31" i="18"/>
  <c r="F30" i="18"/>
  <c r="F29" i="18"/>
  <c r="F28" i="18"/>
  <c r="F27" i="18"/>
  <c r="F26" i="18"/>
  <c r="F25" i="18"/>
  <c r="F24" i="18"/>
  <c r="F23" i="18"/>
  <c r="F19" i="18"/>
  <c r="F18" i="18"/>
  <c r="F17" i="18"/>
  <c r="F16" i="18"/>
  <c r="F15" i="18"/>
  <c r="F14" i="18"/>
  <c r="F13" i="18"/>
  <c r="F12" i="18"/>
  <c r="F11" i="18"/>
  <c r="F10" i="18"/>
  <c r="F9" i="18"/>
  <c r="F8" i="18"/>
  <c r="F77" i="18" l="1"/>
  <c r="F40" i="18"/>
  <c r="F423" i="19"/>
  <c r="F422" i="19"/>
  <c r="F421" i="19"/>
  <c r="F420" i="19"/>
  <c r="F419" i="19"/>
  <c r="F418" i="19"/>
  <c r="F417" i="19"/>
  <c r="F416" i="19"/>
  <c r="F415" i="19"/>
  <c r="F414" i="19"/>
  <c r="F413" i="19"/>
  <c r="F412" i="19"/>
  <c r="F411" i="19"/>
  <c r="F410" i="19"/>
  <c r="F409" i="19"/>
  <c r="F404" i="19"/>
  <c r="F403" i="19"/>
  <c r="F402" i="19"/>
  <c r="F401" i="19"/>
  <c r="F400" i="19"/>
  <c r="F399" i="19"/>
  <c r="F396" i="19"/>
  <c r="F395" i="19"/>
  <c r="F394" i="19"/>
  <c r="F393" i="19"/>
  <c r="F392" i="19"/>
  <c r="F391" i="19"/>
  <c r="F390" i="19"/>
  <c r="F387" i="19"/>
  <c r="F386" i="19"/>
  <c r="F385" i="19"/>
  <c r="F384" i="19"/>
  <c r="F383" i="19"/>
  <c r="F382" i="19"/>
  <c r="F381" i="19"/>
  <c r="F380" i="19"/>
  <c r="F379" i="19"/>
  <c r="F378" i="19"/>
  <c r="F377" i="19"/>
  <c r="F376" i="19"/>
  <c r="F375" i="19"/>
  <c r="F372" i="19"/>
  <c r="F369" i="19"/>
  <c r="F368" i="19"/>
  <c r="F367" i="19"/>
  <c r="F366" i="19"/>
  <c r="F365" i="19"/>
  <c r="F364" i="19"/>
  <c r="F361" i="19"/>
  <c r="F360" i="19"/>
  <c r="F359" i="19"/>
  <c r="F358" i="19"/>
  <c r="F357" i="19"/>
  <c r="F356" i="19"/>
  <c r="F353" i="19"/>
  <c r="F352" i="19"/>
  <c r="F351" i="19"/>
  <c r="F350" i="19"/>
  <c r="F349" i="19"/>
  <c r="F348" i="19"/>
  <c r="F347" i="19"/>
  <c r="F344" i="19"/>
  <c r="F343" i="19"/>
  <c r="F342" i="19"/>
  <c r="F341" i="19"/>
  <c r="F340" i="19"/>
  <c r="F339" i="19"/>
  <c r="F338" i="19"/>
  <c r="F335" i="19"/>
  <c r="F334" i="19"/>
  <c r="F333" i="19"/>
  <c r="F332" i="19"/>
  <c r="F331" i="19"/>
  <c r="F330" i="19"/>
  <c r="F329" i="19"/>
  <c r="F326" i="19"/>
  <c r="F325" i="19"/>
  <c r="F324" i="19"/>
  <c r="F323" i="19"/>
  <c r="F322" i="19"/>
  <c r="F321" i="19"/>
  <c r="F320" i="19"/>
  <c r="F316" i="19"/>
  <c r="F315" i="19"/>
  <c r="F314" i="19"/>
  <c r="F313" i="19"/>
  <c r="F312" i="19"/>
  <c r="F311" i="19"/>
  <c r="F310" i="19"/>
  <c r="F309" i="19"/>
  <c r="F308" i="19"/>
  <c r="F305" i="19"/>
  <c r="F304" i="19"/>
  <c r="F303" i="19"/>
  <c r="F302" i="19"/>
  <c r="F301" i="19"/>
  <c r="F300" i="19"/>
  <c r="F299" i="19"/>
  <c r="F298" i="19"/>
  <c r="F297" i="19"/>
  <c r="F296" i="19"/>
  <c r="F295" i="19"/>
  <c r="F294" i="19"/>
  <c r="F293" i="19"/>
  <c r="F290" i="19"/>
  <c r="F289" i="19"/>
  <c r="F288" i="19"/>
  <c r="F287" i="19"/>
  <c r="F286" i="19"/>
  <c r="F285" i="19"/>
  <c r="F284" i="19"/>
  <c r="F283" i="19"/>
  <c r="F282" i="19"/>
  <c r="F281" i="19"/>
  <c r="F280" i="19"/>
  <c r="F279" i="19"/>
  <c r="F278" i="19"/>
  <c r="F275" i="19"/>
  <c r="F274" i="19"/>
  <c r="F273" i="19"/>
  <c r="F272" i="19"/>
  <c r="F271" i="19"/>
  <c r="F270" i="19"/>
  <c r="F269" i="19"/>
  <c r="F268" i="19"/>
  <c r="F267" i="19"/>
  <c r="F266" i="19"/>
  <c r="F265" i="19"/>
  <c r="F264" i="19"/>
  <c r="F263" i="19"/>
  <c r="F260" i="19"/>
  <c r="F259" i="19"/>
  <c r="F258" i="19"/>
  <c r="F257" i="19"/>
  <c r="F256" i="19"/>
  <c r="F255" i="19"/>
  <c r="F254" i="19"/>
  <c r="F253" i="19"/>
  <c r="F252" i="19"/>
  <c r="F251" i="19"/>
  <c r="F250" i="19"/>
  <c r="F249" i="19"/>
  <c r="F248" i="19"/>
  <c r="F244" i="19"/>
  <c r="F241" i="19"/>
  <c r="F240" i="19"/>
  <c r="F239" i="19"/>
  <c r="F238" i="19"/>
  <c r="F237" i="19"/>
  <c r="F236" i="19"/>
  <c r="F235" i="19"/>
  <c r="F234" i="19"/>
  <c r="F233" i="19"/>
  <c r="F232" i="19"/>
  <c r="F228" i="19"/>
  <c r="F227" i="19"/>
  <c r="F226" i="19"/>
  <c r="F225" i="19"/>
  <c r="F224" i="19"/>
  <c r="F223" i="19"/>
  <c r="F222" i="19"/>
  <c r="F221" i="19"/>
  <c r="F220" i="19"/>
  <c r="F219"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88" i="19"/>
  <c r="F87" i="19"/>
  <c r="F86" i="19"/>
  <c r="F85" i="19"/>
  <c r="F84" i="19"/>
  <c r="F83" i="19"/>
  <c r="F82" i="19"/>
  <c r="F81" i="19"/>
  <c r="F80" i="19"/>
  <c r="F79" i="19"/>
  <c r="F78" i="19"/>
  <c r="F77" i="19"/>
  <c r="F76" i="19"/>
  <c r="F75" i="19"/>
  <c r="F74" i="19"/>
  <c r="F73" i="19"/>
  <c r="F72" i="19"/>
  <c r="F71" i="19"/>
  <c r="F70" i="19"/>
  <c r="F67" i="19"/>
  <c r="F66" i="19"/>
  <c r="F65" i="19"/>
  <c r="F64" i="19"/>
  <c r="F63" i="19"/>
  <c r="F62" i="19"/>
  <c r="F61" i="19"/>
  <c r="F60" i="19"/>
  <c r="F59" i="19"/>
  <c r="F58" i="19"/>
  <c r="F57" i="19"/>
  <c r="F56" i="19"/>
  <c r="F55" i="19"/>
  <c r="F54" i="19"/>
  <c r="F53" i="19"/>
  <c r="F52" i="19"/>
  <c r="F51" i="19"/>
  <c r="F50" i="19"/>
  <c r="F49" i="19"/>
  <c r="F48" i="19"/>
  <c r="F47"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5" i="19"/>
  <c r="F14" i="19"/>
  <c r="F405" i="19" l="1"/>
  <c r="F10" i="19"/>
  <c r="F9" i="19"/>
  <c r="F8" i="19"/>
  <c r="F98" i="18" l="1"/>
  <c r="F102" i="18"/>
  <c r="F107" i="18"/>
  <c r="F111" i="18"/>
  <c r="F149" i="18"/>
  <c r="F153" i="18"/>
  <c r="F157" i="18"/>
  <c r="F161" i="18"/>
  <c r="F117" i="18" l="1"/>
  <c r="F172" i="18"/>
  <c r="F162" i="18" l="1"/>
  <c r="F245" i="19" l="1"/>
  <c r="E173" i="8"/>
  <c r="D173" i="8"/>
  <c r="G168" i="8"/>
  <c r="G167" i="8"/>
  <c r="G166" i="8"/>
  <c r="G165" i="8"/>
  <c r="G164" i="8"/>
  <c r="D124" i="2"/>
  <c r="D125" i="2" s="1"/>
  <c r="D39" i="10"/>
  <c r="D38" i="8"/>
  <c r="D37" i="8"/>
  <c r="F97" i="8"/>
  <c r="F99" i="8"/>
  <c r="F101" i="8"/>
  <c r="F106" i="8"/>
  <c r="F108" i="8"/>
  <c r="F110" i="8"/>
  <c r="F112" i="8"/>
  <c r="F113" i="8"/>
  <c r="F114" i="8"/>
  <c r="F115" i="8"/>
  <c r="F116"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8" i="8"/>
  <c r="F152" i="8"/>
  <c r="F156" i="8"/>
  <c r="F160" i="8"/>
  <c r="D167" i="8"/>
  <c r="F167" i="8" s="1"/>
  <c r="D168" i="8"/>
  <c r="F168" i="8" s="1"/>
  <c r="D164" i="8"/>
  <c r="F164" i="8" s="1"/>
  <c r="D165" i="8"/>
  <c r="F165" i="8" s="1"/>
  <c r="F166" i="8"/>
  <c r="D169" i="8"/>
  <c r="F169" i="8" s="1"/>
  <c r="D170" i="8"/>
  <c r="F170" i="8" s="1"/>
  <c r="H1086" i="7"/>
  <c r="D1089" i="7"/>
  <c r="G1089" i="7" s="1"/>
  <c r="H1090" i="7" s="1"/>
  <c r="H1094" i="7"/>
  <c r="G1097" i="7"/>
  <c r="H1098" i="7" s="1"/>
  <c r="H383" i="7"/>
  <c r="D386" i="7"/>
  <c r="G386" i="7" s="1"/>
  <c r="H387" i="7" s="1"/>
  <c r="H391" i="7"/>
  <c r="G394" i="7"/>
  <c r="H395" i="7" s="1"/>
  <c r="H909" i="7"/>
  <c r="D912" i="7"/>
  <c r="G912" i="7" s="1"/>
  <c r="H913" i="7" s="1"/>
  <c r="H917" i="7"/>
  <c r="G920" i="7"/>
  <c r="H921" i="7" s="1"/>
  <c r="H584" i="7"/>
  <c r="D587" i="7"/>
  <c r="G587" i="7" s="1"/>
  <c r="H588" i="7" s="1"/>
  <c r="H592" i="7"/>
  <c r="G595" i="7"/>
  <c r="H596" i="7" s="1"/>
  <c r="H984" i="7"/>
  <c r="D987" i="7"/>
  <c r="G987" i="7" s="1"/>
  <c r="H988" i="7" s="1"/>
  <c r="H992" i="7"/>
  <c r="G995" i="7"/>
  <c r="H996" i="7" s="1"/>
  <c r="H1009" i="7"/>
  <c r="D1012" i="7"/>
  <c r="G1012" i="7" s="1"/>
  <c r="H1013" i="7" s="1"/>
  <c r="H1017" i="7"/>
  <c r="G1020" i="7"/>
  <c r="H1021" i="7" s="1"/>
  <c r="H1059" i="7"/>
  <c r="D1062" i="7"/>
  <c r="G1062" i="7" s="1"/>
  <c r="H1063" i="7" s="1"/>
  <c r="H1067" i="7"/>
  <c r="G1070" i="7"/>
  <c r="H1071" i="7" s="1"/>
  <c r="H108" i="7"/>
  <c r="D111" i="7"/>
  <c r="G111" i="7"/>
  <c r="H112" i="7" s="1"/>
  <c r="H116" i="7"/>
  <c r="G119" i="7"/>
  <c r="H120" i="7"/>
  <c r="H133" i="7"/>
  <c r="D136" i="7"/>
  <c r="G136" i="7" s="1"/>
  <c r="H137" i="7" s="1"/>
  <c r="H141" i="7"/>
  <c r="G144" i="7"/>
  <c r="H145" i="7" s="1"/>
  <c r="H408" i="7"/>
  <c r="D411" i="7"/>
  <c r="G411" i="7" s="1"/>
  <c r="H412" i="7" s="1"/>
  <c r="H416" i="7"/>
  <c r="G419" i="7"/>
  <c r="H420" i="7"/>
  <c r="H934" i="7"/>
  <c r="D937" i="7"/>
  <c r="G937" i="7"/>
  <c r="H938" i="7" s="1"/>
  <c r="H942" i="7"/>
  <c r="G945" i="7"/>
  <c r="H946" i="7" s="1"/>
  <c r="H534" i="7"/>
  <c r="D537" i="7"/>
  <c r="G537" i="7" s="1"/>
  <c r="H538" i="7" s="1"/>
  <c r="H542" i="7"/>
  <c r="G545" i="7"/>
  <c r="H546" i="7" s="1"/>
  <c r="H559" i="7"/>
  <c r="D562" i="7"/>
  <c r="G562" i="7" s="1"/>
  <c r="H563" i="7" s="1"/>
  <c r="H567" i="7"/>
  <c r="G570" i="7"/>
  <c r="H571" i="7" s="1"/>
  <c r="H609" i="7"/>
  <c r="D612" i="7"/>
  <c r="G612" i="7" s="1"/>
  <c r="H613" i="7" s="1"/>
  <c r="H617" i="7"/>
  <c r="G620" i="7"/>
  <c r="H621" i="7" s="1"/>
  <c r="H959" i="7"/>
  <c r="D962" i="7"/>
  <c r="G962" i="7" s="1"/>
  <c r="H963" i="7" s="1"/>
  <c r="H967" i="7"/>
  <c r="G970" i="7"/>
  <c r="H971" i="7" s="1"/>
  <c r="H433" i="7"/>
  <c r="D436" i="7"/>
  <c r="G436" i="7" s="1"/>
  <c r="H437" i="7" s="1"/>
  <c r="H441" i="7"/>
  <c r="G444" i="7"/>
  <c r="H445" i="7" s="1"/>
  <c r="H1034" i="7"/>
  <c r="D1037" i="7"/>
  <c r="G1037" i="7" s="1"/>
  <c r="H1038" i="7" s="1"/>
  <c r="H1042" i="7"/>
  <c r="G1045" i="7"/>
  <c r="H1046" i="7" s="1"/>
  <c r="H884" i="7"/>
  <c r="D887" i="7"/>
  <c r="G887" i="7" s="1"/>
  <c r="H888" i="7" s="1"/>
  <c r="H892" i="7"/>
  <c r="G895" i="7"/>
  <c r="H896" i="7" s="1"/>
  <c r="H898" i="7" s="1"/>
  <c r="H900" i="7" s="1"/>
  <c r="H809" i="7"/>
  <c r="D812" i="7"/>
  <c r="G812" i="7" s="1"/>
  <c r="H813" i="7"/>
  <c r="H823" i="7" s="1"/>
  <c r="H825" i="7" s="1"/>
  <c r="H817" i="7"/>
  <c r="G820" i="7"/>
  <c r="H821" i="7" s="1"/>
  <c r="H709" i="7"/>
  <c r="D712" i="7"/>
  <c r="G712" i="7" s="1"/>
  <c r="H713" i="7" s="1"/>
  <c r="H717" i="7"/>
  <c r="G720" i="7"/>
  <c r="H721" i="7"/>
  <c r="H734" i="7"/>
  <c r="D737" i="7"/>
  <c r="G737" i="7" s="1"/>
  <c r="H738" i="7" s="1"/>
  <c r="H742" i="7"/>
  <c r="G745" i="7"/>
  <c r="H746" i="7" s="1"/>
  <c r="H759" i="7"/>
  <c r="D762" i="7"/>
  <c r="G762" i="7"/>
  <c r="H763" i="7" s="1"/>
  <c r="H767" i="7"/>
  <c r="G770" i="7"/>
  <c r="H771" i="7" s="1"/>
  <c r="H834" i="7"/>
  <c r="D837" i="7"/>
  <c r="G837" i="7" s="1"/>
  <c r="H838" i="7" s="1"/>
  <c r="H842" i="7"/>
  <c r="G845" i="7"/>
  <c r="H846" i="7" s="1"/>
  <c r="H859" i="7"/>
  <c r="D862" i="7"/>
  <c r="G862" i="7" s="1"/>
  <c r="H863" i="7" s="1"/>
  <c r="H867" i="7"/>
  <c r="G870" i="7"/>
  <c r="H871" i="7"/>
  <c r="H784" i="7"/>
  <c r="D787" i="7"/>
  <c r="G787" i="7" s="1"/>
  <c r="H788" i="7" s="1"/>
  <c r="H792" i="7"/>
  <c r="G795" i="7"/>
  <c r="H796" i="7" s="1"/>
  <c r="H1111" i="7"/>
  <c r="D1114" i="7"/>
  <c r="G1114" i="7"/>
  <c r="H1115" i="7" s="1"/>
  <c r="H1125" i="7" s="1"/>
  <c r="H1127" i="7" s="1"/>
  <c r="H1119" i="7"/>
  <c r="G1122" i="7"/>
  <c r="H1123" i="7" s="1"/>
  <c r="H8" i="7"/>
  <c r="D11" i="7"/>
  <c r="G11" i="7" s="1"/>
  <c r="H12" i="7" s="1"/>
  <c r="H16" i="7"/>
  <c r="G19" i="7"/>
  <c r="H20" i="7" s="1"/>
  <c r="D17" i="8"/>
  <c r="H33" i="7"/>
  <c r="D36" i="7"/>
  <c r="G36" i="7" s="1"/>
  <c r="H37" i="7"/>
  <c r="H41" i="7"/>
  <c r="G44" i="7"/>
  <c r="H45" i="7" s="1"/>
  <c r="D18" i="8"/>
  <c r="H58" i="7"/>
  <c r="D61" i="7"/>
  <c r="G61" i="7" s="1"/>
  <c r="H62" i="7" s="1"/>
  <c r="H72" i="7" s="1"/>
  <c r="H74" i="7" s="1"/>
  <c r="H66" i="7"/>
  <c r="G69" i="7"/>
  <c r="H70" i="7" s="1"/>
  <c r="F247" i="10"/>
  <c r="F248" i="10"/>
  <c r="F249" i="10"/>
  <c r="F250" i="10"/>
  <c r="F251" i="10"/>
  <c r="F252" i="10"/>
  <c r="F253" i="10"/>
  <c r="F254" i="10"/>
  <c r="F255" i="10"/>
  <c r="F256" i="10"/>
  <c r="F257" i="10"/>
  <c r="F258" i="10"/>
  <c r="F259" i="10"/>
  <c r="F262" i="10"/>
  <c r="F263" i="10"/>
  <c r="F264" i="10"/>
  <c r="F265" i="10"/>
  <c r="F266" i="10"/>
  <c r="F267" i="10"/>
  <c r="F268" i="10"/>
  <c r="F269" i="10"/>
  <c r="F270" i="10"/>
  <c r="F271" i="10"/>
  <c r="F272" i="10"/>
  <c r="F273" i="10"/>
  <c r="F274" i="10"/>
  <c r="F277" i="10"/>
  <c r="F278" i="10"/>
  <c r="F279" i="10"/>
  <c r="F290" i="10" s="1"/>
  <c r="F280" i="10"/>
  <c r="F281" i="10"/>
  <c r="F282" i="10"/>
  <c r="F283" i="10"/>
  <c r="F284" i="10"/>
  <c r="F285" i="10"/>
  <c r="F286" i="10"/>
  <c r="F287" i="10"/>
  <c r="F288" i="10"/>
  <c r="F289" i="10"/>
  <c r="F292" i="10"/>
  <c r="F293" i="10"/>
  <c r="F294" i="10"/>
  <c r="F295" i="10"/>
  <c r="F296" i="10"/>
  <c r="F297" i="10"/>
  <c r="F298" i="10"/>
  <c r="F299" i="10"/>
  <c r="F300" i="10"/>
  <c r="F301" i="10"/>
  <c r="F302" i="10"/>
  <c r="F303" i="10"/>
  <c r="F304" i="10"/>
  <c r="F307" i="10"/>
  <c r="F316" i="10" s="1"/>
  <c r="F308" i="10"/>
  <c r="F309" i="10"/>
  <c r="F310" i="10"/>
  <c r="F311" i="10"/>
  <c r="F312" i="10"/>
  <c r="F313" i="10"/>
  <c r="F314" i="10"/>
  <c r="F315" i="10"/>
  <c r="F319" i="10"/>
  <c r="F320" i="10"/>
  <c r="F321" i="10"/>
  <c r="F322" i="10"/>
  <c r="F323" i="10"/>
  <c r="F324" i="10"/>
  <c r="F325" i="10"/>
  <c r="F328" i="10"/>
  <c r="F329" i="10"/>
  <c r="F330" i="10"/>
  <c r="F331" i="10"/>
  <c r="F332" i="10"/>
  <c r="F333" i="10"/>
  <c r="F334" i="10"/>
  <c r="F337" i="10"/>
  <c r="F338" i="10"/>
  <c r="F339" i="10"/>
  <c r="F340" i="10"/>
  <c r="F341" i="10"/>
  <c r="F342" i="10"/>
  <c r="F343" i="10"/>
  <c r="F346" i="10"/>
  <c r="F347" i="10"/>
  <c r="F348" i="10"/>
  <c r="F349" i="10"/>
  <c r="F350" i="10"/>
  <c r="F351" i="10"/>
  <c r="F352" i="10"/>
  <c r="F355" i="10"/>
  <c r="F356" i="10"/>
  <c r="F357" i="10"/>
  <c r="F358" i="10"/>
  <c r="F359" i="10"/>
  <c r="F360" i="10"/>
  <c r="F363" i="10"/>
  <c r="F364" i="10"/>
  <c r="F365" i="10"/>
  <c r="F366" i="10"/>
  <c r="F367" i="10"/>
  <c r="F368" i="10"/>
  <c r="F371" i="10"/>
  <c r="F372" i="10"/>
  <c r="F374" i="10"/>
  <c r="F375" i="10"/>
  <c r="F376" i="10"/>
  <c r="F377" i="10"/>
  <c r="F378" i="10"/>
  <c r="F379" i="10"/>
  <c r="F380" i="10"/>
  <c r="F381" i="10"/>
  <c r="F382" i="10"/>
  <c r="F383" i="10"/>
  <c r="F384" i="10"/>
  <c r="F385" i="10"/>
  <c r="F386" i="10"/>
  <c r="F389" i="10"/>
  <c r="F390" i="10"/>
  <c r="F391" i="10"/>
  <c r="F392" i="10"/>
  <c r="F393" i="10"/>
  <c r="F394" i="10"/>
  <c r="F395" i="10"/>
  <c r="F398" i="10"/>
  <c r="F399" i="10"/>
  <c r="F400" i="10"/>
  <c r="F401" i="10"/>
  <c r="F402" i="10"/>
  <c r="F403" i="10"/>
  <c r="F408" i="10"/>
  <c r="F409" i="10"/>
  <c r="F410" i="10"/>
  <c r="F411" i="10"/>
  <c r="F412" i="10"/>
  <c r="F413" i="10"/>
  <c r="F414" i="10"/>
  <c r="F415" i="10"/>
  <c r="F416" i="10"/>
  <c r="F417" i="10"/>
  <c r="F418" i="10"/>
  <c r="D419" i="10"/>
  <c r="F419" i="10" s="1"/>
  <c r="D420" i="10"/>
  <c r="F420" i="10" s="1"/>
  <c r="F421" i="10"/>
  <c r="F422" i="10"/>
  <c r="F423" i="10"/>
  <c r="F424" i="10"/>
  <c r="F425" i="10"/>
  <c r="F243" i="10"/>
  <c r="F244" i="10" s="1"/>
  <c r="D231" i="10"/>
  <c r="G33" i="3"/>
  <c r="H34" i="3" s="1"/>
  <c r="G37" i="3"/>
  <c r="G38" i="3"/>
  <c r="G39" i="3"/>
  <c r="G40" i="3"/>
  <c r="G44" i="3"/>
  <c r="G45" i="3"/>
  <c r="H50" i="3"/>
  <c r="D232" i="10"/>
  <c r="G90" i="3"/>
  <c r="G91" i="3"/>
  <c r="G92" i="3"/>
  <c r="H97" i="3"/>
  <c r="G100" i="3"/>
  <c r="H101" i="3" s="1"/>
  <c r="H105" i="3"/>
  <c r="G117" i="3"/>
  <c r="G118" i="3"/>
  <c r="H123" i="3"/>
  <c r="H131" i="3"/>
  <c r="G172" i="3"/>
  <c r="H173" i="3" s="1"/>
  <c r="G176" i="3"/>
  <c r="H177" i="3" s="1"/>
  <c r="G180" i="3"/>
  <c r="H181" i="3" s="1"/>
  <c r="H185" i="3"/>
  <c r="G1103" i="11"/>
  <c r="G1104" i="11"/>
  <c r="G1108" i="11"/>
  <c r="H1109" i="11" s="1"/>
  <c r="G1112" i="11"/>
  <c r="H1113" i="11" s="1"/>
  <c r="H1117" i="11"/>
  <c r="D236" i="10"/>
  <c r="G1129" i="11"/>
  <c r="G1130" i="11"/>
  <c r="G1131" i="11"/>
  <c r="G1132" i="11"/>
  <c r="G1136" i="11"/>
  <c r="H1137" i="11" s="1"/>
  <c r="D1140" i="11"/>
  <c r="G1140" i="11" s="1"/>
  <c r="H1141" i="11" s="1"/>
  <c r="H1145" i="11"/>
  <c r="G1157" i="11"/>
  <c r="G1158" i="11"/>
  <c r="G1159" i="11"/>
  <c r="G1160" i="11"/>
  <c r="G1164" i="11"/>
  <c r="H1165" i="11" s="1"/>
  <c r="D1168" i="11"/>
  <c r="G1168" i="11" s="1"/>
  <c r="H1169" i="11" s="1"/>
  <c r="H1173" i="11"/>
  <c r="G1184" i="11"/>
  <c r="G1185" i="11"/>
  <c r="G1186" i="11"/>
  <c r="G1187" i="11"/>
  <c r="G1191" i="11"/>
  <c r="H1192" i="11" s="1"/>
  <c r="D1195" i="11"/>
  <c r="G1195" i="11" s="1"/>
  <c r="H1196" i="11" s="1"/>
  <c r="H1200" i="11"/>
  <c r="G1212" i="11"/>
  <c r="G1213" i="11"/>
  <c r="G1214" i="11"/>
  <c r="G1218" i="11"/>
  <c r="G223" i="3"/>
  <c r="G224" i="3"/>
  <c r="G225" i="3"/>
  <c r="G229" i="3"/>
  <c r="G230" i="3"/>
  <c r="G231" i="3"/>
  <c r="G232" i="3"/>
  <c r="G233" i="3"/>
  <c r="G234" i="3"/>
  <c r="D238" i="3"/>
  <c r="G238" i="3" s="1"/>
  <c r="H239" i="3" s="1"/>
  <c r="H243" i="3"/>
  <c r="G1223" i="11"/>
  <c r="H1224" i="11" s="1"/>
  <c r="H1228" i="11"/>
  <c r="G1240" i="11"/>
  <c r="H1241" i="11" s="1"/>
  <c r="G1244" i="11"/>
  <c r="G1245" i="11"/>
  <c r="H1246" i="11"/>
  <c r="G1249" i="11"/>
  <c r="H1250" i="11" s="1"/>
  <c r="H1254" i="11"/>
  <c r="D218" i="10"/>
  <c r="G62" i="3"/>
  <c r="H63" i="3" s="1"/>
  <c r="G66" i="3"/>
  <c r="G67" i="3"/>
  <c r="G68" i="3"/>
  <c r="G72" i="3"/>
  <c r="G73" i="3"/>
  <c r="H78" i="3"/>
  <c r="D219" i="10"/>
  <c r="G254" i="11"/>
  <c r="H256" i="11" s="1"/>
  <c r="G255" i="11"/>
  <c r="H260" i="11"/>
  <c r="D263" i="11"/>
  <c r="G263" i="11" s="1"/>
  <c r="H264" i="11" s="1"/>
  <c r="H268" i="11"/>
  <c r="D220" i="10"/>
  <c r="G765" i="3"/>
  <c r="H766" i="3" s="1"/>
  <c r="G770" i="3"/>
  <c r="D774" i="3"/>
  <c r="G774" i="3" s="1"/>
  <c r="H775" i="3" s="1"/>
  <c r="H779" i="3"/>
  <c r="H322" i="3"/>
  <c r="G325" i="3"/>
  <c r="G326" i="3"/>
  <c r="G327" i="3"/>
  <c r="G331" i="3"/>
  <c r="H332" i="3" s="1"/>
  <c r="H336" i="3"/>
  <c r="G1297" i="11"/>
  <c r="H1298" i="11" s="1"/>
  <c r="G1301" i="11"/>
  <c r="G1302" i="11"/>
  <c r="G1303" i="11"/>
  <c r="G1304" i="11"/>
  <c r="G1305" i="11"/>
  <c r="G1309" i="11"/>
  <c r="G1310" i="11"/>
  <c r="H1315" i="11"/>
  <c r="D223" i="10"/>
  <c r="G1266" i="11"/>
  <c r="H1267" i="11" s="1"/>
  <c r="G1270" i="11"/>
  <c r="G1271" i="11"/>
  <c r="G1272" i="11"/>
  <c r="G1273" i="11"/>
  <c r="G1274" i="11"/>
  <c r="G1275" i="11"/>
  <c r="G1276" i="11"/>
  <c r="G1280" i="11"/>
  <c r="G1281" i="11"/>
  <c r="H1282" i="11" s="1"/>
  <c r="H1286" i="11"/>
  <c r="D224" i="10"/>
  <c r="G1326" i="11"/>
  <c r="G1327" i="11"/>
  <c r="G1331" i="11"/>
  <c r="G1332" i="11"/>
  <c r="G1333" i="11"/>
  <c r="G1334" i="11"/>
  <c r="G1338" i="11"/>
  <c r="H1340" i="11" s="1"/>
  <c r="G1339" i="11"/>
  <c r="H1344" i="11"/>
  <c r="G1355" i="11"/>
  <c r="H1356" i="11" s="1"/>
  <c r="G1359" i="11"/>
  <c r="G1360" i="11"/>
  <c r="H1362" i="11" s="1"/>
  <c r="G1361" i="11"/>
  <c r="G1365" i="11"/>
  <c r="G1366" i="11"/>
  <c r="H1367" i="11"/>
  <c r="H1371" i="11"/>
  <c r="G1382" i="11"/>
  <c r="H1383" i="11" s="1"/>
  <c r="G1386" i="11"/>
  <c r="G1387" i="11"/>
  <c r="G1391" i="11"/>
  <c r="G1392" i="11"/>
  <c r="H1393" i="11"/>
  <c r="H1397" i="11"/>
  <c r="G1409" i="11"/>
  <c r="H1410" i="11" s="1"/>
  <c r="G1413" i="11"/>
  <c r="H1414" i="11" s="1"/>
  <c r="G1417" i="11"/>
  <c r="H1419" i="11" s="1"/>
  <c r="G1418" i="11"/>
  <c r="H1423" i="11"/>
  <c r="D174" i="10"/>
  <c r="G144" i="3"/>
  <c r="G145" i="3"/>
  <c r="G146" i="3"/>
  <c r="G147" i="3"/>
  <c r="G151" i="3"/>
  <c r="H152" i="3" s="1"/>
  <c r="G155" i="3"/>
  <c r="H156" i="3" s="1"/>
  <c r="G159" i="3"/>
  <c r="H160" i="3" s="1"/>
  <c r="G1865" i="3"/>
  <c r="G1866" i="3"/>
  <c r="G1870" i="3"/>
  <c r="G1871" i="3"/>
  <c r="G1872" i="3"/>
  <c r="G1873" i="3"/>
  <c r="G1878" i="3"/>
  <c r="H1880" i="3" s="1"/>
  <c r="G1879" i="3"/>
  <c r="H1884" i="3"/>
  <c r="G791" i="3"/>
  <c r="H792" i="3" s="1"/>
  <c r="G796" i="3"/>
  <c r="D800" i="3"/>
  <c r="G800" i="3"/>
  <c r="H801" i="3" s="1"/>
  <c r="H805" i="3"/>
  <c r="D177" i="10"/>
  <c r="G1896" i="3"/>
  <c r="G1897" i="3"/>
  <c r="G1901" i="3"/>
  <c r="G1902" i="3"/>
  <c r="G1906" i="3"/>
  <c r="H1907" i="3"/>
  <c r="H1911" i="3"/>
  <c r="D178" i="10"/>
  <c r="G1923" i="3"/>
  <c r="G1924" i="3"/>
  <c r="G1925" i="3"/>
  <c r="G1929" i="3"/>
  <c r="H1930" i="3" s="1"/>
  <c r="G1933" i="3"/>
  <c r="H1934" i="3" s="1"/>
  <c r="H1938" i="3"/>
  <c r="D179" i="10"/>
  <c r="G1949" i="3"/>
  <c r="G1950" i="3"/>
  <c r="G1951" i="3"/>
  <c r="G1955" i="3"/>
  <c r="G1956" i="3"/>
  <c r="G1957" i="3"/>
  <c r="G1962" i="3"/>
  <c r="H1963" i="3" s="1"/>
  <c r="H1967" i="3"/>
  <c r="D180" i="10"/>
  <c r="E180" i="10"/>
  <c r="G2007" i="3"/>
  <c r="G2008" i="3"/>
  <c r="G2012" i="3"/>
  <c r="G2013" i="3"/>
  <c r="G2014" i="3"/>
  <c r="G2018" i="3"/>
  <c r="H2019" i="3" s="1"/>
  <c r="H2023" i="3"/>
  <c r="D182" i="10"/>
  <c r="G2035" i="3"/>
  <c r="H2038" i="3" s="1"/>
  <c r="G2036" i="3"/>
  <c r="G2037" i="3"/>
  <c r="G2041" i="3"/>
  <c r="G2042" i="3"/>
  <c r="G2043" i="3"/>
  <c r="G2044" i="3"/>
  <c r="G2045" i="3"/>
  <c r="G2046" i="3"/>
  <c r="G2047" i="3"/>
  <c r="G2048" i="3"/>
  <c r="G2052" i="3"/>
  <c r="G2053" i="3"/>
  <c r="G2054" i="3"/>
  <c r="H2059" i="3"/>
  <c r="G2621" i="3"/>
  <c r="H2622" i="3" s="1"/>
  <c r="G2625" i="3"/>
  <c r="G2626" i="3"/>
  <c r="G2627" i="3"/>
  <c r="G2628" i="3"/>
  <c r="G2629" i="3"/>
  <c r="G2633" i="3"/>
  <c r="H2634" i="3" s="1"/>
  <c r="H2638" i="3"/>
  <c r="G2649" i="3"/>
  <c r="H2650" i="3" s="1"/>
  <c r="G2653" i="3"/>
  <c r="G2654" i="3"/>
  <c r="G2655" i="3"/>
  <c r="G2656" i="3"/>
  <c r="G2660" i="3"/>
  <c r="H2661" i="3" s="1"/>
  <c r="H2665" i="3"/>
  <c r="G2676" i="3"/>
  <c r="H2677" i="3"/>
  <c r="G2680" i="3"/>
  <c r="G2681" i="3"/>
  <c r="G2682" i="3"/>
  <c r="G2683" i="3"/>
  <c r="H2684" i="3" s="1"/>
  <c r="G2687" i="3"/>
  <c r="H2688" i="3" s="1"/>
  <c r="H2692" i="3"/>
  <c r="G2951" i="3"/>
  <c r="H2952" i="3" s="1"/>
  <c r="H2959" i="3"/>
  <c r="G2962" i="3"/>
  <c r="H2963" i="3" s="1"/>
  <c r="H2967" i="3"/>
  <c r="G2812" i="3"/>
  <c r="H2813" i="3"/>
  <c r="G2816" i="3"/>
  <c r="G2817" i="3"/>
  <c r="G2818" i="3"/>
  <c r="G2819" i="3"/>
  <c r="G2820" i="3"/>
  <c r="G2821" i="3"/>
  <c r="G2825" i="3"/>
  <c r="H2826" i="3"/>
  <c r="H2830" i="3"/>
  <c r="G2841" i="3"/>
  <c r="H2842" i="3"/>
  <c r="G2845" i="3"/>
  <c r="H2848" i="3" s="1"/>
  <c r="G2846" i="3"/>
  <c r="G2847" i="3"/>
  <c r="G2851" i="3"/>
  <c r="H2852" i="3" s="1"/>
  <c r="H2856" i="3"/>
  <c r="G2869" i="3"/>
  <c r="H2870" i="3" s="1"/>
  <c r="D2873" i="3"/>
  <c r="G2873" i="3" s="1"/>
  <c r="G2874" i="3"/>
  <c r="G2875" i="3"/>
  <c r="G2879" i="3"/>
  <c r="H2880" i="3"/>
  <c r="H2884" i="3"/>
  <c r="G2896" i="3"/>
  <c r="H2897" i="3" s="1"/>
  <c r="D2900" i="3"/>
  <c r="G2900" i="3" s="1"/>
  <c r="D2901" i="3"/>
  <c r="G2901" i="3" s="1"/>
  <c r="D2902" i="3"/>
  <c r="G2902" i="3" s="1"/>
  <c r="G2906" i="3"/>
  <c r="H2907" i="3"/>
  <c r="H2911" i="3"/>
  <c r="G2704" i="3"/>
  <c r="H2705" i="3" s="1"/>
  <c r="D2708" i="3"/>
  <c r="G2708" i="3"/>
  <c r="D2709" i="3"/>
  <c r="G2709" i="3" s="1"/>
  <c r="D2710" i="3"/>
  <c r="G2710" i="3" s="1"/>
  <c r="G2714" i="3"/>
  <c r="H2715" i="3" s="1"/>
  <c r="H2719" i="3"/>
  <c r="G2732" i="3"/>
  <c r="H2733" i="3" s="1"/>
  <c r="D2736" i="3"/>
  <c r="G2736" i="3" s="1"/>
  <c r="D2737" i="3"/>
  <c r="G2737" i="3" s="1"/>
  <c r="D2738" i="3"/>
  <c r="G2738" i="3" s="1"/>
  <c r="G2742" i="3"/>
  <c r="H2743" i="3" s="1"/>
  <c r="H2747" i="3"/>
  <c r="G2759" i="3"/>
  <c r="H2760" i="3" s="1"/>
  <c r="D2763" i="3"/>
  <c r="G2763" i="3" s="1"/>
  <c r="D2764" i="3"/>
  <c r="G2764" i="3" s="1"/>
  <c r="D2765" i="3"/>
  <c r="G2765" i="3" s="1"/>
  <c r="G2769" i="3"/>
  <c r="H2770" i="3"/>
  <c r="H2774" i="3"/>
  <c r="G2785" i="3"/>
  <c r="H2786" i="3" s="1"/>
  <c r="D2789" i="3"/>
  <c r="G2789" i="3"/>
  <c r="H2792" i="3" s="1"/>
  <c r="D2790" i="3"/>
  <c r="G2790" i="3" s="1"/>
  <c r="D2791" i="3"/>
  <c r="G2791" i="3" s="1"/>
  <c r="G2795" i="3"/>
  <c r="H2796" i="3" s="1"/>
  <c r="H2800" i="3"/>
  <c r="G2923" i="3"/>
  <c r="H2924" i="3" s="1"/>
  <c r="D2927" i="3"/>
  <c r="G2927" i="3" s="1"/>
  <c r="D2928" i="3"/>
  <c r="G2928" i="3" s="1"/>
  <c r="D2929" i="3"/>
  <c r="G2929" i="3"/>
  <c r="G2933" i="3"/>
  <c r="H2934" i="3" s="1"/>
  <c r="H2938" i="3"/>
  <c r="D196" i="10"/>
  <c r="G317" i="5"/>
  <c r="H318" i="5" s="1"/>
  <c r="D321" i="5"/>
  <c r="G321" i="5" s="1"/>
  <c r="H322" i="5" s="1"/>
  <c r="G325" i="5"/>
  <c r="H326" i="5" s="1"/>
  <c r="H330" i="5"/>
  <c r="G2158" i="3"/>
  <c r="H2159" i="3" s="1"/>
  <c r="G2162" i="3"/>
  <c r="G2163" i="3"/>
  <c r="G2164" i="3"/>
  <c r="G2165" i="3"/>
  <c r="G2166" i="3"/>
  <c r="G2167" i="3"/>
  <c r="G2171" i="3"/>
  <c r="H2172" i="3" s="1"/>
  <c r="H2176" i="3"/>
  <c r="G2187" i="3"/>
  <c r="G2188" i="3"/>
  <c r="G2189" i="3"/>
  <c r="G2194" i="3"/>
  <c r="G2195" i="3"/>
  <c r="G2196" i="3"/>
  <c r="G2197" i="3"/>
  <c r="G2198" i="3"/>
  <c r="G2199" i="3"/>
  <c r="G2200" i="3"/>
  <c r="G2201" i="3"/>
  <c r="G2205" i="3"/>
  <c r="G2206" i="3"/>
  <c r="H2211" i="3"/>
  <c r="G2594" i="3"/>
  <c r="H2595" i="3" s="1"/>
  <c r="G2598" i="3"/>
  <c r="G2599" i="3"/>
  <c r="G2600" i="3"/>
  <c r="G2604" i="3"/>
  <c r="H2605" i="3" s="1"/>
  <c r="H2609" i="3"/>
  <c r="D200" i="10"/>
  <c r="G2071" i="3"/>
  <c r="G2072" i="3"/>
  <c r="H2073" i="3" s="1"/>
  <c r="G2076" i="3"/>
  <c r="H2077" i="3" s="1"/>
  <c r="G2080" i="3"/>
  <c r="H2081" i="3"/>
  <c r="H2085" i="3"/>
  <c r="D201" i="10"/>
  <c r="G2567" i="3"/>
  <c r="G2568" i="3"/>
  <c r="H2570" i="3" s="1"/>
  <c r="G2569" i="3"/>
  <c r="G2573" i="3"/>
  <c r="G2574" i="3"/>
  <c r="H2575" i="3"/>
  <c r="G2578" i="3"/>
  <c r="H2579" i="3" s="1"/>
  <c r="H2583" i="3"/>
  <c r="D202" i="10"/>
  <c r="G2097" i="3"/>
  <c r="H2098" i="3" s="1"/>
  <c r="G2101" i="3"/>
  <c r="G2102" i="3"/>
  <c r="G2103" i="3"/>
  <c r="G2104" i="3"/>
  <c r="G2105" i="3"/>
  <c r="G2109" i="3"/>
  <c r="H2110" i="3" s="1"/>
  <c r="H2114" i="3"/>
  <c r="G2222" i="3"/>
  <c r="H2223" i="3" s="1"/>
  <c r="G2226" i="3"/>
  <c r="G2227" i="3"/>
  <c r="H2228" i="3"/>
  <c r="G2231" i="3"/>
  <c r="H2232" i="3" s="1"/>
  <c r="H2236" i="3"/>
  <c r="G2295" i="3"/>
  <c r="H2296" i="3" s="1"/>
  <c r="G2299" i="3"/>
  <c r="H2300" i="3"/>
  <c r="G2303" i="3"/>
  <c r="H2304" i="3" s="1"/>
  <c r="H2308" i="3"/>
  <c r="G2247" i="3"/>
  <c r="H2248" i="3" s="1"/>
  <c r="G2251" i="3"/>
  <c r="H2252" i="3" s="1"/>
  <c r="G2255" i="3"/>
  <c r="H2256" i="3" s="1"/>
  <c r="H2260" i="3"/>
  <c r="G2271" i="3"/>
  <c r="H2272" i="3" s="1"/>
  <c r="G2275" i="3"/>
  <c r="H2276" i="3" s="1"/>
  <c r="G2279" i="3"/>
  <c r="H2280" i="3" s="1"/>
  <c r="H2284" i="3"/>
  <c r="G2319" i="3"/>
  <c r="G2320" i="3"/>
  <c r="H2321" i="3" s="1"/>
  <c r="G2324" i="3"/>
  <c r="G2325" i="3"/>
  <c r="G2326" i="3"/>
  <c r="G2327" i="3"/>
  <c r="G2328" i="3"/>
  <c r="G2329" i="3"/>
  <c r="G2330" i="3"/>
  <c r="G2331" i="3"/>
  <c r="G2335" i="3"/>
  <c r="G2336" i="3"/>
  <c r="H2337" i="3"/>
  <c r="H2341" i="3"/>
  <c r="G2352" i="3"/>
  <c r="H2353" i="3" s="1"/>
  <c r="G2356" i="3"/>
  <c r="H2357" i="3"/>
  <c r="G2360" i="3"/>
  <c r="H2361" i="3" s="1"/>
  <c r="H2365" i="3"/>
  <c r="E209" i="10"/>
  <c r="F209" i="10" s="1"/>
  <c r="E210" i="10"/>
  <c r="F210" i="10" s="1"/>
  <c r="E211" i="10"/>
  <c r="F211" i="10" s="1"/>
  <c r="G2484" i="3"/>
  <c r="H2485" i="3"/>
  <c r="G2488" i="3"/>
  <c r="G2489" i="3"/>
  <c r="G2490" i="3"/>
  <c r="H2491" i="3"/>
  <c r="G2494" i="3"/>
  <c r="H2495" i="3" s="1"/>
  <c r="H2499" i="3"/>
  <c r="E213" i="10"/>
  <c r="F213" i="10" s="1"/>
  <c r="G2511" i="3"/>
  <c r="H2512" i="3" s="1"/>
  <c r="G2515" i="3"/>
  <c r="G2516" i="3"/>
  <c r="G2517" i="3"/>
  <c r="G2521" i="3"/>
  <c r="H2522" i="3" s="1"/>
  <c r="H2526" i="3"/>
  <c r="G2540" i="3"/>
  <c r="H2541" i="3" s="1"/>
  <c r="G2544" i="3"/>
  <c r="G2545" i="3"/>
  <c r="G2546" i="3"/>
  <c r="H2547" i="3" s="1"/>
  <c r="G2550" i="3"/>
  <c r="H2551" i="3" s="1"/>
  <c r="H2555" i="3"/>
  <c r="G629" i="3"/>
  <c r="G630" i="3"/>
  <c r="H636" i="3"/>
  <c r="G639" i="3"/>
  <c r="H640" i="3" s="1"/>
  <c r="H644" i="3"/>
  <c r="G197" i="3"/>
  <c r="G198" i="3"/>
  <c r="D206" i="3"/>
  <c r="G206" i="3" s="1"/>
  <c r="H207" i="3" s="1"/>
  <c r="H211" i="3"/>
  <c r="G255" i="3"/>
  <c r="G256" i="3"/>
  <c r="G257" i="3"/>
  <c r="G261" i="3"/>
  <c r="G262" i="3"/>
  <c r="G263" i="3"/>
  <c r="G264" i="3"/>
  <c r="G265" i="3"/>
  <c r="G266" i="3"/>
  <c r="G267" i="3"/>
  <c r="D271" i="3"/>
  <c r="G271" i="3" s="1"/>
  <c r="H271" i="3" s="1"/>
  <c r="H275" i="3"/>
  <c r="G288" i="3"/>
  <c r="H291" i="3" s="1"/>
  <c r="G289" i="3"/>
  <c r="G290" i="3"/>
  <c r="G294" i="3"/>
  <c r="G295" i="3"/>
  <c r="G296" i="3"/>
  <c r="G297" i="3"/>
  <c r="G298" i="3"/>
  <c r="G299" i="3"/>
  <c r="G300" i="3"/>
  <c r="D304" i="3"/>
  <c r="G304" i="3" s="1"/>
  <c r="H305" i="3" s="1"/>
  <c r="H309" i="3"/>
  <c r="G348" i="3"/>
  <c r="H349" i="3" s="1"/>
  <c r="H363" i="3" s="1"/>
  <c r="H365" i="3" s="1"/>
  <c r="G352" i="3"/>
  <c r="H353" i="3" s="1"/>
  <c r="G356" i="3"/>
  <c r="H357" i="3" s="1"/>
  <c r="H361" i="3"/>
  <c r="G288" i="5"/>
  <c r="H289" i="5" s="1"/>
  <c r="G292" i="5"/>
  <c r="G293" i="5"/>
  <c r="G294" i="5"/>
  <c r="G299" i="5"/>
  <c r="H300" i="5" s="1"/>
  <c r="H304" i="5"/>
  <c r="G550" i="3"/>
  <c r="H551" i="3" s="1"/>
  <c r="G555" i="3"/>
  <c r="G559" i="3"/>
  <c r="H560" i="3" s="1"/>
  <c r="H564" i="3"/>
  <c r="G524" i="3"/>
  <c r="H525" i="3" s="1"/>
  <c r="G529" i="3"/>
  <c r="G533" i="3"/>
  <c r="H534" i="3"/>
  <c r="H538" i="3"/>
  <c r="G1609" i="3"/>
  <c r="H1610" i="3" s="1"/>
  <c r="E1614" i="3"/>
  <c r="E1613" i="3" s="1"/>
  <c r="G1613" i="3" s="1"/>
  <c r="G1615" i="3"/>
  <c r="D1619" i="3"/>
  <c r="G1619" i="3" s="1"/>
  <c r="H1620" i="3" s="1"/>
  <c r="H1624" i="3"/>
  <c r="G1661" i="3"/>
  <c r="H1662" i="3" s="1"/>
  <c r="D1665" i="3"/>
  <c r="G1665" i="3" s="1"/>
  <c r="H1666" i="3"/>
  <c r="D1669" i="3"/>
  <c r="G1669" i="3" s="1"/>
  <c r="H1670" i="3" s="1"/>
  <c r="H1674" i="3"/>
  <c r="G1636" i="3"/>
  <c r="H1637" i="3"/>
  <c r="G1640" i="3"/>
  <c r="H1641" i="3" s="1"/>
  <c r="D1644" i="3"/>
  <c r="G1644" i="3"/>
  <c r="H1645" i="3" s="1"/>
  <c r="H1649" i="3"/>
  <c r="G921" i="11"/>
  <c r="H922" i="11" s="1"/>
  <c r="G925" i="11"/>
  <c r="H926" i="11"/>
  <c r="D929" i="11"/>
  <c r="G929" i="11" s="1"/>
  <c r="H930" i="11" s="1"/>
  <c r="H934" i="11"/>
  <c r="G896" i="11"/>
  <c r="H897" i="11"/>
  <c r="G900" i="11"/>
  <c r="H901" i="11" s="1"/>
  <c r="D904" i="11"/>
  <c r="G904" i="11"/>
  <c r="H905" i="11" s="1"/>
  <c r="H909" i="11"/>
  <c r="G946" i="11"/>
  <c r="H947" i="11" s="1"/>
  <c r="G950" i="11"/>
  <c r="H951" i="11"/>
  <c r="G954" i="11"/>
  <c r="H955" i="11" s="1"/>
  <c r="H959" i="11"/>
  <c r="G970" i="11"/>
  <c r="H971" i="11"/>
  <c r="G974" i="11"/>
  <c r="H975" i="11" s="1"/>
  <c r="G978" i="11"/>
  <c r="H979" i="11"/>
  <c r="H983" i="11"/>
  <c r="G870" i="11"/>
  <c r="H871" i="11" s="1"/>
  <c r="G874" i="11"/>
  <c r="G875" i="11"/>
  <c r="G879" i="11"/>
  <c r="H880" i="11" s="1"/>
  <c r="H884" i="11"/>
  <c r="G817" i="11"/>
  <c r="H818" i="11" s="1"/>
  <c r="H824" i="11"/>
  <c r="G827" i="11"/>
  <c r="H828" i="11" s="1"/>
  <c r="H832" i="11"/>
  <c r="G844" i="11"/>
  <c r="H845" i="11" s="1"/>
  <c r="D848" i="11"/>
  <c r="G848" i="11"/>
  <c r="H851" i="11" s="1"/>
  <c r="G854" i="11"/>
  <c r="H855" i="11" s="1"/>
  <c r="H859" i="11"/>
  <c r="G7" i="5"/>
  <c r="H8" i="5" s="1"/>
  <c r="D11" i="5"/>
  <c r="G11" i="5" s="1"/>
  <c r="H14" i="5" s="1"/>
  <c r="H24" i="5" s="1"/>
  <c r="H26" i="5" s="1"/>
  <c r="D12" i="5"/>
  <c r="G12" i="5" s="1"/>
  <c r="D13" i="5"/>
  <c r="G13" i="5"/>
  <c r="G17" i="5"/>
  <c r="H18" i="5" s="1"/>
  <c r="H22" i="5"/>
  <c r="G7" i="11"/>
  <c r="H8" i="11" s="1"/>
  <c r="H14" i="11"/>
  <c r="G17" i="11"/>
  <c r="H18" i="11" s="1"/>
  <c r="H22" i="11"/>
  <c r="G372" i="3"/>
  <c r="H373" i="3" s="1"/>
  <c r="G376" i="3"/>
  <c r="H377" i="3" s="1"/>
  <c r="G380" i="3"/>
  <c r="H381" i="3" s="1"/>
  <c r="H385" i="3"/>
  <c r="G227" i="11"/>
  <c r="H228" i="11" s="1"/>
  <c r="D231" i="11"/>
  <c r="G231" i="11" s="1"/>
  <c r="H234" i="11" s="1"/>
  <c r="G237" i="11"/>
  <c r="H238" i="11" s="1"/>
  <c r="H242" i="11"/>
  <c r="G603" i="3"/>
  <c r="H604" i="3" s="1"/>
  <c r="H609" i="3"/>
  <c r="H613" i="3"/>
  <c r="H617" i="3"/>
  <c r="G869" i="3"/>
  <c r="H870" i="3" s="1"/>
  <c r="G874" i="3"/>
  <c r="E875" i="3"/>
  <c r="G875" i="3" s="1"/>
  <c r="D879" i="3"/>
  <c r="G879" i="3" s="1"/>
  <c r="H880" i="3" s="1"/>
  <c r="H884" i="3"/>
  <c r="G896" i="3"/>
  <c r="H897" i="3" s="1"/>
  <c r="G901" i="3"/>
  <c r="E902" i="3"/>
  <c r="G902" i="3" s="1"/>
  <c r="D906" i="3"/>
  <c r="G906" i="3"/>
  <c r="H907" i="3" s="1"/>
  <c r="H911" i="3"/>
  <c r="G922" i="3"/>
  <c r="H923" i="3" s="1"/>
  <c r="G927" i="3"/>
  <c r="E928" i="3"/>
  <c r="G928" i="3" s="1"/>
  <c r="D932" i="3"/>
  <c r="G932" i="3" s="1"/>
  <c r="H933" i="3" s="1"/>
  <c r="H937" i="3"/>
  <c r="G683" i="3"/>
  <c r="H684" i="3" s="1"/>
  <c r="E687" i="3"/>
  <c r="E688" i="3"/>
  <c r="G689" i="3"/>
  <c r="G693" i="3"/>
  <c r="H694" i="3" s="1"/>
  <c r="H698" i="3"/>
  <c r="G710" i="3"/>
  <c r="H711" i="3" s="1"/>
  <c r="E715" i="3"/>
  <c r="G716" i="3"/>
  <c r="G720" i="3"/>
  <c r="H721" i="3" s="1"/>
  <c r="H725" i="3"/>
  <c r="G138" i="5"/>
  <c r="H139" i="5" s="1"/>
  <c r="D142" i="5"/>
  <c r="G142" i="5"/>
  <c r="H143" i="5" s="1"/>
  <c r="H153" i="5" s="1"/>
  <c r="H155" i="5" s="1"/>
  <c r="E60" i="10" s="1"/>
  <c r="G146" i="5"/>
  <c r="H147" i="5" s="1"/>
  <c r="H151" i="5"/>
  <c r="G1229" i="3"/>
  <c r="H1230" i="3"/>
  <c r="G1233" i="3"/>
  <c r="H1236" i="3" s="1"/>
  <c r="G1234" i="3"/>
  <c r="D1239" i="3"/>
  <c r="G1239" i="3" s="1"/>
  <c r="H1240" i="3" s="1"/>
  <c r="H1244" i="3"/>
  <c r="G119" i="11"/>
  <c r="H120" i="11" s="1"/>
  <c r="H126" i="11"/>
  <c r="G129" i="11"/>
  <c r="H130" i="11" s="1"/>
  <c r="H136" i="11" s="1"/>
  <c r="H138" i="11" s="1"/>
  <c r="H134" i="11"/>
  <c r="G305" i="11"/>
  <c r="H306" i="11"/>
  <c r="H312" i="11"/>
  <c r="G315" i="11"/>
  <c r="H316" i="11" s="1"/>
  <c r="H320" i="11"/>
  <c r="H322" i="11"/>
  <c r="H324" i="11" s="1"/>
  <c r="G332" i="11"/>
  <c r="H333" i="11" s="1"/>
  <c r="H339" i="11"/>
  <c r="G342" i="11"/>
  <c r="H343" i="11" s="1"/>
  <c r="H347" i="11"/>
  <c r="G173" i="11"/>
  <c r="H174" i="11" s="1"/>
  <c r="H190" i="11" s="1"/>
  <c r="H192" i="11" s="1"/>
  <c r="H180" i="11"/>
  <c r="G183" i="11"/>
  <c r="H184" i="11" s="1"/>
  <c r="H188" i="11"/>
  <c r="G359" i="11"/>
  <c r="H360" i="11" s="1"/>
  <c r="H366" i="11"/>
  <c r="G369" i="11"/>
  <c r="H370" i="11" s="1"/>
  <c r="H374" i="11"/>
  <c r="G386" i="11"/>
  <c r="H387" i="11" s="1"/>
  <c r="H393" i="11"/>
  <c r="G396" i="11"/>
  <c r="H397" i="11"/>
  <c r="H401" i="11"/>
  <c r="G438" i="11"/>
  <c r="H439" i="11" s="1"/>
  <c r="D442" i="11"/>
  <c r="G442" i="11"/>
  <c r="H445" i="11" s="1"/>
  <c r="H455" i="11" s="1"/>
  <c r="H457" i="11" s="1"/>
  <c r="G448" i="11"/>
  <c r="H449" i="11" s="1"/>
  <c r="H453" i="11"/>
  <c r="G465" i="11"/>
  <c r="H466" i="11" s="1"/>
  <c r="D469" i="11"/>
  <c r="G469" i="11" s="1"/>
  <c r="H472" i="11" s="1"/>
  <c r="G475" i="11"/>
  <c r="H476" i="11"/>
  <c r="H480" i="11"/>
  <c r="G493" i="11"/>
  <c r="H494" i="11" s="1"/>
  <c r="D497" i="11"/>
  <c r="G497" i="11"/>
  <c r="H500" i="11" s="1"/>
  <c r="H510" i="11" s="1"/>
  <c r="H512" i="11" s="1"/>
  <c r="G503" i="11"/>
  <c r="H504" i="11" s="1"/>
  <c r="H508" i="11"/>
  <c r="G520" i="11"/>
  <c r="H521" i="11" s="1"/>
  <c r="D524" i="11"/>
  <c r="G524" i="11" s="1"/>
  <c r="H527" i="11" s="1"/>
  <c r="G530" i="11"/>
  <c r="H531" i="11" s="1"/>
  <c r="H535" i="11"/>
  <c r="G547" i="11"/>
  <c r="H548" i="11" s="1"/>
  <c r="D551" i="11"/>
  <c r="G551" i="11" s="1"/>
  <c r="H554" i="11" s="1"/>
  <c r="D557" i="11"/>
  <c r="G557" i="11" s="1"/>
  <c r="H558" i="11" s="1"/>
  <c r="H562" i="11"/>
  <c r="G574" i="11"/>
  <c r="H575" i="11" s="1"/>
  <c r="G578" i="11"/>
  <c r="H581" i="11"/>
  <c r="D584" i="11"/>
  <c r="G584" i="11" s="1"/>
  <c r="H585" i="11" s="1"/>
  <c r="H589" i="11"/>
  <c r="G601" i="11"/>
  <c r="H602" i="11"/>
  <c r="D605" i="11"/>
  <c r="G605" i="11" s="1"/>
  <c r="H608" i="11" s="1"/>
  <c r="D611" i="11"/>
  <c r="G611" i="11" s="1"/>
  <c r="H612" i="11" s="1"/>
  <c r="H616" i="11"/>
  <c r="G629" i="11"/>
  <c r="H630" i="11" s="1"/>
  <c r="D633" i="11"/>
  <c r="G633" i="11" s="1"/>
  <c r="H636" i="11" s="1"/>
  <c r="D639" i="11"/>
  <c r="G639" i="11" s="1"/>
  <c r="H640" i="11" s="1"/>
  <c r="H644" i="11"/>
  <c r="G1256" i="3"/>
  <c r="H1257" i="3" s="1"/>
  <c r="G1260" i="3"/>
  <c r="H1262" i="3" s="1"/>
  <c r="D1265" i="3"/>
  <c r="G1265" i="3" s="1"/>
  <c r="H1266" i="3" s="1"/>
  <c r="H1270" i="3"/>
  <c r="G1282" i="3"/>
  <c r="H1283" i="3" s="1"/>
  <c r="G1286" i="3"/>
  <c r="H1288" i="3" s="1"/>
  <c r="D1291" i="3"/>
  <c r="G1291" i="3" s="1"/>
  <c r="H1292" i="3" s="1"/>
  <c r="H1296" i="3"/>
  <c r="G417" i="5"/>
  <c r="H418" i="5"/>
  <c r="D421" i="5"/>
  <c r="G421" i="5" s="1"/>
  <c r="H422" i="5" s="1"/>
  <c r="G425" i="5"/>
  <c r="H426" i="5" s="1"/>
  <c r="H430" i="5"/>
  <c r="G442" i="5"/>
  <c r="H443" i="5" s="1"/>
  <c r="D446" i="5"/>
  <c r="G446" i="5"/>
  <c r="H447" i="5" s="1"/>
  <c r="G450" i="5"/>
  <c r="H451" i="5" s="1"/>
  <c r="H455" i="5"/>
  <c r="G467" i="5"/>
  <c r="H468" i="5"/>
  <c r="D471" i="5"/>
  <c r="G471" i="5" s="1"/>
  <c r="H472" i="5" s="1"/>
  <c r="G475" i="5"/>
  <c r="H476" i="5" s="1"/>
  <c r="G479" i="5"/>
  <c r="H480" i="5" s="1"/>
  <c r="G492" i="5"/>
  <c r="H493" i="5" s="1"/>
  <c r="D496" i="5"/>
  <c r="G496" i="5" s="1"/>
  <c r="H497" i="5" s="1"/>
  <c r="H507" i="5" s="1"/>
  <c r="H509" i="5" s="1"/>
  <c r="G500" i="5"/>
  <c r="H501" i="5" s="1"/>
  <c r="H505" i="5"/>
  <c r="G517" i="5"/>
  <c r="H518" i="5" s="1"/>
  <c r="D521" i="5"/>
  <c r="G521" i="5" s="1"/>
  <c r="H522" i="5" s="1"/>
  <c r="G525" i="5"/>
  <c r="H526" i="5" s="1"/>
  <c r="H530" i="5"/>
  <c r="G542" i="5"/>
  <c r="H543" i="5" s="1"/>
  <c r="D546" i="5"/>
  <c r="G546" i="5" s="1"/>
  <c r="H547" i="5" s="1"/>
  <c r="G550" i="5"/>
  <c r="H551" i="5" s="1"/>
  <c r="H555" i="5"/>
  <c r="G567" i="5"/>
  <c r="H568" i="5" s="1"/>
  <c r="D571" i="5"/>
  <c r="G571" i="5" s="1"/>
  <c r="H572" i="5" s="1"/>
  <c r="G575" i="5"/>
  <c r="H576" i="5" s="1"/>
  <c r="H580" i="5"/>
  <c r="G392" i="5"/>
  <c r="H393" i="5" s="1"/>
  <c r="D396" i="5"/>
  <c r="G396" i="5" s="1"/>
  <c r="H397" i="5" s="1"/>
  <c r="H407" i="5" s="1"/>
  <c r="H409" i="5" s="1"/>
  <c r="G400" i="5"/>
  <c r="H401" i="5" s="1"/>
  <c r="H405" i="5"/>
  <c r="G396" i="3"/>
  <c r="H397" i="3" s="1"/>
  <c r="G400" i="3"/>
  <c r="H401" i="3" s="1"/>
  <c r="G404" i="3"/>
  <c r="H405" i="3" s="1"/>
  <c r="H409" i="3"/>
  <c r="G592" i="5"/>
  <c r="H593" i="5" s="1"/>
  <c r="D596" i="5"/>
  <c r="G596" i="5" s="1"/>
  <c r="H597" i="5" s="1"/>
  <c r="G600" i="5"/>
  <c r="H601" i="5" s="1"/>
  <c r="H605" i="5"/>
  <c r="G342" i="5"/>
  <c r="H343" i="5" s="1"/>
  <c r="H357" i="5" s="1"/>
  <c r="H359" i="5" s="1"/>
  <c r="D346" i="5"/>
  <c r="G346" i="5" s="1"/>
  <c r="H347" i="5" s="1"/>
  <c r="G350" i="5"/>
  <c r="H351" i="5"/>
  <c r="H355" i="5"/>
  <c r="G367" i="5"/>
  <c r="H368" i="5" s="1"/>
  <c r="H382" i="5" s="1"/>
  <c r="H384" i="5" s="1"/>
  <c r="D371" i="5"/>
  <c r="G371" i="5" s="1"/>
  <c r="H372" i="5" s="1"/>
  <c r="G375" i="5"/>
  <c r="H376" i="5" s="1"/>
  <c r="H380" i="5"/>
  <c r="D54" i="10"/>
  <c r="D56" i="10"/>
  <c r="G88" i="11"/>
  <c r="H89" i="11" s="1"/>
  <c r="D92" i="11"/>
  <c r="G92" i="11" s="1"/>
  <c r="H95" i="11" s="1"/>
  <c r="G98" i="11"/>
  <c r="H99" i="11" s="1"/>
  <c r="H103" i="11"/>
  <c r="D57" i="10"/>
  <c r="D58" i="10"/>
  <c r="G163" i="5"/>
  <c r="H164" i="5" s="1"/>
  <c r="D167" i="5"/>
  <c r="G167" i="5" s="1"/>
  <c r="H168" i="5" s="1"/>
  <c r="G171" i="5"/>
  <c r="H172" i="5" s="1"/>
  <c r="H176" i="5"/>
  <c r="D60" i="10"/>
  <c r="G146" i="11"/>
  <c r="H147" i="11" s="1"/>
  <c r="H153" i="11"/>
  <c r="G156" i="11"/>
  <c r="H157" i="11" s="1"/>
  <c r="H161" i="11"/>
  <c r="G200" i="11"/>
  <c r="H201" i="11" s="1"/>
  <c r="H207" i="11"/>
  <c r="G210" i="11"/>
  <c r="H211" i="11" s="1"/>
  <c r="H215" i="11"/>
  <c r="D73" i="10"/>
  <c r="D75" i="10"/>
  <c r="G817" i="3"/>
  <c r="H818" i="3" s="1"/>
  <c r="G822" i="3"/>
  <c r="D826" i="3"/>
  <c r="G826" i="3" s="1"/>
  <c r="H827" i="3" s="1"/>
  <c r="H831" i="3"/>
  <c r="G949" i="3"/>
  <c r="H950" i="3" s="1"/>
  <c r="G953" i="3"/>
  <c r="G954" i="3"/>
  <c r="G959" i="3"/>
  <c r="H960" i="3" s="1"/>
  <c r="H964" i="3"/>
  <c r="G976" i="3"/>
  <c r="H977" i="3" s="1"/>
  <c r="G980" i="3"/>
  <c r="G981" i="3"/>
  <c r="G982" i="3"/>
  <c r="D986" i="3"/>
  <c r="G986" i="3"/>
  <c r="H987" i="3" s="1"/>
  <c r="H991" i="3"/>
  <c r="G1003" i="3"/>
  <c r="H1004" i="3" s="1"/>
  <c r="G1007" i="3"/>
  <c r="G1008" i="3"/>
  <c r="G1009" i="3"/>
  <c r="G1010" i="3"/>
  <c r="D1014" i="3"/>
  <c r="G1014" i="3"/>
  <c r="H1015" i="3" s="1"/>
  <c r="H1019" i="3"/>
  <c r="G1031" i="3"/>
  <c r="H1033" i="3" s="1"/>
  <c r="G1037" i="3"/>
  <c r="D1041" i="3"/>
  <c r="G1041" i="3" s="1"/>
  <c r="H1042" i="3" s="1"/>
  <c r="H1046" i="3"/>
  <c r="G1058" i="3"/>
  <c r="H1059" i="3" s="1"/>
  <c r="G1062" i="3"/>
  <c r="G1063" i="3"/>
  <c r="G1064" i="3"/>
  <c r="D1068" i="3"/>
  <c r="G1068" i="3" s="1"/>
  <c r="H1069" i="3" s="1"/>
  <c r="H1073" i="3"/>
  <c r="G1085" i="3"/>
  <c r="H1086" i="3" s="1"/>
  <c r="G1089" i="3"/>
  <c r="G1090" i="3"/>
  <c r="G1091" i="3"/>
  <c r="G1092" i="3"/>
  <c r="G1093" i="3"/>
  <c r="D1097" i="3"/>
  <c r="G1097" i="3"/>
  <c r="H1098" i="3" s="1"/>
  <c r="H1102" i="3"/>
  <c r="G1114" i="3"/>
  <c r="H1115" i="3"/>
  <c r="G1118" i="3"/>
  <c r="G1119" i="3"/>
  <c r="G1120" i="3"/>
  <c r="G1121" i="3"/>
  <c r="H1122" i="3" s="1"/>
  <c r="D1125" i="3"/>
  <c r="G1125" i="3" s="1"/>
  <c r="H1126" i="3" s="1"/>
  <c r="H1130" i="3"/>
  <c r="G1142" i="3"/>
  <c r="H1143" i="3" s="1"/>
  <c r="G1146" i="3"/>
  <c r="G1147" i="3"/>
  <c r="G1148" i="3"/>
  <c r="G1149" i="3"/>
  <c r="G1150" i="3"/>
  <c r="G1151" i="3"/>
  <c r="G1152" i="3"/>
  <c r="G1153" i="3"/>
  <c r="D1157" i="3"/>
  <c r="G1157" i="3" s="1"/>
  <c r="H1158" i="3" s="1"/>
  <c r="H1162" i="3"/>
  <c r="G1174" i="3"/>
  <c r="H1175" i="3" s="1"/>
  <c r="H1192" i="3" s="1"/>
  <c r="H1194" i="3" s="1"/>
  <c r="E85" i="10" s="1"/>
  <c r="F85" i="10" s="1"/>
  <c r="H1182" i="3"/>
  <c r="D1185" i="3"/>
  <c r="G1185" i="3" s="1"/>
  <c r="H1186" i="3" s="1"/>
  <c r="H1190" i="3"/>
  <c r="G1202" i="3"/>
  <c r="H1203" i="3" s="1"/>
  <c r="G1206" i="3"/>
  <c r="G1207" i="3"/>
  <c r="H1209" i="3" s="1"/>
  <c r="D1212" i="3"/>
  <c r="G1212" i="3" s="1"/>
  <c r="H1213" i="3" s="1"/>
  <c r="H1217" i="3"/>
  <c r="H281" i="11"/>
  <c r="G284" i="11"/>
  <c r="H285" i="11" s="1"/>
  <c r="H289" i="11"/>
  <c r="H293" i="11"/>
  <c r="G421" i="3"/>
  <c r="H422" i="3" s="1"/>
  <c r="G425" i="3"/>
  <c r="H426" i="3" s="1"/>
  <c r="G429" i="3"/>
  <c r="H430" i="3" s="1"/>
  <c r="H434" i="3"/>
  <c r="D25" i="10"/>
  <c r="G446" i="3"/>
  <c r="H447" i="3" s="1"/>
  <c r="G451" i="3"/>
  <c r="G455" i="3"/>
  <c r="H456" i="3" s="1"/>
  <c r="H460" i="3"/>
  <c r="D26" i="10"/>
  <c r="G472" i="3"/>
  <c r="H473" i="3" s="1"/>
  <c r="G477" i="3"/>
  <c r="G481" i="3"/>
  <c r="H482" i="3" s="1"/>
  <c r="H486" i="3"/>
  <c r="G498" i="3"/>
  <c r="H499" i="3" s="1"/>
  <c r="G503" i="3"/>
  <c r="G507" i="3"/>
  <c r="H508" i="3" s="1"/>
  <c r="H512" i="3"/>
  <c r="D28" i="10"/>
  <c r="D29" i="10"/>
  <c r="G576" i="3"/>
  <c r="H578" i="3" s="1"/>
  <c r="G577" i="3"/>
  <c r="H583" i="3"/>
  <c r="G586" i="3"/>
  <c r="H587" i="3" s="1"/>
  <c r="H591" i="3"/>
  <c r="G656" i="3"/>
  <c r="H657" i="3" s="1"/>
  <c r="E661" i="3"/>
  <c r="G662" i="3"/>
  <c r="G666" i="3"/>
  <c r="H667" i="3"/>
  <c r="H671" i="3"/>
  <c r="D32" i="10"/>
  <c r="G33" i="5"/>
  <c r="H34" i="5" s="1"/>
  <c r="G37" i="5"/>
  <c r="H40" i="5"/>
  <c r="H50" i="5" s="1"/>
  <c r="H52" i="5" s="1"/>
  <c r="G43" i="5"/>
  <c r="H44" i="5" s="1"/>
  <c r="H48" i="5"/>
  <c r="G60" i="5"/>
  <c r="H61" i="5" s="1"/>
  <c r="G64" i="5"/>
  <c r="H67" i="5" s="1"/>
  <c r="G70" i="5"/>
  <c r="H71" i="5" s="1"/>
  <c r="H75" i="5"/>
  <c r="G188" i="5"/>
  <c r="H189" i="5" s="1"/>
  <c r="D192" i="5"/>
  <c r="G192" i="5" s="1"/>
  <c r="H193" i="5" s="1"/>
  <c r="G196" i="5"/>
  <c r="H197" i="5" s="1"/>
  <c r="H201" i="5"/>
  <c r="G212" i="5"/>
  <c r="H213" i="5"/>
  <c r="D216" i="5"/>
  <c r="G216" i="5" s="1"/>
  <c r="H217" i="5" s="1"/>
  <c r="G220" i="5"/>
  <c r="H221" i="5" s="1"/>
  <c r="H225" i="5"/>
  <c r="G33" i="11"/>
  <c r="G34" i="11"/>
  <c r="H41" i="11"/>
  <c r="G44" i="11"/>
  <c r="H45" i="11"/>
  <c r="H49" i="11"/>
  <c r="G61" i="11"/>
  <c r="H62" i="11" s="1"/>
  <c r="H68" i="11"/>
  <c r="G71" i="11"/>
  <c r="H72" i="11" s="1"/>
  <c r="H78" i="11" s="1"/>
  <c r="H80" i="11" s="1"/>
  <c r="H76" i="11"/>
  <c r="G7" i="3"/>
  <c r="G8" i="3"/>
  <c r="G9" i="3"/>
  <c r="H14" i="3"/>
  <c r="H18" i="3"/>
  <c r="H22" i="3"/>
  <c r="H634" i="7"/>
  <c r="D637" i="7"/>
  <c r="G637" i="7" s="1"/>
  <c r="H638" i="7" s="1"/>
  <c r="H642" i="7"/>
  <c r="G645" i="7"/>
  <c r="H646" i="7" s="1"/>
  <c r="D86" i="7"/>
  <c r="D311" i="7"/>
  <c r="G311" i="7" s="1"/>
  <c r="H83" i="7"/>
  <c r="G86" i="7"/>
  <c r="H87" i="7" s="1"/>
  <c r="H91" i="7"/>
  <c r="G94" i="7"/>
  <c r="H95" i="7" s="1"/>
  <c r="G1022" i="11"/>
  <c r="H1023" i="11" s="1"/>
  <c r="H1029" i="11"/>
  <c r="G1032" i="11"/>
  <c r="H1033" i="11" s="1"/>
  <c r="H1037" i="11"/>
  <c r="G1049" i="11"/>
  <c r="H1050" i="11" s="1"/>
  <c r="H1056" i="11"/>
  <c r="G1059" i="11"/>
  <c r="H1060" i="11" s="1"/>
  <c r="H1064" i="11"/>
  <c r="H508" i="7"/>
  <c r="D511" i="7"/>
  <c r="G511" i="7" s="1"/>
  <c r="H512" i="7" s="1"/>
  <c r="H516" i="7"/>
  <c r="G519" i="7"/>
  <c r="H520" i="7" s="1"/>
  <c r="H483" i="7"/>
  <c r="D486" i="7"/>
  <c r="G486" i="7" s="1"/>
  <c r="H487" i="7" s="1"/>
  <c r="H491" i="7"/>
  <c r="G494" i="7"/>
  <c r="H495" i="7" s="1"/>
  <c r="H2417" i="7"/>
  <c r="D2420" i="7"/>
  <c r="G2420" i="7" s="1"/>
  <c r="H2421" i="7" s="1"/>
  <c r="H2431" i="7" s="1"/>
  <c r="H2433" i="7" s="1"/>
  <c r="H2425" i="7"/>
  <c r="G2428" i="7"/>
  <c r="H2429" i="7"/>
  <c r="H2442" i="7"/>
  <c r="D2445" i="7"/>
  <c r="G2445" i="7" s="1"/>
  <c r="H2446" i="7" s="1"/>
  <c r="H2450" i="7"/>
  <c r="G2453" i="7"/>
  <c r="H2454" i="7" s="1"/>
  <c r="H2466" i="7"/>
  <c r="D2469" i="7"/>
  <c r="G2469" i="7" s="1"/>
  <c r="H2470" i="7"/>
  <c r="H2480" i="7" s="1"/>
  <c r="H2482" i="7" s="1"/>
  <c r="H2474" i="7"/>
  <c r="G2477" i="7"/>
  <c r="H2478" i="7" s="1"/>
  <c r="G13" i="17"/>
  <c r="G21" i="17"/>
  <c r="H22" i="17" s="1"/>
  <c r="G12" i="17"/>
  <c r="G11" i="17"/>
  <c r="G17" i="17"/>
  <c r="H18" i="17" s="1"/>
  <c r="G7" i="17"/>
  <c r="H8" i="17" s="1"/>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5" i="16"/>
  <c r="H223" i="16"/>
  <c r="H220" i="16"/>
  <c r="H219" i="16"/>
  <c r="H218" i="16"/>
  <c r="H217" i="16"/>
  <c r="H216" i="16"/>
  <c r="H215" i="16"/>
  <c r="H214" i="16"/>
  <c r="H213" i="16"/>
  <c r="H212" i="16"/>
  <c r="H211" i="16"/>
  <c r="H210" i="16"/>
  <c r="H209" i="16"/>
  <c r="H191" i="16"/>
  <c r="H190" i="16"/>
  <c r="H184" i="16"/>
  <c r="H182" i="16"/>
  <c r="H169" i="16"/>
  <c r="H164" i="16"/>
  <c r="H160" i="16"/>
  <c r="H150" i="16"/>
  <c r="H148" i="16"/>
  <c r="H143" i="16"/>
  <c r="H140" i="16"/>
  <c r="H128" i="16"/>
  <c r="H1211" i="7"/>
  <c r="D1214" i="7"/>
  <c r="G1214" i="7" s="1"/>
  <c r="H1215" i="7" s="1"/>
  <c r="H1219" i="7"/>
  <c r="G1222" i="7"/>
  <c r="H1223" i="7" s="1"/>
  <c r="H659" i="7"/>
  <c r="D662" i="7"/>
  <c r="G662" i="7"/>
  <c r="H663" i="7" s="1"/>
  <c r="H667" i="7"/>
  <c r="G670" i="7"/>
  <c r="H671" i="7" s="1"/>
  <c r="H684" i="7"/>
  <c r="D687" i="7"/>
  <c r="G687" i="7" s="1"/>
  <c r="H688" i="7" s="1"/>
  <c r="H692" i="7"/>
  <c r="G695" i="7"/>
  <c r="H696" i="7" s="1"/>
  <c r="H1136" i="7"/>
  <c r="D1139" i="7"/>
  <c r="G1139" i="7" s="1"/>
  <c r="H1140" i="7" s="1"/>
  <c r="H1144" i="7"/>
  <c r="G1147" i="7"/>
  <c r="H1148" i="7" s="1"/>
  <c r="H1186" i="7"/>
  <c r="D1189" i="7"/>
  <c r="G1189" i="7" s="1"/>
  <c r="H1190" i="7" s="1"/>
  <c r="H1194" i="7"/>
  <c r="G1197" i="7"/>
  <c r="H1198" i="7" s="1"/>
  <c r="H1161" i="7"/>
  <c r="D1164" i="7"/>
  <c r="G1164" i="7"/>
  <c r="H1165" i="7" s="1"/>
  <c r="H1175" i="7" s="1"/>
  <c r="H1177" i="7" s="1"/>
  <c r="H1169" i="7"/>
  <c r="G1172" i="7"/>
  <c r="H1173" i="7" s="1"/>
  <c r="H1236" i="7"/>
  <c r="D1239" i="7"/>
  <c r="G1239" i="7" s="1"/>
  <c r="H1240" i="7" s="1"/>
  <c r="H1244" i="7"/>
  <c r="G1247" i="7"/>
  <c r="H1248" i="7" s="1"/>
  <c r="H1261" i="7"/>
  <c r="D1264" i="7"/>
  <c r="G1264" i="7" s="1"/>
  <c r="H1265" i="7" s="1"/>
  <c r="H1269" i="7"/>
  <c r="G1272" i="7"/>
  <c r="H1273" i="7" s="1"/>
  <c r="H1286" i="7"/>
  <c r="D1289" i="7"/>
  <c r="G1289" i="7" s="1"/>
  <c r="H1290" i="7" s="1"/>
  <c r="H1294" i="7"/>
  <c r="G1297" i="7"/>
  <c r="H1298" i="7" s="1"/>
  <c r="H1311" i="7"/>
  <c r="D1314" i="7"/>
  <c r="G1314" i="7"/>
  <c r="H1315" i="7" s="1"/>
  <c r="H1325" i="7" s="1"/>
  <c r="H1327" i="7" s="1"/>
  <c r="H1319" i="7"/>
  <c r="G1322" i="7"/>
  <c r="H1323" i="7"/>
  <c r="H1412" i="7"/>
  <c r="D1415" i="7"/>
  <c r="G1415" i="7" s="1"/>
  <c r="H1416" i="7" s="1"/>
  <c r="H1426" i="7" s="1"/>
  <c r="H1428" i="7" s="1"/>
  <c r="H1420" i="7"/>
  <c r="G1423" i="7"/>
  <c r="H1424" i="7" s="1"/>
  <c r="H1437" i="7"/>
  <c r="D1440" i="7"/>
  <c r="G1440" i="7" s="1"/>
  <c r="H1441" i="7" s="1"/>
  <c r="H1445" i="7"/>
  <c r="G1448" i="7"/>
  <c r="H1449" i="7" s="1"/>
  <c r="H1361" i="7"/>
  <c r="D1364" i="7"/>
  <c r="G1364" i="7" s="1"/>
  <c r="H1365" i="7" s="1"/>
  <c r="H1369" i="7"/>
  <c r="G1372" i="7"/>
  <c r="H1373" i="7"/>
  <c r="H1336" i="7"/>
  <c r="D1339" i="7"/>
  <c r="G1339" i="7" s="1"/>
  <c r="H1340" i="7" s="1"/>
  <c r="H1350" i="7" s="1"/>
  <c r="H1352" i="7" s="1"/>
  <c r="H1344" i="7"/>
  <c r="G1347" i="7"/>
  <c r="H1348" i="7" s="1"/>
  <c r="H1386" i="7"/>
  <c r="D1389" i="7"/>
  <c r="G1389" i="7" s="1"/>
  <c r="H1390" i="7" s="1"/>
  <c r="H1394" i="7"/>
  <c r="G1397" i="7"/>
  <c r="H1398" i="7" s="1"/>
  <c r="H1400" i="7"/>
  <c r="H1402" i="7" s="1"/>
  <c r="H1462" i="7"/>
  <c r="D1465" i="7"/>
  <c r="G1465" i="7" s="1"/>
  <c r="H1466" i="7" s="1"/>
  <c r="H1470" i="7"/>
  <c r="G1473" i="7"/>
  <c r="H1474" i="7" s="1"/>
  <c r="H1487" i="7"/>
  <c r="D1490" i="7"/>
  <c r="G1490" i="7" s="1"/>
  <c r="H1491" i="7" s="1"/>
  <c r="H1495" i="7"/>
  <c r="G1498" i="7"/>
  <c r="H1499" i="7"/>
  <c r="H1512" i="7"/>
  <c r="D1515" i="7"/>
  <c r="G1515" i="7" s="1"/>
  <c r="H1516" i="7" s="1"/>
  <c r="H1526" i="7" s="1"/>
  <c r="H1528" i="7" s="1"/>
  <c r="H1520" i="7"/>
  <c r="G1523" i="7"/>
  <c r="H1524" i="7" s="1"/>
  <c r="H1536" i="7"/>
  <c r="D1539" i="7"/>
  <c r="G1539" i="7" s="1"/>
  <c r="H1540" i="7" s="1"/>
  <c r="H1550" i="7" s="1"/>
  <c r="H1552" i="7" s="1"/>
  <c r="H1544" i="7"/>
  <c r="G1547" i="7"/>
  <c r="H1548" i="7" s="1"/>
  <c r="H1560" i="7"/>
  <c r="D1563" i="7"/>
  <c r="G1563" i="7" s="1"/>
  <c r="H1564" i="7" s="1"/>
  <c r="H1568" i="7"/>
  <c r="G1571" i="7"/>
  <c r="H1572" i="7" s="1"/>
  <c r="H1585" i="7"/>
  <c r="H1599" i="7" s="1"/>
  <c r="H1601" i="7" s="1"/>
  <c r="D1588" i="7"/>
  <c r="G1588" i="7" s="1"/>
  <c r="H1589" i="7" s="1"/>
  <c r="H1593" i="7"/>
  <c r="G1596" i="7"/>
  <c r="H1597" i="7" s="1"/>
  <c r="H1609" i="7"/>
  <c r="D1612" i="7"/>
  <c r="G1612" i="7" s="1"/>
  <c r="H1613" i="7" s="1"/>
  <c r="H1617" i="7"/>
  <c r="G1620" i="7"/>
  <c r="H1621" i="7" s="1"/>
  <c r="H1633" i="7"/>
  <c r="D1636" i="7"/>
  <c r="G1636" i="7" s="1"/>
  <c r="H1637" i="7" s="1"/>
  <c r="H1641" i="7"/>
  <c r="G1644" i="7"/>
  <c r="H1645" i="7" s="1"/>
  <c r="H1657" i="7"/>
  <c r="D1660" i="7"/>
  <c r="G1660" i="7" s="1"/>
  <c r="H1661" i="7" s="1"/>
  <c r="H1665" i="7"/>
  <c r="G1668" i="7"/>
  <c r="H1669" i="7" s="1"/>
  <c r="H1681" i="7"/>
  <c r="D1684" i="7"/>
  <c r="G1684" i="7" s="1"/>
  <c r="H1685" i="7" s="1"/>
  <c r="H1689" i="7"/>
  <c r="G1692" i="7"/>
  <c r="H1693" i="7" s="1"/>
  <c r="H1705" i="7"/>
  <c r="H1719" i="7" s="1"/>
  <c r="H1721" i="7" s="1"/>
  <c r="D1708" i="7"/>
  <c r="G1708" i="7" s="1"/>
  <c r="H1709" i="7" s="1"/>
  <c r="H1713" i="7"/>
  <c r="G1716" i="7"/>
  <c r="H1717" i="7" s="1"/>
  <c r="H1729" i="7"/>
  <c r="D1732" i="7"/>
  <c r="G1732" i="7" s="1"/>
  <c r="H1733" i="7" s="1"/>
  <c r="H1737" i="7"/>
  <c r="G1740" i="7"/>
  <c r="H1741" i="7" s="1"/>
  <c r="H158" i="7"/>
  <c r="D161" i="7"/>
  <c r="G161" i="7" s="1"/>
  <c r="H162" i="7" s="1"/>
  <c r="H166" i="7"/>
  <c r="G169" i="7"/>
  <c r="H170" i="7" s="1"/>
  <c r="H183" i="7"/>
  <c r="D186" i="7"/>
  <c r="G186" i="7"/>
  <c r="H187" i="7" s="1"/>
  <c r="H191" i="7"/>
  <c r="G194" i="7"/>
  <c r="H195" i="7" s="1"/>
  <c r="H208" i="7"/>
  <c r="D211" i="7"/>
  <c r="G211" i="7" s="1"/>
  <c r="H212" i="7" s="1"/>
  <c r="H216" i="7"/>
  <c r="H222" i="7" s="1"/>
  <c r="H224" i="7" s="1"/>
  <c r="G219" i="7"/>
  <c r="H220" i="7" s="1"/>
  <c r="H233" i="7"/>
  <c r="D236" i="7"/>
  <c r="G236" i="7" s="1"/>
  <c r="H237" i="7" s="1"/>
  <c r="H241" i="7"/>
  <c r="G244" i="7"/>
  <c r="H245" i="7" s="1"/>
  <c r="H458" i="7"/>
  <c r="D461" i="7"/>
  <c r="G461" i="7" s="1"/>
  <c r="H462" i="7" s="1"/>
  <c r="H466" i="7"/>
  <c r="G469" i="7"/>
  <c r="H470" i="7" s="1"/>
  <c r="H1753" i="7"/>
  <c r="D1756" i="7"/>
  <c r="G1756" i="7" s="1"/>
  <c r="H1757" i="7" s="1"/>
  <c r="H1761" i="7"/>
  <c r="G1764" i="7"/>
  <c r="H1765" i="7" s="1"/>
  <c r="E149" i="2"/>
  <c r="E147" i="2"/>
  <c r="E148" i="2"/>
  <c r="C140" i="2"/>
  <c r="C141" i="2" s="1"/>
  <c r="B113" i="2"/>
  <c r="D128" i="2"/>
  <c r="D129" i="2" s="1"/>
  <c r="E102" i="2"/>
  <c r="E101" i="2"/>
  <c r="E100" i="2"/>
  <c r="E99" i="2"/>
  <c r="E79" i="2"/>
  <c r="E52" i="2"/>
  <c r="E44" i="2"/>
  <c r="E35" i="2"/>
  <c r="E34" i="2"/>
  <c r="E5" i="2"/>
  <c r="E6" i="2"/>
  <c r="E7" i="2"/>
  <c r="B8" i="2"/>
  <c r="E8" i="2" s="1"/>
  <c r="E9" i="2"/>
  <c r="E10" i="2"/>
  <c r="E11" i="2"/>
  <c r="K1450" i="3"/>
  <c r="K980" i="3"/>
  <c r="G1445" i="3"/>
  <c r="H1446" i="3" s="1"/>
  <c r="G1450" i="3"/>
  <c r="D1456" i="3"/>
  <c r="G1456" i="3"/>
  <c r="H1457" i="3" s="1"/>
  <c r="H1461" i="3"/>
  <c r="G1308" i="3"/>
  <c r="H1309" i="3"/>
  <c r="E1312" i="3"/>
  <c r="E1314" i="3" s="1"/>
  <c r="G1314" i="3" s="1"/>
  <c r="G1313" i="3"/>
  <c r="D1318" i="3"/>
  <c r="G1318" i="3" s="1"/>
  <c r="H1319" i="3" s="1"/>
  <c r="H1323" i="3"/>
  <c r="G1334" i="3"/>
  <c r="H1335" i="3" s="1"/>
  <c r="E1338" i="3"/>
  <c r="G1339" i="3"/>
  <c r="D1344" i="3"/>
  <c r="G1344" i="3" s="1"/>
  <c r="H1345" i="3" s="1"/>
  <c r="H1349" i="3"/>
  <c r="G1361" i="3"/>
  <c r="H1362" i="3" s="1"/>
  <c r="E1365" i="3"/>
  <c r="G1366" i="3"/>
  <c r="D1371" i="3"/>
  <c r="G1371" i="3" s="1"/>
  <c r="H1372" i="3" s="1"/>
  <c r="H1376" i="3"/>
  <c r="G1388" i="3"/>
  <c r="H1389" i="3" s="1"/>
  <c r="E1392" i="3"/>
  <c r="G1393" i="3"/>
  <c r="D1398" i="3"/>
  <c r="G1398" i="3" s="1"/>
  <c r="H1399" i="3" s="1"/>
  <c r="H1403" i="3"/>
  <c r="G1415" i="3"/>
  <c r="H1416" i="3" s="1"/>
  <c r="E1419" i="3"/>
  <c r="G1420" i="3"/>
  <c r="D1425" i="3"/>
  <c r="G1425" i="3" s="1"/>
  <c r="H1426" i="3" s="1"/>
  <c r="H1430" i="3"/>
  <c r="G617" i="5"/>
  <c r="H618" i="5" s="1"/>
  <c r="D621" i="5"/>
  <c r="G621" i="5"/>
  <c r="H622" i="5"/>
  <c r="G625" i="5"/>
  <c r="H626" i="5" s="1"/>
  <c r="H630" i="5"/>
  <c r="G642" i="5"/>
  <c r="H643" i="5"/>
  <c r="D646" i="5"/>
  <c r="G646" i="5" s="1"/>
  <c r="H647" i="5" s="1"/>
  <c r="G650" i="5"/>
  <c r="H651" i="5"/>
  <c r="H655" i="5"/>
  <c r="G667" i="5"/>
  <c r="H668" i="5" s="1"/>
  <c r="D671" i="5"/>
  <c r="G671" i="5"/>
  <c r="H672" i="5" s="1"/>
  <c r="G675" i="5"/>
  <c r="H676" i="5" s="1"/>
  <c r="H680" i="5"/>
  <c r="G692" i="5"/>
  <c r="H693" i="5"/>
  <c r="D696" i="5"/>
  <c r="G696" i="5" s="1"/>
  <c r="H697" i="5" s="1"/>
  <c r="G700" i="5"/>
  <c r="H701" i="5" s="1"/>
  <c r="H705" i="5"/>
  <c r="G412" i="11"/>
  <c r="H413" i="11" s="1"/>
  <c r="H419" i="11"/>
  <c r="G422" i="11"/>
  <c r="H423" i="11" s="1"/>
  <c r="H427" i="11"/>
  <c r="G717" i="5"/>
  <c r="H718" i="5" s="1"/>
  <c r="D721" i="5"/>
  <c r="G721" i="5" s="1"/>
  <c r="H722" i="5" s="1"/>
  <c r="G725" i="5"/>
  <c r="H726" i="5" s="1"/>
  <c r="H730" i="5"/>
  <c r="G853" i="5"/>
  <c r="H854" i="5" s="1"/>
  <c r="H850" i="5"/>
  <c r="G857" i="5"/>
  <c r="H858" i="5" s="1"/>
  <c r="H862" i="5"/>
  <c r="G822" i="5"/>
  <c r="H823" i="5"/>
  <c r="G826" i="5"/>
  <c r="D827" i="5"/>
  <c r="G827" i="5" s="1"/>
  <c r="G828" i="5"/>
  <c r="D832" i="5"/>
  <c r="G832" i="5" s="1"/>
  <c r="H833" i="5" s="1"/>
  <c r="H837" i="5"/>
  <c r="G768" i="5"/>
  <c r="H769" i="5" s="1"/>
  <c r="G772" i="5"/>
  <c r="D773" i="5"/>
  <c r="G773" i="5" s="1"/>
  <c r="G774" i="5"/>
  <c r="D778" i="5"/>
  <c r="G778" i="5"/>
  <c r="H779" i="5" s="1"/>
  <c r="H783" i="5"/>
  <c r="G742" i="5"/>
  <c r="H743" i="5" s="1"/>
  <c r="G746" i="5"/>
  <c r="G747" i="5"/>
  <c r="G748" i="5"/>
  <c r="D752" i="5"/>
  <c r="G752" i="5" s="1"/>
  <c r="H753" i="5" s="1"/>
  <c r="H757" i="5"/>
  <c r="G795" i="5"/>
  <c r="H796" i="5" s="1"/>
  <c r="G799" i="5"/>
  <c r="G800" i="5"/>
  <c r="D805" i="5"/>
  <c r="G805" i="5" s="1"/>
  <c r="H806" i="5"/>
  <c r="H810" i="5"/>
  <c r="G874" i="5"/>
  <c r="H875" i="5" s="1"/>
  <c r="G878" i="5"/>
  <c r="H879" i="5"/>
  <c r="H889" i="5" s="1"/>
  <c r="H891" i="5" s="1"/>
  <c r="G882" i="5"/>
  <c r="H883" i="5" s="1"/>
  <c r="H887" i="5"/>
  <c r="G899" i="5"/>
  <c r="H900" i="5" s="1"/>
  <c r="G903" i="5"/>
  <c r="H904" i="5" s="1"/>
  <c r="H914" i="5" s="1"/>
  <c r="H916" i="5" s="1"/>
  <c r="G907" i="5"/>
  <c r="H908" i="5" s="1"/>
  <c r="H912" i="5"/>
  <c r="G1474" i="3"/>
  <c r="H1475" i="3" s="1"/>
  <c r="E1479" i="3"/>
  <c r="E1478" i="3" s="1"/>
  <c r="G1478" i="3" s="1"/>
  <c r="G1480" i="3"/>
  <c r="D1484" i="3"/>
  <c r="G1484" i="3"/>
  <c r="H1485" i="3" s="1"/>
  <c r="H1489" i="3"/>
  <c r="G1501" i="3"/>
  <c r="H1502" i="3" s="1"/>
  <c r="E1506" i="3"/>
  <c r="E1505" i="3" s="1"/>
  <c r="G1505" i="3" s="1"/>
  <c r="G1507" i="3"/>
  <c r="D1511" i="3"/>
  <c r="G1511" i="3" s="1"/>
  <c r="H1512" i="3" s="1"/>
  <c r="H1516" i="3"/>
  <c r="G1528" i="3"/>
  <c r="H1529" i="3" s="1"/>
  <c r="E1533" i="3"/>
  <c r="E1532" i="3" s="1"/>
  <c r="G1532" i="3" s="1"/>
  <c r="G1534" i="3"/>
  <c r="D1538" i="3"/>
  <c r="G1538" i="3" s="1"/>
  <c r="H1539" i="3" s="1"/>
  <c r="H1543" i="3"/>
  <c r="G1555" i="3"/>
  <c r="H1556" i="3" s="1"/>
  <c r="E1560" i="3"/>
  <c r="E1559" i="3" s="1"/>
  <c r="G1559" i="3" s="1"/>
  <c r="G1561" i="3"/>
  <c r="D1565" i="3"/>
  <c r="G1565" i="3" s="1"/>
  <c r="H1566" i="3" s="1"/>
  <c r="H1570" i="3"/>
  <c r="G1582" i="3"/>
  <c r="H1583" i="3" s="1"/>
  <c r="E1587" i="3"/>
  <c r="E1586" i="3" s="1"/>
  <c r="G1586" i="3" s="1"/>
  <c r="G1588" i="3"/>
  <c r="D1592" i="3"/>
  <c r="G1592" i="3" s="1"/>
  <c r="H1593" i="3" s="1"/>
  <c r="H1597" i="3"/>
  <c r="G737" i="3"/>
  <c r="H738" i="3"/>
  <c r="E742" i="3"/>
  <c r="G743" i="3"/>
  <c r="G747" i="3"/>
  <c r="H748" i="3"/>
  <c r="H752" i="3"/>
  <c r="G1687" i="3"/>
  <c r="G1688" i="3"/>
  <c r="H1689" i="3"/>
  <c r="G1692" i="3"/>
  <c r="G1693" i="3"/>
  <c r="G1694" i="3"/>
  <c r="G1696" i="3"/>
  <c r="D1700" i="3"/>
  <c r="G1700" i="3" s="1"/>
  <c r="H1701" i="3" s="1"/>
  <c r="H1705" i="3"/>
  <c r="G656" i="11"/>
  <c r="H657" i="11" s="1"/>
  <c r="H663" i="11"/>
  <c r="G666" i="11"/>
  <c r="H667" i="11" s="1"/>
  <c r="H671" i="11"/>
  <c r="G683" i="11"/>
  <c r="H684" i="11" s="1"/>
  <c r="H690" i="11"/>
  <c r="G693" i="11"/>
  <c r="H694" i="11" s="1"/>
  <c r="H698" i="11"/>
  <c r="G710" i="11"/>
  <c r="H711" i="11" s="1"/>
  <c r="H717" i="11"/>
  <c r="G720" i="11"/>
  <c r="H721" i="11" s="1"/>
  <c r="H725" i="11"/>
  <c r="G764" i="11"/>
  <c r="H765" i="11" s="1"/>
  <c r="H781" i="11" s="1"/>
  <c r="H783" i="11" s="1"/>
  <c r="H771" i="11"/>
  <c r="G774" i="11"/>
  <c r="H775" i="11"/>
  <c r="H779" i="11"/>
  <c r="G791" i="11"/>
  <c r="H792" i="11" s="1"/>
  <c r="H798" i="11"/>
  <c r="G801" i="11"/>
  <c r="H802" i="11"/>
  <c r="H806" i="11"/>
  <c r="G737" i="11"/>
  <c r="H738" i="11" s="1"/>
  <c r="H744" i="11"/>
  <c r="H754" i="11" s="1"/>
  <c r="H756" i="11" s="1"/>
  <c r="G747" i="11"/>
  <c r="H748" i="11" s="1"/>
  <c r="H752" i="11"/>
  <c r="G1777" i="3"/>
  <c r="H1779" i="3" s="1"/>
  <c r="G1778" i="3"/>
  <c r="G1782" i="3"/>
  <c r="G1783" i="3"/>
  <c r="G1784" i="3"/>
  <c r="G1786" i="3"/>
  <c r="D1790" i="3"/>
  <c r="G1790" i="3" s="1"/>
  <c r="H1791" i="3" s="1"/>
  <c r="H1795" i="3"/>
  <c r="G1808" i="3"/>
  <c r="G1809" i="3"/>
  <c r="G1813" i="3"/>
  <c r="G1814" i="3"/>
  <c r="G1815" i="3"/>
  <c r="G1817" i="3"/>
  <c r="D1821" i="3"/>
  <c r="G1821" i="3" s="1"/>
  <c r="H1822" i="3" s="1"/>
  <c r="H1826" i="3"/>
  <c r="G1717" i="3"/>
  <c r="H1719" i="3" s="1"/>
  <c r="G1718" i="3"/>
  <c r="G1722" i="3"/>
  <c r="G1723" i="3"/>
  <c r="G1724" i="3"/>
  <c r="G1726" i="3"/>
  <c r="D1730" i="3"/>
  <c r="G1730" i="3"/>
  <c r="H1731" i="3"/>
  <c r="H1735" i="3"/>
  <c r="G1747" i="3"/>
  <c r="G1748" i="3"/>
  <c r="H1749" i="3"/>
  <c r="G1752" i="3"/>
  <c r="G1753" i="3"/>
  <c r="G1754" i="3"/>
  <c r="G1756" i="3"/>
  <c r="D1760" i="3"/>
  <c r="G1760" i="3" s="1"/>
  <c r="H1761" i="3" s="1"/>
  <c r="H1765" i="3"/>
  <c r="G1838" i="3"/>
  <c r="H1839" i="3" s="1"/>
  <c r="E1842" i="3"/>
  <c r="G1842" i="3" s="1"/>
  <c r="G1844" i="3"/>
  <c r="D1848" i="3"/>
  <c r="G1848" i="3" s="1"/>
  <c r="H1849" i="3" s="1"/>
  <c r="H1853" i="3"/>
  <c r="G995" i="11"/>
  <c r="H996" i="11" s="1"/>
  <c r="H1002" i="11"/>
  <c r="G1005" i="11"/>
  <c r="H1006" i="11" s="1"/>
  <c r="H1010" i="11"/>
  <c r="G1076" i="11"/>
  <c r="H1077" i="11" s="1"/>
  <c r="H1083" i="11"/>
  <c r="G1086" i="11"/>
  <c r="H1087" i="11" s="1"/>
  <c r="H1091" i="11"/>
  <c r="H333" i="7"/>
  <c r="D336" i="7"/>
  <c r="G336" i="7" s="1"/>
  <c r="H337" i="7" s="1"/>
  <c r="H347" i="7" s="1"/>
  <c r="H349" i="7" s="1"/>
  <c r="H341" i="7"/>
  <c r="G344" i="7"/>
  <c r="H345" i="7" s="1"/>
  <c r="H358" i="7"/>
  <c r="D361" i="7"/>
  <c r="G361" i="7" s="1"/>
  <c r="H362" i="7" s="1"/>
  <c r="H366" i="7"/>
  <c r="G369" i="7"/>
  <c r="H370" i="7" s="1"/>
  <c r="H2049" i="7"/>
  <c r="D2052" i="7"/>
  <c r="G2052" i="7" s="1"/>
  <c r="H2053" i="7" s="1"/>
  <c r="H2057" i="7"/>
  <c r="G2060" i="7"/>
  <c r="H2061" i="7" s="1"/>
  <c r="H2073" i="7"/>
  <c r="D2076" i="7"/>
  <c r="G2076" i="7"/>
  <c r="H2077" i="7" s="1"/>
  <c r="H2087" i="7" s="1"/>
  <c r="H2089" i="7" s="1"/>
  <c r="H2081" i="7"/>
  <c r="G2084" i="7"/>
  <c r="H2085" i="7"/>
  <c r="H2097" i="7"/>
  <c r="D2100" i="7"/>
  <c r="G2100" i="7" s="1"/>
  <c r="H2101" i="7" s="1"/>
  <c r="H2105" i="7"/>
  <c r="G2108" i="7"/>
  <c r="H2109" i="7" s="1"/>
  <c r="H2121" i="7"/>
  <c r="D2124" i="7"/>
  <c r="G2124" i="7"/>
  <c r="H2125" i="7" s="1"/>
  <c r="H2129" i="7"/>
  <c r="G2132" i="7"/>
  <c r="H2133" i="7" s="1"/>
  <c r="H2317" i="7"/>
  <c r="D2320" i="7"/>
  <c r="G2320" i="7" s="1"/>
  <c r="H2321" i="7" s="1"/>
  <c r="H2325" i="7"/>
  <c r="G2328" i="7"/>
  <c r="H2329" i="7" s="1"/>
  <c r="H2267" i="7"/>
  <c r="D2270" i="7"/>
  <c r="G2270" i="7" s="1"/>
  <c r="H2271" i="7" s="1"/>
  <c r="H2275" i="7"/>
  <c r="G2278" i="7"/>
  <c r="H2279" i="7" s="1"/>
  <c r="H2342" i="7"/>
  <c r="D2345" i="7"/>
  <c r="G2345" i="7" s="1"/>
  <c r="H2346" i="7" s="1"/>
  <c r="H2350" i="7"/>
  <c r="G2353" i="7"/>
  <c r="H2354" i="7" s="1"/>
  <c r="H2367" i="7"/>
  <c r="D2370" i="7"/>
  <c r="G2370" i="7" s="1"/>
  <c r="H2371" i="7" s="1"/>
  <c r="H2375" i="7"/>
  <c r="G2378" i="7"/>
  <c r="H2379" i="7" s="1"/>
  <c r="H2392" i="7"/>
  <c r="D2395" i="7"/>
  <c r="G2395" i="7" s="1"/>
  <c r="H2396" i="7" s="1"/>
  <c r="H2400" i="7"/>
  <c r="G2403" i="7"/>
  <c r="H2404" i="7" s="1"/>
  <c r="H2217" i="7"/>
  <c r="D2220" i="7"/>
  <c r="G2220" i="7"/>
  <c r="H2221" i="7" s="1"/>
  <c r="H2225" i="7"/>
  <c r="G2228" i="7"/>
  <c r="H2229" i="7" s="1"/>
  <c r="H2193" i="7"/>
  <c r="D2196" i="7"/>
  <c r="G2196" i="7" s="1"/>
  <c r="H2197" i="7" s="1"/>
  <c r="H2207" i="7" s="1"/>
  <c r="H2209" i="7" s="1"/>
  <c r="H2201" i="7"/>
  <c r="G2204" i="7"/>
  <c r="H2205" i="7" s="1"/>
  <c r="H2169" i="7"/>
  <c r="D2172" i="7"/>
  <c r="G2172" i="7" s="1"/>
  <c r="H2173" i="7" s="1"/>
  <c r="H2177" i="7"/>
  <c r="G2180" i="7"/>
  <c r="H2181" i="7"/>
  <c r="H2145" i="7"/>
  <c r="D2148" i="7"/>
  <c r="G2148" i="7" s="1"/>
  <c r="H2149" i="7" s="1"/>
  <c r="H2153" i="7"/>
  <c r="G2156" i="7"/>
  <c r="H2157" i="7" s="1"/>
  <c r="H2242" i="7"/>
  <c r="D2245" i="7"/>
  <c r="G2245" i="7"/>
  <c r="H2246" i="7" s="1"/>
  <c r="H2250" i="7"/>
  <c r="G2253" i="7"/>
  <c r="H2254" i="7"/>
  <c r="H2001" i="7"/>
  <c r="D2004" i="7"/>
  <c r="G2004" i="7" s="1"/>
  <c r="H2005" i="7"/>
  <c r="H2009" i="7"/>
  <c r="G2012" i="7"/>
  <c r="H2013" i="7" s="1"/>
  <c r="H2490" i="7"/>
  <c r="D2493" i="7"/>
  <c r="G2493" i="7" s="1"/>
  <c r="H2494" i="7" s="1"/>
  <c r="H2498" i="7"/>
  <c r="G2501" i="7"/>
  <c r="H2502" i="7" s="1"/>
  <c r="H258" i="7"/>
  <c r="D261" i="7"/>
  <c r="G261" i="7" s="1"/>
  <c r="H262" i="7" s="1"/>
  <c r="H266" i="7"/>
  <c r="G269" i="7"/>
  <c r="H270" i="7" s="1"/>
  <c r="H283" i="7"/>
  <c r="D286" i="7"/>
  <c r="G286" i="7"/>
  <c r="H287" i="7" s="1"/>
  <c r="H291" i="7"/>
  <c r="G294" i="7"/>
  <c r="H295" i="7"/>
  <c r="H308" i="7"/>
  <c r="H312" i="7"/>
  <c r="H316" i="7"/>
  <c r="G319" i="7"/>
  <c r="H320" i="7" s="1"/>
  <c r="H1777" i="7"/>
  <c r="D1780" i="7"/>
  <c r="G1780" i="7" s="1"/>
  <c r="H1781" i="7" s="1"/>
  <c r="H1785" i="7"/>
  <c r="G1788" i="7"/>
  <c r="H1789" i="7" s="1"/>
  <c r="H1803" i="7"/>
  <c r="D1806" i="7"/>
  <c r="G1806" i="7" s="1"/>
  <c r="H1807" i="7" s="1"/>
  <c r="H1811" i="7"/>
  <c r="G1814" i="7"/>
  <c r="H1815" i="7" s="1"/>
  <c r="H2292" i="7"/>
  <c r="D2295" i="7"/>
  <c r="G2295" i="7"/>
  <c r="H2296" i="7" s="1"/>
  <c r="H2300" i="7"/>
  <c r="G2303" i="7"/>
  <c r="H2304" i="7" s="1"/>
  <c r="H1829" i="7"/>
  <c r="H1843" i="7" s="1"/>
  <c r="H1845" i="7" s="1"/>
  <c r="D1832" i="7"/>
  <c r="G1832" i="7" s="1"/>
  <c r="H1833" i="7" s="1"/>
  <c r="H1837" i="7"/>
  <c r="G1840" i="7"/>
  <c r="H1841" i="7" s="1"/>
  <c r="H1855" i="7"/>
  <c r="D1858" i="7"/>
  <c r="G1858" i="7" s="1"/>
  <c r="H1859" i="7" s="1"/>
  <c r="H1863" i="7"/>
  <c r="G1866" i="7"/>
  <c r="H1867" i="7" s="1"/>
  <c r="H1881" i="7"/>
  <c r="D1884" i="7"/>
  <c r="G1884" i="7" s="1"/>
  <c r="H1885" i="7" s="1"/>
  <c r="H1895" i="7" s="1"/>
  <c r="H1897" i="7" s="1"/>
  <c r="H1889" i="7"/>
  <c r="G1892" i="7"/>
  <c r="H1893" i="7"/>
  <c r="H1905" i="7"/>
  <c r="D1908" i="7"/>
  <c r="G1908" i="7"/>
  <c r="H1909" i="7" s="1"/>
  <c r="H1913" i="7"/>
  <c r="G1916" i="7"/>
  <c r="H1917" i="7" s="1"/>
  <c r="H1929" i="7"/>
  <c r="D1932" i="7"/>
  <c r="G1932" i="7" s="1"/>
  <c r="H1933" i="7" s="1"/>
  <c r="H1937" i="7"/>
  <c r="G1940" i="7"/>
  <c r="H1941" i="7" s="1"/>
  <c r="H1953" i="7"/>
  <c r="D1956" i="7"/>
  <c r="G1956" i="7"/>
  <c r="H1957" i="7" s="1"/>
  <c r="H1967" i="7" s="1"/>
  <c r="H1969" i="7" s="1"/>
  <c r="H1961" i="7"/>
  <c r="G1964" i="7"/>
  <c r="H1965" i="7"/>
  <c r="H1977" i="7"/>
  <c r="D1980" i="7"/>
  <c r="G1980" i="7" s="1"/>
  <c r="H1981" i="7" s="1"/>
  <c r="H1985" i="7"/>
  <c r="G1988" i="7"/>
  <c r="H1989" i="7" s="1"/>
  <c r="G2457" i="3"/>
  <c r="H2458" i="3" s="1"/>
  <c r="G2461" i="3"/>
  <c r="G2462" i="3"/>
  <c r="H2464" i="3" s="1"/>
  <c r="G2463" i="3"/>
  <c r="G2467" i="3"/>
  <c r="H2468" i="3" s="1"/>
  <c r="H2472" i="3"/>
  <c r="G2430" i="3"/>
  <c r="H2431" i="3" s="1"/>
  <c r="G2434" i="3"/>
  <c r="G2435" i="3"/>
  <c r="G2436" i="3"/>
  <c r="G2440" i="3"/>
  <c r="H2441" i="3" s="1"/>
  <c r="H2445" i="3"/>
  <c r="G2404" i="3"/>
  <c r="H2405" i="3"/>
  <c r="G2408" i="3"/>
  <c r="G2409" i="3"/>
  <c r="G2410" i="3"/>
  <c r="G2414" i="3"/>
  <c r="H2415" i="3" s="1"/>
  <c r="H2419" i="3"/>
  <c r="G2377" i="3"/>
  <c r="H2378" i="3" s="1"/>
  <c r="G2381" i="3"/>
  <c r="G2382" i="3"/>
  <c r="G2383" i="3"/>
  <c r="G2384" i="3"/>
  <c r="G2388" i="3"/>
  <c r="H2389" i="3" s="1"/>
  <c r="H2393" i="3"/>
  <c r="G2125" i="3"/>
  <c r="H2126" i="3" s="1"/>
  <c r="G2129" i="3"/>
  <c r="G2130" i="3"/>
  <c r="G2131" i="3"/>
  <c r="G2132" i="3"/>
  <c r="G2133" i="3"/>
  <c r="G2134" i="3"/>
  <c r="G2135" i="3"/>
  <c r="G2136" i="3"/>
  <c r="G2137" i="3"/>
  <c r="G2141" i="3"/>
  <c r="G2142" i="3"/>
  <c r="H2143" i="3" s="1"/>
  <c r="H2147" i="3"/>
  <c r="G1979" i="3"/>
  <c r="H1980" i="3"/>
  <c r="G1983" i="3"/>
  <c r="G1984" i="3"/>
  <c r="G1985" i="3"/>
  <c r="G1986" i="3"/>
  <c r="H1987" i="3" s="1"/>
  <c r="G1990" i="3"/>
  <c r="H1991" i="3" s="1"/>
  <c r="H1995" i="3"/>
  <c r="G1444" i="3"/>
  <c r="G1032" i="3"/>
  <c r="G955" i="3"/>
  <c r="D158" i="2"/>
  <c r="D159" i="2"/>
  <c r="D160" i="2"/>
  <c r="D161" i="2"/>
  <c r="D162" i="2"/>
  <c r="D163" i="2"/>
  <c r="D164" i="2"/>
  <c r="D165" i="2"/>
  <c r="D166" i="2"/>
  <c r="D167" i="2"/>
  <c r="D155" i="2"/>
  <c r="C139" i="2"/>
  <c r="D132" i="2"/>
  <c r="D133" i="2" s="1"/>
  <c r="D134" i="2"/>
  <c r="D130" i="2"/>
  <c r="D131" i="2" s="1"/>
  <c r="D126" i="2"/>
  <c r="D127" i="2"/>
  <c r="B119" i="2"/>
  <c r="C119" i="2" s="1"/>
  <c r="B111" i="2"/>
  <c r="B112" i="2"/>
  <c r="B114" i="2"/>
  <c r="E104" i="2"/>
  <c r="E105" i="2"/>
  <c r="E95" i="2"/>
  <c r="E97" i="2" s="1"/>
  <c r="E96" i="2"/>
  <c r="E85" i="2"/>
  <c r="E86" i="2"/>
  <c r="E87" i="2"/>
  <c r="E88" i="2"/>
  <c r="E89" i="2"/>
  <c r="E90" i="2"/>
  <c r="E91" i="2"/>
  <c r="E92" i="2"/>
  <c r="E93" i="2"/>
  <c r="E80" i="2"/>
  <c r="E78" i="2"/>
  <c r="E77" i="2"/>
  <c r="E72" i="2"/>
  <c r="E71" i="2"/>
  <c r="E70" i="2"/>
  <c r="E69" i="2"/>
  <c r="E61" i="2"/>
  <c r="E62" i="2"/>
  <c r="E63" i="2"/>
  <c r="E64" i="2"/>
  <c r="E50" i="2"/>
  <c r="E51" i="2"/>
  <c r="E53" i="2"/>
  <c r="E46" i="2"/>
  <c r="E43" i="2"/>
  <c r="E42" i="2"/>
  <c r="E36" i="2"/>
  <c r="E33" i="2"/>
  <c r="E32" i="2"/>
  <c r="B25" i="2"/>
  <c r="B16" i="2"/>
  <c r="B23" i="2" s="1"/>
  <c r="H2025" i="7"/>
  <c r="D2028" i="7"/>
  <c r="G2028" i="7"/>
  <c r="H2029" i="7" s="1"/>
  <c r="H2039" i="7" s="1"/>
  <c r="H2041" i="7" s="1"/>
  <c r="H2033" i="7"/>
  <c r="G2036" i="7"/>
  <c r="H2037" i="7"/>
  <c r="G295" i="5"/>
  <c r="G262" i="5"/>
  <c r="H263" i="5"/>
  <c r="D266" i="5"/>
  <c r="G266" i="5" s="1"/>
  <c r="H267" i="5" s="1"/>
  <c r="G270" i="5"/>
  <c r="H271" i="5" s="1"/>
  <c r="H275" i="5"/>
  <c r="G237" i="5"/>
  <c r="H238" i="5" s="1"/>
  <c r="D241" i="5"/>
  <c r="G241" i="5"/>
  <c r="H242" i="5" s="1"/>
  <c r="H252" i="5" s="1"/>
  <c r="H254" i="5" s="1"/>
  <c r="G245" i="5"/>
  <c r="H246" i="5" s="1"/>
  <c r="H250" i="5"/>
  <c r="G112" i="5"/>
  <c r="H113" i="5"/>
  <c r="D116" i="5"/>
  <c r="G116" i="5" s="1"/>
  <c r="H117" i="5" s="1"/>
  <c r="G120" i="5"/>
  <c r="H121" i="5"/>
  <c r="H125" i="5"/>
  <c r="G87" i="5"/>
  <c r="H88" i="5" s="1"/>
  <c r="H102" i="5" s="1"/>
  <c r="H104" i="5" s="1"/>
  <c r="D91" i="5"/>
  <c r="G91" i="5" s="1"/>
  <c r="H92" i="5" s="1"/>
  <c r="G95" i="5"/>
  <c r="H96" i="5" s="1"/>
  <c r="H100" i="5"/>
  <c r="D66" i="5"/>
  <c r="G66" i="5" s="1"/>
  <c r="D65" i="5"/>
  <c r="G65" i="5"/>
  <c r="D39" i="5"/>
  <c r="G39" i="5" s="1"/>
  <c r="D38" i="5"/>
  <c r="G38" i="5"/>
  <c r="G843" i="3"/>
  <c r="H844" i="3" s="1"/>
  <c r="D847" i="3"/>
  <c r="G847" i="3"/>
  <c r="G848" i="3"/>
  <c r="D852" i="3"/>
  <c r="G852" i="3" s="1"/>
  <c r="H853" i="3" s="1"/>
  <c r="H857" i="3"/>
  <c r="L687" i="3"/>
  <c r="L660" i="3"/>
  <c r="L662" i="3" s="1"/>
  <c r="K388" i="3"/>
  <c r="K364" i="3"/>
  <c r="K215" i="3"/>
  <c r="K189" i="3"/>
  <c r="K164" i="3"/>
  <c r="K135" i="3"/>
  <c r="K109" i="3"/>
  <c r="K82" i="3"/>
  <c r="K54" i="3"/>
  <c r="K26" i="3"/>
  <c r="J127" i="10"/>
  <c r="L270" i="11"/>
  <c r="H2135" i="7"/>
  <c r="H2137" i="7" s="1"/>
  <c r="E106" i="2"/>
  <c r="H1671" i="7"/>
  <c r="H1673" i="7" s="1"/>
  <c r="H1476" i="7"/>
  <c r="H1478" i="7" s="1"/>
  <c r="H1275" i="7"/>
  <c r="H1277" i="7" s="1"/>
  <c r="H1225" i="7"/>
  <c r="H1227" i="7" s="1"/>
  <c r="H197" i="7"/>
  <c r="H199" i="7" s="1"/>
  <c r="H161" i="8"/>
  <c r="H1791" i="7" l="1"/>
  <c r="H1793" i="7" s="1"/>
  <c r="H1943" i="7"/>
  <c r="H1945" i="7" s="1"/>
  <c r="H2159" i="7"/>
  <c r="H2161" i="7" s="1"/>
  <c r="H277" i="5"/>
  <c r="H279" i="5" s="1"/>
  <c r="E94" i="2"/>
  <c r="H2015" i="7"/>
  <c r="H2017" i="7" s="1"/>
  <c r="H372" i="7"/>
  <c r="H374" i="7" s="1"/>
  <c r="H1093" i="11"/>
  <c r="H1095" i="11" s="1"/>
  <c r="H808" i="11"/>
  <c r="H810" i="11" s="1"/>
  <c r="H700" i="11"/>
  <c r="H702" i="11" s="1"/>
  <c r="H247" i="7"/>
  <c r="H249" i="7" s="1"/>
  <c r="E75" i="8" s="1"/>
  <c r="F75" i="8" s="1"/>
  <c r="H2557" i="3"/>
  <c r="H2559" i="3" s="1"/>
  <c r="H2585" i="3"/>
  <c r="H2587" i="3" s="1"/>
  <c r="H1997" i="3"/>
  <c r="H2332" i="3"/>
  <c r="H2343" i="3" s="1"/>
  <c r="H2345" i="3" s="1"/>
  <c r="F335" i="10"/>
  <c r="H849" i="3"/>
  <c r="H859" i="3" s="1"/>
  <c r="H861" i="3" s="1"/>
  <c r="H1869" i="7"/>
  <c r="H1871" i="7" s="1"/>
  <c r="H272" i="7"/>
  <c r="H274" i="7" s="1"/>
  <c r="H2331" i="7"/>
  <c r="H2333" i="7" s="1"/>
  <c r="H732" i="5"/>
  <c r="H734" i="5" s="1"/>
  <c r="H657" i="5"/>
  <c r="H659" i="5" s="1"/>
  <c r="H1501" i="7"/>
  <c r="H1503" i="7" s="1"/>
  <c r="E61" i="8" s="1"/>
  <c r="F61" i="8" s="1"/>
  <c r="H1200" i="7"/>
  <c r="H1202" i="7" s="1"/>
  <c r="H522" i="7"/>
  <c r="H524" i="7" s="1"/>
  <c r="H97" i="7"/>
  <c r="H99" i="7" s="1"/>
  <c r="H2504" i="7"/>
  <c r="H2506" i="7" s="1"/>
  <c r="H2356" i="7"/>
  <c r="H2358" i="7" s="1"/>
  <c r="H2063" i="7"/>
  <c r="H2065" i="7" s="1"/>
  <c r="H727" i="11"/>
  <c r="H729" i="11" s="1"/>
  <c r="H673" i="11"/>
  <c r="H675" i="11" s="1"/>
  <c r="H429" i="11"/>
  <c r="H431" i="11" s="1"/>
  <c r="H682" i="5"/>
  <c r="H684" i="5" s="1"/>
  <c r="E150" i="2"/>
  <c r="H1767" i="7"/>
  <c r="H1769" i="7" s="1"/>
  <c r="H698" i="7"/>
  <c r="H700" i="7" s="1"/>
  <c r="H403" i="11"/>
  <c r="H405" i="11" s="1"/>
  <c r="E118" i="10" s="1"/>
  <c r="F118" i="10" s="1"/>
  <c r="H2106" i="3"/>
  <c r="H2116" i="3" s="1"/>
  <c r="H2118" i="3" s="1"/>
  <c r="E202" i="10" s="1"/>
  <c r="F202" i="10" s="1"/>
  <c r="H2630" i="3"/>
  <c r="H2640" i="3" s="1"/>
  <c r="H2642" i="3" s="1"/>
  <c r="E56" i="2"/>
  <c r="E65" i="2"/>
  <c r="H2385" i="3"/>
  <c r="H2411" i="3"/>
  <c r="H2421" i="3" s="1"/>
  <c r="H2437" i="3"/>
  <c r="H2474" i="3"/>
  <c r="H322" i="7"/>
  <c r="H324" i="7" s="1"/>
  <c r="H2256" i="7"/>
  <c r="H2258" i="7" s="1"/>
  <c r="H2406" i="7"/>
  <c r="H2408" i="7" s="1"/>
  <c r="H2111" i="7"/>
  <c r="H2113" i="7" s="1"/>
  <c r="H802" i="5"/>
  <c r="H812" i="5" s="1"/>
  <c r="H814" i="5" s="1"/>
  <c r="H749" i="5"/>
  <c r="H864" i="5"/>
  <c r="H866" i="5" s="1"/>
  <c r="H632" i="5"/>
  <c r="H634" i="5" s="1"/>
  <c r="E12" i="2"/>
  <c r="E103" i="2"/>
  <c r="H607" i="5"/>
  <c r="H609" i="5" s="1"/>
  <c r="H961" i="11"/>
  <c r="H963" i="11" s="1"/>
  <c r="H258" i="3"/>
  <c r="H2711" i="3"/>
  <c r="F180" i="10"/>
  <c r="H148" i="3"/>
  <c r="F326" i="10"/>
  <c r="H2858" i="3"/>
  <c r="H2860" i="3" s="1"/>
  <c r="E188" i="10" s="1"/>
  <c r="F188" i="10" s="1"/>
  <c r="H1926" i="3"/>
  <c r="H226" i="3"/>
  <c r="F344" i="10"/>
  <c r="H22" i="7"/>
  <c r="H24" i="7" s="1"/>
  <c r="E16" i="8" s="1"/>
  <c r="F16" i="8" s="1"/>
  <c r="H798" i="7"/>
  <c r="H800" i="7" s="1"/>
  <c r="H548" i="7"/>
  <c r="H550" i="7" s="1"/>
  <c r="H948" i="7"/>
  <c r="H950" i="7" s="1"/>
  <c r="E25" i="8" s="1"/>
  <c r="F25" i="8" s="1"/>
  <c r="H1919" i="7"/>
  <c r="H1921" i="7" s="1"/>
  <c r="H2183" i="7"/>
  <c r="H2185" i="7" s="1"/>
  <c r="H1012" i="11"/>
  <c r="H1014" i="11" s="1"/>
  <c r="H472" i="7"/>
  <c r="H474" i="7" s="1"/>
  <c r="E78" i="8" s="1"/>
  <c r="F78" i="8" s="1"/>
  <c r="H1743" i="7"/>
  <c r="H1745" i="7" s="1"/>
  <c r="E71" i="8" s="1"/>
  <c r="F71" i="8" s="1"/>
  <c r="H1623" i="7"/>
  <c r="H1625" i="7" s="1"/>
  <c r="H1451" i="7"/>
  <c r="H1453" i="7" s="1"/>
  <c r="H2456" i="7"/>
  <c r="H2458" i="7" s="1"/>
  <c r="H35" i="11"/>
  <c r="H51" i="11" s="1"/>
  <c r="H53" i="11" s="1"/>
  <c r="H582" i="5"/>
  <c r="H584" i="5" s="1"/>
  <c r="H557" i="5"/>
  <c r="H559" i="5" s="1"/>
  <c r="H2238" i="3"/>
  <c r="H2240" i="3" s="1"/>
  <c r="H328" i="3"/>
  <c r="H338" i="3" s="1"/>
  <c r="H340" i="3" s="1"/>
  <c r="E154" i="10" s="1"/>
  <c r="F154" i="10" s="1"/>
  <c r="F353" i="10"/>
  <c r="H848" i="7"/>
  <c r="H850" i="7" s="1"/>
  <c r="H773" i="7"/>
  <c r="H775" i="7" s="1"/>
  <c r="E11" i="8" s="1"/>
  <c r="F11" i="8" s="1"/>
  <c r="H1048" i="7"/>
  <c r="H1050" i="7" s="1"/>
  <c r="E34" i="8" s="1"/>
  <c r="F34" i="8" s="1"/>
  <c r="H598" i="7"/>
  <c r="H600" i="7" s="1"/>
  <c r="F171" i="8"/>
  <c r="H497" i="7"/>
  <c r="H499" i="7" s="1"/>
  <c r="E80" i="8" s="1"/>
  <c r="F80" i="8" s="1"/>
  <c r="H648" i="7"/>
  <c r="H650" i="7" s="1"/>
  <c r="E44" i="8" s="1"/>
  <c r="F44" i="8" s="1"/>
  <c r="H1154" i="3"/>
  <c r="H1164" i="3" s="1"/>
  <c r="H1166" i="3" s="1"/>
  <c r="H105" i="11"/>
  <c r="H107" i="11" s="1"/>
  <c r="H618" i="11"/>
  <c r="H620" i="11" s="1"/>
  <c r="H834" i="11"/>
  <c r="H836" i="11" s="1"/>
  <c r="H2601" i="3"/>
  <c r="H2611" i="3" s="1"/>
  <c r="H2613" i="3" s="1"/>
  <c r="H1256" i="11"/>
  <c r="H1258" i="11" s="1"/>
  <c r="H1161" i="11"/>
  <c r="H133" i="3"/>
  <c r="H135" i="3" s="1"/>
  <c r="E14" i="10" s="1"/>
  <c r="F14" i="10" s="1"/>
  <c r="H93" i="3"/>
  <c r="H46" i="3"/>
  <c r="H41" i="3"/>
  <c r="H52" i="3" s="1"/>
  <c r="H54" i="3" s="1"/>
  <c r="H973" i="7"/>
  <c r="H975" i="7" s="1"/>
  <c r="E30" i="8" s="1"/>
  <c r="F30" i="8" s="1"/>
  <c r="H147" i="7"/>
  <c r="H149" i="7" s="1"/>
  <c r="H1023" i="7"/>
  <c r="H1025" i="7" s="1"/>
  <c r="H1375" i="7"/>
  <c r="H1377" i="7" s="1"/>
  <c r="H10" i="3"/>
  <c r="H24" i="3" s="1"/>
  <c r="H26" i="3" s="1"/>
  <c r="E7" i="10" s="1"/>
  <c r="F7" i="10" s="1"/>
  <c r="H178" i="5"/>
  <c r="H180" i="5" s="1"/>
  <c r="E59" i="10" s="1"/>
  <c r="F59" i="10" s="1"/>
  <c r="H1272" i="3"/>
  <c r="H1274" i="3" s="1"/>
  <c r="H349" i="11"/>
  <c r="H351" i="11" s="1"/>
  <c r="E115" i="10" s="1"/>
  <c r="F115" i="10" s="1"/>
  <c r="H619" i="3"/>
  <c r="H621" i="3" s="1"/>
  <c r="E105" i="10" s="1"/>
  <c r="F105" i="10" s="1"/>
  <c r="H296" i="5"/>
  <c r="H199" i="3"/>
  <c r="H2903" i="3"/>
  <c r="H2913" i="3" s="1"/>
  <c r="H2915" i="3" s="1"/>
  <c r="H2055" i="3"/>
  <c r="H2061" i="3" s="1"/>
  <c r="H2063" i="3" s="1"/>
  <c r="H2009" i="3"/>
  <c r="H1952" i="3"/>
  <c r="H1898" i="3"/>
  <c r="H1867" i="3"/>
  <c r="H1306" i="11"/>
  <c r="H1188" i="11"/>
  <c r="H1202" i="11" s="1"/>
  <c r="H1204" i="11" s="1"/>
  <c r="H119" i="3"/>
  <c r="F361" i="10"/>
  <c r="F373" i="19"/>
  <c r="E65" i="8"/>
  <c r="F65" i="8" s="1"/>
  <c r="E68" i="8"/>
  <c r="F68" i="8" s="1"/>
  <c r="E79" i="18"/>
  <c r="F79" i="18" s="1"/>
  <c r="E58" i="8"/>
  <c r="F58" i="8" s="1"/>
  <c r="E84" i="10"/>
  <c r="F84" i="10" s="1"/>
  <c r="E125" i="10"/>
  <c r="F125" i="10" s="1"/>
  <c r="E54" i="8"/>
  <c r="F54" i="8" s="1"/>
  <c r="E63" i="8"/>
  <c r="F63" i="8" s="1"/>
  <c r="E169" i="10"/>
  <c r="F169" i="10" s="1"/>
  <c r="E34" i="10"/>
  <c r="F34" i="10" s="1"/>
  <c r="E60" i="8"/>
  <c r="F60" i="8" s="1"/>
  <c r="E49" i="8"/>
  <c r="F49" i="8" s="1"/>
  <c r="E46" i="8"/>
  <c r="F46" i="8" s="1"/>
  <c r="E62" i="8"/>
  <c r="F62" i="8" s="1"/>
  <c r="E66" i="8"/>
  <c r="F66" i="8" s="1"/>
  <c r="E57" i="8"/>
  <c r="F57" i="8" s="1"/>
  <c r="E88" i="8"/>
  <c r="F88" i="8" s="1"/>
  <c r="E33" i="10"/>
  <c r="F33" i="10" s="1"/>
  <c r="E133" i="10"/>
  <c r="F133" i="10" s="1"/>
  <c r="E52" i="8"/>
  <c r="F52" i="8" s="1"/>
  <c r="E55" i="8"/>
  <c r="F55" i="8" s="1"/>
  <c r="E73" i="8"/>
  <c r="F73" i="8" s="1"/>
  <c r="E70" i="8"/>
  <c r="F70" i="8" s="1"/>
  <c r="E89" i="8"/>
  <c r="F89" i="8" s="1"/>
  <c r="E42" i="8"/>
  <c r="F42" i="8" s="1"/>
  <c r="E74" i="8"/>
  <c r="F74" i="8" s="1"/>
  <c r="E35" i="10"/>
  <c r="F35" i="10" s="1"/>
  <c r="E137" i="10"/>
  <c r="F137" i="10" s="1"/>
  <c r="E121" i="10"/>
  <c r="F121" i="10" s="1"/>
  <c r="E48" i="8"/>
  <c r="F48" i="8" s="1"/>
  <c r="E87" i="8"/>
  <c r="F87" i="8" s="1"/>
  <c r="E81" i="18"/>
  <c r="F81" i="18" s="1"/>
  <c r="E56" i="10"/>
  <c r="F56" i="10" s="1"/>
  <c r="E142" i="10"/>
  <c r="F142" i="10" s="1"/>
  <c r="E135" i="10"/>
  <c r="F135" i="10" s="1"/>
  <c r="E116" i="10"/>
  <c r="F116" i="10" s="1"/>
  <c r="E63" i="10"/>
  <c r="F63" i="10" s="1"/>
  <c r="H1246" i="3"/>
  <c r="H1248" i="3" s="1"/>
  <c r="B115" i="2"/>
  <c r="H2395" i="3"/>
  <c r="H297" i="7"/>
  <c r="H299" i="7" s="1"/>
  <c r="H861" i="11"/>
  <c r="H863" i="11" s="1"/>
  <c r="E155" i="10"/>
  <c r="F155" i="10" s="1"/>
  <c r="E55" i="10"/>
  <c r="F55" i="10" s="1"/>
  <c r="H277" i="3"/>
  <c r="H279" i="3" s="1"/>
  <c r="E221" i="10"/>
  <c r="F221" i="10" s="1"/>
  <c r="E21" i="10"/>
  <c r="F21" i="10" s="1"/>
  <c r="D168" i="2"/>
  <c r="H1991" i="7"/>
  <c r="H1993" i="7" s="1"/>
  <c r="H1817" i="7"/>
  <c r="H1819" i="7" s="1"/>
  <c r="H127" i="5"/>
  <c r="H129" i="5" s="1"/>
  <c r="H2138" i="3"/>
  <c r="H2149" i="3" s="1"/>
  <c r="H2151" i="3" s="1"/>
  <c r="H2381" i="7"/>
  <c r="H2383" i="7" s="1"/>
  <c r="H829" i="5"/>
  <c r="H1647" i="7"/>
  <c r="H1649" i="7" s="1"/>
  <c r="H1250" i="7"/>
  <c r="H1252" i="7" s="1"/>
  <c r="H1150" i="7"/>
  <c r="H1152" i="7" s="1"/>
  <c r="H673" i="7"/>
  <c r="H675" i="7" s="1"/>
  <c r="H1039" i="11"/>
  <c r="H1041" i="11" s="1"/>
  <c r="H295" i="11"/>
  <c r="H297" i="11" s="1"/>
  <c r="H1132" i="3"/>
  <c r="H1134" i="3" s="1"/>
  <c r="H482" i="5"/>
  <c r="H484" i="5" s="1"/>
  <c r="H1298" i="3"/>
  <c r="H1300" i="3" s="1"/>
  <c r="H387" i="3"/>
  <c r="H389" i="3" s="1"/>
  <c r="H936" i="11"/>
  <c r="H938" i="11" s="1"/>
  <c r="H306" i="5"/>
  <c r="H308" i="5" s="1"/>
  <c r="H2501" i="3"/>
  <c r="H2503" i="3" s="1"/>
  <c r="E183" i="10"/>
  <c r="F183" i="10" s="1"/>
  <c r="E240" i="10"/>
  <c r="F240" i="10" s="1"/>
  <c r="E59" i="8"/>
  <c r="F59" i="8" s="1"/>
  <c r="E41" i="10"/>
  <c r="F41" i="10" s="1"/>
  <c r="E139" i="10"/>
  <c r="F139" i="10" s="1"/>
  <c r="E111" i="10"/>
  <c r="F111" i="10" s="1"/>
  <c r="E32" i="10"/>
  <c r="F32" i="10" s="1"/>
  <c r="E199" i="10"/>
  <c r="F199" i="10" s="1"/>
  <c r="H2447" i="3"/>
  <c r="H2231" i="7"/>
  <c r="H2233" i="7" s="1"/>
  <c r="H2281" i="7"/>
  <c r="H2283" i="7" s="1"/>
  <c r="H1810" i="3"/>
  <c r="E82" i="18"/>
  <c r="F82" i="18" s="1"/>
  <c r="E85" i="8"/>
  <c r="F85" i="8" s="1"/>
  <c r="E81" i="8"/>
  <c r="F81" i="8" s="1"/>
  <c r="E127" i="10"/>
  <c r="F127" i="10" s="1"/>
  <c r="E119" i="10"/>
  <c r="F119" i="10" s="1"/>
  <c r="E113" i="10"/>
  <c r="F113" i="10" s="1"/>
  <c r="E61" i="10"/>
  <c r="F61" i="10" s="1"/>
  <c r="H244" i="11"/>
  <c r="H246" i="11" s="1"/>
  <c r="E167" i="10"/>
  <c r="F167" i="10" s="1"/>
  <c r="H911" i="11"/>
  <c r="H913" i="11" s="1"/>
  <c r="E201" i="10"/>
  <c r="F201" i="10" s="1"/>
  <c r="H2306" i="7"/>
  <c r="H2308" i="7" s="1"/>
  <c r="E56" i="8"/>
  <c r="F56" i="8" s="1"/>
  <c r="E42" i="10"/>
  <c r="F42" i="10" s="1"/>
  <c r="H593" i="3"/>
  <c r="H595" i="3" s="1"/>
  <c r="H436" i="3"/>
  <c r="H438" i="3" s="1"/>
  <c r="E22" i="10"/>
  <c r="F22" i="10" s="1"/>
  <c r="H1219" i="3"/>
  <c r="H1221" i="3" s="1"/>
  <c r="H1094" i="3"/>
  <c r="H1104" i="3" s="1"/>
  <c r="H1106" i="3" s="1"/>
  <c r="E141" i="10"/>
  <c r="F141" i="10" s="1"/>
  <c r="E136" i="10"/>
  <c r="F136" i="10" s="1"/>
  <c r="E114" i="10"/>
  <c r="F114" i="10" s="1"/>
  <c r="E164" i="10"/>
  <c r="F164" i="10" s="1"/>
  <c r="H1651" i="3"/>
  <c r="H1653" i="3" s="1"/>
  <c r="H1676" i="3"/>
  <c r="H1678" i="3" s="1"/>
  <c r="E238" i="10"/>
  <c r="F238" i="10" s="1"/>
  <c r="E12" i="8"/>
  <c r="F12" i="8" s="1"/>
  <c r="E38" i="8"/>
  <c r="E33" i="8"/>
  <c r="F33" i="8" s="1"/>
  <c r="H759" i="5"/>
  <c r="H761" i="5" s="1"/>
  <c r="H14" i="17"/>
  <c r="H24" i="17" s="1"/>
  <c r="H26" i="17" s="1"/>
  <c r="H1065" i="3"/>
  <c r="H1075" i="3" s="1"/>
  <c r="H1077" i="3" s="1"/>
  <c r="H217" i="11"/>
  <c r="H219" i="11" s="1"/>
  <c r="H163" i="11"/>
  <c r="H165" i="11" s="1"/>
  <c r="H432" i="5"/>
  <c r="H434" i="5" s="1"/>
  <c r="H537" i="11"/>
  <c r="H539" i="11" s="1"/>
  <c r="H376" i="11"/>
  <c r="H378" i="11" s="1"/>
  <c r="H2087" i="3"/>
  <c r="H2089" i="3" s="1"/>
  <c r="H775" i="5"/>
  <c r="H785" i="5" s="1"/>
  <c r="H787" i="5" s="1"/>
  <c r="H839" i="5"/>
  <c r="H841" i="5" s="1"/>
  <c r="H707" i="5"/>
  <c r="H709" i="5" s="1"/>
  <c r="H172" i="7"/>
  <c r="H174" i="7" s="1"/>
  <c r="H1695" i="7"/>
  <c r="H1697" i="7" s="1"/>
  <c r="H1574" i="7"/>
  <c r="H1576" i="7" s="1"/>
  <c r="H1300" i="7"/>
  <c r="H1302" i="7" s="1"/>
  <c r="H1066" i="11"/>
  <c r="H1068" i="11" s="1"/>
  <c r="H227" i="5"/>
  <c r="H229" i="5" s="1"/>
  <c r="H203" i="5"/>
  <c r="H205" i="5" s="1"/>
  <c r="H77" i="5"/>
  <c r="H79" i="5" s="1"/>
  <c r="H1011" i="3"/>
  <c r="H1021" i="3" s="1"/>
  <c r="H1023" i="3" s="1"/>
  <c r="H983" i="3"/>
  <c r="H993" i="3" s="1"/>
  <c r="H995" i="3" s="1"/>
  <c r="H956" i="3"/>
  <c r="H966" i="3" s="1"/>
  <c r="H968" i="3" s="1"/>
  <c r="F60" i="10"/>
  <c r="H411" i="3"/>
  <c r="H413" i="3" s="1"/>
  <c r="H532" i="5"/>
  <c r="H534" i="5" s="1"/>
  <c r="H646" i="11"/>
  <c r="H648" i="11" s="1"/>
  <c r="H482" i="11"/>
  <c r="H484" i="11" s="1"/>
  <c r="H24" i="11"/>
  <c r="H26" i="11" s="1"/>
  <c r="H985" i="11"/>
  <c r="H987" i="11" s="1"/>
  <c r="H267" i="3"/>
  <c r="E203" i="10"/>
  <c r="F203" i="10" s="1"/>
  <c r="E233" i="10"/>
  <c r="F233" i="10" s="1"/>
  <c r="F404" i="10"/>
  <c r="F369" i="10"/>
  <c r="E18" i="8"/>
  <c r="F18" i="8" s="1"/>
  <c r="E7" i="8"/>
  <c r="F7" i="8" s="1"/>
  <c r="H447" i="7"/>
  <c r="H449" i="7" s="1"/>
  <c r="E26" i="8"/>
  <c r="F26" i="8" s="1"/>
  <c r="H422" i="7"/>
  <c r="H424" i="7" s="1"/>
  <c r="H876" i="11"/>
  <c r="H2518" i="3"/>
  <c r="H2528" i="3" s="1"/>
  <c r="H2530" i="3" s="1"/>
  <c r="H2367" i="3"/>
  <c r="H2369" i="3" s="1"/>
  <c r="H2262" i="3"/>
  <c r="H2264" i="3" s="1"/>
  <c r="H2310" i="3"/>
  <c r="H2312" i="3" s="1"/>
  <c r="H2930" i="3"/>
  <c r="H2940" i="3" s="1"/>
  <c r="H2942" i="3" s="1"/>
  <c r="H2876" i="3"/>
  <c r="H2886" i="3" s="1"/>
  <c r="H2888" i="3" s="1"/>
  <c r="H2015" i="3"/>
  <c r="H2025" i="3" s="1"/>
  <c r="H2027" i="3" s="1"/>
  <c r="H69" i="3"/>
  <c r="F260" i="10"/>
  <c r="H457" i="5"/>
  <c r="H459" i="5" s="1"/>
  <c r="H591" i="11"/>
  <c r="H593" i="11" s="1"/>
  <c r="H564" i="11"/>
  <c r="H566" i="11" s="1"/>
  <c r="H886" i="11"/>
  <c r="H888" i="11" s="1"/>
  <c r="H301" i="3"/>
  <c r="H311" i="3" s="1"/>
  <c r="H313" i="3" s="1"/>
  <c r="E215" i="10"/>
  <c r="F215" i="10" s="1"/>
  <c r="H2202" i="3"/>
  <c r="H2694" i="3"/>
  <c r="H2696" i="3" s="1"/>
  <c r="H2049" i="3"/>
  <c r="H1940" i="3"/>
  <c r="H1942" i="3" s="1"/>
  <c r="H1425" i="11"/>
  <c r="H1427" i="11" s="1"/>
  <c r="H235" i="3"/>
  <c r="H245" i="3" s="1"/>
  <c r="H247" i="3" s="1"/>
  <c r="E8" i="8"/>
  <c r="F8" i="8" s="1"/>
  <c r="H2168" i="3"/>
  <c r="H2178" i="3" s="1"/>
  <c r="H2180" i="3" s="1"/>
  <c r="H332" i="5"/>
  <c r="H334" i="5" s="1"/>
  <c r="H2802" i="3"/>
  <c r="H2804" i="3" s="1"/>
  <c r="H2766" i="3"/>
  <c r="H2739" i="3"/>
  <c r="H2749" i="3" s="1"/>
  <c r="H2751" i="3" s="1"/>
  <c r="H2822" i="3"/>
  <c r="H2969" i="3"/>
  <c r="H2971" i="3" s="1"/>
  <c r="H2657" i="3"/>
  <c r="H2667" i="3" s="1"/>
  <c r="H2669" i="3" s="1"/>
  <c r="H162" i="3"/>
  <c r="H164" i="3" s="1"/>
  <c r="H270" i="11"/>
  <c r="H272" i="11" s="1"/>
  <c r="H80" i="3"/>
  <c r="H82" i="3" s="1"/>
  <c r="H1133" i="11"/>
  <c r="H1147" i="11" s="1"/>
  <c r="H1149" i="11" s="1"/>
  <c r="H187" i="3"/>
  <c r="H189" i="3" s="1"/>
  <c r="F275" i="10"/>
  <c r="H873" i="7"/>
  <c r="H875" i="7" s="1"/>
  <c r="H623" i="7"/>
  <c r="H625" i="7" s="1"/>
  <c r="E28" i="8"/>
  <c r="F28" i="8" s="1"/>
  <c r="H631" i="3"/>
  <c r="H646" i="3" s="1"/>
  <c r="H648" i="3" s="1"/>
  <c r="H2191" i="3"/>
  <c r="H2776" i="3"/>
  <c r="H2778" i="3" s="1"/>
  <c r="H2832" i="3"/>
  <c r="H2834" i="3" s="1"/>
  <c r="H1215" i="11"/>
  <c r="H1175" i="11"/>
  <c r="H1177" i="11" s="1"/>
  <c r="F396" i="10"/>
  <c r="F305" i="10"/>
  <c r="E14" i="8"/>
  <c r="F14" i="8" s="1"/>
  <c r="H573" i="7"/>
  <c r="H575" i="7" s="1"/>
  <c r="H2286" i="3"/>
  <c r="H2288" i="3" s="1"/>
  <c r="H2207" i="3"/>
  <c r="H2721" i="3"/>
  <c r="H2723" i="3" s="1"/>
  <c r="H1903" i="3"/>
  <c r="H1335" i="11"/>
  <c r="H1277" i="11"/>
  <c r="H1288" i="11" s="1"/>
  <c r="H1290" i="11" s="1"/>
  <c r="H1311" i="11"/>
  <c r="H1317" i="11" s="1"/>
  <c r="H1319" i="11" s="1"/>
  <c r="F387" i="10"/>
  <c r="H47" i="7"/>
  <c r="H49" i="7" s="1"/>
  <c r="H748" i="7"/>
  <c r="H750" i="7" s="1"/>
  <c r="H998" i="7"/>
  <c r="H1000" i="7" s="1"/>
  <c r="F176" i="8"/>
  <c r="F175" i="8"/>
  <c r="F177" i="8" s="1"/>
  <c r="F161" i="8"/>
  <c r="F38" i="8"/>
  <c r="H1388" i="11"/>
  <c r="H1399" i="11" s="1"/>
  <c r="H1401" i="11" s="1"/>
  <c r="H1373" i="11"/>
  <c r="H1375" i="11" s="1"/>
  <c r="H1328" i="11"/>
  <c r="H74" i="3"/>
  <c r="H1105" i="11"/>
  <c r="H1119" i="11" s="1"/>
  <c r="H1121" i="11" s="1"/>
  <c r="H107" i="3"/>
  <c r="H109" i="3" s="1"/>
  <c r="F426" i="10"/>
  <c r="E15" i="8"/>
  <c r="F15" i="8" s="1"/>
  <c r="H1073" i="7"/>
  <c r="H1075" i="7" s="1"/>
  <c r="H723" i="7"/>
  <c r="H725" i="7" s="1"/>
  <c r="H923" i="7"/>
  <c r="H925" i="7" s="1"/>
  <c r="H397" i="7"/>
  <c r="H399" i="7" s="1"/>
  <c r="H1100" i="7"/>
  <c r="H1102" i="7" s="1"/>
  <c r="H122" i="7"/>
  <c r="H124" i="7" s="1"/>
  <c r="F354" i="19"/>
  <c r="F336" i="19"/>
  <c r="F317" i="19"/>
  <c r="F291" i="19"/>
  <c r="F261" i="19"/>
  <c r="F345" i="19"/>
  <c r="F327" i="19"/>
  <c r="F306" i="19"/>
  <c r="F276" i="19"/>
  <c r="F388" i="19"/>
  <c r="F370" i="19"/>
  <c r="F397" i="19"/>
  <c r="F362" i="19"/>
  <c r="E54" i="10" l="1"/>
  <c r="F54" i="10" s="1"/>
  <c r="D661" i="3"/>
  <c r="G661" i="3" s="1"/>
  <c r="H1913" i="3"/>
  <c r="H1915" i="3" s="1"/>
  <c r="E177" i="10" s="1"/>
  <c r="F177" i="10" s="1"/>
  <c r="E147" i="10"/>
  <c r="F147" i="10" s="1"/>
  <c r="D715" i="3"/>
  <c r="G715" i="3" s="1"/>
  <c r="D688" i="3"/>
  <c r="G688" i="3" s="1"/>
  <c r="D742" i="3"/>
  <c r="G742" i="3" s="1"/>
  <c r="E76" i="10"/>
  <c r="F76" i="10" s="1"/>
  <c r="E80" i="18"/>
  <c r="F80" i="18" s="1"/>
  <c r="E79" i="8"/>
  <c r="F79" i="8" s="1"/>
  <c r="E93" i="10"/>
  <c r="F93" i="10" s="1"/>
  <c r="E47" i="10"/>
  <c r="F47" i="10" s="1"/>
  <c r="E86" i="8"/>
  <c r="F86" i="8" s="1"/>
  <c r="E100" i="10"/>
  <c r="F100" i="10" s="1"/>
  <c r="F424" i="19"/>
  <c r="E226" i="10"/>
  <c r="F226" i="10" s="1"/>
  <c r="E197" i="10"/>
  <c r="F197" i="10" s="1"/>
  <c r="E181" i="10"/>
  <c r="F181" i="10" s="1"/>
  <c r="E77" i="10"/>
  <c r="F77" i="10" s="1"/>
  <c r="E81" i="10"/>
  <c r="F81" i="10" s="1"/>
  <c r="E53" i="10"/>
  <c r="F53" i="10" s="1"/>
  <c r="E153" i="10"/>
  <c r="F153" i="10" s="1"/>
  <c r="E99" i="10"/>
  <c r="F99" i="10" s="1"/>
  <c r="E20" i="10"/>
  <c r="F20" i="10" s="1"/>
  <c r="F178" i="8"/>
  <c r="F179" i="8" s="1"/>
  <c r="E195" i="10"/>
  <c r="F195" i="10" s="1"/>
  <c r="E82" i="10"/>
  <c r="F82" i="10" s="1"/>
  <c r="E184" i="10"/>
  <c r="F184" i="10" s="1"/>
  <c r="E225" i="10"/>
  <c r="F225" i="10" s="1"/>
  <c r="E31" i="8"/>
  <c r="F31" i="8" s="1"/>
  <c r="E191" i="10"/>
  <c r="F191" i="10" s="1"/>
  <c r="E187" i="10"/>
  <c r="F187" i="10" s="1"/>
  <c r="E13" i="8"/>
  <c r="F13" i="8" s="1"/>
  <c r="E190" i="10"/>
  <c r="F190" i="10" s="1"/>
  <c r="D1219" i="11"/>
  <c r="G1219" i="11" s="1"/>
  <c r="H1220" i="11" s="1"/>
  <c r="D1874" i="3"/>
  <c r="G1874" i="3" s="1"/>
  <c r="H1875" i="3" s="1"/>
  <c r="H1886" i="3" s="1"/>
  <c r="H1888" i="3" s="1"/>
  <c r="D202" i="3"/>
  <c r="G202" i="3" s="1"/>
  <c r="H203" i="3" s="1"/>
  <c r="H213" i="3" s="1"/>
  <c r="H215" i="3" s="1"/>
  <c r="D769" i="3"/>
  <c r="G769" i="3" s="1"/>
  <c r="H771" i="3" s="1"/>
  <c r="H781" i="3" s="1"/>
  <c r="H783" i="3" s="1"/>
  <c r="D795" i="3"/>
  <c r="G795" i="3" s="1"/>
  <c r="H797" i="3" s="1"/>
  <c r="H807" i="3" s="1"/>
  <c r="H809" i="3" s="1"/>
  <c r="D554" i="3"/>
  <c r="G554" i="3" s="1"/>
  <c r="H556" i="3" s="1"/>
  <c r="H566" i="3" s="1"/>
  <c r="H568" i="3" s="1"/>
  <c r="D714" i="3"/>
  <c r="G714" i="3" s="1"/>
  <c r="H717" i="3" s="1"/>
  <c r="H727" i="3" s="1"/>
  <c r="H729" i="3" s="1"/>
  <c r="D528" i="3"/>
  <c r="G528" i="3" s="1"/>
  <c r="H530" i="3" s="1"/>
  <c r="H540" i="3" s="1"/>
  <c r="H542" i="3" s="1"/>
  <c r="D1614" i="3"/>
  <c r="G1614" i="3" s="1"/>
  <c r="H1616" i="3" s="1"/>
  <c r="H1626" i="3" s="1"/>
  <c r="H1628" i="3" s="1"/>
  <c r="D687" i="3"/>
  <c r="G687" i="3" s="1"/>
  <c r="H690" i="3" s="1"/>
  <c r="H700" i="3" s="1"/>
  <c r="H702" i="3" s="1"/>
  <c r="D502" i="3"/>
  <c r="G502" i="3" s="1"/>
  <c r="H504" i="3" s="1"/>
  <c r="H514" i="3" s="1"/>
  <c r="H516" i="3" s="1"/>
  <c r="D873" i="3"/>
  <c r="G873" i="3" s="1"/>
  <c r="H876" i="3" s="1"/>
  <c r="H886" i="3" s="1"/>
  <c r="H888" i="3" s="1"/>
  <c r="D450" i="3"/>
  <c r="G450" i="3" s="1"/>
  <c r="H452" i="3" s="1"/>
  <c r="H462" i="3" s="1"/>
  <c r="H464" i="3" s="1"/>
  <c r="D900" i="3"/>
  <c r="G900" i="3" s="1"/>
  <c r="H903" i="3" s="1"/>
  <c r="H913" i="3" s="1"/>
  <c r="H915" i="3" s="1"/>
  <c r="D821" i="3"/>
  <c r="G821" i="3" s="1"/>
  <c r="H823" i="3" s="1"/>
  <c r="H833" i="3" s="1"/>
  <c r="H835" i="3" s="1"/>
  <c r="D1725" i="3"/>
  <c r="G1725" i="3" s="1"/>
  <c r="H1727" i="3" s="1"/>
  <c r="H1737" i="3" s="1"/>
  <c r="H1739" i="3" s="1"/>
  <c r="D1587" i="3"/>
  <c r="G1587" i="3" s="1"/>
  <c r="H1589" i="3" s="1"/>
  <c r="H1599" i="3" s="1"/>
  <c r="H1601" i="3" s="1"/>
  <c r="D741" i="3"/>
  <c r="G741" i="3" s="1"/>
  <c r="D1755" i="3"/>
  <c r="G1755" i="3" s="1"/>
  <c r="H1757" i="3" s="1"/>
  <c r="H1767" i="3" s="1"/>
  <c r="H1769" i="3" s="1"/>
  <c r="D1560" i="3"/>
  <c r="G1560" i="3" s="1"/>
  <c r="H1562" i="3" s="1"/>
  <c r="H1572" i="3" s="1"/>
  <c r="H1574" i="3" s="1"/>
  <c r="D660" i="3"/>
  <c r="G660" i="3" s="1"/>
  <c r="H663" i="3" s="1"/>
  <c r="H673" i="3" s="1"/>
  <c r="H675" i="3" s="1"/>
  <c r="D1419" i="3"/>
  <c r="G1419" i="3" s="1"/>
  <c r="H1422" i="3" s="1"/>
  <c r="H1432" i="3" s="1"/>
  <c r="H1434" i="3" s="1"/>
  <c r="D1785" i="3"/>
  <c r="G1785" i="3" s="1"/>
  <c r="H1787" i="3" s="1"/>
  <c r="H1797" i="3" s="1"/>
  <c r="H1799" i="3" s="1"/>
  <c r="D1365" i="3"/>
  <c r="G1365" i="3" s="1"/>
  <c r="H1368" i="3" s="1"/>
  <c r="H1378" i="3" s="1"/>
  <c r="H1380" i="3" s="1"/>
  <c r="D1392" i="3"/>
  <c r="G1392" i="3" s="1"/>
  <c r="H1395" i="3" s="1"/>
  <c r="H1405" i="3" s="1"/>
  <c r="H1407" i="3" s="1"/>
  <c r="D1958" i="3"/>
  <c r="G1958" i="3" s="1"/>
  <c r="H1959" i="3" s="1"/>
  <c r="H1969" i="3" s="1"/>
  <c r="H1971" i="3" s="1"/>
  <c r="D476" i="3"/>
  <c r="G476" i="3" s="1"/>
  <c r="H478" i="3" s="1"/>
  <c r="H488" i="3" s="1"/>
  <c r="H490" i="3" s="1"/>
  <c r="D1533" i="3"/>
  <c r="G1533" i="3" s="1"/>
  <c r="H1535" i="3" s="1"/>
  <c r="H1545" i="3" s="1"/>
  <c r="H1547" i="3" s="1"/>
  <c r="D1338" i="3"/>
  <c r="G1338" i="3" s="1"/>
  <c r="H1341" i="3" s="1"/>
  <c r="H1351" i="3" s="1"/>
  <c r="H1353" i="3" s="1"/>
  <c r="D1816" i="3"/>
  <c r="G1816" i="3" s="1"/>
  <c r="H1818" i="3" s="1"/>
  <c r="D1449" i="3"/>
  <c r="G1449" i="3" s="1"/>
  <c r="H1453" i="3" s="1"/>
  <c r="H1463" i="3" s="1"/>
  <c r="H1465" i="3" s="1"/>
  <c r="D1695" i="3"/>
  <c r="G1695" i="3" s="1"/>
  <c r="H1697" i="3" s="1"/>
  <c r="H1707" i="3" s="1"/>
  <c r="H1709" i="3" s="1"/>
  <c r="D1479" i="3"/>
  <c r="G1479" i="3" s="1"/>
  <c r="H1481" i="3" s="1"/>
  <c r="H1491" i="3" s="1"/>
  <c r="H1493" i="3" s="1"/>
  <c r="D926" i="3"/>
  <c r="G926" i="3" s="1"/>
  <c r="H929" i="3" s="1"/>
  <c r="H939" i="3" s="1"/>
  <c r="H941" i="3" s="1"/>
  <c r="D1036" i="3"/>
  <c r="G1036" i="3" s="1"/>
  <c r="H1038" i="3" s="1"/>
  <c r="H1048" i="3" s="1"/>
  <c r="H1050" i="3" s="1"/>
  <c r="D1506" i="3"/>
  <c r="G1506" i="3" s="1"/>
  <c r="H1508" i="3" s="1"/>
  <c r="H1518" i="3" s="1"/>
  <c r="H1520" i="3" s="1"/>
  <c r="D1843" i="3"/>
  <c r="G1843" i="3" s="1"/>
  <c r="H1845" i="3" s="1"/>
  <c r="H1855" i="3" s="1"/>
  <c r="H1857" i="3" s="1"/>
  <c r="D1312" i="3"/>
  <c r="G1312" i="3" s="1"/>
  <c r="H1315" i="3" s="1"/>
  <c r="H1325" i="3" s="1"/>
  <c r="H1327" i="3" s="1"/>
  <c r="E192" i="10"/>
  <c r="F192" i="10" s="1"/>
  <c r="E134" i="10"/>
  <c r="F134" i="10" s="1"/>
  <c r="E36" i="10"/>
  <c r="F36" i="10" s="1"/>
  <c r="E62" i="10"/>
  <c r="F62" i="10" s="1"/>
  <c r="E30" i="10"/>
  <c r="F30" i="10" s="1"/>
  <c r="E104" i="10"/>
  <c r="F104" i="10" s="1"/>
  <c r="E65" i="10"/>
  <c r="F65" i="10" s="1"/>
  <c r="E156" i="10"/>
  <c r="F156" i="10" s="1"/>
  <c r="E39" i="10"/>
  <c r="F39" i="10" s="1"/>
  <c r="E66" i="10"/>
  <c r="F66" i="10" s="1"/>
  <c r="E129" i="10"/>
  <c r="F129" i="10" s="1"/>
  <c r="F10" i="10"/>
  <c r="F82" i="8"/>
  <c r="E24" i="8"/>
  <c r="F24" i="8" s="1"/>
  <c r="E10" i="8"/>
  <c r="F10" i="8" s="1"/>
  <c r="E27" i="8"/>
  <c r="F27" i="8" s="1"/>
  <c r="E193" i="10"/>
  <c r="F193" i="10" s="1"/>
  <c r="E29" i="8"/>
  <c r="F29" i="8" s="1"/>
  <c r="E219" i="10"/>
  <c r="F219" i="10" s="1"/>
  <c r="E92" i="10"/>
  <c r="F92" i="10" s="1"/>
  <c r="E71" i="10"/>
  <c r="F71" i="10" s="1"/>
  <c r="E227" i="10"/>
  <c r="F227" i="10" s="1"/>
  <c r="E204" i="10"/>
  <c r="F204" i="10" s="1"/>
  <c r="E138" i="10"/>
  <c r="F138" i="10" s="1"/>
  <c r="E23" i="10"/>
  <c r="F23" i="10" s="1"/>
  <c r="E37" i="10"/>
  <c r="F37" i="10" s="1"/>
  <c r="E64" i="8"/>
  <c r="F64" i="8" s="1"/>
  <c r="E122" i="10"/>
  <c r="F122" i="10" s="1"/>
  <c r="E24" i="10"/>
  <c r="F24" i="10" s="1"/>
  <c r="E79" i="10"/>
  <c r="F79" i="10" s="1"/>
  <c r="H1828" i="3"/>
  <c r="H1830" i="3" s="1"/>
  <c r="E128" i="10"/>
  <c r="F128" i="10" s="1"/>
  <c r="E45" i="8"/>
  <c r="F45" i="8" s="1"/>
  <c r="E152" i="10"/>
  <c r="F152" i="10" s="1"/>
  <c r="E98" i="10"/>
  <c r="F98" i="10" s="1"/>
  <c r="E19" i="10"/>
  <c r="F19" i="10" s="1"/>
  <c r="E52" i="10"/>
  <c r="F52" i="10" s="1"/>
  <c r="E112" i="10"/>
  <c r="F112" i="10" s="1"/>
  <c r="F406" i="19"/>
  <c r="F20" i="18"/>
  <c r="E9" i="8"/>
  <c r="F9" i="8" s="1"/>
  <c r="E36" i="8"/>
  <c r="F36" i="8" s="1"/>
  <c r="E35" i="8"/>
  <c r="F35" i="8" s="1"/>
  <c r="E232" i="10"/>
  <c r="F232" i="10" s="1"/>
  <c r="E146" i="10"/>
  <c r="F146" i="10" s="1"/>
  <c r="E13" i="10"/>
  <c r="F13" i="10" s="1"/>
  <c r="E69" i="10"/>
  <c r="F69" i="10" s="1"/>
  <c r="E91" i="10"/>
  <c r="F91" i="10" s="1"/>
  <c r="E46" i="10"/>
  <c r="F46" i="10" s="1"/>
  <c r="H1346" i="11"/>
  <c r="H1348" i="11" s="1"/>
  <c r="E206" i="10"/>
  <c r="F206" i="10" s="1"/>
  <c r="H2213" i="3"/>
  <c r="H2215" i="3" s="1"/>
  <c r="E236" i="10"/>
  <c r="F236" i="10" s="1"/>
  <c r="E189" i="10"/>
  <c r="F189" i="10" s="1"/>
  <c r="E194" i="10"/>
  <c r="F194" i="10" s="1"/>
  <c r="E185" i="10"/>
  <c r="F185" i="10" s="1"/>
  <c r="E123" i="10"/>
  <c r="F123" i="10" s="1"/>
  <c r="E208" i="10"/>
  <c r="F208" i="10" s="1"/>
  <c r="E23" i="8"/>
  <c r="F23" i="8" s="1"/>
  <c r="E126" i="10"/>
  <c r="F126" i="10" s="1"/>
  <c r="E72" i="8"/>
  <c r="F72" i="8" s="1"/>
  <c r="E200" i="10"/>
  <c r="F200" i="10" s="1"/>
  <c r="E160" i="10"/>
  <c r="F160" i="10" s="1"/>
  <c r="E86" i="10"/>
  <c r="F86" i="10" s="1"/>
  <c r="E212" i="10"/>
  <c r="F212" i="10" s="1"/>
  <c r="E101" i="10"/>
  <c r="F101" i="10" s="1"/>
  <c r="E51" i="8"/>
  <c r="F51" i="8" s="1"/>
  <c r="E168" i="10"/>
  <c r="F168" i="10" s="1"/>
  <c r="E22" i="8"/>
  <c r="F22" i="8" s="1"/>
  <c r="E50" i="8"/>
  <c r="F50" i="8" s="1"/>
  <c r="E235" i="10"/>
  <c r="F235" i="10" s="1"/>
  <c r="E231" i="10"/>
  <c r="F231" i="10" s="1"/>
  <c r="E8" i="10"/>
  <c r="F8" i="10" s="1"/>
  <c r="E214" i="10"/>
  <c r="F214" i="10" s="1"/>
  <c r="E223" i="10"/>
  <c r="F223" i="10" s="1"/>
  <c r="E218" i="10"/>
  <c r="F218" i="10" s="1"/>
  <c r="E9" i="10"/>
  <c r="F9" i="10" s="1"/>
  <c r="E140" i="10"/>
  <c r="F140" i="10" s="1"/>
  <c r="E196" i="10"/>
  <c r="F196" i="10" s="1"/>
  <c r="E178" i="10"/>
  <c r="F178" i="10" s="1"/>
  <c r="E124" i="10"/>
  <c r="F124" i="10" s="1"/>
  <c r="E165" i="10"/>
  <c r="F165" i="10" s="1"/>
  <c r="E53" i="8"/>
  <c r="F53" i="8" s="1"/>
  <c r="E117" i="10"/>
  <c r="F117" i="10" s="1"/>
  <c r="E161" i="10"/>
  <c r="F161" i="10" s="1"/>
  <c r="E67" i="8"/>
  <c r="F67" i="8" s="1"/>
  <c r="E37" i="8"/>
  <c r="F37" i="8" s="1"/>
  <c r="E237" i="10"/>
  <c r="F237" i="10" s="1"/>
  <c r="E207" i="10"/>
  <c r="F207" i="10" s="1"/>
  <c r="E186" i="10"/>
  <c r="F186" i="10" s="1"/>
  <c r="E182" i="10"/>
  <c r="F182" i="10" s="1"/>
  <c r="E131" i="10"/>
  <c r="F131" i="10" s="1"/>
  <c r="E170" i="10"/>
  <c r="F170" i="10" s="1"/>
  <c r="E40" i="10"/>
  <c r="F40" i="10" s="1"/>
  <c r="E78" i="10"/>
  <c r="F78" i="10" s="1"/>
  <c r="E64" i="10"/>
  <c r="F64" i="10" s="1"/>
  <c r="E163" i="10"/>
  <c r="F163" i="10" s="1"/>
  <c r="F90" i="8"/>
  <c r="E83" i="10"/>
  <c r="F83" i="10" s="1"/>
  <c r="F83" i="18"/>
  <c r="B435" i="10"/>
  <c r="E431" i="10"/>
  <c r="E430" i="10"/>
  <c r="E429" i="10"/>
  <c r="E17" i="8"/>
  <c r="F17" i="8" s="1"/>
  <c r="E222" i="10"/>
  <c r="F222" i="10" s="1"/>
  <c r="H1230" i="11"/>
  <c r="H1232" i="11" s="1"/>
  <c r="E148" i="10"/>
  <c r="F148" i="10" s="1"/>
  <c r="E17" i="10"/>
  <c r="F17" i="10" s="1"/>
  <c r="E94" i="10"/>
  <c r="F94" i="10" s="1"/>
  <c r="E48" i="10"/>
  <c r="F48" i="10" s="1"/>
  <c r="E234" i="10"/>
  <c r="F234" i="10" s="1"/>
  <c r="E150" i="10"/>
  <c r="F150" i="10" s="1"/>
  <c r="E16" i="10"/>
  <c r="F16" i="10" s="1"/>
  <c r="E96" i="10"/>
  <c r="F96" i="10" s="1"/>
  <c r="E50" i="10"/>
  <c r="F50" i="10" s="1"/>
  <c r="E174" i="10"/>
  <c r="F174" i="10" s="1"/>
  <c r="E149" i="10"/>
  <c r="F149" i="10" s="1"/>
  <c r="E95" i="10"/>
  <c r="F95" i="10" s="1"/>
  <c r="E49" i="10"/>
  <c r="F49" i="10" s="1"/>
  <c r="E70" i="10"/>
  <c r="F70" i="10" s="1"/>
  <c r="E15" i="10"/>
  <c r="F15" i="10" s="1"/>
  <c r="E166" i="10"/>
  <c r="F166" i="10" s="1"/>
  <c r="F405" i="10"/>
  <c r="E205" i="10"/>
  <c r="F205" i="10" s="1"/>
  <c r="E32" i="8"/>
  <c r="F32" i="8" s="1"/>
  <c r="E43" i="8"/>
  <c r="F43" i="8" s="1"/>
  <c r="F76" i="8" s="1"/>
  <c r="E120" i="10"/>
  <c r="F120" i="10" s="1"/>
  <c r="E38" i="10"/>
  <c r="F38" i="10" s="1"/>
  <c r="E69" i="8"/>
  <c r="F69" i="8" s="1"/>
  <c r="E130" i="10"/>
  <c r="F130" i="10" s="1"/>
  <c r="F91" i="18"/>
  <c r="E162" i="10"/>
  <c r="F162" i="10" s="1"/>
  <c r="E132" i="10"/>
  <c r="F132" i="10" s="1"/>
  <c r="E87" i="10"/>
  <c r="F87" i="10" s="1"/>
  <c r="E47" i="8"/>
  <c r="F47" i="8" s="1"/>
  <c r="F19" i="8" l="1"/>
  <c r="H744" i="3"/>
  <c r="H754" i="3" s="1"/>
  <c r="H756" i="3" s="1"/>
  <c r="F11" i="19"/>
  <c r="E239" i="10"/>
  <c r="F239" i="10" s="1"/>
  <c r="F241" i="10" s="1"/>
  <c r="E179" i="10"/>
  <c r="F179" i="10" s="1"/>
  <c r="E109" i="10"/>
  <c r="F109" i="10" s="1"/>
  <c r="E175" i="10"/>
  <c r="F175" i="10" s="1"/>
  <c r="E159" i="10"/>
  <c r="F159" i="10" s="1"/>
  <c r="E80" i="10"/>
  <c r="F80" i="10" s="1"/>
  <c r="E26" i="10"/>
  <c r="F26" i="10" s="1"/>
  <c r="E75" i="10"/>
  <c r="F75" i="10" s="1"/>
  <c r="E27" i="10"/>
  <c r="F27" i="10" s="1"/>
  <c r="E110" i="10"/>
  <c r="F110" i="10" s="1"/>
  <c r="E51" i="10"/>
  <c r="F51" i="10" s="1"/>
  <c r="E72" i="10"/>
  <c r="F72" i="10" s="1"/>
  <c r="E151" i="10"/>
  <c r="F151" i="10" s="1"/>
  <c r="E18" i="10"/>
  <c r="F18" i="10" s="1"/>
  <c r="E97" i="10"/>
  <c r="F97" i="10" s="1"/>
  <c r="E108" i="10"/>
  <c r="F108" i="10" s="1"/>
  <c r="E107" i="10"/>
  <c r="F107" i="10" s="1"/>
  <c r="E157" i="10"/>
  <c r="F157" i="10" s="1"/>
  <c r="E58" i="10"/>
  <c r="F58" i="10" s="1"/>
  <c r="E103" i="10"/>
  <c r="F103" i="10" s="1"/>
  <c r="E29" i="10"/>
  <c r="F29" i="10" s="1"/>
  <c r="F39" i="8"/>
  <c r="F173" i="8" s="1"/>
  <c r="E224" i="10"/>
  <c r="F224" i="10" s="1"/>
  <c r="E31" i="10"/>
  <c r="F31" i="10" s="1"/>
  <c r="E25" i="10"/>
  <c r="F25" i="10" s="1"/>
  <c r="E176" i="10"/>
  <c r="F176" i="10" s="1"/>
  <c r="F216" i="10" s="1"/>
  <c r="E74" i="10"/>
  <c r="F74" i="10" s="1"/>
  <c r="E432" i="10"/>
  <c r="E433" i="10" s="1"/>
  <c r="B434" i="10" s="1"/>
  <c r="B436" i="10" s="1"/>
  <c r="E198" i="10"/>
  <c r="F198" i="10" s="1"/>
  <c r="F171" i="10"/>
  <c r="E106" i="10"/>
  <c r="F106" i="10" s="1"/>
  <c r="E102" i="10"/>
  <c r="F102" i="10" s="1"/>
  <c r="E28" i="10"/>
  <c r="F28" i="10" s="1"/>
  <c r="E57" i="10"/>
  <c r="F57" i="10" s="1"/>
  <c r="E158" i="10"/>
  <c r="F158" i="10" s="1"/>
  <c r="E220" i="10"/>
  <c r="F220" i="10" s="1"/>
  <c r="F228" i="10" s="1"/>
  <c r="E73" i="10"/>
  <c r="F73" i="10" s="1"/>
  <c r="F88" i="10" s="1"/>
  <c r="F143" i="10" l="1"/>
  <c r="F428" i="10" s="1"/>
  <c r="F67" i="10"/>
  <c r="F43" i="10"/>
  <c r="F174" i="18"/>
  <c r="F242" i="19"/>
  <c r="F172" i="19"/>
  <c r="F229" i="19"/>
  <c r="F44" i="19"/>
  <c r="F89" i="19"/>
  <c r="F144" i="19"/>
  <c r="F68" i="19"/>
  <c r="F217" i="19"/>
  <c r="B438" i="10"/>
  <c r="B439" i="10" s="1"/>
  <c r="B437" i="10"/>
  <c r="G88" i="10"/>
  <c r="F175" i="18" l="1"/>
  <c r="F177" i="18" s="1"/>
  <c r="D6" i="15" s="1"/>
  <c r="F426" i="19"/>
  <c r="F438" i="10"/>
  <c r="F429" i="10"/>
  <c r="F430" i="10"/>
  <c r="F432" i="10" s="1"/>
  <c r="F431" i="10"/>
  <c r="F427" i="19" l="1"/>
  <c r="F429" i="19"/>
  <c r="F428" i="19"/>
  <c r="F431" i="19" s="1"/>
  <c r="F434" i="10"/>
  <c r="F440" i="10" s="1"/>
  <c r="F439" i="10"/>
  <c r="F441" i="10" s="1"/>
  <c r="F435" i="10" l="1"/>
  <c r="F436" i="10" s="1"/>
  <c r="F433" i="19" l="1"/>
  <c r="D5" i="15" l="1"/>
  <c r="D7" i="15" l="1"/>
</calcChain>
</file>

<file path=xl/sharedStrings.xml><?xml version="1.0" encoding="utf-8"?>
<sst xmlns="http://schemas.openxmlformats.org/spreadsheetml/2006/main" count="20441" uniqueCount="1680">
  <si>
    <t>Item</t>
  </si>
  <si>
    <t>Descripción</t>
  </si>
  <si>
    <t>PRELIMINARES</t>
  </si>
  <si>
    <t>Localización y replanteo</t>
  </si>
  <si>
    <t>2.1</t>
  </si>
  <si>
    <t>Obra Civil</t>
  </si>
  <si>
    <t>kg</t>
  </si>
  <si>
    <t>und</t>
  </si>
  <si>
    <t>ml</t>
  </si>
  <si>
    <t>2.2</t>
  </si>
  <si>
    <t>Equipos y Accesorios</t>
  </si>
  <si>
    <t>3.1</t>
  </si>
  <si>
    <t>4.1</t>
  </si>
  <si>
    <t>4.2</t>
  </si>
  <si>
    <t>Compuerta en acero inoxidable según diseño</t>
  </si>
  <si>
    <t>4.3</t>
  </si>
  <si>
    <t>REACTORES UASB</t>
  </si>
  <si>
    <t>LECHOS DE SECADO</t>
  </si>
  <si>
    <t>Medio filtrante de grava</t>
  </si>
  <si>
    <t>Medio filtrante de arena fina</t>
  </si>
  <si>
    <t>Medio filtrante de arena gruesa</t>
  </si>
  <si>
    <t>Ladrillo común (6,5x10x23) para sobreponer sobre la arena fina</t>
  </si>
  <si>
    <t>EDIFICIO COMPLEMENTARIO - OFICINAS, BAÑOS Y LABORATORIO</t>
  </si>
  <si>
    <t>Preliminares</t>
  </si>
  <si>
    <t>Teja asbesto cemento  # 4</t>
  </si>
  <si>
    <t>Caballete teja asbesto cemento fijo</t>
  </si>
  <si>
    <t>Pintura mano de obra (3M)</t>
  </si>
  <si>
    <t>Ducha mezcladora Griv L Prisma-Galax (m)</t>
  </si>
  <si>
    <t>Toallero gancho</t>
  </si>
  <si>
    <t>Jaboneras</t>
  </si>
  <si>
    <t>Toallero barra</t>
  </si>
  <si>
    <t>Meson (Concreto + Enchape en Grano Pulido)</t>
  </si>
  <si>
    <t>Griferia lavamanos</t>
  </si>
  <si>
    <t>Griferia lavaplatos</t>
  </si>
  <si>
    <t>Rejillas para piso con sosco 3"</t>
  </si>
  <si>
    <t>Refrigerador de muestras</t>
  </si>
  <si>
    <t>CERRAMIENTO</t>
  </si>
  <si>
    <t xml:space="preserve">Localización y replanteo </t>
  </si>
  <si>
    <t>Poste tubo galvanizado 1 1/2"x3mm Cal.11</t>
  </si>
  <si>
    <t>Instalación poste tubo galv. + pintura</t>
  </si>
  <si>
    <t>Malla eslabonada galv. #10 rombo 2"</t>
  </si>
  <si>
    <t>Alambron - varilla tensor malla</t>
  </si>
  <si>
    <t>Puerta metálica para entrada principal de dos naves de 2,50 metros de ancho cada una, por 2 metros de alto, en marco de tubo de 1 1/2" de diámetro y malla eslabonada calibre 10, ojo de 2" con puerta peatonal de 2 m de alto por 0,80 m de ancho</t>
  </si>
  <si>
    <t>Sardinel trapezoidal B(15-20) H=36-45cm</t>
  </si>
  <si>
    <t>Gl</t>
  </si>
  <si>
    <t>PUESTA EN MARCHA</t>
  </si>
  <si>
    <t>Cielo falso - C.F. lámina board</t>
  </si>
  <si>
    <t>Lucetas lámina fija H&lt;0,50 Cal. 20</t>
  </si>
  <si>
    <t>Escaleras de acceso en concreto de 21 MPa (3000 psi), 0.80 m de ancho</t>
  </si>
  <si>
    <t>Suministro, Corte, flejado y colocación del Acero de refuerzo 420 MPa (60000 psi)</t>
  </si>
  <si>
    <t>Suministro y vaciado de concreto simple para solado e=0.05; 21 MPa (3000 psi)</t>
  </si>
  <si>
    <t>Codos 90º CxC, PVC sanitaria 8 pulgadas</t>
  </si>
  <si>
    <t>Codos 45° CxC, PVC sanitaria 8 pulgadas</t>
  </si>
  <si>
    <t>Suministro e instalacion de cinta Sika PVC -  juntas de construcción</t>
  </si>
  <si>
    <t>Descapote a máquina + retiro</t>
  </si>
  <si>
    <t>Retiro de sobrantes máquina &lt;= 10 km</t>
  </si>
  <si>
    <t>Division metálica ducha</t>
  </si>
  <si>
    <t>Baranda de protección construida con tubería de Hierro Galvanizado de 2", incluyendo los aceesorios de empalmes como tees y codos, con pintura anticorrosiva y terminados con pintura laca amarilla.</t>
  </si>
  <si>
    <t>Baranda de protección construida con tubería de Hierro Galvanizado de 2", incluyendo los aceesorios de empalmes como tes y codos, con pintura anticorrosiva y terminados en laca color amarillo.</t>
  </si>
  <si>
    <t>Domos construidos en fibra de vídrio de espesor un centímetro como mínimo, según diseño, peso total de cada unidad mínimo 75 kilos, con capacidad para soportar cargas puntuales de 200 kilogramos</t>
  </si>
  <si>
    <t>Bandejas en acero inoxidable según diseño</t>
  </si>
  <si>
    <t xml:space="preserve">Suministro, Corte, flejado y colocación del Acero de refuerzo 420 MPa (60000 psi) </t>
  </si>
  <si>
    <t>Estuco muros semiplástico (listo)</t>
  </si>
  <si>
    <t>Sistema de barrelodos mecanico en aluminio con partes en acero inoxidable AISI 304 para aquellas que se encuentran en contacto con el agua; brazo de 9,5 m de radio medidos desde el centro del sedimentador hasta el eje de la linea donde se apoya la rueda que gira y soporta el extremo del eje rotatorio. El sistema incluye puente de 600 mm de ancho en lámina en aluminio plisada, cuchilla barredora en neopreno 60 shore provista con orificios para ajuste de la altura durante la puesta en marcha,barandas con regleta intermedia y zócalo, regleta vertical, tapa de inspección, motoreductor SEW o similar con alimentación 230/400V, rueda de tracción tipo PROTEMPO o similar de nucleo en hierro fundido con llanta en poliuretano, desnatador y tolva en acero inoxidable AISI 304, cilindro central difusor en aluminio, vertederos en lámina de acero inoxidable en platina según diseño, en lámina de 1/16", 304, anclada al borde interno, en la parte superior de los muros laterales del sedimentador, según diseño. (suministro a todo costo)</t>
  </si>
  <si>
    <t>VIAS, PARQUEADEROS Y EMPRADIZADOS</t>
  </si>
  <si>
    <t>m²</t>
  </si>
  <si>
    <t>m³</t>
  </si>
  <si>
    <t>Sub-Base granular 95% P.M. Invias N-320. Suministro e Instalación</t>
  </si>
  <si>
    <t>Base granular 100% P.M. Norma Invias E=330. Suministro e Instalación</t>
  </si>
  <si>
    <t>Conformación + Compactación fondo excavación</t>
  </si>
  <si>
    <t>Acodalamiento Tipo "B" - 3 Usos. SEI</t>
  </si>
  <si>
    <t>Prueba de fuga y estanqueidad</t>
  </si>
  <si>
    <t>Vertedero sutro en acero inoxidable 304 o fibra de vidrio 0,005 según diseño para aforo de caudales</t>
  </si>
  <si>
    <t>glb</t>
  </si>
  <si>
    <t>ESTACIÓN DE BOMBEO PRINCIPAL - AFLUENTE REACTORES UASB</t>
  </si>
  <si>
    <t>Mamposteria ladrillo común</t>
  </si>
  <si>
    <t>Puesta en marcha sistema de tratamiento (Incluye personal calificado, análisis de laboratorio y equipos)</t>
  </si>
  <si>
    <t xml:space="preserve"> </t>
  </si>
  <si>
    <t>ESTRUCTURAS DE ENTRADA: ESTRUCTURA DE SEPARACIÓN, CÁMARA DE ENTRADA Y VERTEDERO DE ALIVIO, REJLLAS FINA Y GRUESA, DESARENADOR Y TRAMPA DE GRASAS</t>
  </si>
  <si>
    <t>Suministro, transporte, colocación y vibración de concreto fluído 28 MPa (4000 psi) - para losa de fondo Impermeabilizado</t>
  </si>
  <si>
    <t>Suministro, transporte, colocación y vibración de concreto fluído 28 MPa (4000 psi) - para muros Impermeabilizado</t>
  </si>
  <si>
    <t>3.2.</t>
  </si>
  <si>
    <t>7.2</t>
  </si>
  <si>
    <t>9.1</t>
  </si>
  <si>
    <t>10.1</t>
  </si>
  <si>
    <t>Estufa</t>
  </si>
  <si>
    <t>1.1</t>
  </si>
  <si>
    <t>1.2</t>
  </si>
  <si>
    <t>1.3</t>
  </si>
  <si>
    <t>2.1.1</t>
  </si>
  <si>
    <t>2.1.2</t>
  </si>
  <si>
    <t>2.1.3</t>
  </si>
  <si>
    <t>2.1.4</t>
  </si>
  <si>
    <t>2.1.5</t>
  </si>
  <si>
    <t>2.1.6</t>
  </si>
  <si>
    <t>2.1.7</t>
  </si>
  <si>
    <t>2.1.8</t>
  </si>
  <si>
    <t>2.1.9</t>
  </si>
  <si>
    <t>2.1.10</t>
  </si>
  <si>
    <t>2.1.11</t>
  </si>
  <si>
    <t>2.1.12</t>
  </si>
  <si>
    <t>2.1.14</t>
  </si>
  <si>
    <t>2.1.15</t>
  </si>
  <si>
    <t>2.1.16</t>
  </si>
  <si>
    <t>2.1.18</t>
  </si>
  <si>
    <t>2.2.1</t>
  </si>
  <si>
    <t>2.2.2</t>
  </si>
  <si>
    <t>2.2.3</t>
  </si>
  <si>
    <t>2.2.12</t>
  </si>
  <si>
    <t>2.2.13</t>
  </si>
  <si>
    <t>2.2.14</t>
  </si>
  <si>
    <t>2.2.15</t>
  </si>
  <si>
    <t>2.2.16</t>
  </si>
  <si>
    <t>2.3.1</t>
  </si>
  <si>
    <t>2.3.2</t>
  </si>
  <si>
    <t>2.3.3</t>
  </si>
  <si>
    <t>3.1.1</t>
  </si>
  <si>
    <t>3.1.2</t>
  </si>
  <si>
    <t>3.1.3</t>
  </si>
  <si>
    <t>3.1.4</t>
  </si>
  <si>
    <t>3.1.5</t>
  </si>
  <si>
    <t>3.1.6</t>
  </si>
  <si>
    <t>3.1.7</t>
  </si>
  <si>
    <t>3.1.8</t>
  </si>
  <si>
    <t>3.1.9</t>
  </si>
  <si>
    <t>3.1.13</t>
  </si>
  <si>
    <t>3.1.19</t>
  </si>
  <si>
    <t>3.1.20</t>
  </si>
  <si>
    <t>3.1.21</t>
  </si>
  <si>
    <t>3.2.4</t>
  </si>
  <si>
    <t>3.2.5</t>
  </si>
  <si>
    <t>3.2.7</t>
  </si>
  <si>
    <t>3.2.8</t>
  </si>
  <si>
    <t>3.2.9</t>
  </si>
  <si>
    <t>3.2.11</t>
  </si>
  <si>
    <t>3.2.12</t>
  </si>
  <si>
    <t>3.2.13</t>
  </si>
  <si>
    <t>4.1.1</t>
  </si>
  <si>
    <t>4.1.2</t>
  </si>
  <si>
    <t>4.1.3</t>
  </si>
  <si>
    <t>4.1.4</t>
  </si>
  <si>
    <t>4.1.5</t>
  </si>
  <si>
    <t>4.1.6</t>
  </si>
  <si>
    <t>4.1.7</t>
  </si>
  <si>
    <t>4.1.8</t>
  </si>
  <si>
    <t>4.1.10</t>
  </si>
  <si>
    <t>4.1.12</t>
  </si>
  <si>
    <t>4.1.13</t>
  </si>
  <si>
    <t>4.1.14</t>
  </si>
  <si>
    <t>4.1.17</t>
  </si>
  <si>
    <t>4.3.2</t>
  </si>
  <si>
    <t>4.3.4</t>
  </si>
  <si>
    <t>4.3.5</t>
  </si>
  <si>
    <t>10.1.1</t>
  </si>
  <si>
    <t>V/TOTAL</t>
  </si>
  <si>
    <t>CANTD</t>
  </si>
  <si>
    <t>V/UNIT</t>
  </si>
  <si>
    <t>UND</t>
  </si>
  <si>
    <t>TOTAL LECHOS DE SECADO</t>
  </si>
  <si>
    <t>Valvula Compuerta manual de operación 24" (incluye bastago, columna de maniobra e instalación)</t>
  </si>
  <si>
    <t>Rejilla gruesa construida con 15 platinas de acero inoxidable de e=1 1/2 de 0,60 de ancho por 1.10 m de largo, separadas entre sí 0.03 m, marco en acero inoxidable de 0,040 m</t>
  </si>
  <si>
    <t>Rejilla fina construida con 21 platinas de acero inoxidable de e=1 1/2 de 0,60 de ancho por  1.10 m de largo, separadas entre sí 0.015 m, con marco en acero inoxidable  de 0,040 m</t>
  </si>
  <si>
    <t>Bafle en acero inoxidable de 2,35 m x 1,50 m, e=0,06m</t>
  </si>
  <si>
    <t>DISEÑO PTAR CABECERA URBANA - SANTANDER DE QUILICHAO</t>
  </si>
  <si>
    <t>Suministro, transporte, colocación y vibración de concreto fluído 28 MPa (4000 psi) - para losa de fondo e=0,30m Impermeabilizado</t>
  </si>
  <si>
    <t>Suministro, transporte, colocación y vibración de concreto fluído 28 MPa (4000 psi) - para muros e=0,30mImpermeabilizado</t>
  </si>
  <si>
    <t>Tapas metálicas de área variable, lámina alfajor ASTM569 y e=4 mm, Incluye angulo</t>
  </si>
  <si>
    <t>Suministro Rastrillo en acero inoxidable según diseño</t>
  </si>
  <si>
    <t>Suministro Nasa plástica recolección flotantes</t>
  </si>
  <si>
    <t>Reduccion en HD 6" x 16" Brida - Brida</t>
  </si>
  <si>
    <t>Canaleta en acero inoxidable para recolección del efluente del reactor, con 42 vertederos triangulares b=0,30, h=0,25 anclado a muros con pernos cada 1,50 mt</t>
  </si>
  <si>
    <t>Canaleta metálica para fijación de domos y sello hidráulico, de 0,70 centímetros de ancho y de 10 centímeros de altura, construida en lámina de acero inoxidable de espesor 2mm, apoyada  en campanas de fibra de vidrio.</t>
  </si>
  <si>
    <t>Cámara distribuidora de caudales en acero inoxidable de espesor 1/8 según diseño con empalme para 8 mangueras de 15m de largo en polietileno de diametro 2"  con reducción de campana en punta de 3"x 1 1/2" para anclar con abrazaderas a fondo del reactor (suministro a todo costo)</t>
  </si>
  <si>
    <t>Manguera elastica en Polietileno diametro 2" L=10mt</t>
  </si>
  <si>
    <t>MANEJO DE LODOS</t>
  </si>
  <si>
    <t>3.3</t>
  </si>
  <si>
    <t>EDIFICACION UNIDAD OPERACIÓN BOMBAS</t>
  </si>
  <si>
    <t>Replanteo de muros</t>
  </si>
  <si>
    <t>Muro ladrillo común tizón revitado</t>
  </si>
  <si>
    <t>Muro Calado arcilla roja 0.20x0.20 T-San Benito</t>
  </si>
  <si>
    <t>Cornisa ladrillo</t>
  </si>
  <si>
    <t>Entramado cubierta amarillo ó Chanúl (3x6)" + (2x2)" + Caña-M</t>
  </si>
  <si>
    <t>Contrapiso concreto 21 Mpa 3.000 psi. H=0.15 -Niv. +0.00</t>
  </si>
  <si>
    <t>Cubierta teja común de barro</t>
  </si>
  <si>
    <t>Repello sobre cielo 1:3 más acabado en vinílico</t>
  </si>
  <si>
    <t>Limpieza y aseo final para entrega</t>
  </si>
  <si>
    <t>Puerta 2.4x2.0 T-Reja tubo cuadrado 1"metal + Cerradura</t>
  </si>
  <si>
    <t>3.3.1</t>
  </si>
  <si>
    <t>3.3.2</t>
  </si>
  <si>
    <t>3.3.4</t>
  </si>
  <si>
    <t>3.3.5</t>
  </si>
  <si>
    <t>3.3.6</t>
  </si>
  <si>
    <t>3.3.7</t>
  </si>
  <si>
    <t>3.3.8</t>
  </si>
  <si>
    <t>3.3.9</t>
  </si>
  <si>
    <t>3.3.10</t>
  </si>
  <si>
    <t>3.3.11</t>
  </si>
  <si>
    <t>3.3.13</t>
  </si>
  <si>
    <t>3.3.14</t>
  </si>
  <si>
    <t>3.3.16</t>
  </si>
  <si>
    <t>3.3.17</t>
  </si>
  <si>
    <t>3.3.18</t>
  </si>
  <si>
    <t>3.3.19</t>
  </si>
  <si>
    <t>4.1.20</t>
  </si>
  <si>
    <t>4.1.21</t>
  </si>
  <si>
    <t>Machon en concreto simple de 1,40m x 1,33m x 0,65m de 21 Mpa 3000 psi</t>
  </si>
  <si>
    <t>4.1.22</t>
  </si>
  <si>
    <t>Escalera metalica según diseño</t>
  </si>
  <si>
    <t>Aspersores en fibra de vidrio, que consta de: estructura soporte en fibra de vidrio, Tuberia PVC 2" con orificios de 1" y con rosca macho para su instalacion</t>
  </si>
  <si>
    <t>Medio filtrante plástico cascade filtrepack YTH 1120 o similar</t>
  </si>
  <si>
    <t>4.1.23</t>
  </si>
  <si>
    <t>Tee presion PVC 6" x 3"</t>
  </si>
  <si>
    <t>Tee presion PVC 3" x 2"</t>
  </si>
  <si>
    <t>Adaptador Hembra 2" PVC</t>
  </si>
  <si>
    <t>Viga en Ángulo en aluminio calibre 5 mm y 0,20m de ancho. Incluye pernos para anclado a muro interno del filtro y abrazaderas de 3"</t>
  </si>
  <si>
    <t>Codo 45° x 3" en HD Brida - Brida</t>
  </si>
  <si>
    <t>Localizacion y replanteo alcantarillado</t>
  </si>
  <si>
    <t>1. ACTIVIDADES PRELIMINARES</t>
  </si>
  <si>
    <t>1.1. DESCAPOTE A MAQUINA + RETIRO</t>
  </si>
  <si>
    <t>Tratamiento Preliminar:</t>
  </si>
  <si>
    <t>Vias y Parqueadero:</t>
  </si>
  <si>
    <t>Estacion de Bombeo</t>
  </si>
  <si>
    <t>TOTAL M3 DESCAPOTE</t>
  </si>
  <si>
    <t>1.2. LOCALIZACION Y REPLANTEO</t>
  </si>
  <si>
    <t>Tratamiento preliminar</t>
  </si>
  <si>
    <t>Vias y parqueadero</t>
  </si>
  <si>
    <t>Lechos de secado</t>
  </si>
  <si>
    <t>Unidad de Operaciones</t>
  </si>
  <si>
    <t>TOTAL M2 LOCALIZACION Y REPLANTEO</t>
  </si>
  <si>
    <t>1.3. LOCALIZACION Y REPLANTEO ALCANTARILLADO</t>
  </si>
  <si>
    <t>Tratamiento preliminar + Estacion Bombeo</t>
  </si>
  <si>
    <t>Lechos de Secado 1</t>
  </si>
  <si>
    <t>Reactor UASB</t>
  </si>
  <si>
    <t>Volumen</t>
  </si>
  <si>
    <t>Suministro, transporte, colocación y vibración de concreto fluído 21 MPa (3000 psi) - para losa de fondo Impermeabilizado e=0,20m</t>
  </si>
  <si>
    <t>Suministro, transporte, colocación y vibración de concreto fluído 21 MPa (3000 psi) - para muros Impermeabilizado e=0,20m</t>
  </si>
  <si>
    <t>Suministro, transporte, colocación y vibración de concreto fluído 28 MPa (4000 psi) - para muros Impermeabilizado e=0,40</t>
  </si>
  <si>
    <t>Tratamiento Preliminar</t>
  </si>
  <si>
    <t>Lechos de secado 1</t>
  </si>
  <si>
    <t>Rampa de acceso a tratamiento preliminar en concreto de 1,2m de ancho</t>
  </si>
  <si>
    <t>Rampa de acceso a tratamiento preliminar en concreto de 1,5m de ancho</t>
  </si>
  <si>
    <t>Geotextil no tejido 2500 o similares</t>
  </si>
  <si>
    <t>Construccion anden perimetral e=10cm, en concreto de 21 Mpa (3000 psi)</t>
  </si>
  <si>
    <t>Valvula mariposa salida de arenas a la caja de recoleccion diametro 8"</t>
  </si>
  <si>
    <t>Escaleras de gato en hierro de 3/4", según diseño por peldaño</t>
  </si>
  <si>
    <t>Codos 90º CxC, PVC sanitaria 4 pulgadas</t>
  </si>
  <si>
    <t>Cerramiento Planta</t>
  </si>
  <si>
    <t>2.1.13</t>
  </si>
  <si>
    <t>2.1.17</t>
  </si>
  <si>
    <t>Longitud</t>
  </si>
  <si>
    <t>TOTAL GEOTEXTIL</t>
  </si>
  <si>
    <t>TOTAL CONF + COMP</t>
  </si>
  <si>
    <t>OBRA CIVIL</t>
  </si>
  <si>
    <t>ITEMS GENERALES</t>
  </si>
  <si>
    <t>TOTAL SOLADO</t>
  </si>
  <si>
    <t>Suministro, transporte, colocación y vibración de concreto fluído 28 MPa (4000 psi) para losa de fondo</t>
  </si>
  <si>
    <t>Suministro, transporte, colocación y vibración de concreto fluído 28 MPa (4000 psi) - para muros</t>
  </si>
  <si>
    <t>TOTAL PRELIMINAR MUROS</t>
  </si>
  <si>
    <t>Tratamiento Preliminar e=0,30</t>
  </si>
  <si>
    <t>TOTAL MUROS UASB</t>
  </si>
  <si>
    <t>TOTAL MUROS LECHOS</t>
  </si>
  <si>
    <t>TOTAL CINTA SIKA PVC</t>
  </si>
  <si>
    <t>Construccion Talud Tratamiento Preliminar</t>
  </si>
  <si>
    <t>Descapo (m)</t>
  </si>
  <si>
    <t>Volumen (m3)</t>
  </si>
  <si>
    <t>Area (m2)</t>
  </si>
  <si>
    <t>Area Trans (m2)</t>
  </si>
  <si>
    <t>Long (m)</t>
  </si>
  <si>
    <t>volumen (m3)</t>
  </si>
  <si>
    <t>Espesor (m)</t>
  </si>
  <si>
    <t>Profundidad (m)</t>
  </si>
  <si>
    <t>Longitud (m)</t>
  </si>
  <si>
    <t>Ancho (m)</t>
  </si>
  <si>
    <t>Unidad de Tratamiento</t>
  </si>
  <si>
    <t>TOTAL VOLUMEN (m3)</t>
  </si>
  <si>
    <t>Relleno con material granular seleccionado compactado al 95% P.M. e= 0,30m</t>
  </si>
  <si>
    <t>Relleno con material granular seleccionado compactado al 95% P.M. e=0,30m</t>
  </si>
  <si>
    <t>Relleno con material granular seleccionado compactado al 95% P.M. - fondo e=0,30m</t>
  </si>
  <si>
    <t>Relleno con material seleccionado, compactado al 95% P.M para base reactor UASB e=0,30m</t>
  </si>
  <si>
    <t>Excavacion mecanica Bajo agua</t>
  </si>
  <si>
    <t>Excavación mecánica bajo agua sin retiro</t>
  </si>
  <si>
    <t>2.2.6</t>
  </si>
  <si>
    <t>3.2.6</t>
  </si>
  <si>
    <t>3.2.14</t>
  </si>
  <si>
    <t>3.2.17</t>
  </si>
  <si>
    <t>TOTAL TRATAMIENTO PRELIMINAR</t>
  </si>
  <si>
    <t>TOTAL ESTACION DE BOMBEO</t>
  </si>
  <si>
    <t>TOTAL REACTOR UASB</t>
  </si>
  <si>
    <t>Camara de Medicion</t>
  </si>
  <si>
    <t>TOTAL CAMARA DE MEDICION</t>
  </si>
  <si>
    <t>TOTAL LECHOS DE SECADO 1</t>
  </si>
  <si>
    <t>m2</t>
  </si>
  <si>
    <t>Codo en HD 150mm en HD (6") x 45°, Brida - Brida</t>
  </si>
  <si>
    <t>Válvula de cheque HD 150 mm (6"), brida - brida, ANSI 150 psi</t>
  </si>
  <si>
    <t>Válvula de mariposa, HD 150 mm (6"), brida - brida ANSI 150 psi</t>
  </si>
  <si>
    <t>Instalación tubería y niples en HD (6") HD 150mm</t>
  </si>
  <si>
    <t>Instalación tubería y niples en HD (16") HD 400mm</t>
  </si>
  <si>
    <t>Instalación accesorios en HD (6") HD 150mm</t>
  </si>
  <si>
    <t>Instalación accesorios en HD (16") HD 400 mm</t>
  </si>
  <si>
    <t>Tubería en  HD , Diametro HD 400mm  (16") hasta distribuccion Reactores UASB</t>
  </si>
  <si>
    <t>Valvula Cheque Bridada (10") en HD, HD 250mm</t>
  </si>
  <si>
    <t>Union desmontaje en HD (14") HD 350mm  Brida - Brida</t>
  </si>
  <si>
    <t>Instalación tubería y niples HD (6") HD 150mm</t>
  </si>
  <si>
    <t>Instalación tubería y niples en HD (10"), HD 250mm</t>
  </si>
  <si>
    <t>Instalación accesorios en HD  (6"), HD 150mm</t>
  </si>
  <si>
    <t>Instalación accesorios en HD  (10") HD 250mm</t>
  </si>
  <si>
    <t>Tuberia en HD (4") HD 100mm</t>
  </si>
  <si>
    <t>Valvula mariposa en HD (4") HD 100mm</t>
  </si>
  <si>
    <t>Cruz en HD (4") HD 100mm</t>
  </si>
  <si>
    <t>Tee en HD (4") HD 100mm</t>
  </si>
  <si>
    <t>Tuberia en HD (10") HD 250mm</t>
  </si>
  <si>
    <t>Tuberia en HD (14") HD 350mm</t>
  </si>
  <si>
    <t>Codo en HD 90° x 12" HD 300mm</t>
  </si>
  <si>
    <t>Instalación tubería y niples en HD (14"), HD 350mm</t>
  </si>
  <si>
    <t>Yee en HD de 4" x 3" HD 100 x 50 Bridada</t>
  </si>
  <si>
    <t>Válvula de cierre, HD 100 mm (4"), brida - brida ANSI 150 psi</t>
  </si>
  <si>
    <t>Codo en HD 150mm  (6") x 90°, Brida - Brida</t>
  </si>
  <si>
    <t>Codos en  400mm HD (16") x 90°, Brida - Brida</t>
  </si>
  <si>
    <t>Unión acople Universal HD 150 mm HD (6") Brida - Brida</t>
  </si>
  <si>
    <t>Unión Desmontaje 400mm HD (16") Brida - Brida</t>
  </si>
  <si>
    <t>Niple en 150mm HD (6"), Brida - Brida (L=1,30 m)</t>
  </si>
  <si>
    <t>Niple en HD 150mm HD (6"), Brida - Brida (L=1,00 m)</t>
  </si>
  <si>
    <t>Niple en 150mm HD (6"), Brida - Brida (L=0,30 m)</t>
  </si>
  <si>
    <t>Niple en HD 400mm HD (16"), Brida - Brida (L=0,50 m)</t>
  </si>
  <si>
    <t>Yee en HD 150mm HD (6") BridaxBridaxBrida + Brida ciega</t>
  </si>
  <si>
    <t>Yee en HD 400mm HD (16") BridaxBridaxBrida</t>
  </si>
  <si>
    <t>Reactores UASB</t>
  </si>
  <si>
    <t>Longitud (ml)</t>
  </si>
  <si>
    <t>Machon en Concreto de 0,2m de altura para tuberia HD de 14"</t>
  </si>
  <si>
    <t>2.1.20</t>
  </si>
  <si>
    <t>Machon en Concreto de 0,17m de altura para tuberia HD de 6"</t>
  </si>
  <si>
    <t>4.1.24</t>
  </si>
  <si>
    <t>Ancho</t>
  </si>
  <si>
    <t>Profundidad</t>
  </si>
  <si>
    <t>Camara medicion de efluente</t>
  </si>
  <si>
    <t>Espesor 0,30m</t>
  </si>
  <si>
    <t>Espesor 0,05m</t>
  </si>
  <si>
    <t>Cruz HD (14"x10") Brida - Brida - Brida</t>
  </si>
  <si>
    <t>Union desmontaje en HD (12") HD 300mm  Brida - Brida</t>
  </si>
  <si>
    <t>Codo 90° x 10" HD Brida - Brida</t>
  </si>
  <si>
    <t>Codo 90° x 14" HD Brida - Brida</t>
  </si>
  <si>
    <t>Tee en HD 14", HD 350mm Brida - Brida</t>
  </si>
  <si>
    <t>Reduccion en HD 14" x 12" Brida - Brida</t>
  </si>
  <si>
    <t>Niple en HD Brida - Brida 10" L=1,51m</t>
  </si>
  <si>
    <t>Niple en HD Brida - Brida 14" L=1,00m</t>
  </si>
  <si>
    <t>Niple en HD Brida - Brida 14" L=0,40m</t>
  </si>
  <si>
    <t>Niple en HD Brida - Brida 14" L=0,30m</t>
  </si>
  <si>
    <t>Niple en HD Brida - Brida 14" L=0,50m</t>
  </si>
  <si>
    <t>Niple en HD Brida - Brida 14" L=0,80m</t>
  </si>
  <si>
    <t>Niple en HD Brida - Brida 14" L=0,60m</t>
  </si>
  <si>
    <t>Niple en HD Brida - Brida 10" L=1,60m</t>
  </si>
  <si>
    <t>Niple en HD Brida - Brida 14" L=2,00m</t>
  </si>
  <si>
    <t>Excavacion Manual Cajas Reactor Uasb</t>
  </si>
  <si>
    <t>Caja de Valvulas</t>
  </si>
  <si>
    <t>Prof (m)</t>
  </si>
  <si>
    <t>Cajas de entrada y Salida</t>
  </si>
  <si>
    <t>Caja Valvulas Recirculacion</t>
  </si>
  <si>
    <t>Caja efluente hacia filtro percolador</t>
  </si>
  <si>
    <t>TOTAL</t>
  </si>
  <si>
    <t>Codo 90° x 1" PVC Presion</t>
  </si>
  <si>
    <t>Codo 45° x 1" PVC Presion</t>
  </si>
  <si>
    <t>Codo 90° x 2" PVC Presion</t>
  </si>
  <si>
    <t>Llave Acero al Carbon 2"</t>
  </si>
  <si>
    <t>Codo 90° x 6" HD Brida - Brida</t>
  </si>
  <si>
    <t>Tuberia en HD (6") HD 150mm</t>
  </si>
  <si>
    <t xml:space="preserve">Tubería PVC presión (1.1/2") Ventilación, unión soldada colectora de línea principal del gas del reactor UASB </t>
  </si>
  <si>
    <t>Niple en HD Brida - Brida 6" L=2,99</t>
  </si>
  <si>
    <t>Niple en HD Brida - Brida 6" L=3,30</t>
  </si>
  <si>
    <t>Niple en HD Brida - Brida 6" L=0,2m</t>
  </si>
  <si>
    <t>Cruz HD 6" Bridada</t>
  </si>
  <si>
    <t>Tee HD 6" Bridada</t>
  </si>
  <si>
    <t>Cruz HD 10"x6" Bridada</t>
  </si>
  <si>
    <t>Tee HD 10" Bridada</t>
  </si>
  <si>
    <t>Reducion  en HD 10"x6" Brida - Brida</t>
  </si>
  <si>
    <t>Instalación accesorios en HD  (14") HD 250mm</t>
  </si>
  <si>
    <t>Yee en HD de 12", HD 300mm BxBxB + Brida Ciega</t>
  </si>
  <si>
    <t>Cabezal de descarga efluente final 30"</t>
  </si>
  <si>
    <t>Deflector superior Separador GLS (Gas-Liquido-Solido) L=1,71m en fibra de vídrio 1/8 soportado sobre lamina de aluminio y pernos de acero L=5" x 1/2" arandela y mariposa de ajuste en acero 1/2" cada 0,50 mt.</t>
  </si>
  <si>
    <t>Construccion cuneta para aguas lluvias para REACTOR UASB</t>
  </si>
  <si>
    <t>CUNETA AGUAS LLUVIAS  TRATAMIENTO PRELIMINAR</t>
  </si>
  <si>
    <t>CUNETA AGUAS LLUVIAS UASB</t>
  </si>
  <si>
    <t>Construcion talud M= 3V:2H - Tierra in situ (95% PM)</t>
  </si>
  <si>
    <t>Medio filtrante de gravilla</t>
  </si>
  <si>
    <t>Codo en HD 100 mm (4") x 90°, Brida - Brida</t>
  </si>
  <si>
    <t>Tee en HD 100X100 (4"X4"), brida - brida</t>
  </si>
  <si>
    <t>Niple en HD 100 mm (4"), Brida - Brida (L=1,00m)</t>
  </si>
  <si>
    <t>Niple en HD 100 mm (4"), Brida - Liso (L=1,10m)</t>
  </si>
  <si>
    <t>Codo 90° x 4" PVC Sanitaria</t>
  </si>
  <si>
    <t>DESCAPOTE MAQUINA MAS RETIRO</t>
  </si>
  <si>
    <t xml:space="preserve">UNIDAD: </t>
  </si>
  <si>
    <t>I. EQUIPO</t>
  </si>
  <si>
    <t>CODIGO</t>
  </si>
  <si>
    <t>DESCRIPCIÓN</t>
  </si>
  <si>
    <t>UNIDAD</t>
  </si>
  <si>
    <t>TARIFA</t>
  </si>
  <si>
    <t>RENDIMIENTO</t>
  </si>
  <si>
    <t>DESP (%)</t>
  </si>
  <si>
    <t>VALOR UNITARIO</t>
  </si>
  <si>
    <t>MQ0207</t>
  </si>
  <si>
    <t>Volqueta 5 m3</t>
  </si>
  <si>
    <t>VJE</t>
  </si>
  <si>
    <t>MQ0210</t>
  </si>
  <si>
    <t>Retroexcavadora Cargadora JD-510</t>
  </si>
  <si>
    <t>HRS</t>
  </si>
  <si>
    <t>MQ0301</t>
  </si>
  <si>
    <t>Herramienta menor</t>
  </si>
  <si>
    <t>GLB</t>
  </si>
  <si>
    <t>Subtotal</t>
  </si>
  <si>
    <t>II. MATERIALES</t>
  </si>
  <si>
    <t>-</t>
  </si>
  <si>
    <t>III. MANO DE OBRA</t>
  </si>
  <si>
    <t>IV. TRANSPORTE</t>
  </si>
  <si>
    <t>Total</t>
  </si>
  <si>
    <t>gob + 10%</t>
  </si>
  <si>
    <t>TOTAL COSTOS DIRECTOS ($/m2)</t>
  </si>
  <si>
    <t>LOCALIZACIÓN Y REPLANTEO</t>
  </si>
  <si>
    <t>Herramienta Menor</t>
  </si>
  <si>
    <t>Liston 2x2x300 Otobo</t>
  </si>
  <si>
    <t>Puntilla 2 CC</t>
  </si>
  <si>
    <t>LBS</t>
  </si>
  <si>
    <t>Piola Gruesa 50 metros</t>
  </si>
  <si>
    <t>ROL</t>
  </si>
  <si>
    <t>Mineral rojo</t>
  </si>
  <si>
    <t>KLS</t>
  </si>
  <si>
    <t>MOAG12</t>
  </si>
  <si>
    <t>Mano de Obra Albañilería 2 ayudantes - 1 Oficial</t>
  </si>
  <si>
    <t>HC</t>
  </si>
  <si>
    <t>MOTO01</t>
  </si>
  <si>
    <t>Mano de Obra Topografía 1 cadenero-1 TOP</t>
  </si>
  <si>
    <t>LOCALIZACION Y REPLANTEO ACUEDUCTO-ALCANTARILLADO</t>
  </si>
  <si>
    <t>TOTAL COSTOS DIRECTOS ($/ml)</t>
  </si>
  <si>
    <t>EXCAVACIÓN MECANICA BAJO AGUA SIN RETIRO</t>
  </si>
  <si>
    <t>m3</t>
  </si>
  <si>
    <t>MQ0205</t>
  </si>
  <si>
    <t>Retroexcavadora JD-510</t>
  </si>
  <si>
    <t>MQ0113</t>
  </si>
  <si>
    <t>Motobomba 3"</t>
  </si>
  <si>
    <t>DIA</t>
  </si>
  <si>
    <t>MOAG01</t>
  </si>
  <si>
    <t>Mano de obra albañileria - 1 ayudante</t>
  </si>
  <si>
    <t>emcali + 10%</t>
  </si>
  <si>
    <t>TOTAL COSTOS DIRECTOS ($/m3)</t>
  </si>
  <si>
    <t>RETIRO SOBRANTES MAQUINA &lt;= 10 KM</t>
  </si>
  <si>
    <t>MQ0204</t>
  </si>
  <si>
    <t>Motoniveladora CAT-12-F</t>
  </si>
  <si>
    <t>MQ0206</t>
  </si>
  <si>
    <t>Vibrocompactador CA-15</t>
  </si>
  <si>
    <t>MQ0222</t>
  </si>
  <si>
    <t>Carrotanque agua</t>
  </si>
  <si>
    <t xml:space="preserve">Roca muerta </t>
  </si>
  <si>
    <t>MOAG03</t>
  </si>
  <si>
    <t>Mano obra albañileria - 3 ayudantes</t>
  </si>
  <si>
    <t>MQ0227</t>
  </si>
  <si>
    <t>Volqueta transporte materiales petreos 1 - 10 kms</t>
  </si>
  <si>
    <t>M3</t>
  </si>
  <si>
    <t>M2</t>
  </si>
  <si>
    <t>Geotextil no tejido ref. 2500</t>
  </si>
  <si>
    <t>Mano de obra albañileria 3 ayudante</t>
  </si>
  <si>
    <t>TOTAL COSTOS DIRECTOS ($/M2)</t>
  </si>
  <si>
    <t>ME0105</t>
  </si>
  <si>
    <t>Mezcla concreto 1:2:3 3000 PSI 21 MPA</t>
  </si>
  <si>
    <t>MOAG11</t>
  </si>
  <si>
    <t>Mano obra albañileria - 1 ayudante - 1 oficial</t>
  </si>
  <si>
    <t>BASICO</t>
  </si>
  <si>
    <t>MEZCLA CONCRETO 1:2:3 3000 PSI - 21 MPA</t>
  </si>
  <si>
    <t>MQ0112</t>
  </si>
  <si>
    <t>Mezcladora de 2 sacos</t>
  </si>
  <si>
    <t>MQ0500</t>
  </si>
  <si>
    <t>vibrador de concreto</t>
  </si>
  <si>
    <t>Agua (EMCALI)</t>
  </si>
  <si>
    <t>LTS</t>
  </si>
  <si>
    <t>Arena gruesa</t>
  </si>
  <si>
    <t>Grava triturada 3/4 color azul</t>
  </si>
  <si>
    <t>Gasolina corriente</t>
  </si>
  <si>
    <t>GLN</t>
  </si>
  <si>
    <t>Cemento gris tipo portland</t>
  </si>
  <si>
    <t>SACO</t>
  </si>
  <si>
    <t>Aceite motor 4 tiempos</t>
  </si>
  <si>
    <t>MOAG02</t>
  </si>
  <si>
    <t>Mano de obra cuadrilla de concretos</t>
  </si>
  <si>
    <t>Agua (Emcali)</t>
  </si>
  <si>
    <t>PLASTOCRETE DM</t>
  </si>
  <si>
    <t>Grava triturada 3/8"</t>
  </si>
  <si>
    <t>Cementro gris (tipo portland)</t>
  </si>
  <si>
    <t>formaleta en madera</t>
  </si>
  <si>
    <t>Suministro, transporte, colocación y vibración de concreto fluído 28 MPa (4000 psi) - para muros e=0,30m Impermeabilizado</t>
  </si>
  <si>
    <t>kls</t>
  </si>
  <si>
    <t>Alambre negro #18 (R=50K MTS/KLS-1.24M)</t>
  </si>
  <si>
    <t>Segueta sin marco (953 Hierro)</t>
  </si>
  <si>
    <t>Hierro de 60000 PSI 420 MPA</t>
  </si>
  <si>
    <t>Mano obra albañileria - 1 ayudante</t>
  </si>
  <si>
    <t>TOTAL COSTOS DIRECTOS ($/kl)</t>
  </si>
  <si>
    <t xml:space="preserve">Cinta PVC Junta V-15 </t>
  </si>
  <si>
    <t>ML</t>
  </si>
  <si>
    <t>MOIS01</t>
  </si>
  <si>
    <t>Mano de obra  1 ayudante - 1 oficial</t>
  </si>
  <si>
    <t>gob+10%</t>
  </si>
  <si>
    <t>PASAMURO DIAMETRO 4"</t>
  </si>
  <si>
    <t>Pasamuro diametro 100cm</t>
  </si>
  <si>
    <t>PASAMURO DIAMETRO 8"</t>
  </si>
  <si>
    <t>Pasamuro diametro 200cm</t>
  </si>
  <si>
    <t>basico</t>
  </si>
  <si>
    <t>TOTAL COSTOS DIRECTOS ($/und)</t>
  </si>
  <si>
    <t>Rampa de acceso a tratamiento preliminar en concreto de 21 Mpa (3000 psi) de 1,2m de ancho</t>
  </si>
  <si>
    <t>Rampa de acceso a tratamiento preliminar en concreto de 21 Mpa (3000 psi) de 1,5m de ancho</t>
  </si>
  <si>
    <t>MQ0125</t>
  </si>
  <si>
    <t>Vibrocompactador tipo rana</t>
  </si>
  <si>
    <t>dia</t>
  </si>
  <si>
    <t>pruebas de fuga y estanqueidad</t>
  </si>
  <si>
    <t>TOTAL COSTOS DIRECTOS ($/glb)</t>
  </si>
  <si>
    <t>Mano de obra albañileria 1 ayudante</t>
  </si>
  <si>
    <t>Volqueta transporte materiales petreos 1 - 10 km</t>
  </si>
  <si>
    <t>MQ0601</t>
  </si>
  <si>
    <t>Andamio metalico tubular</t>
  </si>
  <si>
    <t>U/D</t>
  </si>
  <si>
    <t>Mano de obra hidrosanitaria 1 ayudante - 1 oficial</t>
  </si>
  <si>
    <t>MQ0118</t>
  </si>
  <si>
    <t>Soldador electrico</t>
  </si>
  <si>
    <t>MOME02</t>
  </si>
  <si>
    <t>Mano de obra metalisteria 2 ayudantes - 2 oficiales</t>
  </si>
  <si>
    <t>REG. Lamina en acero inoxidable (C = 9,1 x 0,4 m)</t>
  </si>
  <si>
    <t>Rastrillo lamina en acero inoxidable</t>
  </si>
  <si>
    <t>Mano de obra albañileria 1 ayudante - 1 oficial</t>
  </si>
  <si>
    <t>GL</t>
  </si>
  <si>
    <t>Mano de obra albañileria - 3 ayudantes</t>
  </si>
  <si>
    <t>Ladrillo sucio comun</t>
  </si>
  <si>
    <t>m</t>
  </si>
  <si>
    <t>TOTAL COSTOS DIRECTOS ($/m)</t>
  </si>
  <si>
    <t>PLI</t>
  </si>
  <si>
    <t>Anticorrosivo PHCL</t>
  </si>
  <si>
    <t>CUÑ</t>
  </si>
  <si>
    <t>MOME01</t>
  </si>
  <si>
    <t>Mano de obra metalisteria 1 ayudante - 1 oficial</t>
  </si>
  <si>
    <t>,</t>
  </si>
  <si>
    <t>Soldadulra PVC, 1/4 GLN Pavco</t>
  </si>
  <si>
    <t>Limpiador PVC 760 gr, 1/4 GLN Pavco</t>
  </si>
  <si>
    <t>MOIS02</t>
  </si>
  <si>
    <t>Mano de obra hidrosanitaria 1 ayudante - 1 oficial + 10% A2</t>
  </si>
  <si>
    <t>Tuberia PVC presion 3"</t>
  </si>
  <si>
    <t>Elemento filtro percolador material de polipropileno</t>
  </si>
  <si>
    <t>MQ0605</t>
  </si>
  <si>
    <t>Cruceta andamio</t>
  </si>
  <si>
    <t>Gancho especial eternit</t>
  </si>
  <si>
    <t>Mano de obra albañileria 2 ayudantes - 1 oficial</t>
  </si>
  <si>
    <t>MOCT01</t>
  </si>
  <si>
    <t>MEDIO FILTRANTE DE ARENA FINA</t>
  </si>
  <si>
    <t>Arena fina</t>
  </si>
  <si>
    <t>MEDIO FILTRANTE DE ARENA GRUESA</t>
  </si>
  <si>
    <t>KG</t>
  </si>
  <si>
    <t>Roca muerta</t>
  </si>
  <si>
    <t>Mezcla concreto 1:2:3 (3100 psi - 21 Mpa)</t>
  </si>
  <si>
    <t>ME0201</t>
  </si>
  <si>
    <t>Mortero 1:3</t>
  </si>
  <si>
    <t>ME0202</t>
  </si>
  <si>
    <t>Mortero 1:4</t>
  </si>
  <si>
    <t>Agua</t>
  </si>
  <si>
    <t xml:space="preserve">Tabla 1x10x300 OTOBO </t>
  </si>
  <si>
    <t>Hierro de 60000 PSI - 420 MPA</t>
  </si>
  <si>
    <t>Hierro de 37000 PSI - 259 MPA</t>
  </si>
  <si>
    <t>ME0203</t>
  </si>
  <si>
    <t>Mortero 1:2</t>
  </si>
  <si>
    <t>CAMARA DE INSPECCIÓN TIPO B H=2,01-2,50M</t>
  </si>
  <si>
    <t>Codo Sanitario PVC 2"x90º CxC</t>
  </si>
  <si>
    <t>Soldadura PVC 1/4 GLN PAVCO</t>
  </si>
  <si>
    <t>Tuberia sanitaria 2" PVC PAVCO</t>
  </si>
  <si>
    <t>WAIPE</t>
  </si>
  <si>
    <t>Limpiador PVC 760 Gr, 1/4 GLN PAVCO</t>
  </si>
  <si>
    <t>Codo Sanitario PVC 3"x90º CxC</t>
  </si>
  <si>
    <t>Tuberia sanitaria 3" PVC PAVCO</t>
  </si>
  <si>
    <t>Codo Sanitario PVC 4"x90º CxC</t>
  </si>
  <si>
    <t>Tuberia sanitaria 4" PVC PAVCO</t>
  </si>
  <si>
    <t>Alambre negro #18 R=50K MTS/ LS 1,24 m</t>
  </si>
  <si>
    <t>ME0107</t>
  </si>
  <si>
    <t>Hierro 3/8" 37000 CH en chipa</t>
  </si>
  <si>
    <t>INSTALACIÓN MEDIDOR DE AGUA</t>
  </si>
  <si>
    <t>Codo presión 1/2x90º</t>
  </si>
  <si>
    <t>Espuma 4 cm de espesor</t>
  </si>
  <si>
    <t>Niple galvanizado 1/2x10cm</t>
  </si>
  <si>
    <t>Tuberia presión 1/2 RDE - 9</t>
  </si>
  <si>
    <t>Union presion PVC 1/2"</t>
  </si>
  <si>
    <t>Cinta teflon 10 mts</t>
  </si>
  <si>
    <t>Mano de obra hidrosanitaria ayudante - 1 oficial + 10% A2</t>
  </si>
  <si>
    <t>LLAVE TEMINAL BRONCE</t>
  </si>
  <si>
    <t>Llave jardineria bronce liviana (grival bronce)</t>
  </si>
  <si>
    <t>Unión galvanizada 3/4"</t>
  </si>
  <si>
    <t>Mano de obra hidrosanitaria ayudante - 1 oficial</t>
  </si>
  <si>
    <t>Mezcla concreto 1:2:3 (3100 PSI - 21 MPA)</t>
  </si>
  <si>
    <t>Tabla 1x10x300 OTOBO</t>
  </si>
  <si>
    <t>Vareta 2"x2"x3m OTOBO</t>
  </si>
  <si>
    <t>MAMPOSTERIA LADRILLO COMUN</t>
  </si>
  <si>
    <t>ENCHAPE CERAMICO 20X20 CORONA</t>
  </si>
  <si>
    <t>Pegacor blanco Corona R:30100</t>
  </si>
  <si>
    <t>Cemento blanco (saco de 40 kilos)</t>
  </si>
  <si>
    <t>BTO</t>
  </si>
  <si>
    <t>Enchape ceramico EGEO 20,5 (Ceramica 20,5x20,5)</t>
  </si>
  <si>
    <t>ESTUCO MURO SEMIPLASTICO (LISTO)</t>
  </si>
  <si>
    <t>Estuco plastico (listo) - Bulto 25k Blanco-Color</t>
  </si>
  <si>
    <t>Lija 400</t>
  </si>
  <si>
    <t>MOPI01</t>
  </si>
  <si>
    <t>Mano obra pintura 1 ayudante - 1 oficial</t>
  </si>
  <si>
    <t>MOAA01</t>
  </si>
  <si>
    <t>Mano de obra acabados 1 ayudante - 1 oficial</t>
  </si>
  <si>
    <t>C.F. LAMINA BOARD 1214X605X6 MM P. ALUMINIO</t>
  </si>
  <si>
    <t>MQ601</t>
  </si>
  <si>
    <t>Tee aluminio, 7/8"x3/4" (Tira de 6 metros)</t>
  </si>
  <si>
    <t>Estuco semiplastico (listo)</t>
  </si>
  <si>
    <t>KLs</t>
  </si>
  <si>
    <t>Vinilo acriltex tipo 2 - Pintuco</t>
  </si>
  <si>
    <t>Puntilla 1 1/2 AC Lisa</t>
  </si>
  <si>
    <t>Angulo 1x1 - 178x23 mm (L=6m cielo falso)</t>
  </si>
  <si>
    <t>Remache pop 4-2 1/4"x1/8"</t>
  </si>
  <si>
    <t>Placa board 6mm (1220x2440 26,40k)</t>
  </si>
  <si>
    <t>Alambre galvanizado #18 MTS/KLS - 1,24m</t>
  </si>
  <si>
    <t>Mano obra carpiteria taller 1 ayudante - 1 oficial</t>
  </si>
  <si>
    <t>Mano de obra pintura 1 ayudante - 1 oficial</t>
  </si>
  <si>
    <t>MQ0111</t>
  </si>
  <si>
    <t>Pulidora con piedra o disco</t>
  </si>
  <si>
    <t>Thiner (disolvente)</t>
  </si>
  <si>
    <t>Soldadura 6011 x 1/8" (Varilla - Electrica)</t>
  </si>
  <si>
    <t>TEJA ASBESTO CEMENTO #4</t>
  </si>
  <si>
    <t>Gancho P/teja Ascesto madera</t>
  </si>
  <si>
    <t>Teja asbesto cemento #4 (L=122/108 A=92/87cm)</t>
  </si>
  <si>
    <t>CABALLETE TEJA ASBESTO CEMENTO FIJO</t>
  </si>
  <si>
    <t>IGA gris (sellante) 5kg</t>
  </si>
  <si>
    <t>Caballete fijo asbesto cemento (L=94 U=87 cm P=15-20%)</t>
  </si>
  <si>
    <t>Mano de obra albañileria acabados 1 ayudante - 1 oficial</t>
  </si>
  <si>
    <t>PINTURA MANO DE OBRA (3M)</t>
  </si>
  <si>
    <t>LUCETA LAMINA FIJA H&lt;0,5 CAL. 20</t>
  </si>
  <si>
    <t>Lam. Cold. Rolled (C,20 1,00 mm - 100x200 cm)</t>
  </si>
  <si>
    <t>Lija 320</t>
  </si>
  <si>
    <t>Vidrio transparente 4 mm</t>
  </si>
  <si>
    <t>Masilla plastica tec panel inter - exter 28 kg supermastico</t>
  </si>
  <si>
    <t>VENTANA LAMINA VIDRIO-VARILLA CAL. 20 FIJA</t>
  </si>
  <si>
    <t>Lamina cold. Rolled C,20 1mm - 100x200cm</t>
  </si>
  <si>
    <t>Soldadura 6011 x 1/8" varilla electrica</t>
  </si>
  <si>
    <t>Silicona transparente 11oz</t>
  </si>
  <si>
    <t>Varilla redonda 1/2" 12mmx6m</t>
  </si>
  <si>
    <t>VAR</t>
  </si>
  <si>
    <t>MARCO LAMINA 1,51-2,00M CAL 20 PEST S/LUCE</t>
  </si>
  <si>
    <t>Bisagra 3x3" (cobriz)</t>
  </si>
  <si>
    <t>PAR</t>
  </si>
  <si>
    <t>Lamina Cold Rolled C.20 de 122x224 cm</t>
  </si>
  <si>
    <t>NAVE LAM. LLENA BAT.+CERR.+PINT CAL.20</t>
  </si>
  <si>
    <t>MQ0116</t>
  </si>
  <si>
    <t>Pulidora manual electrica</t>
  </si>
  <si>
    <t>SC0102</t>
  </si>
  <si>
    <t>Subcontrato carpinteria metalica</t>
  </si>
  <si>
    <t>Esmalte sintetico mate (Algreco)</t>
  </si>
  <si>
    <t>GLS</t>
  </si>
  <si>
    <t>Thiner</t>
  </si>
  <si>
    <t>Lamina Cold Roller C.20 de 122x244 cm</t>
  </si>
  <si>
    <t xml:space="preserve">Masilla plastica tec panel </t>
  </si>
  <si>
    <t>Falleva sobreponer 6" metalica</t>
  </si>
  <si>
    <t>DUCHA MEZCLADORA GRIX L PRISMA - GALAX (M)</t>
  </si>
  <si>
    <t>Griferia ducha mezcladora prisma (Grival)</t>
  </si>
  <si>
    <t>Cinta teflon 10 metros</t>
  </si>
  <si>
    <t>INCRUST. ACRILICA JABONERA PEQUEÑA</t>
  </si>
  <si>
    <t>Jabonera acrilica</t>
  </si>
  <si>
    <t>INCRUST. ACRILICO TOALLERA BARRA</t>
  </si>
  <si>
    <t>Toallero barra acrilico</t>
  </si>
  <si>
    <t>INCRUST. ACRILICO TOALLERO GANCHO</t>
  </si>
  <si>
    <t>Toallero gancho acrilico</t>
  </si>
  <si>
    <t>GRANITO PULIDO MESON 1/2 CANA+BASE+FALDO</t>
  </si>
  <si>
    <t>Acido muriatico (Quimico)</t>
  </si>
  <si>
    <t>Marmolina blanca</t>
  </si>
  <si>
    <t>Vareta 1"x1"x3m OTOBO</t>
  </si>
  <si>
    <t>Granito blanco #3 (25 kilos huila)</t>
  </si>
  <si>
    <t>Pirlan bronce (E=10mm H=19mm)</t>
  </si>
  <si>
    <t>Malla gallinero 1 1/4" (Rollo de 1,80 x 36m de largo)</t>
  </si>
  <si>
    <t>RLL</t>
  </si>
  <si>
    <t>Cera para pisos</t>
  </si>
  <si>
    <t>DIVISION BAÑO ACERO INOXIDABLE</t>
  </si>
  <si>
    <t>Perfil recibidor acero inoxidable C,18 de 3cm</t>
  </si>
  <si>
    <t>SANITARIO LINEA MEDIA (AVANTI)</t>
  </si>
  <si>
    <t>Cemento blanco Nare (saco 25 kilos)</t>
  </si>
  <si>
    <t>Sanitario Avanti (Griferia-Mueble-Porcelana)</t>
  </si>
  <si>
    <t>JGO</t>
  </si>
  <si>
    <t>Manguera flexible griflex (Grival REF. 38014001)</t>
  </si>
  <si>
    <t>LAVAMANOS SOBREPONER MEZC. LINEA MEDIA</t>
  </si>
  <si>
    <t>Lavamanos NOVA (sobre) 738 Griferia 71538</t>
  </si>
  <si>
    <t>LAVAPLATOS A. INOX. 50X100CM ESCURRIDERO</t>
  </si>
  <si>
    <t>Lavaplatos acero inoxidable sencillo (500x100 cm con escurridero)</t>
  </si>
  <si>
    <t>MOAA02</t>
  </si>
  <si>
    <t>Mano de obra albañileria acabados 2 ayudante - 1 oficial</t>
  </si>
  <si>
    <t>REJILLA SOSCO 4"X3" ALUMINIO</t>
  </si>
  <si>
    <t>Cemento gris (Conquistador)</t>
  </si>
  <si>
    <t>Rejilla SOSCO 4"x3" aluminio (Colrejilla)</t>
  </si>
  <si>
    <t>Volqueta transporte materiales petreos 1-10 kms</t>
  </si>
  <si>
    <t>POSTE TUBO GAL. 1 1/2"X3,0MM C.11</t>
  </si>
  <si>
    <t>Gorro aluminio 1 1/2" (Poste cerramiento)</t>
  </si>
  <si>
    <t>Soldadura 7018 x 1/8" (varilla electrica)</t>
  </si>
  <si>
    <t xml:space="preserve">Anticorrosivo Wash-Primer </t>
  </si>
  <si>
    <t>Esmalte pintura de aluminio cromada</t>
  </si>
  <si>
    <t>Tubo galvanizado 1 1/2" 3,00mm (L=6,0m acueducto)</t>
  </si>
  <si>
    <t>INSTALACIÓN POSTE TUBO GALV. + PINTURA</t>
  </si>
  <si>
    <t>MALLA ESLABONADA GALV #10 ROMBO 2"</t>
  </si>
  <si>
    <t>Malla eslabonada 2" #10</t>
  </si>
  <si>
    <t>Soldadura 6011 x 1/8"</t>
  </si>
  <si>
    <t>ALAMBRON - VARILLA TENSOR MALLA</t>
  </si>
  <si>
    <t>Alambre de puas #12,5 (Rollo 24 Kilos - 330 m)</t>
  </si>
  <si>
    <t>Mano de obra metalisteria 1 ayudantes - 1 oficiales</t>
  </si>
  <si>
    <t>SUB-BASE COMPAC. MAT. SELECC. 10K TIPO INVIAS</t>
  </si>
  <si>
    <t>Motocompactador CA-15</t>
  </si>
  <si>
    <t>MQ0221</t>
  </si>
  <si>
    <t>Volqueta (acarreo)</t>
  </si>
  <si>
    <t>M3K</t>
  </si>
  <si>
    <t>Sub-base triturada (compactada)</t>
  </si>
  <si>
    <t>Mano de obra albañileria 3 ayudantes</t>
  </si>
  <si>
    <t>BASE COMP. MAT. TRITURADO GRANULAR ACARR 10K</t>
  </si>
  <si>
    <t>Base triturada tipo invias</t>
  </si>
  <si>
    <t>IMPRIMACIÓN ASFALTICA MC-70</t>
  </si>
  <si>
    <t>MQ0220</t>
  </si>
  <si>
    <t>Carrotanque irrigador</t>
  </si>
  <si>
    <t>MQ0223</t>
  </si>
  <si>
    <t>Compresor</t>
  </si>
  <si>
    <t>Asfalto liquido MC-70</t>
  </si>
  <si>
    <t>CARPETA ASFALTICA 3"</t>
  </si>
  <si>
    <t>MQ0218</t>
  </si>
  <si>
    <t>Terminadora de asfalto</t>
  </si>
  <si>
    <t>MQ0219</t>
  </si>
  <si>
    <t>Compactador de llanta</t>
  </si>
  <si>
    <t>Concreto asfaltico</t>
  </si>
  <si>
    <t>MOAG15</t>
  </si>
  <si>
    <t>Mano de obra albañileria 5 ayudantes - 1 oficial</t>
  </si>
  <si>
    <t>MQ0123</t>
  </si>
  <si>
    <t>Vibrador a gasolina</t>
  </si>
  <si>
    <t>MQ0509</t>
  </si>
  <si>
    <t>Formaleta metalica sardinel trapezoidal</t>
  </si>
  <si>
    <t>Aceite quemado para formaleta</t>
  </si>
  <si>
    <t>REFRIGERADOR DE MUESTRAS</t>
  </si>
  <si>
    <t>MQ0216</t>
  </si>
  <si>
    <t>Limpiador pvc (1/4=760gr)</t>
  </si>
  <si>
    <t>Suprasold pvc (1/4gal)</t>
  </si>
  <si>
    <t>Codos 45º CxC, PVC sanitaria 8 pulgadas</t>
  </si>
  <si>
    <t>Compuerta en acero inoxidable</t>
  </si>
  <si>
    <t>Barra 3/4" X 1,0 m</t>
  </si>
  <si>
    <t>REG. fina en acero inoxidable</t>
  </si>
  <si>
    <t xml:space="preserve">Acodalamiento Tipo "B" - 3 Usos. </t>
  </si>
  <si>
    <t>cuarton otobo 2"x4"x3m</t>
  </si>
  <si>
    <t>guadua 6m</t>
  </si>
  <si>
    <t>tabla otobo 1"x10"x3m</t>
  </si>
  <si>
    <t>puntilla 3"</t>
  </si>
  <si>
    <t>lb</t>
  </si>
  <si>
    <t>Vibrocompactador de cilindro tipo Bomag</t>
  </si>
  <si>
    <t>acero de refuerzo 60000 psi</t>
  </si>
  <si>
    <t>Machon en Concreto de 0.3m de altura para tuberia HD de 14"</t>
  </si>
  <si>
    <t>TOTAL COSTOS DIRECTOS ($/ML)</t>
  </si>
  <si>
    <t>VOLQUETA DOBLE TROQUE</t>
  </si>
  <si>
    <t>Tubería en  HD , Diametro HD 150mm  (6") hasta distribuccion Reactores UASB</t>
  </si>
  <si>
    <t>TUBERIA HD DN 150MM</t>
  </si>
  <si>
    <t>TUBERIA HD DN 400MM</t>
  </si>
  <si>
    <t>TUBERIA HD DN 100MM</t>
  </si>
  <si>
    <t>Tubería PVC presión  25 mm (1") Ventilación, unión soldada colectora del gas del reactor UASB</t>
  </si>
  <si>
    <t>Tubería en  HD , Diametro 400mm  (16") hasta distribuccion Reactores UASB</t>
  </si>
  <si>
    <t>Tubería en  HD , Diametro  150mm  (6") hasta distribuccion Reactores UASB</t>
  </si>
  <si>
    <t>TUBERIA HD DN 250MM</t>
  </si>
  <si>
    <t>TUBERIA HD DN 350MM</t>
  </si>
  <si>
    <t>Tuberia en HD (3") HD 75mm</t>
  </si>
  <si>
    <t>TUBERIA HD DN 75MM</t>
  </si>
  <si>
    <t>Tuberia en HD (12") HD 300mm</t>
  </si>
  <si>
    <t>TUBERIA HD DN 300MM</t>
  </si>
  <si>
    <t>TOTAL COSTOS DIRECTOS ($/UND)</t>
  </si>
  <si>
    <t>CODO HD 150MM 90° B-B</t>
  </si>
  <si>
    <t>Codo en HD 400mm  (16") x 90°, Brida - Brida</t>
  </si>
  <si>
    <t>CODO HD 400MM 90° B-B</t>
  </si>
  <si>
    <t>valvula de mariposa 150MM B-B</t>
  </si>
  <si>
    <t>Codo en HD 100mm  (4") x 90°, Brida - Brida</t>
  </si>
  <si>
    <t>TUBERIA PVC PRESION 1"</t>
  </si>
  <si>
    <t>TUBERIA PVC PRESION 1.1/2"</t>
  </si>
  <si>
    <t xml:space="preserve">Tubería PVC presión (2") Ventilación, unión soldada colectora de línea principal del gas del reactor UASB </t>
  </si>
  <si>
    <t>TUBERIA PVC PRESION 2"</t>
  </si>
  <si>
    <t>Codo 90° x 1.1/2" PVC Presion</t>
  </si>
  <si>
    <t>TEE  1" PVC Presion</t>
  </si>
  <si>
    <t>TEE x 1" PVC Presion</t>
  </si>
  <si>
    <t>TEE  1.1/2" PVC Presion</t>
  </si>
  <si>
    <t>UNION  1.1/2" PVC Presion</t>
  </si>
  <si>
    <t>VALVULA  1.1/2" PVC Presion</t>
  </si>
  <si>
    <t>valvula 1.1/2" PVC Presion</t>
  </si>
  <si>
    <t>Niple en 150mm HD (6"), Brida - Brida (L=1,00 m)</t>
  </si>
  <si>
    <t>Válvula de mariposa, HD 250 mm (10"), brida - brida ANSI 150 psi</t>
  </si>
  <si>
    <t>Válvula de mariposa, HD 300 mm (12"), brida - brida ANSI 150 psi</t>
  </si>
  <si>
    <t>Válvula de mariposa, HD 350 mm (14"), brida - brida ANSI 150 psi</t>
  </si>
  <si>
    <t>Construccion canaleta en V Ancho=40cm ,E=10cm</t>
  </si>
  <si>
    <t>Pasamuros diámetro 4" en HD</t>
  </si>
  <si>
    <t>Pasamuros diámetro 8" en HD</t>
  </si>
  <si>
    <t>Construccion cuneta en concreto 3000 psi en V ancho:0,4m</t>
  </si>
  <si>
    <t>Suministro, transporte e instalación de bomba inmersible para transporte de arenas y solidos hasta 1", para un Q=6 L/s y HDT = 9,7 m.</t>
  </si>
  <si>
    <t>Suministro, transporte tubería corrugada para alcantarillado, ø=24" (595mm) (incluye acarreo interno).</t>
  </si>
  <si>
    <t>Suministro, transporte  tubería corrugada para alcantarillado, ø=8" (200mm) (incluye acarreo interno).</t>
  </si>
  <si>
    <t xml:space="preserve">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 </t>
  </si>
  <si>
    <t>Suministros</t>
  </si>
  <si>
    <t>Puente grua metálico de 8 metros de Luz, Altura total 3 m, con capacidad para 1000 kilos, Viga IPN, con pintura anticorrosiva y terminado en laca, incluye izaje y rieles</t>
  </si>
  <si>
    <t>Suministro e instalacion de Abrazaderas en platina de acero inoxidable de 1"x3/16" para anclar la tubería HD 6"</t>
  </si>
  <si>
    <t>Suministro e instalacion de Abrazaderas en platina de acero inoxidable de 1"x3/16" para anclar la tubería HD 10"</t>
  </si>
  <si>
    <t>Deflector Inferior o Bafles de sedimentadores en fibra de vidrio L=1,42m, soportados sobre lamina de aluminio y pernos de acero L=5" x 1/2" arandela y mariposa de ajuste en acero 1/2" cada 0,50 mt</t>
  </si>
  <si>
    <t>Suministro e instalacion de cinta Sika PVC -  juntas de construcción V15</t>
  </si>
  <si>
    <t>Construccion Loseta Placas falso fondo prefabricada Tipo A perforada Concreto 21 MPa (3000 psi) con orificios de diametro de 1", de 0,60m x 0,90m con 121 orificios para ser colocados sobre el canal de recoleccion</t>
  </si>
  <si>
    <t>Construccion Loseta Placas falso fondo prefabricada Tipo B perforada Concreto 21 MPa (3000) con orificios de diametro de 1", de 0,60m x 0,58m con 63 orificios</t>
  </si>
  <si>
    <t>Construccion Loseta Placas falso fondo prefabricada Tipo C perforada Concreto 21 MPa (3000 psi) con orificios de diametro 1", de 0,60m x 0,40m con 56 orificios</t>
  </si>
  <si>
    <t>Construccion Loseta Placas falso fondo prefabricada Tipo D perforada Concreto 21 Mpa (3000 psi) con orificios de diametro 1", de 0,60m x 0,30m con 40 orificios</t>
  </si>
  <si>
    <t>Bomba sumergible typo Flyght o similar calidad, con capacidad para 70 lps y HDT = 8,5 m, con motor de 3 fases, incluyendo 15 m de cable resistente a grasas y aceites, sensor de humedad, codo de succión, kit de anclaje codo de descarga, soporte superior para barras guia con su kit de anclaje tubo guia de 2", cadena de izaje para la bomba y manómetros escala 0 - 50 psi con protección interior de glicerina para recirculación de efluentes (suministro a todo costo)</t>
  </si>
  <si>
    <t>Bomba centrifuga autocebante para transporte de lodos desde el sedimentador hasta los lechos de secado, para un caudal de 4 lps, altura dinámica total de 1 metros. (suministro a todo costo)</t>
  </si>
  <si>
    <t>Acodalamiento Tipo "B" - 3 Usos.</t>
  </si>
  <si>
    <t>Cubierta en teja translucida</t>
  </si>
  <si>
    <t>Repello para pared 1:3 e=0,02m</t>
  </si>
  <si>
    <t>Viga dintel o viga concreto amarre muro culata 15x20cm</t>
  </si>
  <si>
    <t>Lavadero</t>
  </si>
  <si>
    <t xml:space="preserve">Excavación manual sin retiro </t>
  </si>
  <si>
    <t>Columneta de 15 x 20 en concreto de 21MPa (3000 psi) para el Edificio Complementario</t>
  </si>
  <si>
    <t>Edificio Complementario</t>
  </si>
  <si>
    <t>Area (0,15x0,20) m2</t>
  </si>
  <si>
    <t>Volumen m3</t>
  </si>
  <si>
    <t>Columnetas</t>
  </si>
  <si>
    <t>0,15x0,20</t>
  </si>
  <si>
    <t>Empradizacion</t>
  </si>
  <si>
    <t>Long</t>
  </si>
  <si>
    <t>Empradizacion oficinas y parqueadero</t>
  </si>
  <si>
    <t>Lechos</t>
  </si>
  <si>
    <t>TOTAL EMPRADIZACION</t>
  </si>
  <si>
    <t>SISTEMA ALUMBRADO</t>
  </si>
  <si>
    <t>ALUMBRADO VIAS DE ACCESO</t>
  </si>
  <si>
    <t>POSTE CONCRETO 9 X 510 KG CON D.I.</t>
  </si>
  <si>
    <t>LUMINARIA CERR COMPL ENTERIZA NA 150 WAT</t>
  </si>
  <si>
    <t>CAJA ELECTRICA 0,8 X 0,8 X 1 MT</t>
  </si>
  <si>
    <t>EXCAVACION TIERRA A MANO</t>
  </si>
  <si>
    <t>RELLENO MATERIAL SITIO COMPACTADO 90% PM</t>
  </si>
  <si>
    <t>RETIRO DE SALDO EN SITIO</t>
  </si>
  <si>
    <t>TUBO PVC 2"</t>
  </si>
  <si>
    <t>RELLENO ARENA MEDIANA</t>
  </si>
  <si>
    <t>CABLE COBRE THWN# 6</t>
  </si>
  <si>
    <t>CABLE COBRE THWN# 12</t>
  </si>
  <si>
    <t>FOTOCELDA CON BASE</t>
  </si>
  <si>
    <t>VARILLA CU-CU 9/16X 2.40</t>
  </si>
  <si>
    <t>SOLDADURA TERMOWELD X115 GRM</t>
  </si>
  <si>
    <t>ALUMBRADO REACTORES</t>
  </si>
  <si>
    <t>ALUMBRADO LECHOS REACTOR</t>
  </si>
  <si>
    <t>ALUMBRADO TRATAMIENTO PRELIMINAR Y BOMBEO</t>
  </si>
  <si>
    <t>SISTEMA ELECTRICO PORTERIA</t>
  </si>
  <si>
    <t>SUMINISTRO E INSTALACIÓN SALIDAS TOMAS</t>
  </si>
  <si>
    <t>SAL TOMA 1F (C/T/A:3#12/TOMA)ZONA HUMEDA GFCI</t>
  </si>
  <si>
    <t>SAL TOMA 1F (C/T/A:2#12+1#14/TOMA)</t>
  </si>
  <si>
    <t>SUMINSTRO E INSTALACIÓN SALIDAS ALUMBRADO</t>
  </si>
  <si>
    <t>LAMP ELECTRONICA 2x32 MFL-SOBREPONER</t>
  </si>
  <si>
    <t>SAL LAMP (C/T/A:2#12+1#14 +PLAFON+BOMBI)</t>
  </si>
  <si>
    <t>SISTEMA ELECTRICO CASETA OPERACIÓN</t>
  </si>
  <si>
    <t>SAL TOMA 1F (C/T/A:3#12/TOMA)ZONA HUMEDA</t>
  </si>
  <si>
    <t>SUMINISTRO E INSTALACIÓN APERTURA Y CIERRE PUERTA</t>
  </si>
  <si>
    <t>SUMINISTRO E INSTALACIÓN MOTORREDUCTOR</t>
  </si>
  <si>
    <t>SUMINISTOR E INSTALACIÓN TABERO CONTROL</t>
  </si>
  <si>
    <t>SUMINSTRO E INSTALACIÓN ACOMETIDA POTENCIA 4*14</t>
  </si>
  <si>
    <t>SUMINSTRO E INSTAACIÓN LIMITES DE CARRERA</t>
  </si>
  <si>
    <t>ACOMETIDAS MEDIA TENSION Y SUBESTACIÓN ELECTRICA</t>
  </si>
  <si>
    <t>IMPUESTOS EPSA 2% INSPECCION TECNICA</t>
  </si>
  <si>
    <t>POSTE CONCRETO 12 X 510 KG CON D.I.</t>
  </si>
  <si>
    <t>POSTE CONCRETO 12 X 1050 KG</t>
  </si>
  <si>
    <t>B57P CORRIDO TRIFASICO ANG 30-60</t>
  </si>
  <si>
    <t>B56P TERMINAL SENCILLO TRIFASICO</t>
  </si>
  <si>
    <t>PUENTE PRIMARIO TRIFASICO</t>
  </si>
  <si>
    <t>FB-31 CORTACIRCUITOS SISTEMA TRIFASICO</t>
  </si>
  <si>
    <t>PB-31 PARARRAYOS SISTEMA TRIFASICO</t>
  </si>
  <si>
    <t>CABLE ACSR NUMERO 4/0</t>
  </si>
  <si>
    <t>V02 RETENIDA A TIERRA</t>
  </si>
  <si>
    <t>FOSO PARA TRANSFORMADOR 1.50X1.90 MT</t>
  </si>
  <si>
    <t>TERMINAL PREM. EXTERIOR</t>
  </si>
  <si>
    <t>SUBESTACION PAD MOUNTED 500KVA</t>
  </si>
  <si>
    <t>CABLE COBRE XLPE #1/0 15 KV</t>
  </si>
  <si>
    <t>TB-31 CONJUNTO PARA TRAFO TRIFASICO</t>
  </si>
  <si>
    <t>TRANSFORMADORES DE CORRIENTE 1000/5 AMP</t>
  </si>
  <si>
    <t>CONTADOR ELECTRONICO M.INDIRECTA</t>
  </si>
  <si>
    <t>PLANT/EMERG/ 250KW/ 313KVA GRUPO ELECTROGENO</t>
  </si>
  <si>
    <t>TRANSF/AUTOMAT. 230-250 KW PRE</t>
  </si>
  <si>
    <t>CABINA DE INSONORIZACON</t>
  </si>
  <si>
    <t>CERTIFICACION RETIE</t>
  </si>
  <si>
    <t>CELDA BAJA TENSION CON PROTECCIONES</t>
  </si>
  <si>
    <t>CELDA MEDICION POR BAJA TENSION</t>
  </si>
  <si>
    <t>TRANSFORMADOR TRIFASICO 45 KVA 440V/240-120V</t>
  </si>
  <si>
    <t>CELDA VARIADORES DE VELOCIDAD CON PROTECCIONES</t>
  </si>
  <si>
    <t>SUMINSTRO E INSTALLACIÓN VARIADORES VT 30HP/440</t>
  </si>
  <si>
    <t>CELDA  ARRANQUE MOTORES ARRANQUE DIRECTOS HASTA 10HP 440VAC</t>
  </si>
  <si>
    <t>MALLA A TIERRA</t>
  </si>
  <si>
    <t>TAPA METALICA DE REGISTRO 20X20</t>
  </si>
  <si>
    <t>CAJA ELECTRICA 0,3 X 0,3 X 0,5 MT</t>
  </si>
  <si>
    <t>HIDROSOLTA X 15 KG</t>
  </si>
  <si>
    <t>10</t>
  </si>
  <si>
    <t>5</t>
  </si>
  <si>
    <t>CABLE COBRE DESNUDO #4/0</t>
  </si>
  <si>
    <t>SISTEMAS DESCARGAS ATMOSFERICAS</t>
  </si>
  <si>
    <t>GBL</t>
  </si>
  <si>
    <t>ACOMETIDAS ELECTRICAS</t>
  </si>
  <si>
    <t>ACOM.E.23F(2#1/0+1#1/0+1#6)3"</t>
  </si>
  <si>
    <t>CONECTOR DE EMPALME # 1/0 A 2/0</t>
  </si>
  <si>
    <t xml:space="preserve">ACOMETIDA TRANSFORMADOR A TABLERO BAJA TENSIÓN </t>
  </si>
  <si>
    <t>CABLE COBRE THWN# 500 MCM</t>
  </si>
  <si>
    <t>CABLE COBRE THWN# 4/0</t>
  </si>
  <si>
    <t>ACOMETIDA TABLERO BAJA TENSIÓN A PLANTA ELECTRICA</t>
  </si>
  <si>
    <t>CABLE COBRE THWN# 250 MCM</t>
  </si>
  <si>
    <t>ACOMETIDA TABLERO BAJA TENSIÓN A TRAFO SECO DE 45KVA</t>
  </si>
  <si>
    <t>CABLE COBRE THWN# 1/0</t>
  </si>
  <si>
    <t>ACOMETIDAS TABLERO BAJA TENSIÓN A ESTACION DE BOMBEO</t>
  </si>
  <si>
    <t>ACOM.E.3F(3# 6+1# 8) 2"</t>
  </si>
  <si>
    <t>ACOMETIDAS TABLERO BAJA TENSIÓN A CASETA DE OPERACION</t>
  </si>
  <si>
    <t>ACOMETIDAS TABLERO BAJA TENSIÓN A PUENTE GRUA</t>
  </si>
  <si>
    <t>ACOM.E.3F(3# 10+1#10) 1" EMT</t>
  </si>
  <si>
    <t>TOTAL INSTALACIÓNES ELÉCTRICAS</t>
  </si>
  <si>
    <t>Suministro tuberia PVC sanitaria para alcanatarillado  ø=4" Conexión aguas lluvias a camara de Inspeccion</t>
  </si>
  <si>
    <t>Codo en HD 150mm  (6") x 45°, Brida - Brida</t>
  </si>
  <si>
    <t xml:space="preserve">suministro 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 </t>
  </si>
  <si>
    <t>Unión Desmontaje 300mm HD (12") Brida - Brida</t>
  </si>
  <si>
    <t>Unión Desmontaje 350mm HD (14") Brida - Brida</t>
  </si>
  <si>
    <t>Codo en HD 250mm  (10") x 90°, Brida - Brida</t>
  </si>
  <si>
    <t>CODO HD 250MM 90° B-B</t>
  </si>
  <si>
    <t>Codo en HD 350mm  (14") x 90°, Brida - Brida</t>
  </si>
  <si>
    <t>CODO HD 350MM 90° B-B</t>
  </si>
  <si>
    <t>Tee en HD (14") HD 350mm</t>
  </si>
  <si>
    <t>Tee en HD (10") HD 250mm</t>
  </si>
  <si>
    <t>Tee en HD (6") HD 150mm</t>
  </si>
  <si>
    <t>Niple en 150mm HD (6"), Brida - Brida (L=0.2 m)</t>
  </si>
  <si>
    <t>Niple en 150mm HD (6"), Brida - Brida (L=2.99 m)</t>
  </si>
  <si>
    <t>Niple en 150mm HD (6"), Brida - Brida (L=3.3 m)</t>
  </si>
  <si>
    <t>Niple en HD Brida - Brida 10" L=1,6m</t>
  </si>
  <si>
    <t>Niple en HD Brida - Brida 14" L=1.0m</t>
  </si>
  <si>
    <t>Niple en HD Brida - Brida 14" L=2.0m</t>
  </si>
  <si>
    <t>Cruz HD 4" Bridada</t>
  </si>
  <si>
    <t>Reduccion en HD 6" x 14" Brida - Brida</t>
  </si>
  <si>
    <t>Valvula Cheque Bridada (14") en HD, HD 250mm</t>
  </si>
  <si>
    <t>Niple en 150mm HD (6"), Brida - Brida (L=1.0m)</t>
  </si>
  <si>
    <t>Niple en 150mm HD (6"), Brida - Brida (L=1.0 m)</t>
  </si>
  <si>
    <t>Niple en 150mm HD (6"), Brida - Brida (L=1.5m)</t>
  </si>
  <si>
    <t>Niple en 150mm HD (6"), Brida - Brida (L=1.5 m)</t>
  </si>
  <si>
    <t>Niple en HD Brida - Brida 14" L=1.35m</t>
  </si>
  <si>
    <t>Niple en HD Brida - Brida 14" L=1.45m</t>
  </si>
  <si>
    <t>Niple en HD Brida - Brida 14" L=1.75m</t>
  </si>
  <si>
    <t>Niple en HD (3"), Brida - Brida, 1m</t>
  </si>
  <si>
    <t>Niple en HD (3"), Brida - Brida, 0.4m</t>
  </si>
  <si>
    <t>Niple en 150mm HD (6"), Brida - Brida (L=0,90 m)</t>
  </si>
  <si>
    <t>Niple en 150mm HD (6"), Brida - Brida (L=1,91 m)</t>
  </si>
  <si>
    <t>Niple en 150mm HD (6"), Brida - Brida (L=1.91 m)</t>
  </si>
  <si>
    <t>Codo en HD 100mm  (4") x 45°, Brida - Brida</t>
  </si>
  <si>
    <t>Codo en HD 100mm  (4") x 22.5°, Brida - Brida</t>
  </si>
  <si>
    <t>Codo 90° x 3" en HD Brida - Brida</t>
  </si>
  <si>
    <t>Codo en HD 350mm  (14") x 45°, Brida - Brida</t>
  </si>
  <si>
    <t>CODO HD 350MM 45° B-B</t>
  </si>
  <si>
    <t>Unión de Transicion en HD, Brida - Lisa, (4") HD</t>
  </si>
  <si>
    <t>Unión de Transicion en HD, Brida - Lisa, (6") HD</t>
  </si>
  <si>
    <t>Unión de Transicion en HD, Brida - Lisa, (14") HD</t>
  </si>
  <si>
    <t>Cruz HD (14"x14") Brida - Brida - Brida</t>
  </si>
  <si>
    <t>Niple en HD 100 mm (4"), Brida - Brida (L=1,10m)</t>
  </si>
  <si>
    <t>Sumisnistro tuberia  sanitaria para alcantarillado  ø=4" Conexión aguas lluvias a camara de Inspeccion</t>
  </si>
  <si>
    <t>Suministro, tubería corrugada para alcantarillado, ø=24" (595mm) (incluye acarreo interno).</t>
  </si>
  <si>
    <t>Suministro, tubería corrugada para alcantarillado, ø=8" (200mm) (incluye acarreo interno).</t>
  </si>
  <si>
    <t>TUBERIA  SANITARIA 8"</t>
  </si>
  <si>
    <t>TUBERIA  SANITARIA 24"</t>
  </si>
  <si>
    <t>Suministro, tubería corrugada para alcantarillado, ø=16" (400mm) (incluye acarreo interno).</t>
  </si>
  <si>
    <t>TUBERIA CORRUGADA 16"</t>
  </si>
  <si>
    <t>TUBERIA CORRUGADA 10"</t>
  </si>
  <si>
    <t>Suministro, tubería corrugada para alcantarillado, ø=10" (250mm) (incluye acarreo interno).</t>
  </si>
  <si>
    <t>Suministro, tubería corrugada para alcantarillado, ø=30" (750mm) (incluye acarreo interno).</t>
  </si>
  <si>
    <t>TUBERIA  CORRUGADA 30"</t>
  </si>
  <si>
    <t>SUBTOTAL</t>
  </si>
  <si>
    <t xml:space="preserve">Suministro y colocacion de Geotextil no tejido 2500 o similares </t>
  </si>
  <si>
    <t>Suministro e instalacion de cinta Sika PVC -  juntas de construcción O22</t>
  </si>
  <si>
    <t>Construccion Cajas para Valvulas entrada Reactor UASB en concreto de 2,70m x 2,00m; profundidad 1,20m e=0,30m</t>
  </si>
  <si>
    <t>Construccion Cajas para valvulas en concreto purga de lodos de 1,50m x 1,50m; profundidad 0,55m e=0,30m</t>
  </si>
  <si>
    <t>Construccion Machon en concreto simple de 1,40m x 1,33m x 0,65m de 21 Mpa 3000 psi</t>
  </si>
  <si>
    <t>Construccion Machon en Concreto de 0,2m de altura para tuberia HD de 14"</t>
  </si>
  <si>
    <t>Suministro e instalacion Codo 45° x 1" PVC Presion</t>
  </si>
  <si>
    <t>Suministro e instalacion Codo 90° x 1" PVC Presion</t>
  </si>
  <si>
    <t>Suministro e instalacion Codo 90° x 1 1/2" PVC Presion</t>
  </si>
  <si>
    <t>Suministro e instalacion Tee 1" PVC Presion</t>
  </si>
  <si>
    <t>Suministro e instalacion Tee 1 1/2" PVC Presion</t>
  </si>
  <si>
    <t>Suministro e instalacion Union PVC Presion 1. 1/2"</t>
  </si>
  <si>
    <t>Suministro e instalacion Valvulas PVC Presion 1. 1/2"</t>
  </si>
  <si>
    <t>Suministro e instalacion Codo 90° x 2" PVC Presion</t>
  </si>
  <si>
    <t>Pasamuro 4" en HD</t>
  </si>
  <si>
    <t>Pasamuro 2" en PVC  presion</t>
  </si>
  <si>
    <t>Suministro e instalacion Tubería PVC presión  25 mm (1") Ventilación, unión soldada colectora del gas del reactor UASB</t>
  </si>
  <si>
    <t xml:space="preserve">Suministro e instalacion Tubería PVC presión (1.1/2") Ventilación, unión soldada colectora de línea principal del gas del reactor UASB </t>
  </si>
  <si>
    <t xml:space="preserve">Suministro e instalacion Tubería para muestreo de lodos PVC 2" presión </t>
  </si>
  <si>
    <t>Construccion Pedestal para soporte de placas en falso fondo 0.15x0.15m con altura promedio de 65 cm, concreto 21 Mpa (3000 psi) según diseño</t>
  </si>
  <si>
    <t>Suministro e instalacion Buje 3x2 pulgadas, PVC sanitaria (Liso - Roscado)</t>
  </si>
  <si>
    <t>Suministro e instalacion Punto PVC sanitario 2" - Mano de Obra</t>
  </si>
  <si>
    <t>Suministro e instalacion Punto PVC sanitario 3" - Mano de Obra</t>
  </si>
  <si>
    <t>Suministro e instalacion Punto PVC sanitario 4" - Mano de Obra</t>
  </si>
  <si>
    <t>Suministro e Instalación medidor de agua</t>
  </si>
  <si>
    <t>Suministro e instalacion Llave terminal bronce</t>
  </si>
  <si>
    <t>Suministro e instalacion Llave de paso</t>
  </si>
  <si>
    <t>Suministro e instalacion yee 3"x3"</t>
  </si>
  <si>
    <t>Suministro e instalacion Codo 1/2"x90° , presion</t>
  </si>
  <si>
    <t>Suministro e instalacion Tee 1/2"x1/2"x1/2"  presion</t>
  </si>
  <si>
    <t>Suministro e instalacion Tuberia PVC presion 1"</t>
  </si>
  <si>
    <t>Suministro e Instalación (a=0,95m y h=2,0m)  marco puerta lámina Cal.20 1,51-2,00m PEST S/LUCE incluye la nave lamina llena bat.+cerr.+pint Cal 20</t>
  </si>
  <si>
    <t>Suministro e Instalación nave puerta madera triplex 81-100 (IN-V)P</t>
  </si>
  <si>
    <t xml:space="preserve">Instalacion tubería corrugada para alcantarillado, ø=4" (100mm) </t>
  </si>
  <si>
    <t xml:space="preserve">Instalacion tubería corrugada para alcantarillado, ø=8" (200mm) </t>
  </si>
  <si>
    <t xml:space="preserve">Instalacion tubería corrugada para alcantarillado, ø=24" (600mm) </t>
  </si>
  <si>
    <t>Suministro e instalacion de cinta Sika PVC -  juntas de construcción 0-22</t>
  </si>
  <si>
    <t>Cinta PVC Junta 0-22</t>
  </si>
  <si>
    <t>Construccion canaleta en concreto 3000 psi en V ancho:0,4m</t>
  </si>
  <si>
    <t>Suministro e instalacion Rejilla metálica Removible de 1,74m x 0,74 m</t>
  </si>
  <si>
    <t>Vigas aéreas 21 Mpa 3.000 Psi. (0.25x0.25)m</t>
  </si>
  <si>
    <t>Excavación manual bajo agua sin retiro</t>
  </si>
  <si>
    <t>TOTAL COSTOS DIRECTOS ($/M3)</t>
  </si>
  <si>
    <t>Mano de obra albañileria 6 ayudantes</t>
  </si>
  <si>
    <t xml:space="preserve">SUBTOTAL </t>
  </si>
  <si>
    <t>TOTAL COSTOS DIRECTOS ($/GLB)</t>
  </si>
  <si>
    <t>Tapas metálicas de área variable, lámina alfajor ASTM569 y e=4 mm, Incluye angulo y contraangulo</t>
  </si>
  <si>
    <t>Viga cimentación 21 Mpa 3.000 Psi. (0.25x0.25)m</t>
  </si>
  <si>
    <t>Construccion Caja para valvulas de extraccion de lodos en concreto y entrega de lodos a los lechos de 1,50m x 1,20m; profundidad 0.55m e=0,30</t>
  </si>
  <si>
    <t>Instalación tubería y niples en HD (10") HD 250mm</t>
  </si>
  <si>
    <t>Instalación tubería y niples en HD (14") HD 350mm</t>
  </si>
  <si>
    <t>Instalación accesorios en HD (10") HD 250mm</t>
  </si>
  <si>
    <t>Instalación accesorios en HD (14") HD 350mm</t>
  </si>
  <si>
    <t>Abrazaderas en platina de acero inoxidable de 1"x3/16" para anclar la tubería HD 6"</t>
  </si>
  <si>
    <t>Abrazaderas en platina de acero inoxidable de 1"x3/16" para anclar la tubería HD 10"</t>
  </si>
  <si>
    <t>Mano de obra  2 ayudantes - 1 oficial</t>
  </si>
  <si>
    <t>CADICA EN ACERO INOX. 1/8"</t>
  </si>
  <si>
    <t>Instalación accesorios en HD (12") HD 300mm</t>
  </si>
  <si>
    <t>Replanteo muros</t>
  </si>
  <si>
    <t>PIOLA DE ALGODÓN</t>
  </si>
  <si>
    <t>BASTIDOR OTOBO 2"X2"X2.9 ml</t>
  </si>
  <si>
    <t>PUNTILLA CON CABEZA 2"</t>
  </si>
  <si>
    <t>UN</t>
  </si>
  <si>
    <t>LB</t>
  </si>
  <si>
    <t>Mano de obra 1 oficial</t>
  </si>
  <si>
    <t>muro en ladrillo comun tizon revitado</t>
  </si>
  <si>
    <t>LADRILLO COMUN 0.09x0.60x0.19</t>
  </si>
  <si>
    <t>CEMENTO GRIS PORTLAND  x 50 kg-Cali</t>
  </si>
  <si>
    <t>ARENA MEDIA</t>
  </si>
  <si>
    <t>saco</t>
  </si>
  <si>
    <t>Mano de obra 1 oficial - 2 ayudantes</t>
  </si>
  <si>
    <t>AGUA</t>
  </si>
  <si>
    <t>lt</t>
  </si>
  <si>
    <t>CALADO EN ARCILLA 0.19x0.19x0.10</t>
  </si>
  <si>
    <t>CONCRETO 3000 PSI</t>
  </si>
  <si>
    <t>FORMALETA EN MADERA</t>
  </si>
  <si>
    <t>Cornisa en ladrillo</t>
  </si>
  <si>
    <t>LADRILLO LIMPIO No 10 ( 6.5x10x24) cm.</t>
  </si>
  <si>
    <t>ARENA FINA Insitu - Cali</t>
  </si>
  <si>
    <t>MADERA 2"x2" CUBIERTA TIPO AMARILLO</t>
  </si>
  <si>
    <t>MADERA 3"x6" CUBIERTA TIPO AMARILLO</t>
  </si>
  <si>
    <t>MADERA CAÑA MENUDA SELECCIONADA</t>
  </si>
  <si>
    <t>ESTERILLA DE GUADUA</t>
  </si>
  <si>
    <t>PUNTILLA CON CABEZA 3"</t>
  </si>
  <si>
    <t>CAÑA BRAVA</t>
  </si>
  <si>
    <t>SCO</t>
  </si>
  <si>
    <t>AT</t>
  </si>
  <si>
    <t>TEJA COMUN BARRO 0.17x 0.38</t>
  </si>
  <si>
    <t>YESO ANCLA x 25 KG.-ESTUCAR</t>
  </si>
  <si>
    <t>PROCOPIL RESINA VINILICA (ESTUCO)</t>
  </si>
  <si>
    <t>CAOLIN x 25 KG-ESTUCAR</t>
  </si>
  <si>
    <t>LIJA DE AGUA 965 SUPER.</t>
  </si>
  <si>
    <t>VINILTEX</t>
  </si>
  <si>
    <t>LT</t>
  </si>
  <si>
    <t>CTE</t>
  </si>
  <si>
    <t>TABLON  OTOBO 2"X10"X2.90 ml</t>
  </si>
  <si>
    <t>LIMPIEZA Y ASEO FINAL PARA ENTREGA</t>
  </si>
  <si>
    <t>PUERTA Y MARCO REJA TUBO 1"x1"</t>
  </si>
  <si>
    <t>CERRADURA SAFE DEPÓSITO VERONA</t>
  </si>
  <si>
    <t>suministro e Instalacion Escalera metalica según diseño</t>
  </si>
  <si>
    <t>pasamanos</t>
  </si>
  <si>
    <t>Manguera elastica en Polietileno diametro 2" L=10mt.</t>
  </si>
  <si>
    <t>llave en acero al carbon 2"</t>
  </si>
  <si>
    <t>PASAMURO 2" EN PVC PRESION</t>
  </si>
  <si>
    <t>Mano de obra 1 ayudante</t>
  </si>
  <si>
    <t>2.1.19</t>
  </si>
  <si>
    <t>2.1.21</t>
  </si>
  <si>
    <t>2.1.22</t>
  </si>
  <si>
    <t>2.1.23</t>
  </si>
  <si>
    <t>2.1.24</t>
  </si>
  <si>
    <t>2.1.25</t>
  </si>
  <si>
    <t>2.1.26</t>
  </si>
  <si>
    <t>2.1.27</t>
  </si>
  <si>
    <t>2.1.28</t>
  </si>
  <si>
    <t>2.1.29</t>
  </si>
  <si>
    <t>2.1.30</t>
  </si>
  <si>
    <t>3.1.10</t>
  </si>
  <si>
    <t>3.1.11</t>
  </si>
  <si>
    <t>3.1.12</t>
  </si>
  <si>
    <t>3.1.14</t>
  </si>
  <si>
    <t>3.1.15</t>
  </si>
  <si>
    <t>3.1.16</t>
  </si>
  <si>
    <t>3.1.17</t>
  </si>
  <si>
    <t>3.1.18</t>
  </si>
  <si>
    <t>3.3.3</t>
  </si>
  <si>
    <t>3.3.12</t>
  </si>
  <si>
    <t>3.3.15</t>
  </si>
  <si>
    <t>4.1.9</t>
  </si>
  <si>
    <t>4.1.11</t>
  </si>
  <si>
    <t>4.1.15</t>
  </si>
  <si>
    <t>4.1.16</t>
  </si>
  <si>
    <t>4.1.18</t>
  </si>
  <si>
    <t>4.1.19</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</si>
  <si>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</si>
  <si>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</si>
  <si>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</si>
  <si>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</si>
  <si>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</si>
  <si>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</si>
  <si>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</si>
  <si>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</si>
  <si>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</si>
  <si>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</si>
  <si>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</si>
  <si>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</si>
  <si>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</si>
  <si>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</si>
  <si>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</si>
  <si>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</si>
  <si>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</si>
  <si>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</si>
  <si>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</si>
  <si>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</si>
  <si>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</si>
  <si>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</si>
  <si>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</si>
  <si>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</si>
  <si>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</si>
  <si>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</si>
  <si>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</si>
  <si>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</si>
  <si>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Construcion de Cajas en concreto para válvulas y tuberías para Lodos, Filtro percolador en concreto 21 Mpa (3000 psi) de 1,20m x 1,50m, profundidad de 1,20m e=0,20cm, incluye tapa de concreto</t>
  </si>
  <si>
    <t>Codo 90° x 6" PVC Presion</t>
  </si>
  <si>
    <t>Instalación accesorios en HD (16") HD 400mm</t>
  </si>
  <si>
    <t xml:space="preserve"> Buje 3x2 pulgadas, PVC sanitaria (Liso - Roscado)</t>
  </si>
  <si>
    <t>SUMINISTRO E INSTALACION TUBERIA PVC 3"</t>
  </si>
  <si>
    <t>SUMINISTRO E INSTALACION TUBERIA PVC 6"</t>
  </si>
  <si>
    <t>Tuberia PVC presion 6"</t>
  </si>
  <si>
    <t>Suministro e instalacion Tubería PVC RDE 21, 8", con perforaciones de 4" alternadamente en caras opuestas para chimeneas de ventilación con largo de 3,6 m</t>
  </si>
  <si>
    <t>Tuberia RDE 21  8"</t>
  </si>
  <si>
    <t>Aspersor de golpe en FV</t>
  </si>
  <si>
    <t>Mano de obra 1 ayudante - 1 oficial</t>
  </si>
  <si>
    <t>Viga en Ángulo en aluminio calibre 5 mm y 0,20m de ancho.</t>
  </si>
  <si>
    <t>Canaleta en acero inoxidable para recolección del efluente del reactor, con 42 vertederos triangulares b=0,30, h=0,25 anclado a muros con pernos 3/8" cada 20 cm.</t>
  </si>
  <si>
    <t xml:space="preserve">Formaleta camara </t>
  </si>
  <si>
    <t>Instalación tubería y niples en HD (3") HD 75mm</t>
  </si>
  <si>
    <t>Instalación tubería y niples en HD (4") HD 100mm</t>
  </si>
  <si>
    <t>Instalación tubería y niples en HD (12") HD 300mm</t>
  </si>
  <si>
    <t>Instalación accesorios en HD (3") HD 75mm</t>
  </si>
  <si>
    <t>Instalación accesorios en HD (4") HD 100mm</t>
  </si>
  <si>
    <t>Construccion Cajas en concreto para bombas de recirculación del efluente hacia Reactores UASB de 2,00m x 2,00m; profundidad de2,30m e=0,30m, incluye tapa en concreto</t>
  </si>
  <si>
    <t>Construccion Cajas en concreto para cárcamo de tubería impulsión de las bombas de recirculación de 2,80m x 2,00m; profundidad de1,00m e=0,30m, incluye tapa en concreto</t>
  </si>
  <si>
    <t>Construccion Cajas en concreto para bombas de lodos y natas de 4,30m x 5,60m; profundidad de 0,80m e=0,30m, incluye tapa en concreto</t>
  </si>
  <si>
    <t>Construccion Cajas en concreto para salida de efluente de sedimentador secundario de 1,50m x1,20m; profundidad de 1,25m e=0,20m, incluye tapa en concreto</t>
  </si>
  <si>
    <t>Construccion Cajas en concreto para valvulas efluente hacia sedimentadores secundarios de 2,50m x 2,50m; profundidad de1,40m e=0,30m, incluye tapa en concreto</t>
  </si>
  <si>
    <t>hierro 60000 psi</t>
  </si>
  <si>
    <t>Construcción cajas de concreto de (3000 psi) de 1 m x 1 m Profundidad 1,78m para recibo de filtrado de los lechos E=30 cm</t>
  </si>
  <si>
    <t xml:space="preserve">Estructura metalica de cubierta </t>
  </si>
  <si>
    <t>Estructura metalica de cubierta</t>
  </si>
  <si>
    <t>estructura metalica para cubierta</t>
  </si>
  <si>
    <t>TOTAL COSTOS DIRECTOS ($/kg)</t>
  </si>
  <si>
    <t>Mano de obra cuadrilla gral</t>
  </si>
  <si>
    <t>Teja traslucida</t>
  </si>
  <si>
    <t>teja traslucida  0.82x1.83 m</t>
  </si>
  <si>
    <t>instalacion Tubería  4" sanitaria para transporte efluente del secado de lodos</t>
  </si>
  <si>
    <t xml:space="preserve">Instalacion tubería sanitaria perforada, ø=4" (100mm) </t>
  </si>
  <si>
    <t xml:space="preserve">Instalacion tubería sanitaria para alcantarillado, ø=4" (100mm) </t>
  </si>
  <si>
    <t>Instalacion Tubería  4" sanitaria perforada</t>
  </si>
  <si>
    <t>suministro e instalacion Tapones para tubería  4" sanitaria</t>
  </si>
  <si>
    <t>Ladrillo comun para sobreponer</t>
  </si>
  <si>
    <t xml:space="preserve">MEDIO FILTRANTE GRAVILLA &lt;1" </t>
  </si>
  <si>
    <t>Balastro de rio (Canto rodado )</t>
  </si>
  <si>
    <t xml:space="preserve">MEDIO FILTRANTE GRAVA &gt;1" </t>
  </si>
  <si>
    <t>GRAVA &gt; 1"</t>
  </si>
  <si>
    <t>CAMARA DE INSPECCIÓN TIPO B H=2,51-3.00M</t>
  </si>
  <si>
    <t>CAMARA DE INSPECCIÓN TIPO B H=3.00-3.50M</t>
  </si>
  <si>
    <t>CAMARA DE INSPECCIÓN TIPO B H=1.00-1.50M</t>
  </si>
  <si>
    <t>CAMARA DE INSPECCIÓN TIPO B H=1.50-2.0M</t>
  </si>
  <si>
    <t xml:space="preserve">Instalación tubería de  corrugada, ø=250mm </t>
  </si>
  <si>
    <t xml:space="preserve">Instalación tubería de  corrugada, ø=30" </t>
  </si>
  <si>
    <t xml:space="preserve">SUBTOTAL  </t>
  </si>
  <si>
    <t>Construccion viga cimentacion  (3000 psi) para cerramiento</t>
  </si>
  <si>
    <t>Imprimación asfáltica MC-70</t>
  </si>
  <si>
    <t>Carpeta asfaltica E=3", Norma Invias. Suministro e Instalación</t>
  </si>
  <si>
    <t>Mezcla concreto 1:2:3 (3000PSI - 27Mpa)</t>
  </si>
  <si>
    <t>Prado gateadora</t>
  </si>
  <si>
    <t>Prado gateadora para comformacion de taludes</t>
  </si>
  <si>
    <t>Prado gateadora para conformacion de taludes</t>
  </si>
  <si>
    <t>Tierra negra</t>
  </si>
  <si>
    <t>CERRAMIENTO ALAMBRE PUAS 3 HILOS</t>
  </si>
  <si>
    <t>Cerramiento Alambre de puas #12,5 - 3 hilos</t>
  </si>
  <si>
    <t>10.1.2</t>
  </si>
  <si>
    <t>10.1.3</t>
  </si>
  <si>
    <t>10.1.4</t>
  </si>
  <si>
    <t>10.1.5</t>
  </si>
  <si>
    <t>10.1.6</t>
  </si>
  <si>
    <t>10.1.7</t>
  </si>
  <si>
    <t>10.1.8</t>
  </si>
  <si>
    <t>10.1.9</t>
  </si>
  <si>
    <t>10.1.10</t>
  </si>
  <si>
    <t>10.1.11</t>
  </si>
  <si>
    <t>10.1.12</t>
  </si>
  <si>
    <t>10.1.13</t>
  </si>
  <si>
    <t xml:space="preserve">Construcion Caja inspección 0.50x0.50 Incl. </t>
  </si>
  <si>
    <t>CONSTRUCCION CAJA DE INSPECCIÓN 50X50 CM (CONCRETO)</t>
  </si>
  <si>
    <t>Columnas concreto  21 Mpa 3.000 Psi. (0.3x0.3)m</t>
  </si>
  <si>
    <t>REPELLO MURO 1:3 e=2CM</t>
  </si>
  <si>
    <t>VIGA CONCRETO AMARRE MURO CULATA 15X20CM</t>
  </si>
  <si>
    <t>Enchape de ceramica 20x20 Corona hasta 2mt</t>
  </si>
  <si>
    <t>sanitario</t>
  </si>
  <si>
    <t xml:space="preserve">Agua </t>
  </si>
  <si>
    <t>LAVADERO</t>
  </si>
  <si>
    <t>Lvadero</t>
  </si>
  <si>
    <t>ESTUFA</t>
  </si>
  <si>
    <t>PUNTO SANITARIO  2"</t>
  </si>
  <si>
    <t>PUNTO SANITARIO  3"</t>
  </si>
  <si>
    <t>PUNTO SANITARIO  4"</t>
  </si>
  <si>
    <t>Codos 45º CxC, 2 pulgadas</t>
  </si>
  <si>
    <t>Codos 45-2 pulgadas</t>
  </si>
  <si>
    <t>Codos 45º CxC, 3 pulgadas</t>
  </si>
  <si>
    <t>Codos 45º CxC, 4 pulgadas</t>
  </si>
  <si>
    <t>Codos 45-4 pulgadas</t>
  </si>
  <si>
    <t>Codos 45-3 pulgadas</t>
  </si>
  <si>
    <t>Codos 90º CxC, 1/2 pulgadas</t>
  </si>
  <si>
    <t>Codos 90-1/2 pulgadas</t>
  </si>
  <si>
    <t>LLAVE DE PASO</t>
  </si>
  <si>
    <t>Llave de paso</t>
  </si>
  <si>
    <t xml:space="preserve">Suministro e instalacion Punto hidráulico pvc presión 1/2" </t>
  </si>
  <si>
    <t>SUMINISTRO E INSTALACION PUNTO HIDRAULICO  1/2"</t>
  </si>
  <si>
    <t>SARDINEL TRAPEZOIDAL B(10-15) H=25CM</t>
  </si>
  <si>
    <t xml:space="preserve">Reactor UASB </t>
  </si>
  <si>
    <t>5.1</t>
  </si>
  <si>
    <t>5.1.1</t>
  </si>
  <si>
    <t>5.1.2</t>
  </si>
  <si>
    <t>5.1.3</t>
  </si>
  <si>
    <t>5.1.4</t>
  </si>
  <si>
    <t>5.1.5</t>
  </si>
  <si>
    <t>5.1.6</t>
  </si>
  <si>
    <t>5.1.7</t>
  </si>
  <si>
    <t>5.1.8</t>
  </si>
  <si>
    <t>5.1.9</t>
  </si>
  <si>
    <t>5.1.10</t>
  </si>
  <si>
    <t>5.1.11</t>
  </si>
  <si>
    <t>5.1.12</t>
  </si>
  <si>
    <t>5.1.13</t>
  </si>
  <si>
    <t>5.1.14</t>
  </si>
  <si>
    <t>5.1.15</t>
  </si>
  <si>
    <t>5.1.16</t>
  </si>
  <si>
    <t>5.1.17</t>
  </si>
  <si>
    <t>5.1.18</t>
  </si>
  <si>
    <t>5.1.19</t>
  </si>
  <si>
    <t>5.1.20</t>
  </si>
  <si>
    <t>5.1.21</t>
  </si>
  <si>
    <t>5.1.22</t>
  </si>
  <si>
    <t>5.1.23</t>
  </si>
  <si>
    <t>5.1.24</t>
  </si>
  <si>
    <t>5.1.25</t>
  </si>
  <si>
    <t>6.1</t>
  </si>
  <si>
    <t>6.1.1</t>
  </si>
  <si>
    <t>6.1.2</t>
  </si>
  <si>
    <t>6.1.3</t>
  </si>
  <si>
    <t>6.1.4</t>
  </si>
  <si>
    <t>6.1.5</t>
  </si>
  <si>
    <t>6.1.6</t>
  </si>
  <si>
    <t>6.1.7</t>
  </si>
  <si>
    <t>6.1.8</t>
  </si>
  <si>
    <t>6.1.9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</si>
  <si>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</si>
  <si>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</si>
  <si>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</si>
  <si>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</si>
  <si>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</si>
  <si>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</si>
  <si>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</si>
  <si>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</si>
  <si>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</si>
  <si>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</si>
  <si>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</si>
  <si>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</si>
  <si>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</si>
  <si>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</si>
  <si>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</si>
  <si>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</si>
  <si>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</si>
  <si>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</si>
  <si>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</si>
  <si>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</si>
  <si>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</si>
  <si>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</si>
  <si>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</si>
  <si>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</si>
  <si>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</si>
  <si>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</si>
  <si>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</si>
  <si>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</si>
  <si>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</si>
  <si>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</si>
  <si>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</si>
  <si>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</si>
  <si>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7.1</t>
  </si>
  <si>
    <t>7.3</t>
  </si>
  <si>
    <t>7.4</t>
  </si>
  <si>
    <t>7.5</t>
  </si>
  <si>
    <t>7.6</t>
  </si>
  <si>
    <t>7.7</t>
  </si>
  <si>
    <t>7.8</t>
  </si>
  <si>
    <t>7.9</t>
  </si>
  <si>
    <t>7.10</t>
  </si>
  <si>
    <t>8.1</t>
  </si>
  <si>
    <t>8.1.1</t>
  </si>
  <si>
    <t>8.1.2</t>
  </si>
  <si>
    <t>8.1.3</t>
  </si>
  <si>
    <t>8.1.4</t>
  </si>
  <si>
    <t>8.1.5</t>
  </si>
  <si>
    <t>8.1.6</t>
  </si>
  <si>
    <t>8.1.7</t>
  </si>
  <si>
    <t>8.1.8</t>
  </si>
  <si>
    <t>8.1.9</t>
  </si>
  <si>
    <t>8.1.10</t>
  </si>
  <si>
    <t>10.2</t>
  </si>
  <si>
    <t>10.2.1</t>
  </si>
  <si>
    <t>10.2.2</t>
  </si>
  <si>
    <t>10.2.3</t>
  </si>
  <si>
    <t>10.2.4</t>
  </si>
  <si>
    <t>10.2.5</t>
  </si>
  <si>
    <t>10.2.6</t>
  </si>
  <si>
    <t>10.2.7</t>
  </si>
  <si>
    <t>10.2.8</t>
  </si>
  <si>
    <t>10.2.9</t>
  </si>
  <si>
    <t>10.2.10</t>
  </si>
  <si>
    <t>10.2.11</t>
  </si>
  <si>
    <t>10.2.12</t>
  </si>
  <si>
    <t>10.2.13</t>
  </si>
  <si>
    <t>10.3</t>
  </si>
  <si>
    <t>10.3.1</t>
  </si>
  <si>
    <t>10.3.2</t>
  </si>
  <si>
    <t>10.3.3</t>
  </si>
  <si>
    <t>10.3.4</t>
  </si>
  <si>
    <t>10.3.5</t>
  </si>
  <si>
    <t>10.3.6</t>
  </si>
  <si>
    <t>10.3.7</t>
  </si>
  <si>
    <t>10.3.8</t>
  </si>
  <si>
    <t>10.3.9</t>
  </si>
  <si>
    <t>10.3.10</t>
  </si>
  <si>
    <t>10.3.11</t>
  </si>
  <si>
    <t>10.3.12</t>
  </si>
  <si>
    <t>10.3.13</t>
  </si>
  <si>
    <t>10.4</t>
  </si>
  <si>
    <t>10.4.1</t>
  </si>
  <si>
    <t>10.4.2</t>
  </si>
  <si>
    <t>10.4.3</t>
  </si>
  <si>
    <t>10.4.4</t>
  </si>
  <si>
    <t>10.4.5</t>
  </si>
  <si>
    <t>10.4.6</t>
  </si>
  <si>
    <t>10.4.7</t>
  </si>
  <si>
    <t>10.4.8</t>
  </si>
  <si>
    <t>10.4.9</t>
  </si>
  <si>
    <t>10.4.10</t>
  </si>
  <si>
    <t>10.4.11</t>
  </si>
  <si>
    <t>10.4.12</t>
  </si>
  <si>
    <t>10.4.13</t>
  </si>
  <si>
    <t>10.5</t>
  </si>
  <si>
    <t>10.5.1</t>
  </si>
  <si>
    <t>10.5.2</t>
  </si>
  <si>
    <t>10.5.3</t>
  </si>
  <si>
    <t>10.5.4</t>
  </si>
  <si>
    <t>10.5.5</t>
  </si>
  <si>
    <t>10.5.6</t>
  </si>
  <si>
    <t>10.5.7</t>
  </si>
  <si>
    <t>10.5.8</t>
  </si>
  <si>
    <t>10.5.9</t>
  </si>
  <si>
    <t>10.6</t>
  </si>
  <si>
    <t>10.6.1</t>
  </si>
  <si>
    <t>10.6.2</t>
  </si>
  <si>
    <t>10.6.3</t>
  </si>
  <si>
    <t>10.6.4</t>
  </si>
  <si>
    <t>10.6.5</t>
  </si>
  <si>
    <t>10.6.6</t>
  </si>
  <si>
    <t>10.6.7</t>
  </si>
  <si>
    <t>10.7</t>
  </si>
  <si>
    <t>10.7.1</t>
  </si>
  <si>
    <t>10.7.2</t>
  </si>
  <si>
    <t>10.7.3</t>
  </si>
  <si>
    <t>10.7.4</t>
  </si>
  <si>
    <t>10.7.5</t>
  </si>
  <si>
    <t>10.7.6</t>
  </si>
  <si>
    <t>10.7.7</t>
  </si>
  <si>
    <t>10.8</t>
  </si>
  <si>
    <t>10.8.1</t>
  </si>
  <si>
    <t>10.8.2</t>
  </si>
  <si>
    <t>10.9</t>
  </si>
  <si>
    <t>10.9.1</t>
  </si>
  <si>
    <t>10.9.2</t>
  </si>
  <si>
    <t>10.10</t>
  </si>
  <si>
    <t>10.10.1</t>
  </si>
  <si>
    <t>10.10.2</t>
  </si>
  <si>
    <t>10.11</t>
  </si>
  <si>
    <t>10.11.1</t>
  </si>
  <si>
    <t>10.11.2</t>
  </si>
  <si>
    <t>10.12</t>
  </si>
  <si>
    <t>10.12.1</t>
  </si>
  <si>
    <t>10.13</t>
  </si>
  <si>
    <t>10.13.1</t>
  </si>
  <si>
    <t>10.13.2</t>
  </si>
  <si>
    <t>10.14</t>
  </si>
  <si>
    <t>10.14.1</t>
  </si>
  <si>
    <t>10.14.2</t>
  </si>
  <si>
    <t>10.15</t>
  </si>
  <si>
    <t>10.15.1</t>
  </si>
  <si>
    <t>10.16</t>
  </si>
  <si>
    <t>10.16.1</t>
  </si>
  <si>
    <t>10.16.2</t>
  </si>
  <si>
    <t>10.17</t>
  </si>
  <si>
    <t>10.17.1</t>
  </si>
  <si>
    <t>10.17.2</t>
  </si>
  <si>
    <t>10.17.3</t>
  </si>
  <si>
    <t>10.17.4</t>
  </si>
  <si>
    <t>10.18</t>
  </si>
  <si>
    <t>10.18.1</t>
  </si>
  <si>
    <t>10.18.2</t>
  </si>
  <si>
    <t>10.18.3</t>
  </si>
  <si>
    <t>10.18.4</t>
  </si>
  <si>
    <t>10.18.5</t>
  </si>
  <si>
    <t>10.18.6</t>
  </si>
  <si>
    <t>10.18.7</t>
  </si>
  <si>
    <t>10.19</t>
  </si>
  <si>
    <t>10.19.1</t>
  </si>
  <si>
    <t>10.20</t>
  </si>
  <si>
    <t>10.20.1</t>
  </si>
  <si>
    <t>10.20.2</t>
  </si>
  <si>
    <t>10.21</t>
  </si>
  <si>
    <t>10.21.1</t>
  </si>
  <si>
    <t>10.21.2</t>
  </si>
  <si>
    <t>10.22</t>
  </si>
  <si>
    <t>10.22.1</t>
  </si>
  <si>
    <t>10.22.2</t>
  </si>
  <si>
    <t>DESCRIPCION</t>
  </si>
  <si>
    <t>ADMINISTRACION</t>
  </si>
  <si>
    <t>IMPREVISTOS</t>
  </si>
  <si>
    <t>UTILIDAD</t>
  </si>
  <si>
    <t>10.8.3</t>
  </si>
  <si>
    <t>10.8.4</t>
  </si>
  <si>
    <t>10.8.5</t>
  </si>
  <si>
    <t>10.8.6</t>
  </si>
  <si>
    <t>10.8.7</t>
  </si>
  <si>
    <t>10.9.3</t>
  </si>
  <si>
    <t>10.9.4</t>
  </si>
  <si>
    <t>10.9.5</t>
  </si>
  <si>
    <t>10.9.6</t>
  </si>
  <si>
    <t>10.9.7</t>
  </si>
  <si>
    <t>10.10.3</t>
  </si>
  <si>
    <t>10.10.4</t>
  </si>
  <si>
    <t>10.10.5</t>
  </si>
  <si>
    <t>10.10.6</t>
  </si>
  <si>
    <t>10.11.3</t>
  </si>
  <si>
    <t>10.11.4</t>
  </si>
  <si>
    <t>10.11.5</t>
  </si>
  <si>
    <t>10.11.6</t>
  </si>
  <si>
    <t>SISTEMA ELECTRICO</t>
  </si>
  <si>
    <t>10.15.2</t>
  </si>
  <si>
    <t>10.18.8</t>
  </si>
  <si>
    <t>10.18.9</t>
  </si>
  <si>
    <t>10.18.10</t>
  </si>
  <si>
    <t>10.18.11</t>
  </si>
  <si>
    <t>10.18.12</t>
  </si>
  <si>
    <t>10.18.13</t>
  </si>
  <si>
    <t>10.18.14</t>
  </si>
  <si>
    <t>10.18.15</t>
  </si>
  <si>
    <t>10.18.16</t>
  </si>
  <si>
    <t>10.18.17</t>
  </si>
  <si>
    <t>10.18.18</t>
  </si>
  <si>
    <t>10.18.19</t>
  </si>
  <si>
    <t>10.18.20</t>
  </si>
  <si>
    <t>10.18.21</t>
  </si>
  <si>
    <t>10.18.22</t>
  </si>
  <si>
    <t>10.18.23</t>
  </si>
  <si>
    <t>10.18.24</t>
  </si>
  <si>
    <t>10.18.25</t>
  </si>
  <si>
    <t>10.18.26</t>
  </si>
  <si>
    <t>10.18.27</t>
  </si>
  <si>
    <t>SUBTOTAL SISTEMA ELECTRICO</t>
  </si>
  <si>
    <t>3.2.1</t>
  </si>
  <si>
    <t>3.2.2</t>
  </si>
  <si>
    <t>3.2.3</t>
  </si>
  <si>
    <t>3.2.10</t>
  </si>
  <si>
    <t>3.2.15</t>
  </si>
  <si>
    <t>3.2.16</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</si>
  <si>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</si>
  <si>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</si>
  <si>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</si>
  <si>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</si>
  <si>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</si>
  <si>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</si>
  <si>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</si>
  <si>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</si>
  <si>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</si>
  <si>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</si>
  <si>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</si>
  <si>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</si>
  <si>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</si>
  <si>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</si>
  <si>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</si>
  <si>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</si>
  <si>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</si>
  <si>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</si>
  <si>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</si>
  <si>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</si>
  <si>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</si>
  <si>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</si>
  <si>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</si>
  <si>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</si>
  <si>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</si>
  <si>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</si>
  <si>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</si>
  <si>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</si>
  <si>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</si>
  <si>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</si>
  <si>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</si>
  <si>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</si>
  <si>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4.3.1</t>
  </si>
  <si>
    <t>7.2.1</t>
  </si>
  <si>
    <t>7.2.2</t>
  </si>
  <si>
    <t>7.2.3</t>
  </si>
  <si>
    <t>7.2.4</t>
  </si>
  <si>
    <t>7.2.5</t>
  </si>
  <si>
    <t>EMISOR FINAL</t>
  </si>
  <si>
    <t>Obra civil</t>
  </si>
  <si>
    <t>Relleno con material de la excavación, compactado 95% PM</t>
  </si>
  <si>
    <t>Construccion Cámara de Inspección tipo B Alcantarillado con Altura de Cilindro de 1,01 a 1,50 m, incluye losa y tapa</t>
  </si>
  <si>
    <t xml:space="preserve">Construccion Cámara de Inspección tipo B Alcantarillado con Altura de Cilindro de 1,51 a 2,00 m, incluye losa y tapa </t>
  </si>
  <si>
    <t xml:space="preserve">Construccion Cámara de Inspección tipo B Alcantarillado con Altura de Cilindro de 2,01 a 2,50 m, incluye losa y tapa </t>
  </si>
  <si>
    <t>Construccion Cámara de Inspección tipo B Alcantarillado con Altura de Cilindro de 2,51 a 3,00 m, incluye losa y tapa</t>
  </si>
  <si>
    <t xml:space="preserve">Construccion Cámara de Inspección tipo B Alcantarillado con Altura de Cilindro de 3,01 a 3,50 m, incluye losa y tapa </t>
  </si>
  <si>
    <t>Suministro tubería</t>
  </si>
  <si>
    <t>11.2</t>
  </si>
  <si>
    <t>11.1</t>
  </si>
  <si>
    <t>11.1.1</t>
  </si>
  <si>
    <t>11.1.2</t>
  </si>
  <si>
    <t>11.1.3</t>
  </si>
  <si>
    <t>11.1.4</t>
  </si>
  <si>
    <t>11.1.5</t>
  </si>
  <si>
    <t>11.1.6</t>
  </si>
  <si>
    <t>11.1.7</t>
  </si>
  <si>
    <t>11.1.8</t>
  </si>
  <si>
    <t>11.1.9</t>
  </si>
  <si>
    <t>11.1.10</t>
  </si>
  <si>
    <t>11.1.11</t>
  </si>
  <si>
    <t>11.1.12</t>
  </si>
  <si>
    <t>11.1.13</t>
  </si>
  <si>
    <t>11.1.14</t>
  </si>
  <si>
    <t>11.1.16</t>
  </si>
  <si>
    <t>11.2.1</t>
  </si>
  <si>
    <t>11.2.2</t>
  </si>
  <si>
    <t>11.2.3</t>
  </si>
  <si>
    <t>11.2.4</t>
  </si>
  <si>
    <t>11.2.5</t>
  </si>
  <si>
    <t>ALUMBRADO FILTROS</t>
  </si>
  <si>
    <t>ACOM.E.3F(3# 10+1#10) 1"</t>
  </si>
  <si>
    <t>ACOMETIDAS TABLERO BAJA TENSIÓN A BOMBAS RECIRCULACIÓN</t>
  </si>
  <si>
    <t>10.13.3</t>
  </si>
  <si>
    <t>10.13.4</t>
  </si>
  <si>
    <t>10.13.5</t>
  </si>
  <si>
    <t>10.13.6</t>
  </si>
  <si>
    <t>10.13.7</t>
  </si>
  <si>
    <t>10.13.8</t>
  </si>
  <si>
    <t>10.13.9</t>
  </si>
  <si>
    <t>10.13.10</t>
  </si>
  <si>
    <t>10.13.11</t>
  </si>
  <si>
    <t>10.13.12</t>
  </si>
  <si>
    <t>10.13.13</t>
  </si>
  <si>
    <t>10.14.3</t>
  </si>
  <si>
    <t>10.14.4</t>
  </si>
  <si>
    <t>10.14.5</t>
  </si>
  <si>
    <t>10.14.6</t>
  </si>
  <si>
    <t>10.14.7</t>
  </si>
  <si>
    <t>10.15.3</t>
  </si>
  <si>
    <t>10.15.4</t>
  </si>
  <si>
    <t>10.15.5</t>
  </si>
  <si>
    <t>10.15.6</t>
  </si>
  <si>
    <t>CONSTRUCCION  PTAR CABECERA URBANA - FASE I SANTANDER DE QUILICHAO</t>
  </si>
  <si>
    <t>LISTADO DE INSUMOS</t>
  </si>
  <si>
    <t>Formaleta en madera</t>
  </si>
  <si>
    <t>Acero de refuerzo 60000 psi</t>
  </si>
  <si>
    <t>Hiierro 60000 psi</t>
  </si>
  <si>
    <t>Piola de algodón</t>
  </si>
  <si>
    <t>Bastidor otobo 2"X2"X2.9 ml</t>
  </si>
  <si>
    <t>Puntilla con cabeza 2"</t>
  </si>
  <si>
    <t>Ladrillo comun 0.09x0.60x0.19</t>
  </si>
  <si>
    <t>Cemento gris portland  x 50 kg-Cali</t>
  </si>
  <si>
    <t>Arena media</t>
  </si>
  <si>
    <t>Calado en arcilla 0.19x0.19x0.10</t>
  </si>
  <si>
    <t>Ladrilo limpio No 10 ( 6.5x10x24) cm.</t>
  </si>
  <si>
    <t>Arena fina Insitu - Cali</t>
  </si>
  <si>
    <t>Madera 2"x2" cubierta tipo amarillo</t>
  </si>
  <si>
    <t>Madera 3"x6" cubierta tipo amarillo</t>
  </si>
  <si>
    <t>Madeera Caña menuda seleccionada</t>
  </si>
  <si>
    <t>Esterilla de guadua</t>
  </si>
  <si>
    <t>Puntilla con cabeza 3"</t>
  </si>
  <si>
    <t>Teja comun barro 0.17x 0.38</t>
  </si>
  <si>
    <t>Caña brava</t>
  </si>
  <si>
    <t>Procopil resina vinilica (Estuco)</t>
  </si>
  <si>
    <t>Yeso ancla x 25 KG.- Estucar</t>
  </si>
  <si>
    <t>Caolin x 25 KG-Estucar</t>
  </si>
  <si>
    <t>Lija de agua 965 Super.</t>
  </si>
  <si>
    <t>Viniltex</t>
  </si>
  <si>
    <t>Tablon otobo 2"X10"X2.90 ml</t>
  </si>
  <si>
    <t>Puerta y marco reja tubo 1"x1"</t>
  </si>
  <si>
    <t>Cerradura safe deposito verona</t>
  </si>
  <si>
    <t>Estructura metalica para cubierta</t>
  </si>
  <si>
    <t>Llave en acero al carbon 2"</t>
  </si>
  <si>
    <t>Pasamanos</t>
  </si>
  <si>
    <t>Teja traslucida  0.82x1.83 m</t>
  </si>
  <si>
    <t>Tabla 1x10x300 otobo</t>
  </si>
  <si>
    <t>Waipe</t>
  </si>
  <si>
    <t>Vareta 1"x1"x3m otobo</t>
  </si>
  <si>
    <t>Rejilla Sosco 4"x3" aluminio (Colrejilla)</t>
  </si>
  <si>
    <t>REG. Lamina en acero inoxidable (C = 9,1 x 0,4 m),</t>
  </si>
  <si>
    <t>Guadua</t>
  </si>
  <si>
    <t>Tuberia pvc presion 1"</t>
  </si>
  <si>
    <t>Tuberia pvc presion 1.1/2"</t>
  </si>
  <si>
    <t>Tuberia pvc presion 2"</t>
  </si>
  <si>
    <t>buje   3x2 pulgadas, PVC sanitaria (Liso - Roscado)</t>
  </si>
  <si>
    <t>Rejilla metálica Removible de 1,74m x 0,74 m</t>
  </si>
  <si>
    <t>Baranda de protección construida con tubería de Hierro Galvanizado de 2"</t>
  </si>
  <si>
    <t>Cadica en acero inox. 1/8"</t>
  </si>
  <si>
    <t>Grava&gt; 1"</t>
  </si>
  <si>
    <t>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t>
  </si>
  <si>
    <t>Arranque, puesta en marcha y operación</t>
  </si>
  <si>
    <t>MQ0201</t>
  </si>
  <si>
    <t>EQUIPO DE LABORATORIO</t>
  </si>
  <si>
    <t>ANALISIS FISICOQUIMICOS Y MUESTREOS</t>
  </si>
  <si>
    <t>MES</t>
  </si>
  <si>
    <t>CANTIDAD</t>
  </si>
  <si>
    <t>COSTOS POR EDICION DE INFORMES</t>
  </si>
  <si>
    <t>PERSONAL ESPECIALIZADO PRUEBAS DE LABORATORIO</t>
  </si>
  <si>
    <t>TRANSPORTE DE PERSONAL</t>
  </si>
  <si>
    <t>COSTOS CONSUMO DE ENERGIA</t>
  </si>
  <si>
    <t>Instalación tubería sanitaria, ø=100mm</t>
  </si>
  <si>
    <t xml:space="preserve">Instalación tubería corrugada, ø=250mm </t>
  </si>
  <si>
    <t xml:space="preserve">Instalación tubería corrugada, ø=30" </t>
  </si>
  <si>
    <t xml:space="preserve">Instalación tubería corrugada, ø=24" </t>
  </si>
  <si>
    <t xml:space="preserve">Instalación tubería corrugada, ø=200mm </t>
  </si>
  <si>
    <t>Suministro, transporte de tubería corrugada para alcantarillado, ø=100mm (incluye acarreo interno).</t>
  </si>
  <si>
    <t>Suministro, transporte de tubería corrugada para alcantarillado, ø=200mm (incluye acarreo interno).</t>
  </si>
  <si>
    <t>Suministro, transporte de tubería corrugada para alcantarillado, ø=250mm (incluye acarreo interno).</t>
  </si>
  <si>
    <t>Suministro, transporte de tubería corrugada para alcantarillado, ø=24" (incluye acarreo interno).</t>
  </si>
  <si>
    <t>Suministro, transporte de tubería corrugada para alcantarillado, ø=30" (incluye acarreo interno).</t>
  </si>
  <si>
    <t xml:space="preserve">Instalación tubería corrugada, ø=400mm </t>
  </si>
  <si>
    <t>11.1.17</t>
  </si>
  <si>
    <t xml:space="preserve">Instalación tubería corrugada, ø=315mm </t>
  </si>
  <si>
    <t>11.1.18</t>
  </si>
  <si>
    <t>11.1.19</t>
  </si>
  <si>
    <t xml:space="preserve">Instalación tubería de  corrugada, ø=315mm </t>
  </si>
  <si>
    <t>11.2.6</t>
  </si>
  <si>
    <t>11.2.7</t>
  </si>
  <si>
    <t>Suministro, transporte de tubería corrugada para alcantarillado, ø=315mm (incluye acarreo interno).</t>
  </si>
  <si>
    <t>Suministro, transporte de tubería corrugada para alcantarillado, ø=400mm (incluye acarreo interno).</t>
  </si>
  <si>
    <t>Suministro, tubería corrugada para alcantarillado, ø=12" (315mm) (incluye acarreo interno).</t>
  </si>
  <si>
    <t>TUBERIA CORRUGADA 8"</t>
  </si>
  <si>
    <t>TUBERIA CORRUGADA 12"</t>
  </si>
  <si>
    <t>TUBERIA CORRUGADA 24"</t>
  </si>
  <si>
    <t>TUBERIA  CORRUGADA 4"</t>
  </si>
  <si>
    <t>LECHO DE SECADO</t>
  </si>
  <si>
    <t>Suministro e instalacion Codo 2"x45°</t>
  </si>
  <si>
    <t>Suministro e instalacion Codo 3"x45°</t>
  </si>
  <si>
    <t>Suministro e instalacion Codo 4"x45°</t>
  </si>
  <si>
    <t>Válvula de mariposa, HD 315 mm (12"), brida - brida ANSI 150 psi</t>
  </si>
  <si>
    <t>DISEÑO PTAR CABECERA URBANA - SANTANDER DE QUILICHAO - Presupuesto Suministros</t>
  </si>
  <si>
    <t>SUBTOTAL OBRA CIVIL</t>
  </si>
  <si>
    <t>AIU 30%</t>
  </si>
  <si>
    <t>INTERVENTORIA 8%</t>
  </si>
  <si>
    <t>RED DE ALCANTARILLADO SANITARIO Y PLUVIAL  INTERNO DE LA PLANTA</t>
  </si>
  <si>
    <t>ESTRUCTURAS DE ENTRADA: ESTRUCTURA DE SEPARACIÓN, CÁMARA DE ENTRADA Y VERTEDERO DE ALIVIO, REJILLAS FINA Y GRUESA, DESARENADOR Y TRAMPA DE GRASAS</t>
  </si>
  <si>
    <t>CONSTRUCCIÓN  DE LA PLANTA DE TRATAMIENTO DE AGUAS RESIDUALES ZONA URBANA DEL MUNICIPIO DE SANTANDER DE QUILICHAO - CAUCA</t>
  </si>
  <si>
    <t>Suministro e instalacion Tapones para tubería  4" sanitaria</t>
  </si>
  <si>
    <t>Instalacion Tubería  4" sanitaria para transporte efluente del secado de lodos</t>
  </si>
  <si>
    <t>TOTAL COSTO DIRECTO OBRA CIVIL</t>
  </si>
  <si>
    <t>TOTAL OBRA CIVIL</t>
  </si>
  <si>
    <t>PRESUPUESTO OBRA CIVIL</t>
  </si>
  <si>
    <t>PRESUPUESTO SUMINISTROS</t>
  </si>
  <si>
    <t xml:space="preserve">CONSTRUCCIÓN  DE LA PLANTA DE TRATAMIENTO DE AGUAS RESIDUALES ZONA URBANA DEL MUNICIPIO DE SANTANDER DE QUILICHAO - CAUCA </t>
  </si>
  <si>
    <t>SUMINISTRO E INSTALACIÓN SALIDAS ALUMBRADO</t>
  </si>
  <si>
    <t>TOTAL SUMINISTROS</t>
  </si>
  <si>
    <t>TOTAL A.I.U</t>
  </si>
  <si>
    <t xml:space="preserve">ADMINISTRACION </t>
  </si>
  <si>
    <t>COSTO DIRECTO SUMINISTROS</t>
  </si>
  <si>
    <t xml:space="preserve">VALOR </t>
  </si>
  <si>
    <t>TOTAL OBRA CIVIL PTAP</t>
  </si>
  <si>
    <t>RESUMEN PRESUPUESTO ESTIMADO OBRA CIVIL + SUMINISTRO</t>
  </si>
  <si>
    <t xml:space="preserve"> PRESUPUESTO ESTIMADO OBRA CIVIL + SUMINISTROS</t>
  </si>
  <si>
    <t>IVA SOBRE UTILIDAD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</si>
</sst>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4" formatCode="_(&quot;$&quot;\ * #,##0.00_);_(&quot;$&quot;\ * \(#,##0.00\);_(&quot;$&quot;\ * &quot;-&quot;??_);_(@_)"/>
    <numFmt numFmtId="43" formatCode="_(* #,##0.00_);_(* \(#,##0.00\);_(* &quot;-&quot;??_);_(@_)"/>
    <numFmt numFmtId="164" formatCode="_-* #,##0.00\ &quot;€&quot;_-;\-* #,##0.00\ &quot;€&quot;_-;_-* &quot;-&quot;??\ &quot;€&quot;_-;_-@_-"/>
    <numFmt numFmtId="165" formatCode="_-* #,##0.00\ _€_-;\-* #,##0.00\ _€_-;_-* &quot;-&quot;??\ _€_-;_-@_-"/>
    <numFmt numFmtId="166" formatCode="0.0"/>
    <numFmt numFmtId="167" formatCode="#,##0.0"/>
    <numFmt numFmtId="168" formatCode="_(&quot;$&quot;\ * #,##0_);_(&quot;$&quot;\ * \(#,##0\);_(&quot;$&quot;\ * &quot;-&quot;??_);_(@_)"/>
    <numFmt numFmtId="169" formatCode="_(* #,##0.00_);_(* \(#,##0.00\);_(* &quot;-&quot;_);_(@_)"/>
    <numFmt numFmtId="170" formatCode="_(* #,##0.000_);_(* \(#,##0.000\);_(* &quot;-&quot;_);_(@_)"/>
    <numFmt numFmtId="171" formatCode="_(* #,##0.0000_);_(* \(#,##0.0000\);_(* &quot;-&quot;_);_(@_)"/>
    <numFmt numFmtId="172" formatCode="[$$-240A]\ #,##0"/>
    <numFmt numFmtId="173" formatCode="&quot;$&quot;\ #,##0"/>
    <numFmt numFmtId="174" formatCode="#,##0.00000"/>
  </numFmts>
  <fonts count="60">
    <font>
      <sz val="11"/>
      <color theme="1"/>
      <name val="Calibri"/>
      <family val="2"/>
      <scheme val="minor"/>
    </font>
    <font>
      <sz val="11"/>
      <color theme="1"/>
      <name val="Calibri"/>
      <family val="2"/>
      <scheme val="minor"/>
    </font>
    <font>
      <u/>
      <sz val="11"/>
      <color theme="10"/>
      <name val="Calibri"/>
      <family val="2"/>
      <scheme val="minor"/>
    </font>
    <font>
      <u/>
      <sz val="11"/>
      <color theme="11"/>
      <name val="Calibri"/>
      <family val="2"/>
      <scheme val="minor"/>
    </font>
    <font>
      <sz val="9"/>
      <name val="Geneva"/>
    </font>
    <font>
      <sz val="11"/>
      <color theme="1"/>
      <name val="Gill Sans MT"/>
      <family val="2"/>
    </font>
    <font>
      <b/>
      <sz val="11"/>
      <color theme="1"/>
      <name val="Gill Sans MT"/>
      <family val="2"/>
    </font>
    <font>
      <b/>
      <sz val="11"/>
      <color theme="1"/>
      <name val="Gill Sans MT"/>
      <family val="2"/>
    </font>
    <font>
      <sz val="11"/>
      <color theme="1"/>
      <name val="Gill Sans MT"/>
      <family val="2"/>
    </font>
    <font>
      <b/>
      <sz val="11"/>
      <name val="Gill Sans MT"/>
      <family val="2"/>
    </font>
    <font>
      <sz val="11"/>
      <name val="Gill Sans MT"/>
      <family val="2"/>
    </font>
    <font>
      <b/>
      <sz val="14"/>
      <color theme="1"/>
      <name val="Gill Sans MT"/>
      <family val="2"/>
    </font>
    <font>
      <b/>
      <sz val="11"/>
      <color theme="0"/>
      <name val="Gill Sans MT"/>
      <family val="2"/>
    </font>
    <font>
      <sz val="11"/>
      <color rgb="FFFF0000"/>
      <name val="Calibri"/>
      <family val="2"/>
      <scheme val="minor"/>
    </font>
    <font>
      <sz val="12"/>
      <color theme="1"/>
      <name val="Arial"/>
      <family val="2"/>
    </font>
    <font>
      <b/>
      <sz val="12"/>
      <color theme="1"/>
      <name val="Arial"/>
      <family val="2"/>
    </font>
    <font>
      <b/>
      <sz val="11"/>
      <color theme="1"/>
      <name val="Arial"/>
      <family val="2"/>
    </font>
    <font>
      <b/>
      <u/>
      <sz val="11"/>
      <color theme="1"/>
      <name val="Arial"/>
      <family val="2"/>
    </font>
    <font>
      <b/>
      <sz val="10"/>
      <name val="Arial Narrow"/>
      <family val="2"/>
    </font>
    <font>
      <b/>
      <sz val="10"/>
      <name val="Arial"/>
      <family val="2"/>
    </font>
    <font>
      <sz val="10"/>
      <name val="Arial"/>
      <family val="2"/>
    </font>
    <font>
      <sz val="10"/>
      <color theme="1"/>
      <name val="Arial"/>
      <family val="2"/>
    </font>
    <font>
      <b/>
      <sz val="10"/>
      <color theme="1"/>
      <name val="Arial"/>
      <family val="2"/>
    </font>
    <font>
      <sz val="10"/>
      <name val="Arial Narrow"/>
      <family val="2"/>
    </font>
    <font>
      <b/>
      <u/>
      <sz val="10"/>
      <name val="Arial"/>
      <family val="2"/>
    </font>
    <font>
      <u/>
      <sz val="10"/>
      <name val="Arial"/>
      <family val="2"/>
    </font>
    <font>
      <b/>
      <u/>
      <sz val="11"/>
      <color rgb="FFFF0000"/>
      <name val="Arial"/>
      <family val="2"/>
    </font>
    <font>
      <b/>
      <sz val="11"/>
      <color rgb="FFFF0000"/>
      <name val="Arial"/>
      <family val="2"/>
    </font>
    <font>
      <sz val="11"/>
      <name val="Arial Narrow"/>
      <family val="2"/>
    </font>
    <font>
      <sz val="11"/>
      <color theme="1"/>
      <name val="Arial Narrow"/>
      <family val="2"/>
    </font>
    <font>
      <b/>
      <u/>
      <sz val="11"/>
      <color indexed="8"/>
      <name val="Arial"/>
      <family val="2"/>
    </font>
    <font>
      <b/>
      <sz val="11"/>
      <color indexed="8"/>
      <name val="Arial"/>
      <family val="2"/>
    </font>
    <font>
      <sz val="10"/>
      <color indexed="8"/>
      <name val="Arial"/>
      <family val="2"/>
    </font>
    <font>
      <b/>
      <sz val="10"/>
      <color indexed="8"/>
      <name val="Arial"/>
      <family val="2"/>
    </font>
    <font>
      <sz val="10"/>
      <color indexed="8"/>
      <name val="Calibri"/>
      <family val="2"/>
    </font>
    <font>
      <sz val="12"/>
      <name val="Arial"/>
      <family val="2"/>
    </font>
    <font>
      <b/>
      <sz val="12"/>
      <name val="Arial"/>
      <family val="2"/>
    </font>
    <font>
      <sz val="11"/>
      <name val="Calibri"/>
      <family val="2"/>
      <scheme val="minor"/>
    </font>
    <font>
      <b/>
      <sz val="11"/>
      <name val="Arial"/>
      <family val="2"/>
    </font>
    <font>
      <b/>
      <u/>
      <sz val="11"/>
      <name val="Arial"/>
      <family val="2"/>
    </font>
    <font>
      <sz val="10"/>
      <name val="Calibri"/>
      <family val="2"/>
    </font>
    <font>
      <sz val="10"/>
      <color rgb="FFFF0000"/>
      <name val="Arial Narrow"/>
      <family val="2"/>
    </font>
    <font>
      <b/>
      <sz val="10"/>
      <color rgb="FFFF0000"/>
      <name val="Arial"/>
      <family val="2"/>
    </font>
    <font>
      <sz val="10"/>
      <color rgb="FFFF0000"/>
      <name val="Arial"/>
      <family val="2"/>
    </font>
    <font>
      <b/>
      <sz val="10"/>
      <color rgb="FFFF0000"/>
      <name val="Arial Narrow"/>
      <family val="2"/>
    </font>
    <font>
      <b/>
      <u/>
      <sz val="10"/>
      <color rgb="FFFF0000"/>
      <name val="Arial"/>
      <family val="2"/>
    </font>
    <font>
      <u/>
      <sz val="10"/>
      <color rgb="FFFF0000"/>
      <name val="Arial"/>
      <family val="2"/>
    </font>
    <font>
      <sz val="11"/>
      <name val="Arial"/>
      <family val="2"/>
    </font>
    <font>
      <b/>
      <sz val="11"/>
      <color theme="1"/>
      <name val="Calibri"/>
      <family val="2"/>
      <scheme val="minor"/>
    </font>
    <font>
      <sz val="8"/>
      <name val="Calibri"/>
      <family val="2"/>
      <scheme val="minor"/>
    </font>
    <font>
      <b/>
      <sz val="10"/>
      <color theme="0"/>
      <name val="Arial Narrow"/>
      <family val="2"/>
    </font>
    <font>
      <b/>
      <sz val="11"/>
      <color theme="0"/>
      <name val="Arial Narrow"/>
      <family val="2"/>
    </font>
    <font>
      <sz val="11"/>
      <color theme="0"/>
      <name val="Arial Narrow"/>
      <family val="2"/>
    </font>
    <font>
      <b/>
      <sz val="11"/>
      <name val="Arial Narrow"/>
      <family val="2"/>
    </font>
    <font>
      <b/>
      <sz val="11"/>
      <color theme="1"/>
      <name val="Arial Narrow"/>
      <family val="2"/>
    </font>
    <font>
      <sz val="11"/>
      <color rgb="FFFF0000"/>
      <name val="Arial Narrow"/>
      <family val="2"/>
    </font>
    <font>
      <b/>
      <sz val="11"/>
      <name val="Arial Narrow"/>
      <family val="2"/>
    </font>
    <font>
      <b/>
      <sz val="11"/>
      <color theme="1"/>
      <name val="Arial Narrow"/>
      <family val="2"/>
    </font>
    <font>
      <b/>
      <sz val="11"/>
      <color rgb="FFFF0000"/>
      <name val="Arial Narrow"/>
      <family val="2"/>
    </font>
    <font>
      <sz val="11"/>
      <color rgb="FF000000"/>
      <name val="Calibri"/>
      <family val="2"/>
    </font>
  </fonts>
  <fills count="11">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3" tint="0.59999389629810485"/>
        <bgColor indexed="64"/>
      </patternFill>
    </fill>
  </fills>
  <borders count="3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style="medium">
        <color auto="1"/>
      </top>
      <bottom/>
      <diagonal/>
    </border>
    <border>
      <left style="thin">
        <color auto="1"/>
      </left>
      <right/>
      <top/>
      <bottom/>
      <diagonal/>
    </border>
    <border>
      <left style="thin">
        <color auto="1"/>
      </left>
      <right style="medium">
        <color auto="1"/>
      </right>
      <top/>
      <bottom style="medium">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diagonal/>
    </border>
  </borders>
  <cellStyleXfs count="390">
    <xf numFmtId="0" fontId="0" fillId="0" borderId="0"/>
    <xf numFmtId="0" fontId="1" fillId="0" borderId="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cellStyleXfs>
  <cellXfs count="746">
    <xf numFmtId="0" fontId="0" fillId="0" borderId="0" xfId="0"/>
    <xf numFmtId="0" fontId="5" fillId="0" borderId="0" xfId="0" applyFont="1"/>
    <xf numFmtId="0" fontId="5" fillId="0" borderId="2" xfId="0" applyFont="1" applyFill="1" applyBorder="1" applyAlignment="1">
      <alignment horizontal="center" vertical="center"/>
    </xf>
    <xf numFmtId="0" fontId="5" fillId="0" borderId="2" xfId="0" applyFont="1" applyFill="1" applyBorder="1" applyAlignment="1">
      <alignment horizontal="left" vertical="center" wrapText="1"/>
    </xf>
    <xf numFmtId="0" fontId="8" fillId="0" borderId="0" xfId="0" applyFont="1"/>
    <xf numFmtId="0" fontId="7" fillId="0" borderId="0" xfId="0" applyFont="1"/>
    <xf numFmtId="0" fontId="8" fillId="0" borderId="2" xfId="0" applyFont="1" applyBorder="1"/>
    <xf numFmtId="167" fontId="8" fillId="0" borderId="2" xfId="0" applyNumberFormat="1" applyFont="1" applyBorder="1"/>
    <xf numFmtId="0" fontId="7" fillId="0" borderId="0" xfId="0" applyFont="1" applyAlignment="1">
      <alignment wrapText="1"/>
    </xf>
    <xf numFmtId="4" fontId="8" fillId="0" borderId="2" xfId="0" applyNumberFormat="1" applyFont="1" applyBorder="1"/>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167" fontId="12" fillId="3" borderId="2" xfId="0" applyNumberFormat="1" applyFont="1" applyFill="1" applyBorder="1"/>
    <xf numFmtId="0" fontId="12" fillId="3" borderId="2" xfId="0" applyFont="1" applyFill="1" applyBorder="1"/>
    <xf numFmtId="0" fontId="12" fillId="3" borderId="2" xfId="0" applyFont="1" applyFill="1" applyBorder="1" applyAlignment="1">
      <alignment horizontal="center"/>
    </xf>
    <xf numFmtId="0" fontId="12" fillId="3" borderId="2" xfId="0" applyFont="1" applyFill="1" applyBorder="1" applyAlignment="1">
      <alignment horizontal="center" wrapText="1"/>
    </xf>
    <xf numFmtId="167" fontId="12" fillId="3" borderId="2" xfId="0" applyNumberFormat="1" applyFont="1" applyFill="1" applyBorder="1" applyAlignment="1">
      <alignment horizontal="right" vertical="center"/>
    </xf>
    <xf numFmtId="167" fontId="12" fillId="3" borderId="2" xfId="0" applyNumberFormat="1" applyFont="1" applyFill="1" applyBorder="1" applyAlignment="1">
      <alignment vertical="center"/>
    </xf>
    <xf numFmtId="0" fontId="8" fillId="0" borderId="0" xfId="0" applyFont="1" applyFill="1"/>
    <xf numFmtId="0" fontId="8" fillId="0" borderId="0" xfId="0" applyFont="1" applyBorder="1"/>
    <xf numFmtId="167" fontId="8" fillId="0" borderId="0" xfId="0" applyNumberFormat="1" applyFont="1" applyBorder="1"/>
    <xf numFmtId="167" fontId="12" fillId="3" borderId="2" xfId="0" applyNumberFormat="1" applyFont="1" applyFill="1" applyBorder="1" applyAlignment="1">
      <alignment horizontal="center" vertical="center" wrapText="1"/>
    </xf>
    <xf numFmtId="166" fontId="8" fillId="0" borderId="2" xfId="0" applyNumberFormat="1" applyFont="1" applyBorder="1"/>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xf>
    <xf numFmtId="0" fontId="8" fillId="0" borderId="2" xfId="0" applyFont="1" applyBorder="1" applyAlignment="1">
      <alignment horizontal="center"/>
    </xf>
    <xf numFmtId="0" fontId="9" fillId="0" borderId="2" xfId="0" applyFont="1" applyFill="1" applyBorder="1" applyAlignment="1">
      <alignment horizontal="center"/>
    </xf>
    <xf numFmtId="167" fontId="10" fillId="0" borderId="2" xfId="0" applyNumberFormat="1" applyFont="1" applyFill="1" applyBorder="1"/>
    <xf numFmtId="167" fontId="10" fillId="0" borderId="2" xfId="0" applyNumberFormat="1" applyFont="1" applyBorder="1"/>
    <xf numFmtId="0" fontId="10" fillId="0" borderId="2" xfId="0" applyFont="1" applyFill="1" applyBorder="1" applyAlignment="1">
      <alignment horizontal="right"/>
    </xf>
    <xf numFmtId="0" fontId="10" fillId="0" borderId="2" xfId="0" applyFont="1" applyFill="1" applyBorder="1" applyAlignment="1">
      <alignment horizontal="left"/>
    </xf>
    <xf numFmtId="0" fontId="12" fillId="3" borderId="2" xfId="0" applyFont="1" applyFill="1" applyBorder="1" applyAlignment="1">
      <alignment vertical="center"/>
    </xf>
    <xf numFmtId="0" fontId="12" fillId="3" borderId="2" xfId="0" applyFont="1" applyFill="1" applyBorder="1" applyAlignment="1">
      <alignment horizontal="right" vertical="center"/>
    </xf>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xf>
    <xf numFmtId="0" fontId="12" fillId="3" borderId="3" xfId="0" applyFont="1" applyFill="1" applyBorder="1" applyAlignment="1">
      <alignment horizontal="right"/>
    </xf>
    <xf numFmtId="167" fontId="12" fillId="3" borderId="2" xfId="0" applyNumberFormat="1" applyFont="1" applyFill="1" applyBorder="1" applyAlignment="1">
      <alignment horizontal="center" wrapText="1"/>
    </xf>
    <xf numFmtId="167" fontId="12" fillId="3" borderId="2" xfId="0" applyNumberFormat="1" applyFont="1" applyFill="1" applyBorder="1" applyAlignment="1">
      <alignment horizontal="center"/>
    </xf>
    <xf numFmtId="0" fontId="12" fillId="3" borderId="2" xfId="0" applyFont="1" applyFill="1" applyBorder="1" applyAlignment="1">
      <alignment horizontal="center" vertical="center" wrapText="1"/>
    </xf>
    <xf numFmtId="0" fontId="12" fillId="3" borderId="3" xfId="0" applyFont="1" applyFill="1" applyBorder="1" applyAlignment="1">
      <alignment horizontal="right"/>
    </xf>
    <xf numFmtId="0" fontId="8" fillId="0" borderId="0" xfId="0" applyFont="1" applyAlignment="1">
      <alignment horizontal="center"/>
    </xf>
    <xf numFmtId="0" fontId="10" fillId="0" borderId="0" xfId="0" applyFont="1" applyFill="1" applyBorder="1" applyAlignment="1">
      <alignment horizontal="center"/>
    </xf>
    <xf numFmtId="167" fontId="8" fillId="0" borderId="2" xfId="0" applyNumberFormat="1" applyFont="1" applyBorder="1" applyAlignment="1">
      <alignment horizontal="center"/>
    </xf>
    <xf numFmtId="0" fontId="8" fillId="0" borderId="6" xfId="0" applyFont="1" applyBorder="1"/>
    <xf numFmtId="0" fontId="7" fillId="0" borderId="5" xfId="0" applyFont="1" applyBorder="1" applyAlignment="1">
      <alignment horizontal="center" vertical="center"/>
    </xf>
    <xf numFmtId="0" fontId="9" fillId="0" borderId="5" xfId="0" applyFont="1" applyFill="1" applyBorder="1" applyAlignment="1">
      <alignment horizontal="center" vertical="center"/>
    </xf>
    <xf numFmtId="0" fontId="8" fillId="0" borderId="2" xfId="0" applyFont="1" applyBorder="1" applyAlignment="1">
      <alignment horizontal="right"/>
    </xf>
    <xf numFmtId="167" fontId="8" fillId="0" borderId="2" xfId="0" applyNumberFormat="1" applyFont="1" applyBorder="1" applyAlignment="1">
      <alignment horizontal="right"/>
    </xf>
    <xf numFmtId="0" fontId="12" fillId="0" borderId="0" xfId="0" applyFont="1" applyFill="1" applyBorder="1" applyAlignment="1">
      <alignment horizontal="center"/>
    </xf>
    <xf numFmtId="0" fontId="8" fillId="0" borderId="0" xfId="0" applyFont="1" applyFill="1" applyBorder="1"/>
    <xf numFmtId="0" fontId="12" fillId="0" borderId="0" xfId="0" applyFont="1" applyFill="1" applyBorder="1"/>
    <xf numFmtId="0" fontId="12" fillId="3" borderId="0" xfId="0" applyFont="1" applyFill="1" applyAlignment="1">
      <alignment vertical="center" wrapText="1"/>
    </xf>
    <xf numFmtId="167" fontId="10" fillId="0" borderId="5" xfId="0" applyNumberFormat="1" applyFont="1" applyFill="1" applyBorder="1" applyAlignment="1">
      <alignment horizontal="right" wrapText="1"/>
    </xf>
    <xf numFmtId="167" fontId="10" fillId="0" borderId="5" xfId="0" applyNumberFormat="1" applyFont="1" applyFill="1" applyBorder="1" applyAlignment="1">
      <alignment horizontal="right" vertical="center"/>
    </xf>
    <xf numFmtId="167" fontId="8" fillId="0" borderId="5" xfId="0" applyNumberFormat="1" applyFont="1" applyBorder="1" applyAlignment="1">
      <alignment horizontal="right"/>
    </xf>
    <xf numFmtId="4" fontId="8" fillId="0" borderId="5" xfId="0" applyNumberFormat="1" applyFont="1" applyBorder="1" applyAlignment="1">
      <alignment horizontal="right"/>
    </xf>
    <xf numFmtId="167" fontId="12" fillId="3" borderId="5" xfId="0" applyNumberFormat="1" applyFont="1" applyFill="1" applyBorder="1" applyAlignment="1">
      <alignment horizontal="right"/>
    </xf>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right" vertical="center"/>
    </xf>
    <xf numFmtId="0" fontId="7" fillId="0" borderId="0" xfId="0" applyFont="1" applyFill="1"/>
    <xf numFmtId="0" fontId="14" fillId="0" borderId="0" xfId="0" applyFont="1" applyFill="1" applyBorder="1"/>
    <xf numFmtId="0" fontId="0" fillId="0" borderId="0" xfId="0" applyFill="1" applyBorder="1"/>
    <xf numFmtId="0" fontId="17" fillId="2" borderId="15" xfId="0" applyFont="1" applyFill="1" applyBorder="1" applyAlignment="1">
      <alignment horizontal="center" vertical="center" wrapText="1"/>
    </xf>
    <xf numFmtId="0" fontId="16" fillId="2" borderId="17" xfId="0" applyFont="1" applyFill="1" applyBorder="1" applyAlignment="1">
      <alignment horizontal="center"/>
    </xf>
    <xf numFmtId="0" fontId="18" fillId="0" borderId="18" xfId="0" applyFont="1" applyFill="1" applyBorder="1" applyAlignment="1"/>
    <xf numFmtId="0" fontId="18" fillId="0" borderId="0" xfId="0" applyFont="1" applyFill="1" applyBorder="1" applyAlignment="1"/>
    <xf numFmtId="0" fontId="0" fillId="0" borderId="0" xfId="0" applyBorder="1"/>
    <xf numFmtId="0" fontId="0" fillId="0" borderId="19" xfId="0" applyBorder="1"/>
    <xf numFmtId="0" fontId="19" fillId="0" borderId="18" xfId="0" applyFont="1" applyFill="1" applyBorder="1"/>
    <xf numFmtId="0" fontId="20" fillId="0" borderId="0" xfId="0" applyFont="1" applyFill="1" applyBorder="1"/>
    <xf numFmtId="0" fontId="21" fillId="0" borderId="0" xfId="0" applyFont="1" applyBorder="1"/>
    <xf numFmtId="0" fontId="22" fillId="0" borderId="20" xfId="0" applyFont="1" applyBorder="1" applyAlignment="1">
      <alignment horizontal="center"/>
    </xf>
    <xf numFmtId="0" fontId="19" fillId="0" borderId="2"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2" xfId="0" applyFont="1" applyFill="1" applyBorder="1" applyAlignment="1">
      <alignment horizontal="center" vertical="center" wrapText="1"/>
    </xf>
    <xf numFmtId="44" fontId="21" fillId="0" borderId="2" xfId="311" applyNumberFormat="1" applyFont="1" applyBorder="1" applyAlignment="1">
      <alignment horizontal="center"/>
    </xf>
    <xf numFmtId="168" fontId="21" fillId="0" borderId="0" xfId="0" applyNumberFormat="1" applyFont="1" applyBorder="1"/>
    <xf numFmtId="0" fontId="20" fillId="0" borderId="18"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2" fillId="0" borderId="6" xfId="0" applyFont="1" applyBorder="1" applyAlignment="1">
      <alignment horizontal="center" vertical="center"/>
    </xf>
    <xf numFmtId="168" fontId="21" fillId="0" borderId="0" xfId="311" applyNumberFormat="1" applyFont="1" applyBorder="1"/>
    <xf numFmtId="0" fontId="20" fillId="0" borderId="21" xfId="0" applyFont="1" applyFill="1" applyBorder="1" applyAlignment="1">
      <alignment horizontal="center"/>
    </xf>
    <xf numFmtId="0" fontId="20" fillId="0" borderId="2" xfId="0" applyFont="1" applyFill="1" applyBorder="1" applyAlignment="1">
      <alignment horizontal="center"/>
    </xf>
    <xf numFmtId="0" fontId="21" fillId="0" borderId="2" xfId="0" applyFont="1" applyBorder="1" applyAlignment="1">
      <alignment horizontal="center" vertical="center"/>
    </xf>
    <xf numFmtId="169" fontId="20" fillId="0" borderId="18" xfId="312" applyNumberFormat="1" applyFont="1" applyFill="1" applyBorder="1"/>
    <xf numFmtId="169" fontId="20" fillId="0" borderId="0" xfId="312" applyNumberFormat="1" applyFont="1" applyFill="1" applyBorder="1"/>
    <xf numFmtId="168" fontId="21" fillId="0" borderId="2" xfId="311" applyNumberFormat="1" applyFont="1" applyBorder="1" applyAlignment="1">
      <alignment horizontal="center"/>
    </xf>
    <xf numFmtId="0" fontId="22" fillId="0" borderId="2" xfId="0" applyFont="1" applyBorder="1" applyAlignment="1">
      <alignment horizontal="center" vertical="center"/>
    </xf>
    <xf numFmtId="0" fontId="23" fillId="0" borderId="18" xfId="0" applyFont="1" applyFill="1" applyBorder="1" applyAlignment="1">
      <alignment horizontal="center"/>
    </xf>
    <xf numFmtId="169" fontId="23" fillId="0" borderId="0" xfId="312" applyNumberFormat="1" applyFont="1" applyFill="1" applyBorder="1"/>
    <xf numFmtId="0" fontId="0" fillId="0" borderId="18" xfId="0" applyBorder="1"/>
    <xf numFmtId="0" fontId="24" fillId="0" borderId="0" xfId="0" applyFont="1" applyFill="1" applyBorder="1" applyAlignment="1">
      <alignment vertical="center"/>
    </xf>
    <xf numFmtId="169" fontId="25" fillId="0" borderId="0" xfId="312" applyNumberFormat="1" applyFont="1" applyFill="1" applyBorder="1"/>
    <xf numFmtId="0" fontId="22" fillId="0" borderId="2" xfId="0" applyFont="1" applyBorder="1" applyAlignment="1">
      <alignment horizontal="center"/>
    </xf>
    <xf numFmtId="44" fontId="22" fillId="0" borderId="2" xfId="311" applyNumberFormat="1" applyFont="1" applyBorder="1" applyAlignment="1">
      <alignment horizontal="center"/>
    </xf>
    <xf numFmtId="0" fontId="22" fillId="0" borderId="0" xfId="0" applyFont="1" applyBorder="1" applyAlignment="1">
      <alignment horizontal="center"/>
    </xf>
    <xf numFmtId="168" fontId="22" fillId="0" borderId="0" xfId="311" applyNumberFormat="1" applyFont="1" applyBorder="1" applyAlignment="1">
      <alignment horizontal="center"/>
    </xf>
    <xf numFmtId="0" fontId="0" fillId="0" borderId="26" xfId="0" applyBorder="1"/>
    <xf numFmtId="0" fontId="22" fillId="0" borderId="0" xfId="0" applyFont="1" applyFill="1" applyBorder="1" applyAlignment="1">
      <alignment horizontal="center" vertical="center"/>
    </xf>
    <xf numFmtId="168" fontId="21" fillId="0" borderId="0" xfId="311" applyNumberFormat="1" applyFont="1" applyFill="1" applyBorder="1" applyAlignment="1">
      <alignment horizontal="center"/>
    </xf>
    <xf numFmtId="44" fontId="20" fillId="0" borderId="2" xfId="311" applyFont="1" applyFill="1" applyBorder="1" applyAlignment="1">
      <alignment horizontal="center" vertical="center" wrapText="1"/>
    </xf>
    <xf numFmtId="44" fontId="21" fillId="0" borderId="2" xfId="311" applyFont="1" applyBorder="1" applyAlignment="1">
      <alignment horizontal="center"/>
    </xf>
    <xf numFmtId="44" fontId="21" fillId="0" borderId="0" xfId="311" applyFont="1" applyBorder="1"/>
    <xf numFmtId="0" fontId="20" fillId="0" borderId="27"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8" xfId="0" applyFont="1" applyFill="1" applyBorder="1" applyAlignment="1">
      <alignment horizontal="center"/>
    </xf>
    <xf numFmtId="0" fontId="20" fillId="0" borderId="2" xfId="0" applyFont="1" applyFill="1" applyBorder="1" applyAlignment="1"/>
    <xf numFmtId="44" fontId="20" fillId="0" borderId="2" xfId="311" applyFont="1" applyFill="1" applyBorder="1" applyAlignment="1">
      <alignment horizontal="center"/>
    </xf>
    <xf numFmtId="169" fontId="20" fillId="0" borderId="2" xfId="312" applyNumberFormat="1" applyFont="1" applyFill="1" applyBorder="1" applyAlignment="1">
      <alignment horizontal="center"/>
    </xf>
    <xf numFmtId="44" fontId="22" fillId="0" borderId="2" xfId="311" applyFont="1" applyBorder="1" applyAlignment="1">
      <alignment horizontal="center"/>
    </xf>
    <xf numFmtId="44" fontId="22" fillId="0" borderId="0" xfId="311" applyFont="1" applyBorder="1" applyAlignment="1">
      <alignment horizontal="center"/>
    </xf>
    <xf numFmtId="44" fontId="16" fillId="0" borderId="25" xfId="0" applyNumberFormat="1" applyFont="1" applyBorder="1"/>
    <xf numFmtId="0" fontId="24" fillId="0" borderId="0" xfId="0" applyFont="1" applyFill="1" applyBorder="1" applyAlignment="1">
      <alignment horizontal="left" vertical="center"/>
    </xf>
    <xf numFmtId="44" fontId="16" fillId="0" borderId="0" xfId="0" applyNumberFormat="1" applyFont="1" applyBorder="1"/>
    <xf numFmtId="0" fontId="19" fillId="0" borderId="0" xfId="0" applyFont="1" applyFill="1" applyBorder="1"/>
    <xf numFmtId="0" fontId="21" fillId="0" borderId="0" xfId="0" applyFont="1" applyFill="1" applyBorder="1"/>
    <xf numFmtId="168" fontId="21" fillId="0" borderId="0" xfId="311" applyNumberFormat="1" applyFont="1" applyFill="1" applyBorder="1"/>
    <xf numFmtId="0" fontId="23" fillId="0" borderId="0" xfId="0" applyFont="1" applyFill="1" applyBorder="1" applyAlignment="1">
      <alignment horizontal="center"/>
    </xf>
    <xf numFmtId="168" fontId="21" fillId="0" borderId="0" xfId="0" applyNumberFormat="1" applyFont="1" applyFill="1" applyBorder="1"/>
    <xf numFmtId="0" fontId="20" fillId="0" borderId="21" xfId="0" applyFont="1" applyFill="1" applyBorder="1" applyAlignment="1">
      <alignment horizontal="center" vertical="center"/>
    </xf>
    <xf numFmtId="169" fontId="20" fillId="0" borderId="2" xfId="312" applyNumberFormat="1" applyFont="1" applyFill="1" applyBorder="1" applyAlignment="1">
      <alignment horizontal="left" wrapText="1"/>
    </xf>
    <xf numFmtId="169" fontId="20" fillId="0" borderId="2" xfId="312" applyNumberFormat="1" applyFont="1" applyFill="1" applyBorder="1" applyAlignment="1">
      <alignment horizontal="center" vertical="center"/>
    </xf>
    <xf numFmtId="0" fontId="22" fillId="0" borderId="0" xfId="0" applyFont="1" applyFill="1" applyBorder="1" applyAlignment="1">
      <alignment horizontal="center"/>
    </xf>
    <xf numFmtId="168" fontId="22" fillId="0" borderId="0" xfId="311" applyNumberFormat="1" applyFont="1" applyFill="1" applyBorder="1" applyAlignment="1">
      <alignment horizontal="center"/>
    </xf>
    <xf numFmtId="0" fontId="21" fillId="0" borderId="2" xfId="0" applyFont="1" applyBorder="1" applyAlignment="1">
      <alignment horizontal="center"/>
    </xf>
    <xf numFmtId="44" fontId="22" fillId="0" borderId="0" xfId="311" applyNumberFormat="1" applyFont="1" applyFill="1" applyBorder="1" applyAlignment="1">
      <alignment horizontal="center"/>
    </xf>
    <xf numFmtId="169" fontId="20" fillId="0" borderId="2" xfId="312" applyNumberFormat="1" applyFont="1" applyFill="1" applyBorder="1" applyAlignment="1">
      <alignment horizontal="left"/>
    </xf>
    <xf numFmtId="44" fontId="22" fillId="0" borderId="0" xfId="311" applyFont="1" applyFill="1" applyBorder="1" applyAlignment="1">
      <alignment horizontal="center"/>
    </xf>
    <xf numFmtId="44" fontId="16" fillId="0" borderId="0" xfId="0" applyNumberFormat="1" applyFont="1" applyFill="1" applyBorder="1"/>
    <xf numFmtId="1" fontId="20" fillId="0" borderId="21" xfId="0" applyNumberFormat="1" applyFont="1" applyFill="1" applyBorder="1" applyAlignment="1">
      <alignment horizontal="center" vertical="center"/>
    </xf>
    <xf numFmtId="0" fontId="0" fillId="0" borderId="0" xfId="0" applyFill="1"/>
    <xf numFmtId="0" fontId="16" fillId="0" borderId="0" xfId="0" applyFont="1" applyFill="1" applyBorder="1" applyAlignment="1">
      <alignment vertical="center"/>
    </xf>
    <xf numFmtId="0" fontId="17" fillId="0" borderId="0" xfId="0" applyFont="1" applyFill="1" applyBorder="1" applyAlignment="1">
      <alignment horizontal="center" vertical="center"/>
    </xf>
    <xf numFmtId="1" fontId="20" fillId="0" borderId="2" xfId="0" applyNumberFormat="1" applyFont="1" applyFill="1" applyBorder="1" applyAlignment="1">
      <alignment horizontal="center" vertical="center"/>
    </xf>
    <xf numFmtId="44" fontId="21" fillId="0" borderId="0" xfId="311" applyFont="1" applyFill="1" applyBorder="1"/>
    <xf numFmtId="0" fontId="19" fillId="0" borderId="0" xfId="0" applyFont="1" applyFill="1" applyBorder="1" applyAlignment="1">
      <alignment horizontal="center" vertical="center" wrapText="1"/>
    </xf>
    <xf numFmtId="0" fontId="20" fillId="0" borderId="0" xfId="0" applyFont="1" applyFill="1" applyBorder="1" applyAlignment="1">
      <alignment horizontal="center"/>
    </xf>
    <xf numFmtId="169" fontId="20" fillId="0" borderId="0" xfId="312" applyNumberFormat="1" applyFont="1" applyFill="1" applyBorder="1" applyAlignment="1">
      <alignment horizontal="center"/>
    </xf>
    <xf numFmtId="0" fontId="21" fillId="0" borderId="0" xfId="0" applyFont="1" applyFill="1" applyBorder="1" applyAlignment="1">
      <alignment horizontal="center" vertical="center"/>
    </xf>
    <xf numFmtId="44" fontId="21" fillId="0" borderId="0" xfId="311" applyFont="1" applyFill="1" applyBorder="1" applyAlignment="1">
      <alignment horizontal="center"/>
    </xf>
    <xf numFmtId="0" fontId="20" fillId="0" borderId="0" xfId="0" applyFont="1" applyFill="1" applyBorder="1" applyAlignment="1">
      <alignment horizontal="center" vertical="center"/>
    </xf>
    <xf numFmtId="169" fontId="20" fillId="0" borderId="0" xfId="312" applyNumberFormat="1" applyFont="1" applyFill="1" applyBorder="1" applyAlignment="1">
      <alignment horizontal="left" wrapText="1"/>
    </xf>
    <xf numFmtId="169" fontId="20" fillId="0" borderId="0" xfId="312" applyNumberFormat="1" applyFont="1" applyFill="1" applyBorder="1" applyAlignment="1">
      <alignment horizontal="center" vertical="center"/>
    </xf>
    <xf numFmtId="44" fontId="0" fillId="0" borderId="19" xfId="0" applyNumberFormat="1" applyBorder="1"/>
    <xf numFmtId="1" fontId="20" fillId="0" borderId="0" xfId="0" applyNumberFormat="1" applyFont="1" applyFill="1" applyBorder="1" applyAlignment="1">
      <alignment horizontal="center" vertical="center"/>
    </xf>
    <xf numFmtId="0" fontId="17" fillId="0" borderId="0" xfId="0" applyFont="1" applyFill="1" applyBorder="1" applyAlignment="1">
      <alignment horizontal="center" vertical="center" wrapText="1"/>
    </xf>
    <xf numFmtId="0" fontId="16" fillId="0" borderId="0" xfId="0" applyFont="1" applyFill="1" applyBorder="1" applyAlignment="1">
      <alignment horizontal="center"/>
    </xf>
    <xf numFmtId="44" fontId="0" fillId="0" borderId="0" xfId="0" applyNumberFormat="1" applyFill="1" applyBorder="1"/>
    <xf numFmtId="2" fontId="21" fillId="0" borderId="0" xfId="0" applyNumberFormat="1" applyFont="1" applyFill="1" applyBorder="1" applyAlignment="1">
      <alignment horizontal="center" vertical="center"/>
    </xf>
    <xf numFmtId="165" fontId="0" fillId="0" borderId="0" xfId="0" applyNumberFormat="1" applyFill="1" applyBorder="1"/>
    <xf numFmtId="0" fontId="17"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xf>
    <xf numFmtId="165" fontId="20" fillId="0" borderId="0" xfId="0" applyNumberFormat="1" applyFont="1" applyFill="1" applyBorder="1" applyAlignment="1">
      <alignment horizontal="center" vertical="center" wrapText="1"/>
    </xf>
    <xf numFmtId="0" fontId="28" fillId="0" borderId="0" xfId="0" applyFont="1" applyFill="1" applyBorder="1" applyAlignment="1">
      <alignment horizontal="left" vertical="center" wrapText="1"/>
    </xf>
    <xf numFmtId="2" fontId="20" fillId="0" borderId="0" xfId="0"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1" fontId="21" fillId="0" borderId="0" xfId="0" applyNumberFormat="1" applyFont="1" applyFill="1" applyBorder="1" applyAlignment="1">
      <alignment horizontal="center" vertical="center"/>
    </xf>
    <xf numFmtId="165" fontId="20" fillId="0" borderId="0" xfId="0" applyNumberFormat="1" applyFont="1" applyFill="1" applyBorder="1" applyAlignment="1">
      <alignment vertical="center" wrapText="1"/>
    </xf>
    <xf numFmtId="0" fontId="21" fillId="0" borderId="0" xfId="0" applyFont="1" applyFill="1" applyBorder="1" applyAlignment="1">
      <alignment horizontal="left" vertical="center" wrapText="1"/>
    </xf>
    <xf numFmtId="169" fontId="20" fillId="0" borderId="0" xfId="312" applyNumberFormat="1" applyFont="1" applyFill="1" applyBorder="1" applyAlignment="1">
      <alignment horizontal="left"/>
    </xf>
    <xf numFmtId="44" fontId="20" fillId="0" borderId="0" xfId="0" applyNumberFormat="1" applyFont="1" applyFill="1" applyBorder="1" applyAlignment="1">
      <alignment horizontal="center" vertical="center" wrapText="1"/>
    </xf>
    <xf numFmtId="0" fontId="13" fillId="0" borderId="0" xfId="0" applyFont="1" applyFill="1" applyBorder="1"/>
    <xf numFmtId="166" fontId="21" fillId="0" borderId="0" xfId="0" applyNumberFormat="1" applyFont="1" applyFill="1" applyBorder="1" applyAlignment="1">
      <alignment horizontal="center" vertical="center"/>
    </xf>
    <xf numFmtId="0" fontId="20" fillId="0" borderId="0" xfId="0" applyFont="1" applyFill="1" applyBorder="1" applyAlignment="1" applyProtection="1">
      <alignment horizontal="left" vertical="center" wrapText="1"/>
      <protection hidden="1"/>
    </xf>
    <xf numFmtId="0" fontId="20" fillId="0" borderId="0" xfId="0" quotePrefix="1" applyFont="1" applyFill="1" applyBorder="1" applyAlignment="1">
      <alignment horizontal="center" vertical="center" wrapText="1"/>
    </xf>
    <xf numFmtId="1" fontId="20" fillId="0" borderId="0" xfId="0" quotePrefix="1" applyNumberFormat="1" applyFont="1" applyFill="1" applyBorder="1" applyAlignment="1">
      <alignment horizontal="center" vertical="center"/>
    </xf>
    <xf numFmtId="0" fontId="21" fillId="0" borderId="0" xfId="0" applyFont="1" applyFill="1" applyBorder="1" applyAlignment="1">
      <alignment horizontal="center"/>
    </xf>
    <xf numFmtId="0" fontId="21" fillId="0" borderId="0" xfId="0" quotePrefix="1" applyFont="1" applyFill="1" applyBorder="1" applyAlignment="1">
      <alignment horizontal="center"/>
    </xf>
    <xf numFmtId="169" fontId="20" fillId="0" borderId="0" xfId="312" applyNumberFormat="1" applyFont="1" applyFill="1" applyBorder="1" applyAlignment="1">
      <alignment horizontal="left" vertical="center" wrapText="1"/>
    </xf>
    <xf numFmtId="0" fontId="30"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xf>
    <xf numFmtId="3" fontId="0" fillId="0" borderId="0" xfId="0" applyNumberFormat="1" applyFill="1" applyBorder="1" applyAlignment="1">
      <alignment horizontal="right"/>
    </xf>
    <xf numFmtId="0" fontId="32" fillId="0" borderId="0" xfId="0" applyFont="1" applyFill="1" applyBorder="1"/>
    <xf numFmtId="3" fontId="32" fillId="0" borderId="0" xfId="0" applyNumberFormat="1" applyFont="1" applyFill="1" applyBorder="1" applyAlignment="1">
      <alignment horizontal="right"/>
    </xf>
    <xf numFmtId="0" fontId="33" fillId="0" borderId="0" xfId="0" applyFont="1" applyFill="1" applyBorder="1" applyAlignment="1">
      <alignment horizontal="center"/>
    </xf>
    <xf numFmtId="3" fontId="19" fillId="0" borderId="0" xfId="0" applyNumberFormat="1" applyFont="1" applyFill="1" applyBorder="1" applyAlignment="1">
      <alignment horizontal="center" vertical="center" wrapText="1"/>
    </xf>
    <xf numFmtId="3" fontId="32" fillId="0" borderId="0" xfId="0" applyNumberFormat="1" applyFont="1" applyFill="1" applyBorder="1" applyAlignment="1">
      <alignment horizontal="center" vertical="center"/>
    </xf>
    <xf numFmtId="3" fontId="33" fillId="0" borderId="0" xfId="0" applyNumberFormat="1" applyFont="1" applyFill="1" applyBorder="1" applyAlignment="1">
      <alignment horizontal="center" vertical="center"/>
    </xf>
    <xf numFmtId="3" fontId="32" fillId="0" borderId="0" xfId="311" applyNumberFormat="1" applyFont="1" applyFill="1" applyBorder="1" applyAlignment="1">
      <alignment horizontal="right"/>
    </xf>
    <xf numFmtId="3" fontId="32" fillId="0" borderId="0" xfId="0" applyNumberFormat="1" applyFont="1" applyFill="1" applyBorder="1" applyAlignment="1">
      <alignment horizontal="center"/>
    </xf>
    <xf numFmtId="0" fontId="34" fillId="0" borderId="0" xfId="0" applyFont="1" applyFill="1" applyBorder="1"/>
    <xf numFmtId="0" fontId="20" fillId="0" borderId="0" xfId="0" applyFont="1" applyFill="1" applyBorder="1" applyAlignment="1" applyProtection="1">
      <alignment horizontal="center" vertical="center"/>
    </xf>
    <xf numFmtId="0" fontId="20" fillId="0" borderId="0" xfId="0" applyFont="1" applyFill="1" applyBorder="1" applyAlignment="1" applyProtection="1">
      <alignment horizontal="justify" vertical="center"/>
    </xf>
    <xf numFmtId="3" fontId="33" fillId="0" borderId="0" xfId="0" applyNumberFormat="1" applyFont="1" applyFill="1" applyBorder="1" applyAlignment="1">
      <alignment horizontal="right"/>
    </xf>
    <xf numFmtId="3" fontId="33" fillId="0" borderId="0" xfId="311" applyNumberFormat="1" applyFont="1" applyFill="1" applyBorder="1" applyAlignment="1">
      <alignment horizontal="right"/>
    </xf>
    <xf numFmtId="3" fontId="19" fillId="0" borderId="0" xfId="0" applyNumberFormat="1" applyFont="1" applyFill="1" applyBorder="1" applyAlignment="1">
      <alignment horizontal="right" vertical="center" wrapText="1"/>
    </xf>
    <xf numFmtId="3" fontId="32" fillId="0" borderId="0" xfId="0" applyNumberFormat="1" applyFont="1" applyFill="1" applyBorder="1" applyAlignment="1">
      <alignment horizontal="right" vertical="center"/>
    </xf>
    <xf numFmtId="3" fontId="33" fillId="0" borderId="0" xfId="0" applyNumberFormat="1" applyFont="1" applyFill="1" applyBorder="1" applyAlignment="1">
      <alignment horizontal="right" vertical="center"/>
    </xf>
    <xf numFmtId="0" fontId="20" fillId="0" borderId="0" xfId="0" applyFont="1" applyFill="1" applyBorder="1" applyAlignment="1" applyProtection="1">
      <alignment horizontal="right" vertical="center"/>
    </xf>
    <xf numFmtId="0" fontId="35" fillId="0" borderId="0" xfId="0" applyFont="1" applyFill="1" applyBorder="1" applyAlignment="1" applyProtection="1">
      <alignment horizontal="justify" vertical="center"/>
    </xf>
    <xf numFmtId="169" fontId="20" fillId="0" borderId="2" xfId="312" applyNumberFormat="1" applyFont="1" applyFill="1" applyBorder="1" applyAlignment="1">
      <alignment horizontal="center" wrapText="1"/>
    </xf>
    <xf numFmtId="0" fontId="17" fillId="0" borderId="15" xfId="0" applyFont="1" applyFill="1" applyBorder="1" applyAlignment="1">
      <alignment horizontal="center" vertical="center" wrapText="1"/>
    </xf>
    <xf numFmtId="0" fontId="16" fillId="0" borderId="17" xfId="0" applyFont="1" applyFill="1" applyBorder="1" applyAlignment="1">
      <alignment horizontal="center"/>
    </xf>
    <xf numFmtId="44" fontId="21" fillId="0" borderId="0" xfId="311" applyFont="1" applyBorder="1" applyAlignment="1">
      <alignment horizontal="center"/>
    </xf>
    <xf numFmtId="165" fontId="20" fillId="0" borderId="2" xfId="0" applyNumberFormat="1" applyFont="1" applyFill="1" applyBorder="1" applyAlignment="1">
      <alignment horizontal="center" vertical="center" wrapText="1"/>
    </xf>
    <xf numFmtId="0" fontId="28" fillId="0" borderId="2" xfId="0" applyFont="1" applyFill="1" applyBorder="1" applyAlignment="1">
      <alignment horizontal="left" vertical="center" wrapText="1"/>
    </xf>
    <xf numFmtId="2" fontId="20" fillId="0" borderId="2" xfId="0" applyNumberFormat="1" applyFont="1" applyFill="1" applyBorder="1" applyAlignment="1">
      <alignment horizontal="center" vertical="center" wrapText="1"/>
    </xf>
    <xf numFmtId="44" fontId="20" fillId="0" borderId="2" xfId="0" applyNumberFormat="1" applyFont="1" applyFill="1" applyBorder="1" applyAlignment="1">
      <alignment horizontal="center" vertical="center" wrapText="1"/>
    </xf>
    <xf numFmtId="0" fontId="29" fillId="0" borderId="2" xfId="0" applyFont="1" applyFill="1" applyBorder="1" applyAlignment="1">
      <alignment horizontal="left" vertical="center" wrapText="1"/>
    </xf>
    <xf numFmtId="44" fontId="16" fillId="0" borderId="25" xfId="0" applyNumberFormat="1" applyFont="1" applyFill="1" applyBorder="1"/>
    <xf numFmtId="169" fontId="20" fillId="0" borderId="2" xfId="312" applyNumberFormat="1" applyFont="1" applyFill="1" applyBorder="1" applyAlignment="1">
      <alignment horizontal="left" vertical="center" wrapText="1"/>
    </xf>
    <xf numFmtId="0" fontId="0" fillId="0" borderId="31" xfId="0" applyBorder="1"/>
    <xf numFmtId="0" fontId="35" fillId="0" borderId="0" xfId="0" applyFont="1" applyFill="1" applyBorder="1"/>
    <xf numFmtId="0" fontId="37" fillId="0" borderId="0" xfId="0" applyFont="1" applyFill="1" applyBorder="1"/>
    <xf numFmtId="0" fontId="19" fillId="0" borderId="0" xfId="0" applyFont="1" applyFill="1" applyBorder="1" applyAlignment="1">
      <alignment horizontal="center" vertical="center"/>
    </xf>
    <xf numFmtId="168" fontId="20" fillId="0" borderId="0" xfId="311" applyNumberFormat="1" applyFont="1" applyFill="1" applyBorder="1" applyAlignment="1">
      <alignment horizontal="center"/>
    </xf>
    <xf numFmtId="170" fontId="20" fillId="0" borderId="2" xfId="312" applyNumberFormat="1" applyFont="1" applyFill="1" applyBorder="1" applyAlignment="1">
      <alignment horizontal="center"/>
    </xf>
    <xf numFmtId="0" fontId="37" fillId="0" borderId="0" xfId="0" applyFont="1"/>
    <xf numFmtId="0" fontId="20" fillId="0" borderId="0" xfId="0" applyFont="1" applyBorder="1"/>
    <xf numFmtId="0" fontId="37" fillId="0" borderId="0" xfId="0" applyFont="1" applyBorder="1"/>
    <xf numFmtId="44" fontId="38" fillId="0" borderId="0" xfId="0" applyNumberFormat="1" applyFont="1" applyBorder="1"/>
    <xf numFmtId="0" fontId="19" fillId="0" borderId="0" xfId="0" applyFont="1" applyFill="1" applyBorder="1" applyAlignment="1">
      <alignment horizontal="center"/>
    </xf>
    <xf numFmtId="44" fontId="20" fillId="0" borderId="0" xfId="311" applyFont="1" applyFill="1" applyBorder="1" applyAlignment="1">
      <alignment horizontal="center"/>
    </xf>
    <xf numFmtId="44" fontId="20" fillId="0" borderId="0" xfId="311" applyFont="1" applyFill="1" applyBorder="1"/>
    <xf numFmtId="165" fontId="37" fillId="0" borderId="0" xfId="0" applyNumberFormat="1" applyFont="1" applyFill="1" applyBorder="1"/>
    <xf numFmtId="2" fontId="20" fillId="0" borderId="0" xfId="0" applyNumberFormat="1" applyFont="1" applyFill="1" applyBorder="1" applyAlignment="1">
      <alignment horizontal="center" vertical="center"/>
    </xf>
    <xf numFmtId="44" fontId="19" fillId="0" borderId="0" xfId="311" applyFont="1" applyFill="1" applyBorder="1" applyAlignment="1">
      <alignment horizontal="center"/>
    </xf>
    <xf numFmtId="44" fontId="38" fillId="0" borderId="0" xfId="0" applyNumberFormat="1" applyFont="1" applyFill="1" applyBorder="1"/>
    <xf numFmtId="0" fontId="39"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0" fontId="38" fillId="0" borderId="0" xfId="0" applyFont="1" applyFill="1" applyBorder="1" applyAlignment="1">
      <alignment horizontal="center"/>
    </xf>
    <xf numFmtId="44" fontId="37" fillId="0" borderId="0" xfId="0" applyNumberFormat="1" applyFont="1" applyFill="1" applyBorder="1"/>
    <xf numFmtId="0" fontId="37" fillId="0" borderId="0" xfId="0" applyFont="1" applyFill="1"/>
    <xf numFmtId="166" fontId="20" fillId="0" borderId="0" xfId="0" applyNumberFormat="1" applyFont="1" applyFill="1" applyBorder="1" applyAlignment="1">
      <alignment horizontal="center" vertical="center"/>
    </xf>
    <xf numFmtId="0" fontId="20" fillId="0" borderId="0" xfId="0" quotePrefix="1" applyFont="1" applyFill="1" applyBorder="1" applyAlignment="1">
      <alignment horizontal="center"/>
    </xf>
    <xf numFmtId="3" fontId="37" fillId="0" borderId="0"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0" xfId="0" applyNumberFormat="1" applyFont="1" applyFill="1" applyBorder="1" applyAlignment="1">
      <alignment horizontal="center" vertical="center"/>
    </xf>
    <xf numFmtId="3" fontId="19" fillId="0" borderId="0" xfId="0" applyNumberFormat="1" applyFont="1" applyFill="1" applyBorder="1" applyAlignment="1">
      <alignment horizontal="center" vertical="center"/>
    </xf>
    <xf numFmtId="3" fontId="20" fillId="0" borderId="0" xfId="311" applyNumberFormat="1" applyFont="1" applyFill="1" applyBorder="1" applyAlignment="1">
      <alignment horizontal="right"/>
    </xf>
    <xf numFmtId="3" fontId="20" fillId="0" borderId="0" xfId="0" applyNumberFormat="1" applyFont="1" applyFill="1" applyBorder="1" applyAlignment="1">
      <alignment horizontal="center"/>
    </xf>
    <xf numFmtId="0" fontId="40" fillId="0" borderId="0" xfId="0" applyFont="1" applyFill="1" applyBorder="1"/>
    <xf numFmtId="3" fontId="19" fillId="0" borderId="0" xfId="0" applyNumberFormat="1" applyFont="1" applyFill="1" applyBorder="1" applyAlignment="1">
      <alignment horizontal="right"/>
    </xf>
    <xf numFmtId="3" fontId="19" fillId="0" borderId="0" xfId="311" applyNumberFormat="1" applyFont="1" applyFill="1" applyBorder="1" applyAlignment="1">
      <alignment horizontal="right"/>
    </xf>
    <xf numFmtId="3" fontId="20" fillId="0" borderId="0" xfId="0" applyNumberFormat="1" applyFont="1" applyFill="1" applyBorder="1" applyAlignment="1">
      <alignment horizontal="right" vertical="center"/>
    </xf>
    <xf numFmtId="3" fontId="19" fillId="0" borderId="0" xfId="0" applyNumberFormat="1" applyFont="1" applyFill="1" applyBorder="1" applyAlignment="1">
      <alignment horizontal="right" vertical="center"/>
    </xf>
    <xf numFmtId="1" fontId="20" fillId="0" borderId="3" xfId="0" applyNumberFormat="1" applyFont="1" applyFill="1" applyBorder="1" applyAlignment="1">
      <alignment horizontal="center" vertical="center"/>
    </xf>
    <xf numFmtId="0" fontId="12" fillId="3" borderId="2" xfId="0" applyFont="1" applyFill="1" applyBorder="1" applyAlignment="1">
      <alignment horizontal="center"/>
    </xf>
    <xf numFmtId="0" fontId="12" fillId="3" borderId="2" xfId="0" applyFont="1" applyFill="1" applyBorder="1" applyAlignment="1">
      <alignment horizontal="center" vertical="center" wrapText="1"/>
    </xf>
    <xf numFmtId="0" fontId="24" fillId="0" borderId="0" xfId="0" applyFont="1" applyFill="1" applyBorder="1" applyAlignment="1">
      <alignment horizontal="left" vertical="center"/>
    </xf>
    <xf numFmtId="0" fontId="9" fillId="0" borderId="0" xfId="0" applyFont="1" applyBorder="1" applyAlignment="1">
      <alignment horizontal="left" vertical="center"/>
    </xf>
    <xf numFmtId="0" fontId="5" fillId="0" borderId="2" xfId="0" applyFont="1" applyBorder="1"/>
    <xf numFmtId="2" fontId="5" fillId="0" borderId="2" xfId="0" applyNumberFormat="1" applyFont="1" applyBorder="1"/>
    <xf numFmtId="0" fontId="6" fillId="0" borderId="2" xfId="0" applyFont="1" applyBorder="1" applyAlignment="1">
      <alignment horizontal="center"/>
    </xf>
    <xf numFmtId="0" fontId="6" fillId="0" borderId="2" xfId="0" applyFont="1" applyBorder="1"/>
    <xf numFmtId="0" fontId="24" fillId="0" borderId="0" xfId="0" applyFont="1" applyFill="1" applyBorder="1" applyAlignment="1">
      <alignment horizontal="left" vertical="center"/>
    </xf>
    <xf numFmtId="0" fontId="27" fillId="0" borderId="0" xfId="0" applyFont="1" applyFill="1" applyBorder="1" applyAlignment="1">
      <alignment horizontal="center" vertical="center"/>
    </xf>
    <xf numFmtId="44" fontId="21" fillId="0" borderId="2" xfId="311" applyFont="1" applyBorder="1" applyAlignment="1">
      <alignment horizontal="center" vertical="center"/>
    </xf>
    <xf numFmtId="0" fontId="41" fillId="0" borderId="0" xfId="0" applyFont="1" applyFill="1" applyBorder="1" applyAlignment="1">
      <alignment horizontal="center"/>
    </xf>
    <xf numFmtId="169" fontId="41" fillId="0" borderId="0" xfId="312" applyNumberFormat="1" applyFont="1" applyFill="1" applyBorder="1"/>
    <xf numFmtId="0" fontId="42" fillId="0" borderId="0" xfId="0" applyFont="1" applyFill="1" applyBorder="1" applyAlignment="1">
      <alignment horizontal="center" vertical="center"/>
    </xf>
    <xf numFmtId="0" fontId="43" fillId="0" borderId="0" xfId="0" applyFont="1" applyFill="1" applyBorder="1"/>
    <xf numFmtId="0" fontId="44" fillId="0" borderId="0" xfId="0" applyFont="1" applyFill="1" applyBorder="1" applyAlignment="1"/>
    <xf numFmtId="0" fontId="43" fillId="0"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169" fontId="43" fillId="0" borderId="0" xfId="312" applyNumberFormat="1" applyFont="1" applyFill="1" applyBorder="1"/>
    <xf numFmtId="0" fontId="45" fillId="0" borderId="0" xfId="0" applyFont="1" applyFill="1" applyBorder="1" applyAlignment="1">
      <alignment vertical="center"/>
    </xf>
    <xf numFmtId="169" fontId="46" fillId="0" borderId="0" xfId="312" applyNumberFormat="1" applyFont="1" applyFill="1" applyBorder="1"/>
    <xf numFmtId="44" fontId="42" fillId="0" borderId="0" xfId="311" applyFont="1" applyFill="1" applyBorder="1" applyAlignment="1">
      <alignment horizontal="center"/>
    </xf>
    <xf numFmtId="0" fontId="42" fillId="0" borderId="0" xfId="0" applyFont="1" applyFill="1" applyBorder="1" applyAlignment="1">
      <alignment horizontal="center"/>
    </xf>
    <xf numFmtId="44" fontId="27" fillId="0" borderId="0" xfId="0" applyNumberFormat="1" applyFont="1" applyFill="1" applyBorder="1"/>
    <xf numFmtId="0" fontId="42" fillId="0" borderId="0" xfId="0" applyFont="1" applyFill="1" applyBorder="1"/>
    <xf numFmtId="44" fontId="13" fillId="0" borderId="0" xfId="0" applyNumberFormat="1" applyFont="1" applyFill="1" applyBorder="1"/>
    <xf numFmtId="0" fontId="42" fillId="0" borderId="0" xfId="0" applyFont="1" applyFill="1" applyBorder="1" applyAlignment="1">
      <alignment horizontal="center" vertical="center" wrapText="1"/>
    </xf>
    <xf numFmtId="0" fontId="24" fillId="0" borderId="18" xfId="0" applyFont="1" applyFill="1" applyBorder="1" applyAlignment="1">
      <alignment horizontal="left" vertical="center"/>
    </xf>
    <xf numFmtId="44" fontId="43" fillId="0" borderId="0" xfId="311" applyFont="1" applyFill="1" applyBorder="1"/>
    <xf numFmtId="44" fontId="43" fillId="0" borderId="0" xfId="311" applyFont="1" applyFill="1" applyBorder="1" applyAlignment="1">
      <alignment horizontal="center"/>
    </xf>
    <xf numFmtId="0" fontId="43" fillId="0" borderId="0" xfId="0" applyFont="1" applyFill="1" applyBorder="1" applyAlignment="1">
      <alignment horizontal="center"/>
    </xf>
    <xf numFmtId="169" fontId="43" fillId="0" borderId="0" xfId="312" applyNumberFormat="1" applyFont="1" applyFill="1" applyBorder="1" applyAlignment="1">
      <alignment horizontal="center"/>
    </xf>
    <xf numFmtId="170" fontId="43" fillId="0" borderId="0" xfId="312" applyNumberFormat="1" applyFont="1" applyFill="1" applyBorder="1" applyAlignment="1">
      <alignment horizontal="center"/>
    </xf>
    <xf numFmtId="0" fontId="24" fillId="0" borderId="0" xfId="0" applyFont="1" applyFill="1" applyBorder="1" applyAlignment="1">
      <alignment horizontal="left" vertical="center"/>
    </xf>
    <xf numFmtId="44" fontId="21" fillId="0" borderId="6" xfId="311" applyFont="1" applyBorder="1" applyAlignment="1">
      <alignment horizontal="center"/>
    </xf>
    <xf numFmtId="0" fontId="47" fillId="0" borderId="2" xfId="0" applyFont="1" applyFill="1" applyBorder="1"/>
    <xf numFmtId="0" fontId="47" fillId="0" borderId="2" xfId="0" applyFont="1" applyFill="1" applyBorder="1" applyAlignment="1">
      <alignment wrapText="1"/>
    </xf>
    <xf numFmtId="0" fontId="39" fillId="2" borderId="15" xfId="0" applyFont="1" applyFill="1" applyBorder="1" applyAlignment="1">
      <alignment horizontal="center" vertical="center" wrapText="1"/>
    </xf>
    <xf numFmtId="0" fontId="38" fillId="2" borderId="17" xfId="0" applyFont="1" applyFill="1" applyBorder="1" applyAlignment="1">
      <alignment horizontal="center"/>
    </xf>
    <xf numFmtId="0" fontId="37" fillId="0" borderId="19" xfId="0" applyFont="1" applyBorder="1"/>
    <xf numFmtId="0" fontId="19" fillId="0" borderId="20" xfId="0" applyFont="1" applyBorder="1" applyAlignment="1">
      <alignment horizontal="center"/>
    </xf>
    <xf numFmtId="44" fontId="20" fillId="0" borderId="2" xfId="311" applyFont="1" applyBorder="1" applyAlignment="1">
      <alignment horizontal="center"/>
    </xf>
    <xf numFmtId="0" fontId="19" fillId="0" borderId="2" xfId="0" applyFont="1" applyBorder="1" applyAlignment="1">
      <alignment horizontal="center" vertical="center"/>
    </xf>
    <xf numFmtId="44" fontId="20" fillId="0" borderId="0" xfId="311" applyFont="1" applyBorder="1"/>
    <xf numFmtId="0" fontId="19" fillId="0" borderId="6" xfId="0" applyFont="1" applyBorder="1" applyAlignment="1">
      <alignment horizontal="center" vertical="center"/>
    </xf>
    <xf numFmtId="171" fontId="20" fillId="0" borderId="2" xfId="312" applyNumberFormat="1" applyFont="1" applyFill="1" applyBorder="1" applyAlignment="1">
      <alignment horizontal="center"/>
    </xf>
    <xf numFmtId="0" fontId="37" fillId="0" borderId="18" xfId="0" applyFont="1" applyBorder="1"/>
    <xf numFmtId="0" fontId="19" fillId="0" borderId="2" xfId="0" applyFont="1" applyBorder="1" applyAlignment="1">
      <alignment horizontal="center"/>
    </xf>
    <xf numFmtId="44" fontId="19" fillId="0" borderId="2" xfId="311" applyFont="1" applyBorder="1" applyAlignment="1">
      <alignment horizontal="center"/>
    </xf>
    <xf numFmtId="0" fontId="19" fillId="0" borderId="0" xfId="0" applyFont="1" applyBorder="1" applyAlignment="1">
      <alignment horizontal="center"/>
    </xf>
    <xf numFmtId="44" fontId="19" fillId="0" borderId="0" xfId="311" applyFont="1" applyBorder="1" applyAlignment="1">
      <alignment horizontal="center"/>
    </xf>
    <xf numFmtId="44" fontId="38" fillId="0" borderId="25" xfId="0" applyNumberFormat="1" applyFont="1" applyBorder="1"/>
    <xf numFmtId="0" fontId="37" fillId="0" borderId="26" xfId="0" applyFont="1" applyBorder="1"/>
    <xf numFmtId="0" fontId="38" fillId="2" borderId="12" xfId="0" applyFont="1" applyFill="1" applyBorder="1" applyAlignment="1">
      <alignment horizontal="center" vertical="center"/>
    </xf>
    <xf numFmtId="0" fontId="38" fillId="2" borderId="16" xfId="0" applyFont="1" applyFill="1" applyBorder="1" applyAlignment="1">
      <alignment horizontal="center" vertical="center"/>
    </xf>
    <xf numFmtId="0" fontId="38" fillId="0" borderId="0" xfId="0" applyFont="1" applyFill="1" applyBorder="1" applyAlignment="1">
      <alignment vertical="center"/>
    </xf>
    <xf numFmtId="0" fontId="20" fillId="0" borderId="2" xfId="0" applyFont="1" applyBorder="1" applyAlignment="1">
      <alignment horizontal="center" vertical="center"/>
    </xf>
    <xf numFmtId="0" fontId="39" fillId="4" borderId="15" xfId="0" applyFont="1" applyFill="1" applyBorder="1" applyAlignment="1">
      <alignment horizontal="center" vertical="center" wrapText="1"/>
    </xf>
    <xf numFmtId="0" fontId="38" fillId="4" borderId="17" xfId="0" applyFont="1" applyFill="1" applyBorder="1" applyAlignment="1">
      <alignment horizontal="center"/>
    </xf>
    <xf numFmtId="0" fontId="37" fillId="0" borderId="19" xfId="0" applyFont="1" applyFill="1" applyBorder="1"/>
    <xf numFmtId="0" fontId="19" fillId="0" borderId="20" xfId="0" applyFont="1" applyFill="1" applyBorder="1" applyAlignment="1">
      <alignment horizontal="center"/>
    </xf>
    <xf numFmtId="0" fontId="19" fillId="0" borderId="2" xfId="0" applyFont="1" applyFill="1" applyBorder="1" applyAlignment="1">
      <alignment horizontal="center" vertical="center"/>
    </xf>
    <xf numFmtId="0" fontId="20" fillId="0" borderId="2" xfId="0" applyFont="1" applyFill="1" applyBorder="1" applyAlignment="1">
      <alignment horizontal="center" vertical="center"/>
    </xf>
    <xf numFmtId="166" fontId="20" fillId="0" borderId="2" xfId="0" applyNumberFormat="1" applyFont="1" applyFill="1" applyBorder="1" applyAlignment="1">
      <alignment horizontal="center" vertical="center" wrapText="1"/>
    </xf>
    <xf numFmtId="0" fontId="39" fillId="0" borderId="15" xfId="0" applyFont="1" applyFill="1" applyBorder="1" applyAlignment="1">
      <alignment horizontal="center" vertical="center" wrapText="1"/>
    </xf>
    <xf numFmtId="0" fontId="38" fillId="0" borderId="17" xfId="0" applyFont="1" applyFill="1" applyBorder="1" applyAlignment="1">
      <alignment horizontal="center"/>
    </xf>
    <xf numFmtId="0" fontId="0" fillId="0" borderId="2" xfId="0" applyBorder="1"/>
    <xf numFmtId="0" fontId="0" fillId="0" borderId="2" xfId="0" applyBorder="1" applyAlignment="1">
      <alignment horizontal="center"/>
    </xf>
    <xf numFmtId="0" fontId="48" fillId="0" borderId="2" xfId="0" applyFont="1" applyBorder="1" applyAlignment="1">
      <alignment horizontal="center"/>
    </xf>
    <xf numFmtId="169" fontId="20" fillId="0" borderId="8" xfId="312" applyNumberFormat="1" applyFont="1" applyFill="1" applyBorder="1" applyAlignment="1">
      <alignment horizontal="center" vertical="center"/>
    </xf>
    <xf numFmtId="44" fontId="21" fillId="0" borderId="2" xfId="311" applyFont="1" applyFill="1" applyBorder="1" applyAlignment="1">
      <alignment horizontal="center"/>
    </xf>
    <xf numFmtId="44" fontId="21" fillId="0" borderId="2" xfId="311" applyFont="1" applyFill="1" applyBorder="1" applyAlignment="1">
      <alignment horizontal="center" vertical="center"/>
    </xf>
    <xf numFmtId="44" fontId="20" fillId="0" borderId="2" xfId="311" applyFont="1" applyBorder="1" applyAlignment="1">
      <alignment horizontal="center" vertical="center"/>
    </xf>
    <xf numFmtId="44" fontId="20" fillId="0" borderId="2" xfId="311" applyFont="1" applyFill="1" applyBorder="1" applyAlignment="1">
      <alignment horizontal="right" vertical="center"/>
    </xf>
    <xf numFmtId="44" fontId="20" fillId="0" borderId="2" xfId="311" applyFont="1" applyFill="1" applyBorder="1" applyAlignment="1">
      <alignment horizontal="center" vertical="center"/>
    </xf>
    <xf numFmtId="0" fontId="0" fillId="0" borderId="2" xfId="0" applyBorder="1" applyAlignment="1">
      <alignment horizontal="center" vertical="center"/>
    </xf>
    <xf numFmtId="0" fontId="20" fillId="0" borderId="0" xfId="0" applyFont="1" applyFill="1" applyBorder="1" applyAlignment="1">
      <alignment vertical="center" wrapText="1"/>
    </xf>
    <xf numFmtId="169" fontId="20" fillId="0" borderId="2" xfId="312" applyNumberFormat="1" applyFont="1" applyFill="1" applyBorder="1" applyAlignment="1">
      <alignment horizontal="center" vertical="top"/>
    </xf>
    <xf numFmtId="44" fontId="21" fillId="0" borderId="2" xfId="311" applyFont="1" applyBorder="1" applyAlignment="1">
      <alignment horizontal="center" vertical="top"/>
    </xf>
    <xf numFmtId="0" fontId="20" fillId="0" borderId="2" xfId="0" applyFont="1" applyFill="1" applyBorder="1" applyAlignment="1">
      <alignment horizontal="left" vertical="center" wrapText="1"/>
    </xf>
    <xf numFmtId="43" fontId="21" fillId="0" borderId="2" xfId="0" applyNumberFormat="1" applyFont="1" applyBorder="1" applyAlignment="1">
      <alignment horizontal="center" vertical="center"/>
    </xf>
    <xf numFmtId="0" fontId="20" fillId="0" borderId="2" xfId="0" applyFont="1" applyFill="1" applyBorder="1" applyAlignment="1">
      <alignment horizontal="left" vertical="center" wrapText="1"/>
    </xf>
    <xf numFmtId="0" fontId="23" fillId="0" borderId="0" xfId="0" applyNumberFormat="1" applyFont="1" applyFill="1" applyAlignment="1">
      <alignment horizontal="center" vertical="center"/>
    </xf>
    <xf numFmtId="0" fontId="29" fillId="0" borderId="0" xfId="0" applyFont="1"/>
    <xf numFmtId="0" fontId="29" fillId="0" borderId="0" xfId="0" applyFont="1" applyBorder="1"/>
    <xf numFmtId="0" fontId="29" fillId="0" borderId="0" xfId="0" applyFont="1" applyBorder="1" applyAlignment="1">
      <alignment wrapText="1"/>
    </xf>
    <xf numFmtId="44" fontId="29" fillId="0" borderId="0" xfId="311" applyFont="1"/>
    <xf numFmtId="0" fontId="51" fillId="3" borderId="2" xfId="0" applyFont="1" applyFill="1" applyBorder="1" applyAlignment="1">
      <alignment horizontal="center" vertical="center"/>
    </xf>
    <xf numFmtId="0" fontId="51" fillId="3" borderId="2" xfId="0" applyFont="1" applyFill="1" applyBorder="1" applyAlignment="1">
      <alignment horizontal="left" vertical="center" wrapText="1"/>
    </xf>
    <xf numFmtId="0" fontId="52" fillId="3" borderId="2" xfId="0" applyFont="1" applyFill="1" applyBorder="1" applyAlignment="1">
      <alignment horizontal="center" vertical="center"/>
    </xf>
    <xf numFmtId="44" fontId="52" fillId="3" borderId="2" xfId="311" applyFont="1" applyFill="1" applyBorder="1" applyAlignment="1">
      <alignment horizontal="center" vertical="center"/>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xf>
    <xf numFmtId="167" fontId="29" fillId="0" borderId="2" xfId="0" applyNumberFormat="1" applyFont="1" applyFill="1" applyBorder="1" applyAlignment="1">
      <alignment horizontal="center" vertical="center"/>
    </xf>
    <xf numFmtId="44" fontId="29" fillId="0" borderId="2" xfId="311" applyFont="1" applyFill="1" applyBorder="1" applyAlignment="1">
      <alignment horizontal="center" vertical="center"/>
    </xf>
    <xf numFmtId="0" fontId="29" fillId="0" borderId="0" xfId="0" applyFont="1" applyFill="1"/>
    <xf numFmtId="44" fontId="29" fillId="0" borderId="2" xfId="0" applyNumberFormat="1" applyFont="1" applyFill="1" applyBorder="1" applyAlignment="1">
      <alignment horizontal="center" vertical="center"/>
    </xf>
    <xf numFmtId="44" fontId="53" fillId="0" borderId="2" xfId="311" applyFont="1" applyFill="1" applyBorder="1" applyAlignment="1">
      <alignment horizontal="center" vertical="center"/>
    </xf>
    <xf numFmtId="44" fontId="29" fillId="0" borderId="0" xfId="0" applyNumberFormat="1" applyFont="1"/>
    <xf numFmtId="0" fontId="51" fillId="3" borderId="2" xfId="0" applyFont="1" applyFill="1" applyBorder="1" applyAlignment="1">
      <alignment vertical="center" wrapText="1"/>
    </xf>
    <xf numFmtId="0" fontId="52" fillId="3" borderId="2" xfId="0" applyFont="1" applyFill="1" applyBorder="1" applyAlignment="1">
      <alignment vertical="center" wrapText="1"/>
    </xf>
    <xf numFmtId="44" fontId="52" fillId="3" borderId="2" xfId="311" applyFont="1" applyFill="1" applyBorder="1" applyAlignment="1">
      <alignment vertical="center" wrapText="1"/>
    </xf>
    <xf numFmtId="0" fontId="28" fillId="0" borderId="2" xfId="0" applyFont="1" applyFill="1" applyBorder="1" applyAlignment="1">
      <alignment horizontal="center" vertical="center"/>
    </xf>
    <xf numFmtId="0" fontId="28" fillId="0" borderId="1" xfId="0" applyFont="1" applyFill="1" applyBorder="1" applyAlignment="1">
      <alignment horizontal="center" vertical="center"/>
    </xf>
    <xf numFmtId="167" fontId="28" fillId="0" borderId="2" xfId="0" applyNumberFormat="1" applyFont="1" applyFill="1" applyBorder="1" applyAlignment="1">
      <alignment horizontal="center" vertical="center"/>
    </xf>
    <xf numFmtId="44" fontId="28" fillId="0" borderId="2" xfId="0" applyNumberFormat="1" applyFont="1" applyFill="1" applyBorder="1" applyAlignment="1">
      <alignment horizontal="center" vertical="center"/>
    </xf>
    <xf numFmtId="44" fontId="28" fillId="0" borderId="2" xfId="311" applyFont="1" applyFill="1" applyBorder="1" applyAlignment="1">
      <alignment horizontal="center" vertical="center"/>
    </xf>
    <xf numFmtId="0" fontId="28" fillId="0" borderId="2" xfId="35" applyFont="1" applyFill="1" applyBorder="1" applyAlignment="1">
      <alignment vertical="center" wrapText="1"/>
    </xf>
    <xf numFmtId="0" fontId="28" fillId="0" borderId="2" xfId="0" applyFont="1" applyFill="1" applyBorder="1" applyAlignment="1">
      <alignment wrapText="1"/>
    </xf>
    <xf numFmtId="0" fontId="28" fillId="0" borderId="1" xfId="0" applyFont="1" applyFill="1" applyBorder="1" applyAlignment="1">
      <alignment horizontal="center"/>
    </xf>
    <xf numFmtId="0" fontId="28" fillId="0" borderId="2" xfId="0" applyFont="1" applyFill="1" applyBorder="1" applyAlignment="1" applyProtection="1">
      <alignment horizontal="center" vertical="top" wrapText="1"/>
      <protection hidden="1"/>
    </xf>
    <xf numFmtId="0" fontId="28" fillId="0" borderId="2" xfId="0" applyFont="1" applyFill="1" applyBorder="1" applyAlignment="1" applyProtection="1">
      <alignment horizontal="left" vertical="center" wrapText="1"/>
      <protection hidden="1"/>
    </xf>
    <xf numFmtId="0" fontId="28" fillId="0" borderId="2" xfId="0" applyFont="1" applyFill="1" applyBorder="1" applyAlignment="1" applyProtection="1">
      <alignment horizontal="center" vertical="center" wrapText="1"/>
      <protection hidden="1"/>
    </xf>
    <xf numFmtId="0" fontId="29" fillId="0" borderId="2" xfId="0" applyFont="1" applyFill="1" applyBorder="1" applyAlignment="1">
      <alignment wrapText="1"/>
    </xf>
    <xf numFmtId="166" fontId="29" fillId="0" borderId="2" xfId="0" applyNumberFormat="1" applyFont="1" applyFill="1" applyBorder="1" applyAlignment="1">
      <alignment horizontal="center" vertical="center"/>
    </xf>
    <xf numFmtId="0" fontId="29" fillId="0" borderId="2" xfId="0" applyFont="1" applyFill="1" applyBorder="1" applyAlignment="1" applyProtection="1">
      <alignment horizontal="center" vertical="center" wrapText="1"/>
      <protection hidden="1"/>
    </xf>
    <xf numFmtId="0" fontId="29" fillId="0" borderId="2" xfId="0" applyFont="1" applyFill="1" applyBorder="1" applyAlignment="1">
      <alignment vertical="center" wrapText="1"/>
    </xf>
    <xf numFmtId="0" fontId="29" fillId="0" borderId="2" xfId="0" applyFont="1" applyFill="1" applyBorder="1" applyAlignment="1">
      <alignment horizontal="center" vertical="center" wrapText="1"/>
    </xf>
    <xf numFmtId="0" fontId="52" fillId="3" borderId="2" xfId="0" applyFont="1" applyFill="1" applyBorder="1"/>
    <xf numFmtId="44" fontId="52" fillId="3" borderId="2" xfId="311" applyFont="1" applyFill="1" applyBorder="1"/>
    <xf numFmtId="166" fontId="28" fillId="0" borderId="2" xfId="0" applyNumberFormat="1" applyFont="1" applyFill="1" applyBorder="1" applyAlignment="1">
      <alignment horizontal="center" vertical="center"/>
    </xf>
    <xf numFmtId="0" fontId="29" fillId="0" borderId="2" xfId="0" applyFont="1" applyBorder="1" applyAlignment="1">
      <alignment horizontal="center" vertical="center"/>
    </xf>
    <xf numFmtId="44" fontId="29" fillId="0" borderId="2" xfId="0" applyNumberFormat="1" applyFont="1" applyBorder="1" applyAlignment="1">
      <alignment horizontal="center" vertical="center"/>
    </xf>
    <xf numFmtId="44" fontId="29" fillId="0" borderId="2" xfId="311" applyFont="1" applyBorder="1" applyAlignment="1">
      <alignment horizontal="center" vertical="center"/>
    </xf>
    <xf numFmtId="0" fontId="28" fillId="0" borderId="2" xfId="0" applyFont="1" applyFill="1" applyBorder="1" applyAlignment="1" applyProtection="1">
      <alignment vertical="top" wrapText="1"/>
      <protection hidden="1"/>
    </xf>
    <xf numFmtId="0" fontId="51" fillId="3" borderId="2" xfId="0" applyFont="1" applyFill="1" applyBorder="1" applyAlignment="1">
      <alignment wrapText="1"/>
    </xf>
    <xf numFmtId="167" fontId="29" fillId="0" borderId="6" xfId="0" applyNumberFormat="1" applyFont="1" applyFill="1" applyBorder="1" applyAlignment="1">
      <alignment horizontal="center"/>
    </xf>
    <xf numFmtId="167" fontId="29" fillId="0" borderId="2" xfId="0" applyNumberFormat="1" applyFont="1" applyFill="1" applyBorder="1" applyAlignment="1">
      <alignment horizontal="center"/>
    </xf>
    <xf numFmtId="167" fontId="29" fillId="0" borderId="5" xfId="0" applyNumberFormat="1" applyFont="1" applyFill="1" applyBorder="1" applyAlignment="1">
      <alignment horizontal="center"/>
    </xf>
    <xf numFmtId="0" fontId="54" fillId="0" borderId="0" xfId="0" applyFont="1" applyFill="1" applyBorder="1" applyAlignment="1">
      <alignment horizontal="center"/>
    </xf>
    <xf numFmtId="0" fontId="29" fillId="0" borderId="0" xfId="0" applyFont="1" applyFill="1" applyBorder="1"/>
    <xf numFmtId="0" fontId="29" fillId="0" borderId="5" xfId="0" applyFont="1" applyFill="1" applyBorder="1" applyAlignment="1">
      <alignment wrapText="1"/>
    </xf>
    <xf numFmtId="0" fontId="29" fillId="0" borderId="5" xfId="0" applyFont="1" applyFill="1" applyBorder="1" applyAlignment="1">
      <alignment horizontal="center" vertical="center"/>
    </xf>
    <xf numFmtId="0" fontId="29" fillId="0" borderId="0" xfId="0" applyFont="1" applyFill="1" applyAlignment="1">
      <alignment horizontal="center" vertical="center"/>
    </xf>
    <xf numFmtId="44" fontId="29" fillId="0" borderId="5" xfId="0" applyNumberFormat="1" applyFont="1" applyFill="1" applyBorder="1" applyAlignment="1">
      <alignment horizontal="center" vertical="center"/>
    </xf>
    <xf numFmtId="44" fontId="29" fillId="0" borderId="5" xfId="311" applyFont="1" applyFill="1" applyBorder="1" applyAlignment="1">
      <alignment horizontal="center" vertical="center"/>
    </xf>
    <xf numFmtId="0" fontId="28" fillId="0" borderId="2" xfId="0" applyFont="1" applyFill="1" applyBorder="1" applyAlignment="1">
      <alignment horizontal="center" vertical="center" wrapText="1"/>
    </xf>
    <xf numFmtId="0" fontId="28" fillId="0" borderId="0" xfId="0" applyFont="1" applyFill="1"/>
    <xf numFmtId="0" fontId="28" fillId="0" borderId="0" xfId="0" applyFont="1" applyFill="1" applyBorder="1"/>
    <xf numFmtId="44" fontId="55" fillId="0" borderId="0" xfId="311" applyFont="1" applyFill="1" applyBorder="1"/>
    <xf numFmtId="0" fontId="28" fillId="5" borderId="2" xfId="0" applyFont="1" applyFill="1" applyBorder="1" applyAlignment="1" applyProtection="1">
      <alignment horizontal="left" vertical="center" wrapText="1"/>
      <protection hidden="1"/>
    </xf>
    <xf numFmtId="0" fontId="29" fillId="5" borderId="2" xfId="0" applyFont="1" applyFill="1" applyBorder="1" applyAlignment="1" applyProtection="1">
      <alignment horizontal="center" vertical="center" wrapText="1"/>
      <protection hidden="1"/>
    </xf>
    <xf numFmtId="44" fontId="29" fillId="5" borderId="2" xfId="0" applyNumberFormat="1" applyFont="1" applyFill="1" applyBorder="1" applyAlignment="1">
      <alignment horizontal="center" vertical="center"/>
    </xf>
    <xf numFmtId="44" fontId="29" fillId="5" borderId="2" xfId="311" applyFont="1" applyFill="1" applyBorder="1" applyAlignment="1">
      <alignment horizontal="center" vertical="center"/>
    </xf>
    <xf numFmtId="0" fontId="29" fillId="0" borderId="0" xfId="0" applyFont="1" applyFill="1" applyAlignment="1">
      <alignment vertical="center" wrapText="1"/>
    </xf>
    <xf numFmtId="0" fontId="29" fillId="0" borderId="0" xfId="0" applyFont="1" applyAlignment="1">
      <alignment vertical="center" wrapText="1"/>
    </xf>
    <xf numFmtId="3" fontId="28" fillId="5" borderId="2" xfId="0" applyNumberFormat="1" applyFont="1" applyFill="1" applyBorder="1" applyAlignment="1" applyProtection="1">
      <alignment vertical="center" wrapText="1"/>
      <protection hidden="1"/>
    </xf>
    <xf numFmtId="0" fontId="28" fillId="5" borderId="2" xfId="0" applyFont="1" applyFill="1" applyBorder="1" applyAlignment="1">
      <alignment horizontal="center" vertical="center"/>
    </xf>
    <xf numFmtId="44" fontId="28" fillId="5" borderId="2" xfId="0" applyNumberFormat="1" applyFont="1" applyFill="1" applyBorder="1" applyAlignment="1">
      <alignment horizontal="center" vertical="center"/>
    </xf>
    <xf numFmtId="44" fontId="28" fillId="5" borderId="2" xfId="311" applyFont="1" applyFill="1" applyBorder="1" applyAlignment="1">
      <alignment horizontal="center" vertical="center"/>
    </xf>
    <xf numFmtId="0" fontId="28" fillId="0" borderId="0" xfId="0" applyFont="1"/>
    <xf numFmtId="0" fontId="29" fillId="5" borderId="2" xfId="0" applyFont="1" applyFill="1" applyBorder="1" applyAlignment="1">
      <alignment horizontal="center" vertical="center"/>
    </xf>
    <xf numFmtId="0" fontId="29" fillId="5" borderId="2" xfId="0" applyFont="1" applyFill="1" applyBorder="1" applyAlignment="1">
      <alignment horizontal="left" vertical="center" wrapText="1"/>
    </xf>
    <xf numFmtId="0" fontId="28" fillId="5" borderId="2" xfId="0" applyFont="1" applyFill="1" applyBorder="1" applyAlignment="1">
      <alignment horizontal="left" vertical="center" wrapText="1"/>
    </xf>
    <xf numFmtId="44" fontId="55" fillId="0" borderId="0" xfId="311" applyFont="1" applyFill="1"/>
    <xf numFmtId="0" fontId="28" fillId="5" borderId="2" xfId="0" applyFont="1" applyFill="1" applyBorder="1" applyAlignment="1">
      <alignment horizontal="center" vertical="center" wrapText="1"/>
    </xf>
    <xf numFmtId="0" fontId="29" fillId="0" borderId="2" xfId="0" applyFont="1" applyBorder="1" applyAlignment="1">
      <alignment horizontal="center"/>
    </xf>
    <xf numFmtId="0" fontId="29" fillId="0" borderId="2" xfId="0" applyFont="1" applyBorder="1" applyAlignment="1">
      <alignment wrapText="1"/>
    </xf>
    <xf numFmtId="0" fontId="28" fillId="0" borderId="2" xfId="0" applyFont="1" applyBorder="1" applyAlignment="1">
      <alignment horizontal="center" vertical="center" wrapText="1"/>
    </xf>
    <xf numFmtId="0" fontId="28" fillId="0" borderId="2" xfId="0" applyFont="1" applyBorder="1" applyAlignment="1">
      <alignment horizontal="left" vertical="center" wrapText="1"/>
    </xf>
    <xf numFmtId="166" fontId="29" fillId="0" borderId="2" xfId="0" applyNumberFormat="1" applyFont="1" applyBorder="1" applyAlignment="1">
      <alignment horizontal="center" vertical="center"/>
    </xf>
    <xf numFmtId="2" fontId="29" fillId="0" borderId="2" xfId="0" applyNumberFormat="1" applyFont="1" applyBorder="1" applyAlignment="1">
      <alignment horizontal="center" vertical="center"/>
    </xf>
    <xf numFmtId="0" fontId="29" fillId="0" borderId="2" xfId="0" applyFont="1" applyBorder="1" applyAlignment="1">
      <alignment horizontal="left" vertical="center" wrapText="1"/>
    </xf>
    <xf numFmtId="44" fontId="28" fillId="0" borderId="2" xfId="0" applyNumberFormat="1" applyFont="1" applyFill="1" applyBorder="1" applyAlignment="1">
      <alignment horizontal="center" vertical="center" wrapText="1"/>
    </xf>
    <xf numFmtId="0" fontId="28" fillId="0" borderId="2" xfId="0" applyFont="1" applyBorder="1" applyAlignment="1">
      <alignment horizontal="center" vertical="center"/>
    </xf>
    <xf numFmtId="44" fontId="28" fillId="0" borderId="2" xfId="0" applyNumberFormat="1" applyFont="1" applyBorder="1" applyAlignment="1">
      <alignment horizontal="center" vertical="center"/>
    </xf>
    <xf numFmtId="44" fontId="28" fillId="0" borderId="2" xfId="311" applyFont="1" applyBorder="1" applyAlignment="1">
      <alignment horizontal="center" vertical="center"/>
    </xf>
    <xf numFmtId="0" fontId="55" fillId="0" borderId="0" xfId="0" applyFont="1"/>
    <xf numFmtId="44" fontId="53" fillId="5" borderId="2" xfId="311" applyFont="1" applyFill="1" applyBorder="1" applyAlignment="1">
      <alignment horizontal="center" vertical="center"/>
    </xf>
    <xf numFmtId="0" fontId="51" fillId="3" borderId="1" xfId="0" applyFont="1" applyFill="1" applyBorder="1" applyAlignment="1">
      <alignment vertical="center" wrapText="1"/>
    </xf>
    <xf numFmtId="0" fontId="51" fillId="3" borderId="4" xfId="0" applyFont="1" applyFill="1" applyBorder="1" applyAlignment="1">
      <alignment vertical="center" wrapText="1"/>
    </xf>
    <xf numFmtId="0" fontId="51" fillId="3" borderId="3" xfId="0" applyFont="1" applyFill="1" applyBorder="1" applyAlignment="1">
      <alignment vertical="center" wrapText="1"/>
    </xf>
    <xf numFmtId="166" fontId="28" fillId="0" borderId="2" xfId="0" applyNumberFormat="1" applyFont="1" applyBorder="1" applyAlignment="1">
      <alignment horizontal="center" vertical="center"/>
    </xf>
    <xf numFmtId="0" fontId="29" fillId="0" borderId="2" xfId="0" applyFont="1" applyBorder="1" applyAlignment="1">
      <alignment horizontal="justify" vertical="center" wrapText="1"/>
    </xf>
    <xf numFmtId="0" fontId="28" fillId="0" borderId="2" xfId="0" applyFont="1" applyFill="1" applyBorder="1" applyAlignment="1" applyProtection="1">
      <alignment horizontal="center" vertical="center" wrapText="1"/>
      <protection locked="0" hidden="1"/>
    </xf>
    <xf numFmtId="0" fontId="29" fillId="0" borderId="2" xfId="0" applyFont="1" applyBorder="1" applyAlignment="1" applyProtection="1">
      <alignment horizontal="center" vertical="center" wrapText="1"/>
      <protection hidden="1"/>
    </xf>
    <xf numFmtId="43" fontId="29" fillId="0" borderId="2" xfId="314" applyFont="1" applyBorder="1" applyAlignment="1">
      <alignment horizontal="center" vertical="center"/>
    </xf>
    <xf numFmtId="0" fontId="51" fillId="3" borderId="2" xfId="1" applyFont="1" applyFill="1" applyBorder="1" applyAlignment="1" applyProtection="1">
      <alignment horizontal="center" vertical="top" wrapText="1"/>
      <protection locked="0" hidden="1"/>
    </xf>
    <xf numFmtId="0" fontId="51" fillId="3" borderId="2" xfId="1" applyFont="1" applyFill="1" applyBorder="1" applyAlignment="1" applyProtection="1">
      <alignment vertical="top" wrapText="1"/>
      <protection hidden="1"/>
    </xf>
    <xf numFmtId="0" fontId="52" fillId="3" borderId="2" xfId="1" applyFont="1" applyFill="1" applyBorder="1" applyAlignment="1" applyProtection="1">
      <alignment horizontal="center" vertical="top" wrapText="1"/>
      <protection hidden="1"/>
    </xf>
    <xf numFmtId="0" fontId="52" fillId="3" borderId="2" xfId="1" applyFont="1" applyFill="1" applyBorder="1" applyAlignment="1" applyProtection="1">
      <alignment horizontal="right" vertical="top" wrapText="1"/>
      <protection locked="0" hidden="1"/>
    </xf>
    <xf numFmtId="172" fontId="52" fillId="3" borderId="2" xfId="311" applyNumberFormat="1" applyFont="1" applyFill="1" applyBorder="1" applyAlignment="1" applyProtection="1">
      <alignment horizontal="right" vertical="top" wrapText="1"/>
      <protection hidden="1"/>
    </xf>
    <xf numFmtId="173" fontId="52" fillId="3" borderId="2" xfId="311" applyNumberFormat="1" applyFont="1" applyFill="1" applyBorder="1" applyAlignment="1" applyProtection="1">
      <alignment horizontal="right" vertical="top" wrapText="1"/>
      <protection hidden="1"/>
    </xf>
    <xf numFmtId="0" fontId="28" fillId="0" borderId="2" xfId="1" applyFont="1" applyBorder="1" applyAlignment="1" applyProtection="1">
      <alignment horizontal="center" vertical="top" wrapText="1"/>
      <protection locked="0" hidden="1"/>
    </xf>
    <xf numFmtId="0" fontId="28" fillId="0" borderId="2" xfId="1" applyFont="1" applyBorder="1" applyAlignment="1" applyProtection="1">
      <alignment vertical="top" wrapText="1"/>
      <protection hidden="1"/>
    </xf>
    <xf numFmtId="0" fontId="29" fillId="0" borderId="2" xfId="1" applyFont="1" applyBorder="1" applyAlignment="1" applyProtection="1">
      <alignment horizontal="center" vertical="top" wrapText="1"/>
      <protection hidden="1"/>
    </xf>
    <xf numFmtId="0" fontId="29" fillId="0" borderId="2" xfId="1" applyFont="1" applyBorder="1" applyAlignment="1" applyProtection="1">
      <alignment horizontal="right" vertical="top" wrapText="1"/>
      <protection locked="0" hidden="1"/>
    </xf>
    <xf numFmtId="172" fontId="28" fillId="0" borderId="2" xfId="311" applyNumberFormat="1" applyFont="1" applyBorder="1" applyAlignment="1" applyProtection="1">
      <alignment horizontal="right" vertical="top"/>
      <protection hidden="1"/>
    </xf>
    <xf numFmtId="173" fontId="28" fillId="0" borderId="2" xfId="311" applyNumberFormat="1" applyFont="1" applyBorder="1" applyAlignment="1" applyProtection="1">
      <alignment horizontal="right" vertical="top"/>
      <protection hidden="1"/>
    </xf>
    <xf numFmtId="172" fontId="53" fillId="0" borderId="2" xfId="311" applyNumberFormat="1" applyFont="1" applyBorder="1" applyAlignment="1" applyProtection="1">
      <alignment horizontal="right" vertical="top" wrapText="1"/>
      <protection hidden="1"/>
    </xf>
    <xf numFmtId="173" fontId="53" fillId="0" borderId="2" xfId="311" applyNumberFormat="1" applyFont="1" applyBorder="1" applyAlignment="1" applyProtection="1">
      <alignment horizontal="right" vertical="top" wrapText="1"/>
      <protection hidden="1"/>
    </xf>
    <xf numFmtId="0" fontId="51" fillId="3" borderId="2" xfId="1" applyFont="1" applyFill="1" applyBorder="1" applyAlignment="1" applyProtection="1">
      <alignment horizontal="center" vertical="top" wrapText="1"/>
      <protection hidden="1"/>
    </xf>
    <xf numFmtId="0" fontId="51" fillId="3" borderId="2" xfId="1" applyFont="1" applyFill="1" applyBorder="1" applyAlignment="1" applyProtection="1">
      <alignment horizontal="right" vertical="top" wrapText="1"/>
      <protection locked="0" hidden="1"/>
    </xf>
    <xf numFmtId="172" fontId="51" fillId="3" borderId="2" xfId="311" applyNumberFormat="1" applyFont="1" applyFill="1" applyBorder="1" applyAlignment="1" applyProtection="1">
      <alignment horizontal="right" vertical="top" wrapText="1"/>
      <protection hidden="1"/>
    </xf>
    <xf numFmtId="173" fontId="51" fillId="3" borderId="2" xfId="311" applyNumberFormat="1" applyFont="1" applyFill="1" applyBorder="1" applyAlignment="1" applyProtection="1">
      <alignment horizontal="right" vertical="top" wrapText="1"/>
      <protection hidden="1"/>
    </xf>
    <xf numFmtId="172" fontId="53" fillId="0" borderId="2" xfId="311" applyNumberFormat="1" applyFont="1" applyBorder="1" applyAlignment="1" applyProtection="1">
      <alignment horizontal="right" vertical="top"/>
      <protection hidden="1"/>
    </xf>
    <xf numFmtId="173" fontId="53" fillId="0" borderId="2" xfId="311" applyNumberFormat="1" applyFont="1" applyBorder="1" applyAlignment="1" applyProtection="1">
      <alignment horizontal="right" vertical="top"/>
      <protection hidden="1"/>
    </xf>
    <xf numFmtId="0" fontId="53" fillId="0" borderId="2" xfId="1" applyFont="1" applyFill="1" applyBorder="1" applyAlignment="1" applyProtection="1">
      <alignment horizontal="center" vertical="top" wrapText="1"/>
      <protection locked="0" hidden="1"/>
    </xf>
    <xf numFmtId="0" fontId="53" fillId="0" borderId="2" xfId="1" applyFont="1" applyFill="1" applyBorder="1" applyAlignment="1" applyProtection="1">
      <alignment vertical="top" wrapText="1"/>
      <protection hidden="1"/>
    </xf>
    <xf numFmtId="0" fontId="53" fillId="0" borderId="2" xfId="1" applyFont="1" applyFill="1" applyBorder="1" applyAlignment="1" applyProtection="1">
      <alignment horizontal="center" vertical="top" wrapText="1"/>
      <protection hidden="1"/>
    </xf>
    <xf numFmtId="0" fontId="53" fillId="0" borderId="2" xfId="1" applyFont="1" applyFill="1" applyBorder="1" applyAlignment="1" applyProtection="1">
      <alignment horizontal="right" vertical="top" wrapText="1"/>
      <protection locked="0" hidden="1"/>
    </xf>
    <xf numFmtId="172" fontId="53" fillId="0" borderId="2" xfId="311" applyNumberFormat="1" applyFont="1" applyFill="1" applyBorder="1" applyAlignment="1" applyProtection="1">
      <alignment horizontal="right" vertical="top" wrapText="1"/>
      <protection hidden="1"/>
    </xf>
    <xf numFmtId="173" fontId="53" fillId="0" borderId="2" xfId="311" applyNumberFormat="1" applyFont="1" applyFill="1" applyBorder="1" applyAlignment="1" applyProtection="1">
      <alignment horizontal="right" vertical="top" wrapText="1"/>
      <protection hidden="1"/>
    </xf>
    <xf numFmtId="0" fontId="28" fillId="0" borderId="2" xfId="1" applyFont="1" applyFill="1" applyBorder="1" applyAlignment="1" applyProtection="1">
      <alignment vertical="top" wrapText="1"/>
      <protection hidden="1"/>
    </xf>
    <xf numFmtId="0" fontId="51" fillId="3" borderId="2" xfId="1" applyFont="1" applyFill="1" applyBorder="1" applyAlignment="1" applyProtection="1">
      <alignment horizontal="center" vertical="top"/>
      <protection locked="0" hidden="1"/>
    </xf>
    <xf numFmtId="0" fontId="51" fillId="3" borderId="2" xfId="1" applyFont="1" applyFill="1" applyBorder="1" applyAlignment="1" applyProtection="1">
      <alignment horizontal="center" vertical="top"/>
      <protection hidden="1"/>
    </xf>
    <xf numFmtId="0" fontId="51" fillId="3" borderId="2" xfId="1" applyFont="1" applyFill="1" applyBorder="1" applyAlignment="1" applyProtection="1">
      <alignment horizontal="right" vertical="top"/>
      <protection locked="0" hidden="1"/>
    </xf>
    <xf numFmtId="172" fontId="51" fillId="3" borderId="2" xfId="311" applyNumberFormat="1" applyFont="1" applyFill="1" applyBorder="1" applyAlignment="1" applyProtection="1">
      <alignment horizontal="right" vertical="top"/>
      <protection hidden="1"/>
    </xf>
    <xf numFmtId="173" fontId="51" fillId="3" borderId="2" xfId="311" applyNumberFormat="1" applyFont="1" applyFill="1" applyBorder="1" applyAlignment="1" applyProtection="1">
      <alignment horizontal="right" vertical="top"/>
      <protection hidden="1"/>
    </xf>
    <xf numFmtId="173" fontId="29" fillId="0" borderId="0" xfId="0" applyNumberFormat="1" applyFont="1"/>
    <xf numFmtId="0" fontId="28" fillId="5" borderId="2" xfId="0" applyFont="1" applyFill="1" applyBorder="1" applyAlignment="1" applyProtection="1">
      <alignment vertical="center" wrapText="1"/>
      <protection hidden="1"/>
    </xf>
    <xf numFmtId="0" fontId="28" fillId="0" borderId="2" xfId="0" applyFont="1" applyFill="1" applyBorder="1" applyAlignment="1" applyProtection="1">
      <alignment vertical="center" wrapText="1"/>
      <protection hidden="1"/>
    </xf>
    <xf numFmtId="167" fontId="29" fillId="5" borderId="2" xfId="0" applyNumberFormat="1" applyFont="1" applyFill="1" applyBorder="1" applyAlignment="1">
      <alignment horizontal="center" vertical="center"/>
    </xf>
    <xf numFmtId="0" fontId="29" fillId="5" borderId="2" xfId="0" applyFont="1" applyFill="1" applyBorder="1" applyAlignment="1">
      <alignment wrapText="1"/>
    </xf>
    <xf numFmtId="0" fontId="28" fillId="5" borderId="5" xfId="0" applyFont="1" applyFill="1" applyBorder="1" applyAlignment="1">
      <alignment horizontal="left" vertical="center" wrapText="1"/>
    </xf>
    <xf numFmtId="0" fontId="29" fillId="5" borderId="5" xfId="0" applyFont="1" applyFill="1" applyBorder="1" applyAlignment="1" applyProtection="1">
      <alignment horizontal="center" vertical="center" wrapText="1"/>
      <protection hidden="1"/>
    </xf>
    <xf numFmtId="0" fontId="29" fillId="5" borderId="5" xfId="0" applyFont="1" applyFill="1" applyBorder="1" applyAlignment="1">
      <alignment horizontal="center" vertical="center"/>
    </xf>
    <xf numFmtId="44" fontId="29" fillId="5" borderId="5" xfId="0" applyNumberFormat="1" applyFont="1" applyFill="1" applyBorder="1" applyAlignment="1">
      <alignment horizontal="center" vertical="center"/>
    </xf>
    <xf numFmtId="0" fontId="29" fillId="0" borderId="0" xfId="0" applyFont="1" applyAlignment="1">
      <alignment wrapText="1"/>
    </xf>
    <xf numFmtId="0" fontId="52" fillId="3" borderId="2" xfId="0" applyFont="1" applyFill="1" applyBorder="1" applyAlignment="1">
      <alignment wrapText="1"/>
    </xf>
    <xf numFmtId="44" fontId="52" fillId="3" borderId="2" xfId="311" applyFont="1" applyFill="1" applyBorder="1" applyAlignment="1">
      <alignment wrapText="1"/>
    </xf>
    <xf numFmtId="0" fontId="29" fillId="0" borderId="2" xfId="0" applyFont="1" applyFill="1" applyBorder="1" applyAlignment="1" applyProtection="1">
      <alignment horizontal="left" vertical="center" wrapText="1"/>
      <protection hidden="1"/>
    </xf>
    <xf numFmtId="0" fontId="29" fillId="0" borderId="2" xfId="0" applyFont="1" applyFill="1" applyBorder="1" applyAlignment="1">
      <alignment horizontal="left" vertical="center"/>
    </xf>
    <xf numFmtId="44" fontId="28" fillId="0" borderId="2" xfId="0" applyNumberFormat="1" applyFont="1" applyFill="1" applyBorder="1" applyAlignment="1">
      <alignment vertical="center" wrapText="1"/>
    </xf>
    <xf numFmtId="167" fontId="52" fillId="3" borderId="2" xfId="0" applyNumberFormat="1" applyFont="1" applyFill="1" applyBorder="1" applyAlignment="1">
      <alignment horizontal="center" vertical="center"/>
    </xf>
    <xf numFmtId="43" fontId="29" fillId="0" borderId="0" xfId="314" applyFont="1"/>
    <xf numFmtId="0" fontId="51" fillId="3" borderId="2" xfId="0" applyFont="1" applyFill="1" applyBorder="1" applyAlignment="1">
      <alignment horizontal="center" vertical="center" wrapText="1"/>
    </xf>
    <xf numFmtId="0" fontId="28" fillId="0" borderId="2" xfId="1" applyFont="1" applyBorder="1" applyAlignment="1" applyProtection="1">
      <alignment horizontal="center" vertical="top" wrapText="1"/>
      <protection hidden="1"/>
    </xf>
    <xf numFmtId="0" fontId="29" fillId="0" borderId="2" xfId="1" applyFont="1" applyFill="1" applyBorder="1" applyAlignment="1" applyProtection="1">
      <alignment horizontal="center" vertical="top" wrapText="1"/>
      <protection hidden="1"/>
    </xf>
    <xf numFmtId="0" fontId="51" fillId="3" borderId="0" xfId="0" applyFont="1" applyFill="1"/>
    <xf numFmtId="0" fontId="51" fillId="3" borderId="2" xfId="0" applyFont="1" applyFill="1" applyBorder="1" applyAlignment="1">
      <alignment horizontal="center" vertical="center"/>
    </xf>
    <xf numFmtId="0" fontId="51" fillId="3" borderId="2" xfId="0" applyFont="1" applyFill="1" applyBorder="1" applyAlignment="1">
      <alignment horizontal="center" vertical="center" wrapText="1"/>
    </xf>
    <xf numFmtId="44" fontId="54" fillId="6" borderId="2" xfId="311" applyFont="1" applyFill="1" applyBorder="1" applyAlignment="1">
      <alignment horizontal="center" vertical="center"/>
    </xf>
    <xf numFmtId="44" fontId="53" fillId="6" borderId="2" xfId="311" applyFont="1" applyFill="1" applyBorder="1" applyAlignment="1">
      <alignment horizontal="center" vertical="center"/>
    </xf>
    <xf numFmtId="173" fontId="56" fillId="6" borderId="2" xfId="1" applyNumberFormat="1" applyFont="1" applyFill="1" applyBorder="1" applyAlignment="1" applyProtection="1">
      <alignment vertical="top" wrapText="1"/>
      <protection hidden="1"/>
    </xf>
    <xf numFmtId="44" fontId="29" fillId="6" borderId="0" xfId="0" applyNumberFormat="1" applyFont="1" applyFill="1"/>
    <xf numFmtId="44" fontId="57" fillId="0" borderId="0" xfId="0" applyNumberFormat="1" applyFont="1"/>
    <xf numFmtId="44" fontId="29" fillId="6" borderId="0" xfId="311" applyFont="1" applyFill="1"/>
    <xf numFmtId="9" fontId="29" fillId="0" borderId="0" xfId="0" applyNumberFormat="1" applyFont="1"/>
    <xf numFmtId="44" fontId="54" fillId="0" borderId="0" xfId="0" applyNumberFormat="1" applyFont="1"/>
    <xf numFmtId="44" fontId="54" fillId="0" borderId="0" xfId="311" applyFont="1"/>
    <xf numFmtId="44" fontId="55" fillId="0" borderId="0" xfId="311" applyFont="1"/>
    <xf numFmtId="44" fontId="58" fillId="6" borderId="0" xfId="311" applyFont="1" applyFill="1"/>
    <xf numFmtId="165" fontId="29" fillId="0" borderId="0" xfId="0" applyNumberFormat="1" applyFont="1"/>
    <xf numFmtId="44" fontId="53" fillId="7" borderId="2" xfId="311" applyFont="1" applyFill="1" applyBorder="1" applyAlignment="1">
      <alignment horizontal="center" vertical="center"/>
    </xf>
    <xf numFmtId="173" fontId="51" fillId="7" borderId="2" xfId="311" applyNumberFormat="1" applyFont="1" applyFill="1" applyBorder="1" applyAlignment="1" applyProtection="1">
      <alignment horizontal="right" vertical="top"/>
      <protection hidden="1"/>
    </xf>
    <xf numFmtId="44" fontId="29" fillId="8" borderId="0" xfId="311" applyFont="1" applyFill="1"/>
    <xf numFmtId="165" fontId="29" fillId="9" borderId="0" xfId="0" applyNumberFormat="1" applyFont="1" applyFill="1"/>
    <xf numFmtId="44" fontId="29" fillId="0" borderId="0" xfId="0" applyNumberFormat="1" applyFont="1" applyAlignment="1">
      <alignment wrapText="1"/>
    </xf>
    <xf numFmtId="165" fontId="55" fillId="0" borderId="0" xfId="0" applyNumberFormat="1" applyFont="1" applyAlignment="1">
      <alignment wrapText="1"/>
    </xf>
    <xf numFmtId="4" fontId="29" fillId="0" borderId="2" xfId="0" applyNumberFormat="1" applyFont="1" applyFill="1" applyBorder="1" applyAlignment="1">
      <alignment horizontal="center" vertical="center"/>
    </xf>
    <xf numFmtId="4" fontId="28" fillId="0" borderId="2" xfId="0" applyNumberFormat="1" applyFont="1" applyFill="1" applyBorder="1" applyAlignment="1">
      <alignment horizontal="center" vertical="center"/>
    </xf>
    <xf numFmtId="174" fontId="29" fillId="0" borderId="0" xfId="0" applyNumberFormat="1" applyFont="1"/>
    <xf numFmtId="174" fontId="52" fillId="3" borderId="2" xfId="0" applyNumberFormat="1" applyFont="1" applyFill="1" applyBorder="1" applyAlignment="1">
      <alignment horizontal="center" vertical="center"/>
    </xf>
    <xf numFmtId="174" fontId="52" fillId="3" borderId="2" xfId="0" applyNumberFormat="1" applyFont="1" applyFill="1" applyBorder="1" applyAlignment="1">
      <alignment vertical="center" wrapText="1"/>
    </xf>
    <xf numFmtId="174" fontId="52" fillId="3" borderId="2" xfId="0" applyNumberFormat="1" applyFont="1" applyFill="1" applyBorder="1"/>
    <xf numFmtId="174" fontId="51" fillId="3" borderId="2" xfId="0" applyNumberFormat="1" applyFont="1" applyFill="1" applyBorder="1" applyAlignment="1">
      <alignment horizontal="center" vertical="center"/>
    </xf>
    <xf numFmtId="174" fontId="51" fillId="3" borderId="4" xfId="0" applyNumberFormat="1" applyFont="1" applyFill="1" applyBorder="1" applyAlignment="1">
      <alignment vertical="center" wrapText="1"/>
    </xf>
    <xf numFmtId="174" fontId="52" fillId="3" borderId="2" xfId="1" applyNumberFormat="1" applyFont="1" applyFill="1" applyBorder="1" applyAlignment="1" applyProtection="1">
      <alignment horizontal="right" vertical="top" wrapText="1"/>
      <protection locked="0" hidden="1"/>
    </xf>
    <xf numFmtId="174" fontId="51" fillId="3" borderId="2" xfId="1" applyNumberFormat="1" applyFont="1" applyFill="1" applyBorder="1" applyAlignment="1" applyProtection="1">
      <alignment horizontal="right" vertical="top"/>
      <protection locked="0" hidden="1"/>
    </xf>
    <xf numFmtId="44" fontId="29" fillId="0" borderId="2" xfId="311" applyNumberFormat="1" applyFont="1" applyFill="1" applyBorder="1" applyAlignment="1">
      <alignment horizontal="center" vertical="center"/>
    </xf>
    <xf numFmtId="4" fontId="29" fillId="0" borderId="2" xfId="0" applyNumberFormat="1" applyFont="1" applyBorder="1" applyAlignment="1">
      <alignment horizontal="center" vertical="center"/>
    </xf>
    <xf numFmtId="4" fontId="29" fillId="0" borderId="6" xfId="0" applyNumberFormat="1" applyFont="1" applyFill="1" applyBorder="1" applyAlignment="1">
      <alignment horizontal="center"/>
    </xf>
    <xf numFmtId="4" fontId="29" fillId="0" borderId="2" xfId="0" applyNumberFormat="1" applyFont="1" applyFill="1" applyBorder="1" applyAlignment="1">
      <alignment horizontal="center"/>
    </xf>
    <xf numFmtId="4" fontId="29" fillId="0" borderId="5" xfId="0" applyNumberFormat="1" applyFont="1" applyFill="1" applyBorder="1" applyAlignment="1">
      <alignment horizontal="center"/>
    </xf>
    <xf numFmtId="4" fontId="29" fillId="0" borderId="0" xfId="0" applyNumberFormat="1" applyFont="1" applyFill="1" applyAlignment="1">
      <alignment horizontal="center" vertical="center"/>
    </xf>
    <xf numFmtId="4" fontId="29" fillId="5" borderId="2" xfId="0" applyNumberFormat="1" applyFont="1" applyFill="1" applyBorder="1" applyAlignment="1">
      <alignment horizontal="center" vertical="center"/>
    </xf>
    <xf numFmtId="0" fontId="51" fillId="3" borderId="2" xfId="0" applyFont="1" applyFill="1" applyBorder="1" applyAlignment="1">
      <alignment horizontal="center" vertical="center"/>
    </xf>
    <xf numFmtId="44" fontId="51" fillId="3" borderId="2" xfId="311" applyFont="1" applyFill="1" applyBorder="1" applyAlignment="1">
      <alignment horizontal="center" vertical="center"/>
    </xf>
    <xf numFmtId="4" fontId="28" fillId="0" borderId="2" xfId="0" applyNumberFormat="1" applyFont="1" applyBorder="1" applyAlignment="1">
      <alignment horizontal="center" vertical="center"/>
    </xf>
    <xf numFmtId="4" fontId="29" fillId="5" borderId="5" xfId="0" applyNumberFormat="1" applyFont="1" applyFill="1" applyBorder="1" applyAlignment="1">
      <alignment horizontal="center" vertical="center"/>
    </xf>
    <xf numFmtId="44" fontId="54" fillId="0" borderId="2" xfId="311" applyFont="1" applyFill="1" applyBorder="1" applyAlignment="1">
      <alignment horizontal="center" vertical="center"/>
    </xf>
    <xf numFmtId="0" fontId="51" fillId="3" borderId="2" xfId="1" applyFont="1" applyFill="1" applyBorder="1" applyAlignment="1" applyProtection="1">
      <alignment horizontal="center" vertical="center" wrapText="1"/>
      <protection locked="0" hidden="1"/>
    </xf>
    <xf numFmtId="0" fontId="51" fillId="3" borderId="2" xfId="1" applyFont="1" applyFill="1" applyBorder="1" applyAlignment="1" applyProtection="1">
      <alignment vertical="center" wrapText="1"/>
      <protection hidden="1"/>
    </xf>
    <xf numFmtId="0" fontId="51" fillId="3" borderId="2" xfId="1" applyFont="1" applyFill="1" applyBorder="1" applyAlignment="1" applyProtection="1">
      <alignment horizontal="center" vertical="center" wrapText="1"/>
      <protection hidden="1"/>
    </xf>
    <xf numFmtId="172" fontId="51" fillId="3" borderId="2" xfId="311" applyNumberFormat="1" applyFont="1" applyFill="1" applyBorder="1" applyAlignment="1" applyProtection="1">
      <alignment horizontal="right" vertical="center" wrapText="1"/>
      <protection hidden="1"/>
    </xf>
    <xf numFmtId="173" fontId="51" fillId="3" borderId="2" xfId="311" applyNumberFormat="1" applyFont="1" applyFill="1" applyBorder="1" applyAlignment="1" applyProtection="1">
      <alignment horizontal="right" vertical="center" wrapText="1"/>
      <protection hidden="1"/>
    </xf>
    <xf numFmtId="0" fontId="29" fillId="0" borderId="0" xfId="0" applyFont="1" applyAlignment="1">
      <alignment vertical="center"/>
    </xf>
    <xf numFmtId="44" fontId="29" fillId="0" borderId="2" xfId="311" applyFont="1" applyBorder="1"/>
    <xf numFmtId="0" fontId="29" fillId="0" borderId="1" xfId="0" applyFont="1" applyBorder="1"/>
    <xf numFmtId="2" fontId="29" fillId="0" borderId="2" xfId="0" applyNumberFormat="1" applyFont="1" applyFill="1" applyBorder="1" applyAlignment="1">
      <alignment horizontal="center" vertical="center"/>
    </xf>
    <xf numFmtId="2" fontId="28" fillId="0" borderId="2" xfId="0" applyNumberFormat="1" applyFont="1" applyFill="1" applyBorder="1" applyAlignment="1">
      <alignment horizontal="center" vertical="center" wrapText="1"/>
    </xf>
    <xf numFmtId="2" fontId="28" fillId="0" borderId="2" xfId="0" applyNumberFormat="1" applyFont="1" applyFill="1" applyBorder="1" applyAlignment="1">
      <alignment horizontal="center" vertical="center"/>
    </xf>
    <xf numFmtId="9" fontId="29" fillId="0" borderId="3" xfId="0" applyNumberFormat="1" applyFont="1" applyBorder="1" applyAlignment="1">
      <alignment horizontal="center"/>
    </xf>
    <xf numFmtId="0" fontId="29" fillId="0" borderId="4" xfId="0" applyFont="1" applyBorder="1"/>
    <xf numFmtId="0" fontId="29" fillId="0" borderId="4" xfId="0" applyFont="1" applyBorder="1" applyAlignment="1">
      <alignment horizontal="right"/>
    </xf>
    <xf numFmtId="44" fontId="29" fillId="0" borderId="2" xfId="0" applyNumberFormat="1" applyFont="1" applyFill="1" applyBorder="1"/>
    <xf numFmtId="0" fontId="29" fillId="0" borderId="0" xfId="389" applyFont="1" applyAlignment="1">
      <alignment vertical="center"/>
    </xf>
    <xf numFmtId="0" fontId="29" fillId="0" borderId="0" xfId="389" applyFont="1" applyAlignment="1">
      <alignment vertical="center" wrapText="1"/>
    </xf>
    <xf numFmtId="0" fontId="29" fillId="0" borderId="0" xfId="389" applyFont="1" applyAlignment="1">
      <alignment horizontal="center" vertical="center"/>
    </xf>
    <xf numFmtId="44" fontId="29" fillId="0" borderId="17" xfId="389" applyNumberFormat="1" applyFont="1" applyFill="1" applyBorder="1" applyAlignment="1">
      <alignment horizontal="center" vertical="center"/>
    </xf>
    <xf numFmtId="44" fontId="29" fillId="0" borderId="33" xfId="389" applyNumberFormat="1" applyFont="1" applyFill="1" applyBorder="1" applyAlignment="1">
      <alignment horizontal="center" vertical="center"/>
    </xf>
    <xf numFmtId="4" fontId="29" fillId="0" borderId="2" xfId="1" applyNumberFormat="1" applyFont="1" applyBorder="1" applyAlignment="1" applyProtection="1">
      <alignment horizontal="center" vertical="top" wrapText="1"/>
      <protection locked="0" hidden="1"/>
    </xf>
    <xf numFmtId="174" fontId="29" fillId="0" borderId="2" xfId="1" applyNumberFormat="1" applyFont="1" applyBorder="1" applyAlignment="1" applyProtection="1">
      <alignment horizontal="center" vertical="top" wrapText="1"/>
      <protection locked="0" hidden="1"/>
    </xf>
    <xf numFmtId="174" fontId="51" fillId="3" borderId="2" xfId="1" applyNumberFormat="1" applyFont="1" applyFill="1" applyBorder="1" applyAlignment="1" applyProtection="1">
      <alignment horizontal="center" vertical="top" wrapText="1"/>
      <protection locked="0" hidden="1"/>
    </xf>
    <xf numFmtId="174" fontId="51" fillId="3" borderId="2" xfId="1" applyNumberFormat="1" applyFont="1" applyFill="1" applyBorder="1" applyAlignment="1" applyProtection="1">
      <alignment horizontal="center" vertical="center" wrapText="1"/>
      <protection locked="0" hidden="1"/>
    </xf>
    <xf numFmtId="174" fontId="53" fillId="0" borderId="2" xfId="1" applyNumberFormat="1" applyFont="1" applyFill="1" applyBorder="1" applyAlignment="1" applyProtection="1">
      <alignment horizontal="center" vertical="top" wrapText="1"/>
      <protection locked="0" hidden="1"/>
    </xf>
    <xf numFmtId="44" fontId="54" fillId="10" borderId="2" xfId="311" applyFont="1" applyFill="1" applyBorder="1" applyAlignment="1">
      <alignment vertical="center"/>
    </xf>
    <xf numFmtId="44" fontId="54" fillId="10" borderId="2" xfId="0" applyNumberFormat="1" applyFont="1" applyFill="1" applyBorder="1"/>
    <xf numFmtId="9" fontId="29" fillId="0" borderId="3" xfId="0" applyNumberFormat="1" applyFont="1" applyBorder="1" applyAlignment="1">
      <alignment horizontal="center" vertical="center"/>
    </xf>
    <xf numFmtId="0" fontId="28" fillId="0" borderId="2" xfId="1" applyFont="1" applyFill="1" applyBorder="1" applyAlignment="1" applyProtection="1">
      <alignment horizontal="center" vertical="top" wrapText="1"/>
      <protection hidden="1"/>
    </xf>
    <xf numFmtId="44" fontId="29" fillId="0" borderId="0" xfId="311" applyFont="1" applyFill="1" applyBorder="1" applyAlignment="1">
      <alignment horizontal="center" vertical="center"/>
    </xf>
    <xf numFmtId="44" fontId="54" fillId="0" borderId="0" xfId="311" applyFont="1" applyFill="1" applyBorder="1" applyAlignment="1">
      <alignment horizontal="center" vertical="center"/>
    </xf>
    <xf numFmtId="0" fontId="53" fillId="0" borderId="0" xfId="0" applyFont="1" applyFill="1" applyBorder="1" applyAlignment="1">
      <alignment horizontal="center"/>
    </xf>
    <xf numFmtId="0" fontId="51" fillId="0" borderId="0" xfId="1" applyFont="1" applyFill="1" applyBorder="1" applyAlignment="1" applyProtection="1">
      <alignment horizontal="center" vertical="top"/>
      <protection locked="0" hidden="1"/>
    </xf>
    <xf numFmtId="0" fontId="50" fillId="0" borderId="0" xfId="0" applyNumberFormat="1" applyFont="1" applyFill="1" applyBorder="1" applyAlignment="1">
      <alignment horizontal="center" vertical="center" wrapText="1"/>
    </xf>
    <xf numFmtId="44" fontId="51" fillId="0" borderId="0" xfId="311" applyFont="1" applyFill="1" applyBorder="1" applyAlignment="1">
      <alignment horizontal="center" vertical="center"/>
    </xf>
    <xf numFmtId="44" fontId="29" fillId="0" borderId="0" xfId="311" applyFont="1" applyFill="1"/>
    <xf numFmtId="44" fontId="52" fillId="0" borderId="0" xfId="311" applyFont="1" applyFill="1" applyBorder="1" applyAlignment="1">
      <alignment horizontal="center" vertical="center"/>
    </xf>
    <xf numFmtId="44" fontId="53" fillId="0" borderId="0" xfId="311" applyFont="1" applyFill="1" applyBorder="1" applyAlignment="1">
      <alignment horizontal="center" vertical="center"/>
    </xf>
    <xf numFmtId="0" fontId="51" fillId="0" borderId="0" xfId="0" applyFont="1" applyFill="1" applyBorder="1" applyAlignment="1">
      <alignment horizontal="left" vertical="center" wrapText="1"/>
    </xf>
    <xf numFmtId="44" fontId="52" fillId="0" borderId="0" xfId="311" applyFont="1" applyFill="1" applyBorder="1" applyAlignment="1">
      <alignment vertical="center" wrapText="1"/>
    </xf>
    <xf numFmtId="44" fontId="52" fillId="0" borderId="0" xfId="311" applyFont="1" applyFill="1" applyBorder="1"/>
    <xf numFmtId="0" fontId="51" fillId="0" borderId="0" xfId="0" applyFont="1" applyFill="1" applyBorder="1" applyAlignment="1">
      <alignment horizontal="center" vertical="center"/>
    </xf>
    <xf numFmtId="0" fontId="51" fillId="0" borderId="0" xfId="0" applyFont="1" applyFill="1" applyBorder="1" applyAlignment="1">
      <alignment vertical="center" wrapText="1"/>
    </xf>
    <xf numFmtId="173" fontId="52" fillId="0" borderId="0" xfId="311" applyNumberFormat="1" applyFont="1" applyFill="1" applyBorder="1" applyAlignment="1" applyProtection="1">
      <alignment horizontal="right" vertical="top" wrapText="1"/>
      <protection hidden="1"/>
    </xf>
    <xf numFmtId="173" fontId="51" fillId="0" borderId="0" xfId="311" applyNumberFormat="1" applyFont="1" applyFill="1" applyBorder="1" applyAlignment="1" applyProtection="1">
      <alignment horizontal="right" vertical="top" wrapText="1"/>
      <protection hidden="1"/>
    </xf>
    <xf numFmtId="173" fontId="51" fillId="0" borderId="0" xfId="311" applyNumberFormat="1" applyFont="1" applyFill="1" applyBorder="1" applyAlignment="1" applyProtection="1">
      <alignment horizontal="right" vertical="center" wrapText="1"/>
      <protection hidden="1"/>
    </xf>
    <xf numFmtId="173" fontId="51" fillId="0" borderId="0" xfId="311" applyNumberFormat="1" applyFont="1" applyFill="1" applyBorder="1" applyAlignment="1" applyProtection="1">
      <alignment horizontal="right" vertical="top"/>
      <protection hidden="1"/>
    </xf>
    <xf numFmtId="44" fontId="54" fillId="0" borderId="0" xfId="311" applyFont="1" applyFill="1" applyBorder="1" applyAlignment="1">
      <alignment vertical="center"/>
    </xf>
    <xf numFmtId="44" fontId="29" fillId="0" borderId="0" xfId="311" applyFont="1" applyFill="1" applyBorder="1"/>
    <xf numFmtId="44" fontId="28" fillId="0" borderId="2" xfId="311" applyNumberFormat="1" applyFont="1" applyFill="1" applyBorder="1" applyAlignment="1">
      <alignment horizontal="center" vertical="center"/>
    </xf>
    <xf numFmtId="3" fontId="59" fillId="0" borderId="0" xfId="0" applyNumberFormat="1" applyFont="1" applyAlignment="1">
      <alignment horizontal="right" vertical="center"/>
    </xf>
    <xf numFmtId="3" fontId="29" fillId="0" borderId="0" xfId="0" applyNumberFormat="1" applyFont="1"/>
    <xf numFmtId="0" fontId="53" fillId="5" borderId="1" xfId="0" applyFont="1" applyFill="1" applyBorder="1" applyAlignment="1">
      <alignment horizontal="right" vertical="center" wrapText="1"/>
    </xf>
    <xf numFmtId="0" fontId="53" fillId="5" borderId="4" xfId="0" applyFont="1" applyFill="1" applyBorder="1" applyAlignment="1">
      <alignment horizontal="right" vertical="center" wrapText="1"/>
    </xf>
    <xf numFmtId="0" fontId="53" fillId="5" borderId="3" xfId="0" applyFont="1" applyFill="1" applyBorder="1" applyAlignment="1">
      <alignment horizontal="right" vertical="center" wrapText="1"/>
    </xf>
    <xf numFmtId="0" fontId="53" fillId="5" borderId="1" xfId="0" applyFont="1" applyFill="1" applyBorder="1" applyAlignment="1">
      <alignment horizontal="right" vertical="center"/>
    </xf>
    <xf numFmtId="0" fontId="53" fillId="5" borderId="4" xfId="0" applyFont="1" applyFill="1" applyBorder="1" applyAlignment="1">
      <alignment horizontal="right" vertical="center"/>
    </xf>
    <xf numFmtId="0" fontId="53" fillId="5" borderId="3" xfId="0" applyFont="1" applyFill="1" applyBorder="1" applyAlignment="1">
      <alignment horizontal="right" vertical="center"/>
    </xf>
    <xf numFmtId="0" fontId="51" fillId="3" borderId="1" xfId="0" applyFont="1" applyFill="1" applyBorder="1" applyAlignment="1">
      <alignment horizontal="left" vertical="center" wrapText="1"/>
    </xf>
    <xf numFmtId="0" fontId="51" fillId="3" borderId="4" xfId="0" applyFont="1" applyFill="1" applyBorder="1" applyAlignment="1">
      <alignment horizontal="left" vertical="center" wrapText="1"/>
    </xf>
    <xf numFmtId="0" fontId="51" fillId="3" borderId="3" xfId="0" applyFont="1" applyFill="1" applyBorder="1" applyAlignment="1">
      <alignment horizontal="left" vertical="center" wrapText="1"/>
    </xf>
    <xf numFmtId="0" fontId="51" fillId="3" borderId="1" xfId="1" applyFont="1" applyFill="1" applyBorder="1" applyAlignment="1" applyProtection="1">
      <alignment horizontal="center" vertical="center"/>
      <protection locked="0" hidden="1"/>
    </xf>
    <xf numFmtId="0" fontId="51" fillId="3" borderId="4" xfId="1" applyFont="1" applyFill="1" applyBorder="1" applyAlignment="1" applyProtection="1">
      <alignment horizontal="center" vertical="center"/>
      <protection locked="0" hidden="1"/>
    </xf>
    <xf numFmtId="0" fontId="51" fillId="3" borderId="3" xfId="1" applyFont="1" applyFill="1" applyBorder="1" applyAlignment="1" applyProtection="1">
      <alignment horizontal="center" vertical="center"/>
      <protection locked="0" hidden="1"/>
    </xf>
    <xf numFmtId="0" fontId="53" fillId="0" borderId="2" xfId="0" applyFont="1" applyFill="1" applyBorder="1" applyAlignment="1">
      <alignment horizontal="right"/>
    </xf>
    <xf numFmtId="0" fontId="53" fillId="0" borderId="1" xfId="0" applyFont="1" applyFill="1" applyBorder="1" applyAlignment="1">
      <alignment horizontal="center"/>
    </xf>
    <xf numFmtId="0" fontId="53" fillId="0" borderId="4" xfId="0" applyFont="1" applyFill="1" applyBorder="1" applyAlignment="1">
      <alignment horizontal="center"/>
    </xf>
    <xf numFmtId="0" fontId="53" fillId="0" borderId="3" xfId="0" applyFont="1" applyFill="1" applyBorder="1" applyAlignment="1">
      <alignment horizontal="center"/>
    </xf>
    <xf numFmtId="0" fontId="29" fillId="0" borderId="1" xfId="0" applyFont="1" applyBorder="1" applyAlignment="1">
      <alignment horizontal="right"/>
    </xf>
    <xf numFmtId="0" fontId="29" fillId="0" borderId="4" xfId="0" applyFont="1" applyBorder="1" applyAlignment="1">
      <alignment horizontal="right"/>
    </xf>
    <xf numFmtId="0" fontId="0" fillId="0" borderId="4" xfId="0" applyBorder="1" applyAlignment="1">
      <alignment horizontal="right"/>
    </xf>
    <xf numFmtId="0" fontId="0" fillId="0" borderId="1" xfId="0" applyBorder="1" applyAlignment="1">
      <alignment horizontal="right"/>
    </xf>
    <xf numFmtId="0" fontId="51" fillId="0" borderId="1" xfId="1" applyFont="1" applyFill="1" applyBorder="1" applyAlignment="1" applyProtection="1">
      <alignment horizontal="center" vertical="top"/>
      <protection locked="0" hidden="1"/>
    </xf>
    <xf numFmtId="0" fontId="51" fillId="0" borderId="4" xfId="1" applyFont="1" applyFill="1" applyBorder="1" applyAlignment="1" applyProtection="1">
      <alignment horizontal="center" vertical="top"/>
      <protection locked="0" hidden="1"/>
    </xf>
    <xf numFmtId="0" fontId="51" fillId="0" borderId="3" xfId="1" applyFont="1" applyFill="1" applyBorder="1" applyAlignment="1" applyProtection="1">
      <alignment horizontal="center" vertical="top"/>
      <protection locked="0" hidden="1"/>
    </xf>
    <xf numFmtId="0" fontId="53" fillId="5" borderId="1" xfId="0" applyFont="1" applyFill="1" applyBorder="1" applyAlignment="1" applyProtection="1">
      <alignment horizontal="right" vertical="center" wrapText="1"/>
      <protection hidden="1"/>
    </xf>
    <xf numFmtId="0" fontId="53" fillId="5" borderId="4" xfId="0" applyFont="1" applyFill="1" applyBorder="1" applyAlignment="1" applyProtection="1">
      <alignment horizontal="right" vertical="center" wrapText="1"/>
      <protection hidden="1"/>
    </xf>
    <xf numFmtId="0" fontId="53" fillId="5" borderId="3" xfId="0" applyFont="1" applyFill="1" applyBorder="1" applyAlignment="1" applyProtection="1">
      <alignment horizontal="right" vertical="center" wrapText="1"/>
      <protection hidden="1"/>
    </xf>
    <xf numFmtId="0" fontId="50" fillId="3" borderId="36" xfId="0" applyNumberFormat="1" applyFont="1" applyFill="1" applyBorder="1" applyAlignment="1">
      <alignment horizontal="center" vertical="center" wrapText="1"/>
    </xf>
    <xf numFmtId="0" fontId="50" fillId="3" borderId="34" xfId="0" applyNumberFormat="1" applyFont="1" applyFill="1" applyBorder="1" applyAlignment="1">
      <alignment horizontal="center" vertical="center" wrapText="1"/>
    </xf>
    <xf numFmtId="0" fontId="50" fillId="3" borderId="35" xfId="0" applyNumberFormat="1" applyFont="1" applyFill="1" applyBorder="1" applyAlignment="1">
      <alignment horizontal="center" vertical="center" wrapText="1"/>
    </xf>
    <xf numFmtId="0" fontId="51" fillId="3" borderId="2" xfId="0" applyFont="1" applyFill="1" applyBorder="1" applyAlignment="1">
      <alignment horizontal="center" vertical="center"/>
    </xf>
    <xf numFmtId="0" fontId="51" fillId="3" borderId="2" xfId="0" applyFont="1" applyFill="1" applyBorder="1" applyAlignment="1">
      <alignment horizontal="center" vertical="center" wrapText="1"/>
    </xf>
    <xf numFmtId="174" fontId="51" fillId="3" borderId="2" xfId="0" applyNumberFormat="1" applyFont="1" applyFill="1" applyBorder="1" applyAlignment="1">
      <alignment horizontal="center" vertical="center"/>
    </xf>
    <xf numFmtId="0" fontId="51" fillId="3" borderId="5" xfId="0" applyFont="1" applyFill="1" applyBorder="1" applyAlignment="1">
      <alignment horizontal="center" vertical="center" wrapText="1"/>
    </xf>
    <xf numFmtId="0" fontId="51" fillId="3" borderId="6" xfId="0" applyFont="1" applyFill="1" applyBorder="1" applyAlignment="1">
      <alignment horizontal="center" vertical="center" wrapText="1"/>
    </xf>
    <xf numFmtId="44" fontId="51" fillId="3" borderId="2" xfId="311" applyFont="1" applyFill="1" applyBorder="1" applyAlignment="1">
      <alignment horizontal="center" vertical="center"/>
    </xf>
    <xf numFmtId="0" fontId="50" fillId="3" borderId="9" xfId="0" applyNumberFormat="1" applyFont="1" applyFill="1" applyBorder="1" applyAlignment="1">
      <alignment horizontal="center" vertical="center" wrapText="1"/>
    </xf>
    <xf numFmtId="0" fontId="50" fillId="3" borderId="10" xfId="0" applyNumberFormat="1" applyFont="1" applyFill="1" applyBorder="1" applyAlignment="1">
      <alignment horizontal="center" vertical="center" wrapText="1"/>
    </xf>
    <xf numFmtId="0" fontId="50" fillId="3" borderId="11" xfId="0" applyNumberFormat="1" applyFont="1" applyFill="1" applyBorder="1" applyAlignment="1">
      <alignment horizontal="center" vertical="center" wrapText="1"/>
    </xf>
    <xf numFmtId="0" fontId="53" fillId="0" borderId="1" xfId="0" applyFont="1" applyFill="1" applyBorder="1" applyAlignment="1">
      <alignment horizontal="right" vertical="center"/>
    </xf>
    <xf numFmtId="0" fontId="53" fillId="0" borderId="4" xfId="0" applyFont="1" applyFill="1" applyBorder="1" applyAlignment="1">
      <alignment horizontal="right" vertical="center"/>
    </xf>
    <xf numFmtId="0" fontId="53" fillId="0" borderId="3" xfId="0" applyFont="1" applyFill="1" applyBorder="1" applyAlignment="1">
      <alignment horizontal="right" vertical="center"/>
    </xf>
    <xf numFmtId="0" fontId="53" fillId="0" borderId="1" xfId="0" applyFont="1" applyFill="1" applyBorder="1" applyAlignment="1">
      <alignment horizontal="right" vertical="center" wrapText="1"/>
    </xf>
    <xf numFmtId="0" fontId="53" fillId="0" borderId="4" xfId="0" applyFont="1" applyFill="1" applyBorder="1" applyAlignment="1">
      <alignment horizontal="right" vertical="center" wrapText="1"/>
    </xf>
    <xf numFmtId="0" fontId="53" fillId="0" borderId="3" xfId="0" applyFont="1" applyFill="1" applyBorder="1" applyAlignment="1">
      <alignment horizontal="right" vertical="center" wrapText="1"/>
    </xf>
    <xf numFmtId="3" fontId="53" fillId="0" borderId="1" xfId="0" applyNumberFormat="1" applyFont="1" applyFill="1" applyBorder="1" applyAlignment="1" applyProtection="1">
      <alignment horizontal="right" vertical="center" wrapText="1"/>
      <protection hidden="1"/>
    </xf>
    <xf numFmtId="3" fontId="53" fillId="0" borderId="4" xfId="0" applyNumberFormat="1" applyFont="1" applyFill="1" applyBorder="1" applyAlignment="1" applyProtection="1">
      <alignment horizontal="right" vertical="center" wrapText="1"/>
      <protection hidden="1"/>
    </xf>
    <xf numFmtId="3" fontId="53" fillId="0" borderId="3" xfId="0" applyNumberFormat="1" applyFont="1" applyFill="1" applyBorder="1" applyAlignment="1" applyProtection="1">
      <alignment horizontal="right" vertical="center" wrapText="1"/>
      <protection hidden="1"/>
    </xf>
    <xf numFmtId="0" fontId="29" fillId="0" borderId="0" xfId="0" applyFont="1" applyAlignment="1">
      <alignment horizontal="left" wrapText="1"/>
    </xf>
    <xf numFmtId="0" fontId="29" fillId="0" borderId="0" xfId="0" applyFont="1" applyAlignment="1">
      <alignment horizontal="left"/>
    </xf>
    <xf numFmtId="0" fontId="50" fillId="3" borderId="1" xfId="0" applyNumberFormat="1" applyFont="1" applyFill="1" applyBorder="1" applyAlignment="1">
      <alignment horizontal="center" vertical="center" wrapText="1"/>
    </xf>
    <xf numFmtId="0" fontId="50" fillId="3" borderId="4" xfId="0" applyNumberFormat="1" applyFont="1" applyFill="1" applyBorder="1" applyAlignment="1">
      <alignment horizontal="center" vertical="center" wrapText="1"/>
    </xf>
    <xf numFmtId="0" fontId="50" fillId="3" borderId="3" xfId="0" applyNumberFormat="1" applyFont="1" applyFill="1" applyBorder="1" applyAlignment="1">
      <alignment horizontal="center" vertical="center" wrapText="1"/>
    </xf>
    <xf numFmtId="0" fontId="29" fillId="0" borderId="30" xfId="0" applyFont="1" applyFill="1" applyBorder="1" applyAlignment="1">
      <alignment horizontal="center" wrapText="1"/>
    </xf>
    <xf numFmtId="0" fontId="29" fillId="0" borderId="0" xfId="0" applyFont="1" applyFill="1" applyAlignment="1">
      <alignment horizontal="center" wrapText="1"/>
    </xf>
    <xf numFmtId="0" fontId="24" fillId="0" borderId="22" xfId="0" applyFont="1" applyFill="1" applyBorder="1" applyAlignment="1">
      <alignment horizontal="left" vertical="center"/>
    </xf>
    <xf numFmtId="0" fontId="24" fillId="0" borderId="23" xfId="0" applyFont="1" applyFill="1" applyBorder="1" applyAlignment="1">
      <alignment horizontal="left" vertical="center"/>
    </xf>
    <xf numFmtId="0" fontId="24" fillId="0" borderId="24" xfId="0" applyFont="1" applyFill="1" applyBorder="1" applyAlignment="1">
      <alignment horizontal="left" vertical="center"/>
    </xf>
    <xf numFmtId="0" fontId="16" fillId="2" borderId="12" xfId="0" applyFont="1" applyFill="1" applyBorder="1" applyAlignment="1">
      <alignment horizontal="center" vertical="center"/>
    </xf>
    <xf numFmtId="0" fontId="16" fillId="2" borderId="16"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10" xfId="0" applyFont="1" applyFill="1" applyBorder="1" applyAlignment="1">
      <alignment horizontal="center" vertical="center"/>
    </xf>
    <xf numFmtId="0" fontId="24" fillId="0" borderId="0" xfId="0" applyFont="1" applyFill="1" applyBorder="1" applyAlignment="1">
      <alignment horizontal="left" vertical="center"/>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5" fillId="0" borderId="0" xfId="0" applyFont="1" applyFill="1" applyBorder="1" applyAlignment="1">
      <alignment horizontal="center" vertical="center"/>
    </xf>
    <xf numFmtId="166" fontId="16" fillId="2" borderId="12" xfId="0" applyNumberFormat="1" applyFont="1" applyFill="1" applyBorder="1" applyAlignment="1">
      <alignment horizontal="center" vertical="center"/>
    </xf>
    <xf numFmtId="166" fontId="16" fillId="2" borderId="16" xfId="0" applyNumberFormat="1" applyFont="1" applyFill="1" applyBorder="1" applyAlignment="1">
      <alignment horizontal="center" vertical="center"/>
    </xf>
    <xf numFmtId="0" fontId="17" fillId="2" borderId="29" xfId="0" applyFont="1" applyFill="1" applyBorder="1" applyAlignment="1">
      <alignment horizontal="center" vertical="center"/>
    </xf>
    <xf numFmtId="0" fontId="17" fillId="2" borderId="11" xfId="0" applyFont="1" applyFill="1" applyBorder="1" applyAlignment="1">
      <alignment horizontal="center" vertical="center"/>
    </xf>
    <xf numFmtId="0" fontId="16"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16"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10" xfId="0" applyFont="1" applyFill="1" applyBorder="1" applyAlignment="1">
      <alignment horizontal="center" vertical="center"/>
    </xf>
    <xf numFmtId="0" fontId="27"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16" fillId="0" borderId="0" xfId="0" quotePrefix="1" applyFont="1" applyFill="1" applyBorder="1" applyAlignment="1">
      <alignment horizontal="center" vertical="center"/>
    </xf>
    <xf numFmtId="0" fontId="38" fillId="0" borderId="12" xfId="0" applyFont="1" applyFill="1" applyBorder="1" applyAlignment="1">
      <alignment horizontal="center" vertical="center"/>
    </xf>
    <xf numFmtId="0" fontId="38" fillId="0" borderId="16" xfId="0" applyFont="1" applyFill="1" applyBorder="1" applyAlignment="1">
      <alignment horizontal="center" vertical="center"/>
    </xf>
    <xf numFmtId="0" fontId="38" fillId="0" borderId="0" xfId="0" applyFont="1" applyFill="1" applyBorder="1" applyAlignment="1">
      <alignment horizontal="center" vertical="center"/>
    </xf>
    <xf numFmtId="0" fontId="39" fillId="0" borderId="13" xfId="0" applyFont="1" applyFill="1" applyBorder="1" applyAlignment="1">
      <alignment horizontal="center" vertical="center"/>
    </xf>
    <xf numFmtId="0" fontId="39" fillId="0" borderId="14"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10" xfId="0" applyFont="1" applyFill="1" applyBorder="1" applyAlignment="1">
      <alignment horizontal="center" vertical="center"/>
    </xf>
    <xf numFmtId="0" fontId="36" fillId="0" borderId="0" xfId="0" applyFont="1" applyFill="1" applyBorder="1" applyAlignment="1">
      <alignment horizontal="center" vertical="center"/>
    </xf>
    <xf numFmtId="0" fontId="38" fillId="4" borderId="12" xfId="0" applyFont="1" applyFill="1" applyBorder="1" applyAlignment="1">
      <alignment horizontal="center" vertical="center"/>
    </xf>
    <xf numFmtId="0" fontId="38" fillId="4" borderId="16" xfId="0" applyFont="1" applyFill="1" applyBorder="1" applyAlignment="1">
      <alignment horizontal="center" vertical="center"/>
    </xf>
    <xf numFmtId="0" fontId="39" fillId="4" borderId="13" xfId="0" applyFont="1" applyFill="1" applyBorder="1" applyAlignment="1">
      <alignment horizontal="center" vertical="center" wrapText="1"/>
    </xf>
    <xf numFmtId="0" fontId="39" fillId="4" borderId="14" xfId="0" applyFont="1" applyFill="1" applyBorder="1" applyAlignment="1">
      <alignment horizontal="center" vertical="center" wrapText="1"/>
    </xf>
    <xf numFmtId="0" fontId="39" fillId="4" borderId="29" xfId="0" applyFont="1" applyFill="1" applyBorder="1" applyAlignment="1">
      <alignment horizontal="center" vertical="center" wrapText="1"/>
    </xf>
    <xf numFmtId="0" fontId="39" fillId="4" borderId="9" xfId="0" applyFont="1" applyFill="1" applyBorder="1" applyAlignment="1">
      <alignment horizontal="center" vertical="center" wrapText="1"/>
    </xf>
    <xf numFmtId="0" fontId="39" fillId="4" borderId="10" xfId="0" applyFont="1" applyFill="1" applyBorder="1" applyAlignment="1">
      <alignment horizontal="center" vertical="center" wrapText="1"/>
    </xf>
    <xf numFmtId="0" fontId="39" fillId="4" borderId="11" xfId="0" applyFont="1" applyFill="1" applyBorder="1" applyAlignment="1">
      <alignment horizontal="center" vertical="center" wrapText="1"/>
    </xf>
    <xf numFmtId="0" fontId="39" fillId="4" borderId="13" xfId="0" applyFont="1" applyFill="1" applyBorder="1" applyAlignment="1">
      <alignment horizontal="center" vertical="center"/>
    </xf>
    <xf numFmtId="0" fontId="39" fillId="4" borderId="14" xfId="0" applyFont="1" applyFill="1" applyBorder="1" applyAlignment="1">
      <alignment horizontal="center" vertical="center"/>
    </xf>
    <xf numFmtId="0" fontId="39" fillId="4" borderId="9" xfId="0" applyFont="1" applyFill="1" applyBorder="1" applyAlignment="1">
      <alignment horizontal="center" vertical="center"/>
    </xf>
    <xf numFmtId="0" fontId="39" fillId="4" borderId="10" xfId="0" applyFont="1" applyFill="1" applyBorder="1" applyAlignment="1">
      <alignment horizontal="center" vertical="center"/>
    </xf>
    <xf numFmtId="0" fontId="39" fillId="2" borderId="29" xfId="0" applyFont="1" applyFill="1" applyBorder="1" applyAlignment="1">
      <alignment horizontal="center" vertical="center"/>
    </xf>
    <xf numFmtId="0" fontId="39" fillId="2" borderId="11"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6" xfId="0" applyFont="1" applyFill="1" applyBorder="1" applyAlignment="1">
      <alignment horizontal="center" vertical="center"/>
    </xf>
    <xf numFmtId="0" fontId="17" fillId="0" borderId="13"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38" fillId="0" borderId="0" xfId="0" quotePrefix="1" applyFont="1" applyFill="1" applyBorder="1" applyAlignment="1">
      <alignment horizontal="center" vertical="center"/>
    </xf>
    <xf numFmtId="0" fontId="26" fillId="0" borderId="0" xfId="0" applyFont="1" applyFill="1" applyBorder="1" applyAlignment="1">
      <alignment horizontal="center" vertical="center"/>
    </xf>
    <xf numFmtId="0" fontId="45" fillId="0" borderId="0" xfId="0" applyFont="1" applyFill="1" applyBorder="1" applyAlignment="1">
      <alignment horizontal="left" vertical="center"/>
    </xf>
    <xf numFmtId="0" fontId="51" fillId="3" borderId="1" xfId="1" applyFont="1" applyFill="1" applyBorder="1" applyAlignment="1" applyProtection="1">
      <alignment horizontal="center" vertical="top" wrapText="1"/>
      <protection hidden="1"/>
    </xf>
    <xf numFmtId="0" fontId="51" fillId="3" borderId="4" xfId="1" applyFont="1" applyFill="1" applyBorder="1" applyAlignment="1" applyProtection="1">
      <alignment horizontal="center" vertical="top" wrapText="1"/>
      <protection hidden="1"/>
    </xf>
    <xf numFmtId="0" fontId="51" fillId="3" borderId="3" xfId="1" applyFont="1" applyFill="1" applyBorder="1" applyAlignment="1" applyProtection="1">
      <alignment horizontal="center" vertical="top" wrapText="1"/>
      <protection hidden="1"/>
    </xf>
    <xf numFmtId="0" fontId="54" fillId="0" borderId="1" xfId="0" applyFont="1" applyFill="1" applyBorder="1" applyAlignment="1">
      <alignment horizontal="right" vertical="center"/>
    </xf>
    <xf numFmtId="0" fontId="54" fillId="0" borderId="4" xfId="0" applyFont="1" applyFill="1" applyBorder="1" applyAlignment="1">
      <alignment horizontal="right" vertical="center"/>
    </xf>
    <xf numFmtId="0" fontId="54" fillId="0" borderId="3" xfId="0" applyFont="1" applyFill="1" applyBorder="1" applyAlignment="1">
      <alignment horizontal="right" vertical="center"/>
    </xf>
    <xf numFmtId="0" fontId="29" fillId="0" borderId="1" xfId="0" applyFont="1" applyBorder="1" applyAlignment="1">
      <alignment horizontal="center"/>
    </xf>
    <xf numFmtId="0" fontId="29" fillId="0" borderId="4" xfId="0" applyFont="1" applyBorder="1" applyAlignment="1">
      <alignment horizontal="center"/>
    </xf>
    <xf numFmtId="0" fontId="29" fillId="0" borderId="3" xfId="0" applyFont="1" applyBorder="1" applyAlignment="1">
      <alignment horizontal="center"/>
    </xf>
    <xf numFmtId="0" fontId="51" fillId="3" borderId="5" xfId="0" applyFont="1" applyFill="1" applyBorder="1" applyAlignment="1">
      <alignment horizontal="center" vertical="center"/>
    </xf>
    <xf numFmtId="0" fontId="51" fillId="3" borderId="6" xfId="0" applyFont="1" applyFill="1" applyBorder="1" applyAlignment="1">
      <alignment horizontal="center" vertical="center"/>
    </xf>
    <xf numFmtId="44" fontId="51" fillId="3" borderId="5" xfId="311" applyFont="1" applyFill="1" applyBorder="1" applyAlignment="1">
      <alignment horizontal="center" vertical="center"/>
    </xf>
    <xf numFmtId="44" fontId="51" fillId="3" borderId="6" xfId="311" applyFont="1" applyFill="1" applyBorder="1" applyAlignment="1">
      <alignment horizontal="center" vertical="center"/>
    </xf>
    <xf numFmtId="0" fontId="54" fillId="0" borderId="2" xfId="0" applyFont="1" applyFill="1" applyBorder="1" applyAlignment="1">
      <alignment horizontal="right" vertical="center"/>
    </xf>
    <xf numFmtId="0" fontId="53" fillId="0" borderId="2" xfId="0" applyFont="1" applyFill="1" applyBorder="1" applyAlignment="1">
      <alignment horizontal="right" vertical="center"/>
    </xf>
    <xf numFmtId="0" fontId="12" fillId="3" borderId="2" xfId="0" applyFont="1" applyFill="1" applyBorder="1" applyAlignment="1">
      <alignment horizontal="center"/>
    </xf>
    <xf numFmtId="0" fontId="12" fillId="3" borderId="1" xfId="0" applyFont="1" applyFill="1" applyBorder="1" applyAlignment="1">
      <alignment horizontal="right"/>
    </xf>
    <xf numFmtId="0" fontId="12" fillId="3" borderId="4" xfId="0" applyFont="1" applyFill="1" applyBorder="1" applyAlignment="1">
      <alignment horizontal="right"/>
    </xf>
    <xf numFmtId="0" fontId="12" fillId="3" borderId="3" xfId="0" applyFont="1" applyFill="1" applyBorder="1" applyAlignment="1">
      <alignment horizontal="right"/>
    </xf>
    <xf numFmtId="0" fontId="11" fillId="0" borderId="7" xfId="0" applyFont="1" applyBorder="1" applyAlignment="1">
      <alignment horizontal="center"/>
    </xf>
    <xf numFmtId="0" fontId="7" fillId="0" borderId="5"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167" fontId="12" fillId="3" borderId="1" xfId="0" applyNumberFormat="1" applyFont="1" applyFill="1" applyBorder="1" applyAlignment="1">
      <alignment horizontal="center"/>
    </xf>
    <xf numFmtId="167" fontId="12" fillId="3" borderId="4" xfId="0" applyNumberFormat="1" applyFont="1" applyFill="1" applyBorder="1" applyAlignment="1">
      <alignment horizontal="center"/>
    </xf>
    <xf numFmtId="167" fontId="12" fillId="3" borderId="3" xfId="0" applyNumberFormat="1" applyFont="1" applyFill="1" applyBorder="1" applyAlignment="1">
      <alignment horizontal="center"/>
    </xf>
    <xf numFmtId="0" fontId="7" fillId="0" borderId="2" xfId="0" applyFont="1" applyBorder="1" applyAlignment="1">
      <alignment horizontal="center" vertical="center"/>
    </xf>
    <xf numFmtId="167" fontId="12" fillId="3" borderId="2" xfId="0" applyNumberFormat="1" applyFont="1" applyFill="1" applyBorder="1" applyAlignment="1">
      <alignment horizontal="center"/>
    </xf>
    <xf numFmtId="0" fontId="7" fillId="0" borderId="10" xfId="0" applyFont="1" applyBorder="1" applyAlignment="1">
      <alignment horizontal="left" wrapText="1"/>
    </xf>
    <xf numFmtId="167" fontId="12" fillId="3" borderId="2" xfId="0" applyNumberFormat="1" applyFont="1" applyFill="1" applyBorder="1" applyAlignment="1">
      <alignment horizontal="center" wrapText="1"/>
    </xf>
    <xf numFmtId="0" fontId="6" fillId="0" borderId="2" xfId="0" applyFont="1" applyBorder="1" applyAlignment="1">
      <alignment horizontal="center" vertical="center"/>
    </xf>
    <xf numFmtId="0" fontId="6" fillId="0" borderId="2" xfId="0" applyFont="1" applyBorder="1" applyAlignment="1">
      <alignment horizontal="center"/>
    </xf>
    <xf numFmtId="0" fontId="12" fillId="3" borderId="9" xfId="0" applyFont="1" applyFill="1" applyBorder="1" applyAlignment="1">
      <alignment horizontal="right" vertical="center"/>
    </xf>
    <xf numFmtId="0" fontId="12" fillId="3" borderId="10" xfId="0" applyFont="1" applyFill="1" applyBorder="1" applyAlignment="1">
      <alignment horizontal="right" vertical="center"/>
    </xf>
    <xf numFmtId="0" fontId="12" fillId="3" borderId="11" xfId="0" applyFont="1" applyFill="1" applyBorder="1" applyAlignment="1">
      <alignment horizontal="right" vertical="center"/>
    </xf>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0" fontId="12" fillId="3" borderId="2" xfId="0" applyFont="1" applyFill="1" applyBorder="1" applyAlignment="1">
      <alignment horizontal="right"/>
    </xf>
    <xf numFmtId="0" fontId="12" fillId="3" borderId="1" xfId="0" applyFont="1" applyFill="1" applyBorder="1" applyAlignment="1">
      <alignment horizontal="right" wrapText="1"/>
    </xf>
    <xf numFmtId="0" fontId="12" fillId="3" borderId="3" xfId="0" applyFont="1" applyFill="1" applyBorder="1" applyAlignment="1">
      <alignment horizontal="right" wrapText="1"/>
    </xf>
    <xf numFmtId="0" fontId="48" fillId="0" borderId="2" xfId="0" applyFont="1" applyBorder="1" applyAlignment="1">
      <alignment horizontal="center"/>
    </xf>
    <xf numFmtId="0" fontId="20" fillId="0" borderId="2" xfId="0" applyFont="1" applyFill="1" applyBorder="1" applyAlignment="1">
      <alignment horizontal="left" vertical="center" wrapText="1"/>
    </xf>
    <xf numFmtId="0" fontId="20" fillId="0" borderId="2" xfId="0" applyFont="1" applyFill="1" applyBorder="1" applyAlignment="1">
      <alignment horizontal="left"/>
    </xf>
    <xf numFmtId="0" fontId="0" fillId="0" borderId="2" xfId="0" applyBorder="1" applyAlignment="1">
      <alignment horizontal="left"/>
    </xf>
    <xf numFmtId="0" fontId="0" fillId="0" borderId="2" xfId="0" applyBorder="1" applyAlignment="1">
      <alignment horizontal="left" wrapText="1"/>
    </xf>
    <xf numFmtId="0" fontId="20" fillId="0" borderId="1"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0" fillId="0" borderId="2" xfId="0" applyBorder="1" applyAlignment="1">
      <alignment horizontal="left" vertical="center" wrapText="1"/>
    </xf>
    <xf numFmtId="0" fontId="29" fillId="0" borderId="32" xfId="389" applyFont="1" applyFill="1" applyBorder="1" applyAlignment="1">
      <alignment horizontal="center" vertical="center" wrapText="1"/>
    </xf>
    <xf numFmtId="0" fontId="29" fillId="0" borderId="14" xfId="389" applyFont="1" applyFill="1" applyBorder="1" applyAlignment="1">
      <alignment horizontal="center" vertical="center" wrapText="1"/>
    </xf>
    <xf numFmtId="0" fontId="29" fillId="0" borderId="29" xfId="389" applyFont="1" applyFill="1" applyBorder="1" applyAlignment="1">
      <alignment horizontal="center" vertical="center" wrapText="1"/>
    </xf>
    <xf numFmtId="0" fontId="29" fillId="0" borderId="27" xfId="389" applyFont="1" applyFill="1" applyBorder="1" applyAlignment="1">
      <alignment horizontal="center" vertical="center" wrapText="1"/>
    </xf>
    <xf numFmtId="0" fontId="29" fillId="0" borderId="34" xfId="389" applyFont="1" applyFill="1" applyBorder="1" applyAlignment="1">
      <alignment horizontal="center" vertical="center" wrapText="1"/>
    </xf>
    <xf numFmtId="0" fontId="29" fillId="0" borderId="35" xfId="389" applyFont="1" applyFill="1" applyBorder="1" applyAlignment="1">
      <alignment horizontal="center" vertical="center" wrapText="1"/>
    </xf>
    <xf numFmtId="10" fontId="29" fillId="0" borderId="3" xfId="0" applyNumberFormat="1" applyFont="1" applyBorder="1" applyAlignment="1">
      <alignment horizontal="center"/>
    </xf>
  </cellXfs>
  <cellStyles count="390">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6" builtinId="8" hidden="1"/>
    <cellStyle name="Hipervínculo" xfId="38" builtinId="8" hidden="1"/>
    <cellStyle name="Hipervínculo" xfId="40" builtinId="8" hidden="1"/>
    <cellStyle name="Hipervínculo" xfId="42"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Millares" xfId="314" builtinId="3"/>
    <cellStyle name="Millares [0]" xfId="312" builtinId="6"/>
    <cellStyle name="Millares 2" xfId="2"/>
    <cellStyle name="Moneda" xfId="311" builtinId="4"/>
    <cellStyle name="Moneda 2" xfId="313"/>
    <cellStyle name="Normal" xfId="0" builtinId="0"/>
    <cellStyle name="Normal 10 4" xfId="389"/>
    <cellStyle name="Normal 11" xfId="44"/>
    <cellStyle name="Normal 2" xfId="1"/>
    <cellStyle name="Normal 8" xfId="3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1\ADMINI~1\CONFIG~1\Temp\Rar$DIa0.324\Memoria%20de%20Calculo%20PTAR%20Vij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jillas Fin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3"/>
  <sheetViews>
    <sheetView topLeftCell="A415" zoomScale="106" zoomScaleNormal="106" zoomScalePageLayoutView="106" workbookViewId="0">
      <selection activeCell="F433" sqref="F433"/>
    </sheetView>
  </sheetViews>
  <sheetFormatPr baseColWidth="10" defaultColWidth="10.85546875" defaultRowHeight="15.95" customHeight="1"/>
  <cols>
    <col min="1" max="1" width="19.85546875" style="329" customWidth="1"/>
    <col min="2" max="2" width="47.140625" style="464" customWidth="1"/>
    <col min="3" max="3" width="8.42578125" style="329" customWidth="1"/>
    <col min="4" max="4" width="15.85546875" style="498" customWidth="1"/>
    <col min="5" max="5" width="19" style="329" bestFit="1" customWidth="1"/>
    <col min="6" max="6" width="24.140625" style="332" customWidth="1"/>
    <col min="7" max="7" width="24.140625" style="553" customWidth="1"/>
    <col min="8" max="16384" width="10.85546875" style="329"/>
  </cols>
  <sheetData>
    <row r="1" spans="1:7" s="328" customFormat="1" ht="15.95" customHeight="1">
      <c r="A1" s="596" t="s">
        <v>1662</v>
      </c>
      <c r="B1" s="597"/>
      <c r="C1" s="597"/>
      <c r="D1" s="597"/>
      <c r="E1" s="597"/>
      <c r="F1" s="598"/>
      <c r="G1" s="551"/>
    </row>
    <row r="2" spans="1:7" s="328" customFormat="1" ht="15.95" customHeight="1">
      <c r="A2" s="605" t="s">
        <v>1667</v>
      </c>
      <c r="B2" s="606"/>
      <c r="C2" s="606"/>
      <c r="D2" s="606"/>
      <c r="E2" s="606"/>
      <c r="F2" s="607"/>
      <c r="G2" s="551"/>
    </row>
    <row r="4" spans="1:7" ht="15.95" customHeight="1">
      <c r="A4" s="599" t="s">
        <v>0</v>
      </c>
      <c r="B4" s="600" t="s">
        <v>1</v>
      </c>
      <c r="C4" s="599" t="s">
        <v>157</v>
      </c>
      <c r="D4" s="601" t="s">
        <v>155</v>
      </c>
      <c r="E4" s="602" t="s">
        <v>156</v>
      </c>
      <c r="F4" s="604" t="s">
        <v>154</v>
      </c>
      <c r="G4" s="552"/>
    </row>
    <row r="5" spans="1:7" ht="15.95" customHeight="1">
      <c r="A5" s="599"/>
      <c r="B5" s="600"/>
      <c r="C5" s="599"/>
      <c r="D5" s="601"/>
      <c r="E5" s="603"/>
      <c r="F5" s="604"/>
      <c r="G5" s="552"/>
    </row>
    <row r="6" spans="1:7" ht="15.95" customHeight="1">
      <c r="A6" s="330"/>
      <c r="B6" s="331"/>
      <c r="C6" s="330"/>
    </row>
    <row r="7" spans="1:7" ht="15.95" customHeight="1">
      <c r="A7" s="476">
        <v>1</v>
      </c>
      <c r="B7" s="334" t="s">
        <v>2</v>
      </c>
      <c r="C7" s="335"/>
      <c r="D7" s="499"/>
      <c r="E7" s="335"/>
      <c r="F7" s="336"/>
      <c r="G7" s="554"/>
    </row>
    <row r="8" spans="1:7" s="341" customFormat="1" ht="15.95" customHeight="1">
      <c r="A8" s="337" t="s">
        <v>86</v>
      </c>
      <c r="B8" s="207" t="s">
        <v>54</v>
      </c>
      <c r="C8" s="338" t="s">
        <v>66</v>
      </c>
      <c r="D8" s="496">
        <v>6434</v>
      </c>
      <c r="E8" s="506">
        <v>5015</v>
      </c>
      <c r="F8" s="340">
        <f>ROUND(D8*E8,0)</f>
        <v>32266510</v>
      </c>
      <c r="G8" s="547"/>
    </row>
    <row r="9" spans="1:7" s="341" customFormat="1" ht="15.95" customHeight="1">
      <c r="A9" s="337" t="s">
        <v>87</v>
      </c>
      <c r="B9" s="207" t="s">
        <v>3</v>
      </c>
      <c r="C9" s="337" t="s">
        <v>65</v>
      </c>
      <c r="D9" s="496">
        <v>21516.5</v>
      </c>
      <c r="E9" s="342">
        <v>2954</v>
      </c>
      <c r="F9" s="340">
        <f t="shared" ref="F9:F10" si="0">ROUND(D9*E9,0)</f>
        <v>63559741</v>
      </c>
      <c r="G9" s="547"/>
    </row>
    <row r="10" spans="1:7" s="341" customFormat="1" ht="15.95" customHeight="1">
      <c r="A10" s="337" t="s">
        <v>88</v>
      </c>
      <c r="B10" s="207" t="s">
        <v>216</v>
      </c>
      <c r="C10" s="337" t="s">
        <v>8</v>
      </c>
      <c r="D10" s="496">
        <v>2381.15</v>
      </c>
      <c r="E10" s="342">
        <v>1441</v>
      </c>
      <c r="F10" s="340">
        <f t="shared" si="0"/>
        <v>3431237</v>
      </c>
      <c r="G10" s="547"/>
    </row>
    <row r="11" spans="1:7" ht="15.95" customHeight="1">
      <c r="A11" s="608" t="s">
        <v>958</v>
      </c>
      <c r="B11" s="609"/>
      <c r="C11" s="609"/>
      <c r="D11" s="609"/>
      <c r="E11" s="610"/>
      <c r="F11" s="490">
        <f>SUM(F8:F10)</f>
        <v>99257488</v>
      </c>
      <c r="G11" s="555"/>
    </row>
    <row r="12" spans="1:7" ht="51" customHeight="1">
      <c r="A12" s="476">
        <v>2</v>
      </c>
      <c r="B12" s="576" t="s">
        <v>1661</v>
      </c>
      <c r="C12" s="577"/>
      <c r="D12" s="577"/>
      <c r="E12" s="577"/>
      <c r="F12" s="578"/>
      <c r="G12" s="556"/>
    </row>
    <row r="13" spans="1:7" ht="15.95" customHeight="1">
      <c r="A13" s="476" t="s">
        <v>4</v>
      </c>
      <c r="B13" s="345" t="s">
        <v>5</v>
      </c>
      <c r="C13" s="346"/>
      <c r="D13" s="500"/>
      <c r="E13" s="346"/>
      <c r="F13" s="347"/>
      <c r="G13" s="557"/>
    </row>
    <row r="14" spans="1:7" ht="15.95" customHeight="1">
      <c r="A14" s="348" t="s">
        <v>89</v>
      </c>
      <c r="B14" s="204" t="s">
        <v>280</v>
      </c>
      <c r="C14" s="349" t="s">
        <v>66</v>
      </c>
      <c r="D14" s="497">
        <v>1228.0999999999999</v>
      </c>
      <c r="E14" s="506">
        <v>8829</v>
      </c>
      <c r="F14" s="340">
        <f t="shared" ref="F14:F43" si="1">ROUND(D14*E14,0)</f>
        <v>10842895</v>
      </c>
      <c r="G14" s="547"/>
    </row>
    <row r="15" spans="1:7" ht="15.95" customHeight="1">
      <c r="A15" s="348" t="s">
        <v>90</v>
      </c>
      <c r="B15" s="204" t="s">
        <v>55</v>
      </c>
      <c r="C15" s="348" t="s">
        <v>66</v>
      </c>
      <c r="D15" s="497">
        <v>1228.0999999999999</v>
      </c>
      <c r="E15" s="506">
        <v>16226</v>
      </c>
      <c r="F15" s="340">
        <f t="shared" si="1"/>
        <v>19927151</v>
      </c>
      <c r="G15" s="547"/>
    </row>
    <row r="16" spans="1:7" ht="33">
      <c r="A16" s="348" t="s">
        <v>91</v>
      </c>
      <c r="B16" s="353" t="s">
        <v>275</v>
      </c>
      <c r="C16" s="348" t="s">
        <v>66</v>
      </c>
      <c r="D16" s="497">
        <v>130.19999999999999</v>
      </c>
      <c r="E16" s="506">
        <v>38125</v>
      </c>
      <c r="F16" s="340">
        <f t="shared" si="1"/>
        <v>4963875</v>
      </c>
      <c r="G16" s="547"/>
    </row>
    <row r="17" spans="1:7" ht="33">
      <c r="A17" s="348" t="s">
        <v>92</v>
      </c>
      <c r="B17" s="353" t="s">
        <v>959</v>
      </c>
      <c r="C17" s="348" t="s">
        <v>65</v>
      </c>
      <c r="D17" s="497">
        <v>436.6</v>
      </c>
      <c r="E17" s="506">
        <v>4003</v>
      </c>
      <c r="F17" s="340">
        <f t="shared" si="1"/>
        <v>1747710</v>
      </c>
      <c r="G17" s="547"/>
    </row>
    <row r="18" spans="1:7" ht="15.95" customHeight="1">
      <c r="A18" s="348" t="s">
        <v>93</v>
      </c>
      <c r="B18" s="353" t="s">
        <v>69</v>
      </c>
      <c r="C18" s="348" t="s">
        <v>65</v>
      </c>
      <c r="D18" s="497">
        <v>434</v>
      </c>
      <c r="E18" s="506">
        <v>8043</v>
      </c>
      <c r="F18" s="340">
        <f t="shared" si="1"/>
        <v>3490662</v>
      </c>
      <c r="G18" s="547"/>
    </row>
    <row r="19" spans="1:7" ht="33">
      <c r="A19" s="348" t="s">
        <v>94</v>
      </c>
      <c r="B19" s="204" t="s">
        <v>50</v>
      </c>
      <c r="C19" s="349" t="s">
        <v>66</v>
      </c>
      <c r="D19" s="497">
        <v>21.7</v>
      </c>
      <c r="E19" s="506">
        <v>32850</v>
      </c>
      <c r="F19" s="340">
        <f t="shared" si="1"/>
        <v>712845</v>
      </c>
      <c r="G19" s="547"/>
    </row>
    <row r="20" spans="1:7" ht="49.5">
      <c r="A20" s="348" t="s">
        <v>95</v>
      </c>
      <c r="B20" s="204" t="s">
        <v>164</v>
      </c>
      <c r="C20" s="349" t="s">
        <v>66</v>
      </c>
      <c r="D20" s="497">
        <v>130.19999999999999</v>
      </c>
      <c r="E20" s="506">
        <v>671139</v>
      </c>
      <c r="F20" s="340">
        <f t="shared" si="1"/>
        <v>87382298</v>
      </c>
      <c r="G20" s="547"/>
    </row>
    <row r="21" spans="1:7" ht="69.75" customHeight="1">
      <c r="A21" s="348" t="s">
        <v>96</v>
      </c>
      <c r="B21" s="204" t="s">
        <v>165</v>
      </c>
      <c r="C21" s="349" t="s">
        <v>66</v>
      </c>
      <c r="D21" s="497">
        <v>42.7</v>
      </c>
      <c r="E21" s="506">
        <v>737263</v>
      </c>
      <c r="F21" s="340">
        <f t="shared" si="1"/>
        <v>31481130</v>
      </c>
      <c r="G21" s="547"/>
    </row>
    <row r="22" spans="1:7" ht="36" customHeight="1">
      <c r="A22" s="348" t="s">
        <v>97</v>
      </c>
      <c r="B22" s="204" t="s">
        <v>49</v>
      </c>
      <c r="C22" s="349" t="s">
        <v>6</v>
      </c>
      <c r="D22" s="497">
        <v>17200</v>
      </c>
      <c r="E22" s="506">
        <v>3201</v>
      </c>
      <c r="F22" s="340">
        <f t="shared" si="1"/>
        <v>55057200</v>
      </c>
      <c r="G22" s="547"/>
    </row>
    <row r="23" spans="1:7" ht="33">
      <c r="A23" s="348" t="s">
        <v>98</v>
      </c>
      <c r="B23" s="204" t="s">
        <v>795</v>
      </c>
      <c r="C23" s="349" t="s">
        <v>8</v>
      </c>
      <c r="D23" s="497">
        <v>69</v>
      </c>
      <c r="E23" s="506">
        <v>27799</v>
      </c>
      <c r="F23" s="340">
        <f t="shared" si="1"/>
        <v>1918131</v>
      </c>
      <c r="G23" s="547"/>
    </row>
    <row r="24" spans="1:7" ht="16.5">
      <c r="A24" s="348" t="s">
        <v>99</v>
      </c>
      <c r="B24" s="354" t="s">
        <v>783</v>
      </c>
      <c r="C24" s="349" t="s">
        <v>7</v>
      </c>
      <c r="D24" s="497">
        <v>1</v>
      </c>
      <c r="E24" s="506">
        <v>242862</v>
      </c>
      <c r="F24" s="340">
        <f t="shared" si="1"/>
        <v>242862</v>
      </c>
      <c r="G24" s="547"/>
    </row>
    <row r="25" spans="1:7" ht="15.95" customHeight="1">
      <c r="A25" s="348" t="s">
        <v>100</v>
      </c>
      <c r="B25" s="354" t="s">
        <v>784</v>
      </c>
      <c r="C25" s="355" t="s">
        <v>7</v>
      </c>
      <c r="D25" s="497">
        <v>4</v>
      </c>
      <c r="E25" s="506">
        <v>331975</v>
      </c>
      <c r="F25" s="340">
        <f t="shared" si="1"/>
        <v>1327900</v>
      </c>
      <c r="G25" s="547"/>
    </row>
    <row r="26" spans="1:7" ht="33">
      <c r="A26" s="348" t="s">
        <v>247</v>
      </c>
      <c r="B26" s="354" t="s">
        <v>48</v>
      </c>
      <c r="C26" s="356" t="s">
        <v>66</v>
      </c>
      <c r="D26" s="497">
        <v>6</v>
      </c>
      <c r="E26" s="506">
        <v>596117</v>
      </c>
      <c r="F26" s="340">
        <f t="shared" si="1"/>
        <v>3576702</v>
      </c>
      <c r="G26" s="547"/>
    </row>
    <row r="27" spans="1:7" ht="33">
      <c r="A27" s="348" t="s">
        <v>101</v>
      </c>
      <c r="B27" s="354" t="s">
        <v>239</v>
      </c>
      <c r="C27" s="356" t="s">
        <v>66</v>
      </c>
      <c r="D27" s="497">
        <v>11.3</v>
      </c>
      <c r="E27" s="506">
        <v>558013</v>
      </c>
      <c r="F27" s="340">
        <f t="shared" si="1"/>
        <v>6305547</v>
      </c>
      <c r="G27" s="547"/>
    </row>
    <row r="28" spans="1:7" ht="33">
      <c r="A28" s="348" t="s">
        <v>102</v>
      </c>
      <c r="B28" s="354" t="s">
        <v>240</v>
      </c>
      <c r="C28" s="356" t="s">
        <v>66</v>
      </c>
      <c r="D28" s="497">
        <v>4</v>
      </c>
      <c r="E28" s="506">
        <v>571440</v>
      </c>
      <c r="F28" s="340">
        <f t="shared" si="1"/>
        <v>2285760</v>
      </c>
      <c r="G28" s="547"/>
    </row>
    <row r="29" spans="1:7" ht="33">
      <c r="A29" s="348" t="s">
        <v>103</v>
      </c>
      <c r="B29" s="357" t="s">
        <v>242</v>
      </c>
      <c r="C29" s="358" t="s">
        <v>65</v>
      </c>
      <c r="D29" s="497">
        <v>295.48</v>
      </c>
      <c r="E29" s="506">
        <v>60274</v>
      </c>
      <c r="F29" s="340">
        <f t="shared" si="1"/>
        <v>17809762</v>
      </c>
      <c r="G29" s="547"/>
    </row>
    <row r="30" spans="1:7" ht="33">
      <c r="A30" s="348" t="s">
        <v>248</v>
      </c>
      <c r="B30" s="357" t="s">
        <v>785</v>
      </c>
      <c r="C30" s="356" t="s">
        <v>8</v>
      </c>
      <c r="D30" s="497">
        <v>64.48</v>
      </c>
      <c r="E30" s="506">
        <v>47789</v>
      </c>
      <c r="F30" s="340">
        <f t="shared" si="1"/>
        <v>3081435</v>
      </c>
      <c r="G30" s="547"/>
    </row>
    <row r="31" spans="1:7" ht="16.5">
      <c r="A31" s="348" t="s">
        <v>104</v>
      </c>
      <c r="B31" s="357" t="s">
        <v>381</v>
      </c>
      <c r="C31" s="358" t="s">
        <v>66</v>
      </c>
      <c r="D31" s="497">
        <v>125</v>
      </c>
      <c r="E31" s="506">
        <v>8912</v>
      </c>
      <c r="F31" s="340">
        <f t="shared" si="1"/>
        <v>1114000</v>
      </c>
      <c r="G31" s="547"/>
    </row>
    <row r="32" spans="1:7" ht="33">
      <c r="A32" s="348" t="s">
        <v>1064</v>
      </c>
      <c r="B32" s="359" t="s">
        <v>330</v>
      </c>
      <c r="C32" s="337" t="s">
        <v>7</v>
      </c>
      <c r="D32" s="496">
        <v>5</v>
      </c>
      <c r="E32" s="506">
        <v>108751</v>
      </c>
      <c r="F32" s="340">
        <f t="shared" si="1"/>
        <v>543755</v>
      </c>
      <c r="G32" s="547"/>
    </row>
    <row r="33" spans="1:7" ht="33">
      <c r="A33" s="348" t="s">
        <v>329</v>
      </c>
      <c r="B33" s="207" t="s">
        <v>1005</v>
      </c>
      <c r="C33" s="338" t="s">
        <v>65</v>
      </c>
      <c r="D33" s="496">
        <v>58.7</v>
      </c>
      <c r="E33" s="506">
        <v>619935</v>
      </c>
      <c r="F33" s="340">
        <f t="shared" si="1"/>
        <v>36390185</v>
      </c>
      <c r="G33" s="547"/>
    </row>
    <row r="34" spans="1:7" ht="33">
      <c r="A34" s="348" t="s">
        <v>1065</v>
      </c>
      <c r="B34" s="207" t="s">
        <v>244</v>
      </c>
      <c r="C34" s="338" t="s">
        <v>7</v>
      </c>
      <c r="D34" s="496">
        <v>34</v>
      </c>
      <c r="E34" s="506">
        <v>114731</v>
      </c>
      <c r="F34" s="340">
        <f t="shared" si="1"/>
        <v>3900854</v>
      </c>
      <c r="G34" s="547"/>
    </row>
    <row r="35" spans="1:7" ht="16.5">
      <c r="A35" s="348" t="s">
        <v>1066</v>
      </c>
      <c r="B35" s="207" t="s">
        <v>245</v>
      </c>
      <c r="C35" s="338" t="s">
        <v>7</v>
      </c>
      <c r="D35" s="496">
        <v>1</v>
      </c>
      <c r="E35" s="506">
        <v>45079</v>
      </c>
      <c r="F35" s="340">
        <f t="shared" si="1"/>
        <v>45079</v>
      </c>
      <c r="G35" s="547"/>
    </row>
    <row r="36" spans="1:7" ht="16.5">
      <c r="A36" s="348" t="s">
        <v>1067</v>
      </c>
      <c r="B36" s="207" t="s">
        <v>51</v>
      </c>
      <c r="C36" s="338" t="s">
        <v>7</v>
      </c>
      <c r="D36" s="496">
        <v>2</v>
      </c>
      <c r="E36" s="506">
        <v>163139</v>
      </c>
      <c r="F36" s="340">
        <f t="shared" si="1"/>
        <v>326278</v>
      </c>
      <c r="G36" s="547"/>
    </row>
    <row r="37" spans="1:7" ht="15.95" customHeight="1">
      <c r="A37" s="348" t="s">
        <v>1068</v>
      </c>
      <c r="B37" s="207" t="s">
        <v>52</v>
      </c>
      <c r="C37" s="338" t="s">
        <v>7</v>
      </c>
      <c r="D37" s="496">
        <v>2</v>
      </c>
      <c r="E37" s="506">
        <v>103389</v>
      </c>
      <c r="F37" s="340">
        <f t="shared" si="1"/>
        <v>206778</v>
      </c>
      <c r="G37" s="547"/>
    </row>
    <row r="38" spans="1:7" ht="66">
      <c r="A38" s="348" t="s">
        <v>1069</v>
      </c>
      <c r="B38" s="359" t="s">
        <v>160</v>
      </c>
      <c r="C38" s="338" t="s">
        <v>7</v>
      </c>
      <c r="D38" s="496">
        <v>2</v>
      </c>
      <c r="E38" s="506">
        <v>799667</v>
      </c>
      <c r="F38" s="340">
        <f t="shared" si="1"/>
        <v>1599334</v>
      </c>
      <c r="G38" s="547"/>
    </row>
    <row r="39" spans="1:7" ht="66">
      <c r="A39" s="348" t="s">
        <v>1070</v>
      </c>
      <c r="B39" s="359" t="s">
        <v>161</v>
      </c>
      <c r="C39" s="337" t="s">
        <v>7</v>
      </c>
      <c r="D39" s="496">
        <v>2</v>
      </c>
      <c r="E39" s="506">
        <v>1342831</v>
      </c>
      <c r="F39" s="340">
        <f t="shared" si="1"/>
        <v>2685662</v>
      </c>
      <c r="G39" s="547"/>
    </row>
    <row r="40" spans="1:7" ht="15.95" customHeight="1">
      <c r="A40" s="348" t="s">
        <v>1071</v>
      </c>
      <c r="B40" s="359" t="s">
        <v>70</v>
      </c>
      <c r="C40" s="361" t="s">
        <v>65</v>
      </c>
      <c r="D40" s="496">
        <v>433.97</v>
      </c>
      <c r="E40" s="506">
        <v>33158</v>
      </c>
      <c r="F40" s="340">
        <f t="shared" si="1"/>
        <v>14389577</v>
      </c>
      <c r="G40" s="547"/>
    </row>
    <row r="41" spans="1:7" ht="33">
      <c r="A41" s="348" t="s">
        <v>1072</v>
      </c>
      <c r="B41" s="362" t="s">
        <v>992</v>
      </c>
      <c r="C41" s="363" t="s">
        <v>8</v>
      </c>
      <c r="D41" s="496">
        <v>6</v>
      </c>
      <c r="E41" s="506">
        <v>5403</v>
      </c>
      <c r="F41" s="340">
        <f t="shared" si="1"/>
        <v>32418</v>
      </c>
      <c r="G41" s="547"/>
    </row>
    <row r="42" spans="1:7" ht="33">
      <c r="A42" s="348" t="s">
        <v>1073</v>
      </c>
      <c r="B42" s="362" t="s">
        <v>994</v>
      </c>
      <c r="C42" s="363" t="s">
        <v>8</v>
      </c>
      <c r="D42" s="496">
        <v>34.86</v>
      </c>
      <c r="E42" s="506">
        <v>26928</v>
      </c>
      <c r="F42" s="340">
        <f t="shared" si="1"/>
        <v>938710</v>
      </c>
      <c r="G42" s="547"/>
    </row>
    <row r="43" spans="1:7" ht="33">
      <c r="A43" s="348" t="s">
        <v>1074</v>
      </c>
      <c r="B43" s="362" t="s">
        <v>993</v>
      </c>
      <c r="C43" s="363" t="s">
        <v>8</v>
      </c>
      <c r="D43" s="496">
        <v>7.75</v>
      </c>
      <c r="E43" s="506">
        <v>10181</v>
      </c>
      <c r="F43" s="340">
        <f t="shared" si="1"/>
        <v>78903</v>
      </c>
      <c r="G43" s="547"/>
    </row>
    <row r="44" spans="1:7" ht="16.5">
      <c r="A44" s="608" t="s">
        <v>1003</v>
      </c>
      <c r="B44" s="609"/>
      <c r="C44" s="609"/>
      <c r="D44" s="609"/>
      <c r="E44" s="610"/>
      <c r="F44" s="490">
        <f>SUM(F14:F43)</f>
        <v>314405398</v>
      </c>
      <c r="G44" s="555"/>
    </row>
    <row r="45" spans="1:7" ht="15.95" customHeight="1">
      <c r="A45" s="476">
        <v>3</v>
      </c>
      <c r="B45" s="576" t="s">
        <v>74</v>
      </c>
      <c r="C45" s="577"/>
      <c r="D45" s="577"/>
      <c r="E45" s="577"/>
      <c r="F45" s="578"/>
      <c r="G45" s="556"/>
    </row>
    <row r="46" spans="1:7" ht="15.95" customHeight="1">
      <c r="A46" s="476" t="s">
        <v>11</v>
      </c>
      <c r="B46" s="334" t="s">
        <v>5</v>
      </c>
      <c r="C46" s="364"/>
      <c r="D46" s="501"/>
      <c r="E46" s="364"/>
      <c r="F46" s="365"/>
      <c r="G46" s="558"/>
    </row>
    <row r="47" spans="1:7" ht="15.95" customHeight="1">
      <c r="A47" s="337" t="s">
        <v>116</v>
      </c>
      <c r="B47" s="207" t="s">
        <v>280</v>
      </c>
      <c r="C47" s="337" t="s">
        <v>66</v>
      </c>
      <c r="D47" s="496">
        <v>369</v>
      </c>
      <c r="E47" s="506">
        <v>8829</v>
      </c>
      <c r="F47" s="340">
        <f t="shared" ref="F47:F67" si="2">ROUND(D47*E47,0)</f>
        <v>3257901</v>
      </c>
      <c r="G47" s="547"/>
    </row>
    <row r="48" spans="1:7" ht="15.95" customHeight="1">
      <c r="A48" s="337" t="s">
        <v>117</v>
      </c>
      <c r="B48" s="207" t="s">
        <v>55</v>
      </c>
      <c r="C48" s="337" t="s">
        <v>66</v>
      </c>
      <c r="D48" s="496">
        <v>369</v>
      </c>
      <c r="E48" s="506">
        <v>16226</v>
      </c>
      <c r="F48" s="340">
        <f t="shared" si="2"/>
        <v>5987394</v>
      </c>
      <c r="G48" s="547"/>
    </row>
    <row r="49" spans="1:7" ht="15.95" customHeight="1">
      <c r="A49" s="337" t="s">
        <v>118</v>
      </c>
      <c r="B49" s="353" t="s">
        <v>69</v>
      </c>
      <c r="C49" s="337" t="s">
        <v>65</v>
      </c>
      <c r="D49" s="496">
        <v>64.400000000000006</v>
      </c>
      <c r="E49" s="506">
        <v>8043</v>
      </c>
      <c r="F49" s="340">
        <f t="shared" si="2"/>
        <v>517969</v>
      </c>
      <c r="G49" s="547"/>
    </row>
    <row r="50" spans="1:7" ht="33">
      <c r="A50" s="337" t="s">
        <v>119</v>
      </c>
      <c r="B50" s="207" t="s">
        <v>277</v>
      </c>
      <c r="C50" s="337" t="s">
        <v>66</v>
      </c>
      <c r="D50" s="496">
        <v>19.3</v>
      </c>
      <c r="E50" s="506">
        <v>38125</v>
      </c>
      <c r="F50" s="340">
        <f t="shared" si="2"/>
        <v>735813</v>
      </c>
      <c r="G50" s="547"/>
    </row>
    <row r="51" spans="1:7" ht="33">
      <c r="A51" s="337" t="s">
        <v>120</v>
      </c>
      <c r="B51" s="353" t="s">
        <v>959</v>
      </c>
      <c r="C51" s="337" t="s">
        <v>65</v>
      </c>
      <c r="D51" s="496">
        <v>67</v>
      </c>
      <c r="E51" s="506">
        <v>4003</v>
      </c>
      <c r="F51" s="340">
        <f t="shared" si="2"/>
        <v>268201</v>
      </c>
      <c r="G51" s="547"/>
    </row>
    <row r="52" spans="1:7" ht="33">
      <c r="A52" s="337" t="s">
        <v>121</v>
      </c>
      <c r="B52" s="207" t="s">
        <v>50</v>
      </c>
      <c r="C52" s="337" t="s">
        <v>65</v>
      </c>
      <c r="D52" s="496">
        <v>3.2</v>
      </c>
      <c r="E52" s="506">
        <v>32850</v>
      </c>
      <c r="F52" s="340">
        <f t="shared" si="2"/>
        <v>105120</v>
      </c>
      <c r="G52" s="547"/>
    </row>
    <row r="53" spans="1:7" ht="49.5">
      <c r="A53" s="337" t="s">
        <v>122</v>
      </c>
      <c r="B53" s="207" t="s">
        <v>79</v>
      </c>
      <c r="C53" s="337" t="s">
        <v>66</v>
      </c>
      <c r="D53" s="496">
        <v>19.3</v>
      </c>
      <c r="E53" s="506">
        <v>671139</v>
      </c>
      <c r="F53" s="340">
        <f t="shared" si="2"/>
        <v>12952983</v>
      </c>
      <c r="G53" s="547"/>
    </row>
    <row r="54" spans="1:7" ht="50.25" customHeight="1">
      <c r="A54" s="337" t="s">
        <v>123</v>
      </c>
      <c r="B54" s="207" t="s">
        <v>80</v>
      </c>
      <c r="C54" s="337" t="s">
        <v>66</v>
      </c>
      <c r="D54" s="496">
        <v>42</v>
      </c>
      <c r="E54" s="506">
        <v>737263</v>
      </c>
      <c r="F54" s="340">
        <f t="shared" si="2"/>
        <v>30965046</v>
      </c>
      <c r="G54" s="547"/>
    </row>
    <row r="55" spans="1:7" ht="33" customHeight="1">
      <c r="A55" s="337" t="s">
        <v>124</v>
      </c>
      <c r="B55" s="207" t="s">
        <v>61</v>
      </c>
      <c r="C55" s="337" t="s">
        <v>6</v>
      </c>
      <c r="D55" s="496">
        <v>6130</v>
      </c>
      <c r="E55" s="506">
        <v>3201</v>
      </c>
      <c r="F55" s="340">
        <f t="shared" si="2"/>
        <v>19622130</v>
      </c>
      <c r="G55" s="547"/>
    </row>
    <row r="56" spans="1:7" ht="33">
      <c r="A56" s="337" t="s">
        <v>1075</v>
      </c>
      <c r="B56" s="207" t="s">
        <v>795</v>
      </c>
      <c r="C56" s="337" t="s">
        <v>8</v>
      </c>
      <c r="D56" s="496">
        <v>27.1</v>
      </c>
      <c r="E56" s="506">
        <v>27799</v>
      </c>
      <c r="F56" s="340">
        <f t="shared" si="2"/>
        <v>753353</v>
      </c>
      <c r="G56" s="547"/>
    </row>
    <row r="57" spans="1:7" ht="33">
      <c r="A57" s="337" t="s">
        <v>1076</v>
      </c>
      <c r="B57" s="207" t="s">
        <v>998</v>
      </c>
      <c r="C57" s="337" t="s">
        <v>65</v>
      </c>
      <c r="D57" s="496">
        <v>9</v>
      </c>
      <c r="E57" s="506">
        <v>1172041</v>
      </c>
      <c r="F57" s="340">
        <f t="shared" si="2"/>
        <v>10548369</v>
      </c>
      <c r="G57" s="547"/>
    </row>
    <row r="58" spans="1:7" ht="30.75" customHeight="1">
      <c r="A58" s="337" t="s">
        <v>1077</v>
      </c>
      <c r="B58" s="207" t="s">
        <v>242</v>
      </c>
      <c r="C58" s="337" t="s">
        <v>65</v>
      </c>
      <c r="D58" s="496">
        <v>81.12</v>
      </c>
      <c r="E58" s="506">
        <v>60274</v>
      </c>
      <c r="F58" s="340">
        <f t="shared" si="2"/>
        <v>4889427</v>
      </c>
      <c r="G58" s="547"/>
    </row>
    <row r="59" spans="1:7" ht="39.75" customHeight="1">
      <c r="A59" s="337" t="s">
        <v>125</v>
      </c>
      <c r="B59" s="204" t="s">
        <v>782</v>
      </c>
      <c r="C59" s="348" t="s">
        <v>8</v>
      </c>
      <c r="D59" s="496">
        <v>31.619999999999997</v>
      </c>
      <c r="E59" s="506">
        <v>47789</v>
      </c>
      <c r="F59" s="340">
        <f t="shared" si="2"/>
        <v>1511088</v>
      </c>
      <c r="G59" s="547"/>
    </row>
    <row r="60" spans="1:7" ht="33">
      <c r="A60" s="337" t="s">
        <v>1078</v>
      </c>
      <c r="B60" s="207" t="s">
        <v>244</v>
      </c>
      <c r="C60" s="337" t="s">
        <v>7</v>
      </c>
      <c r="D60" s="496">
        <v>30</v>
      </c>
      <c r="E60" s="506">
        <v>114731</v>
      </c>
      <c r="F60" s="340">
        <f t="shared" si="2"/>
        <v>3441930</v>
      </c>
      <c r="G60" s="547"/>
    </row>
    <row r="61" spans="1:7" ht="33">
      <c r="A61" s="337" t="s">
        <v>1079</v>
      </c>
      <c r="B61" s="207" t="s">
        <v>1005</v>
      </c>
      <c r="C61" s="337" t="s">
        <v>291</v>
      </c>
      <c r="D61" s="496">
        <v>6.93</v>
      </c>
      <c r="E61" s="506">
        <v>619935</v>
      </c>
      <c r="F61" s="340">
        <f t="shared" si="2"/>
        <v>4296150</v>
      </c>
      <c r="G61" s="547"/>
    </row>
    <row r="62" spans="1:7" ht="16.5">
      <c r="A62" s="337" t="s">
        <v>1080</v>
      </c>
      <c r="B62" s="207" t="s">
        <v>295</v>
      </c>
      <c r="C62" s="337" t="s">
        <v>8</v>
      </c>
      <c r="D62" s="507">
        <v>58.97</v>
      </c>
      <c r="E62" s="506">
        <v>27530</v>
      </c>
      <c r="F62" s="340">
        <f t="shared" si="2"/>
        <v>1623444</v>
      </c>
      <c r="G62" s="547"/>
    </row>
    <row r="63" spans="1:7" ht="16.5">
      <c r="A63" s="337" t="s">
        <v>1081</v>
      </c>
      <c r="B63" s="207" t="s">
        <v>296</v>
      </c>
      <c r="C63" s="337" t="s">
        <v>8</v>
      </c>
      <c r="D63" s="507">
        <v>81.8</v>
      </c>
      <c r="E63" s="506">
        <v>72236</v>
      </c>
      <c r="F63" s="340">
        <f t="shared" si="2"/>
        <v>5908905</v>
      </c>
      <c r="G63" s="547"/>
    </row>
    <row r="64" spans="1:7" ht="16.5">
      <c r="A64" s="337" t="s">
        <v>1082</v>
      </c>
      <c r="B64" s="207" t="s">
        <v>297</v>
      </c>
      <c r="C64" s="337" t="s">
        <v>7</v>
      </c>
      <c r="D64" s="507">
        <v>36</v>
      </c>
      <c r="E64" s="506">
        <v>36289</v>
      </c>
      <c r="F64" s="340">
        <f t="shared" si="2"/>
        <v>1306404</v>
      </c>
      <c r="G64" s="547"/>
    </row>
    <row r="65" spans="1:7" ht="16.5">
      <c r="A65" s="337" t="s">
        <v>126</v>
      </c>
      <c r="B65" s="207" t="s">
        <v>298</v>
      </c>
      <c r="C65" s="337" t="s">
        <v>7</v>
      </c>
      <c r="D65" s="507">
        <v>10</v>
      </c>
      <c r="E65" s="506">
        <v>104776</v>
      </c>
      <c r="F65" s="340">
        <f t="shared" si="2"/>
        <v>1047760</v>
      </c>
      <c r="G65" s="547"/>
    </row>
    <row r="66" spans="1:7" ht="66">
      <c r="A66" s="337" t="s">
        <v>127</v>
      </c>
      <c r="B66" s="370" t="s">
        <v>57</v>
      </c>
      <c r="C66" s="337" t="s">
        <v>8</v>
      </c>
      <c r="D66" s="496">
        <v>16.77</v>
      </c>
      <c r="E66" s="506">
        <v>353016</v>
      </c>
      <c r="F66" s="340">
        <f t="shared" si="2"/>
        <v>5920078</v>
      </c>
      <c r="G66" s="547"/>
    </row>
    <row r="67" spans="1:7" ht="15.95" customHeight="1">
      <c r="A67" s="337" t="s">
        <v>128</v>
      </c>
      <c r="B67" s="359" t="s">
        <v>737</v>
      </c>
      <c r="C67" s="361" t="s">
        <v>65</v>
      </c>
      <c r="D67" s="496">
        <v>64.400000000000006</v>
      </c>
      <c r="E67" s="506">
        <v>33158</v>
      </c>
      <c r="F67" s="340">
        <f t="shared" si="2"/>
        <v>2135375</v>
      </c>
      <c r="G67" s="547"/>
    </row>
    <row r="68" spans="1:7" ht="15.95" customHeight="1">
      <c r="A68" s="608" t="s">
        <v>1003</v>
      </c>
      <c r="B68" s="609"/>
      <c r="C68" s="609"/>
      <c r="D68" s="609"/>
      <c r="E68" s="610"/>
      <c r="F68" s="490">
        <f>SUM(F47:F67)</f>
        <v>117794840</v>
      </c>
      <c r="G68" s="555"/>
    </row>
    <row r="69" spans="1:7" s="341" customFormat="1" ht="15.95" customHeight="1">
      <c r="A69" s="476" t="s">
        <v>175</v>
      </c>
      <c r="B69" s="371" t="s">
        <v>176</v>
      </c>
      <c r="C69" s="476"/>
      <c r="D69" s="502"/>
      <c r="E69" s="476"/>
      <c r="F69" s="476"/>
      <c r="G69" s="559"/>
    </row>
    <row r="70" spans="1:7" s="341" customFormat="1" ht="15.95" customHeight="1">
      <c r="A70" s="337" t="s">
        <v>187</v>
      </c>
      <c r="B70" s="207" t="s">
        <v>280</v>
      </c>
      <c r="C70" s="337" t="s">
        <v>66</v>
      </c>
      <c r="D70" s="508">
        <v>16.8</v>
      </c>
      <c r="E70" s="506">
        <v>8829</v>
      </c>
      <c r="F70" s="340">
        <f t="shared" ref="F70:F88" si="3">ROUND(D70*E70,0)</f>
        <v>148327</v>
      </c>
      <c r="G70" s="547"/>
    </row>
    <row r="71" spans="1:7" s="341" customFormat="1" ht="33">
      <c r="A71" s="337" t="s">
        <v>188</v>
      </c>
      <c r="B71" s="207" t="s">
        <v>277</v>
      </c>
      <c r="C71" s="337" t="s">
        <v>66</v>
      </c>
      <c r="D71" s="509">
        <v>31</v>
      </c>
      <c r="E71" s="506">
        <v>38125</v>
      </c>
      <c r="F71" s="340">
        <f t="shared" si="3"/>
        <v>1181875</v>
      </c>
      <c r="G71" s="547"/>
    </row>
    <row r="72" spans="1:7" s="341" customFormat="1" ht="16.5">
      <c r="A72" s="337" t="s">
        <v>1083</v>
      </c>
      <c r="B72" s="359" t="s">
        <v>1000</v>
      </c>
      <c r="C72" s="337" t="s">
        <v>66</v>
      </c>
      <c r="D72" s="509">
        <v>10.8</v>
      </c>
      <c r="E72" s="506">
        <v>20929</v>
      </c>
      <c r="F72" s="340">
        <f t="shared" si="3"/>
        <v>226033</v>
      </c>
      <c r="G72" s="547"/>
    </row>
    <row r="73" spans="1:7" s="341" customFormat="1" ht="33">
      <c r="A73" s="337" t="s">
        <v>189</v>
      </c>
      <c r="B73" s="207" t="s">
        <v>50</v>
      </c>
      <c r="C73" s="361" t="s">
        <v>65</v>
      </c>
      <c r="D73" s="509">
        <v>9</v>
      </c>
      <c r="E73" s="506">
        <v>32850</v>
      </c>
      <c r="F73" s="340">
        <f t="shared" si="3"/>
        <v>295650</v>
      </c>
      <c r="G73" s="547"/>
    </row>
    <row r="74" spans="1:7" s="341" customFormat="1" ht="16.5">
      <c r="A74" s="337" t="s">
        <v>190</v>
      </c>
      <c r="B74" s="359" t="s">
        <v>1006</v>
      </c>
      <c r="C74" s="337" t="s">
        <v>66</v>
      </c>
      <c r="D74" s="509">
        <v>1.36</v>
      </c>
      <c r="E74" s="506">
        <v>531534</v>
      </c>
      <c r="F74" s="340">
        <f t="shared" si="3"/>
        <v>722886</v>
      </c>
      <c r="G74" s="547"/>
    </row>
    <row r="75" spans="1:7" s="341" customFormat="1" ht="16.5">
      <c r="A75" s="337" t="s">
        <v>191</v>
      </c>
      <c r="B75" s="359" t="s">
        <v>1194</v>
      </c>
      <c r="C75" s="337" t="s">
        <v>66</v>
      </c>
      <c r="D75" s="509">
        <v>1.6</v>
      </c>
      <c r="E75" s="506">
        <v>597315</v>
      </c>
      <c r="F75" s="340">
        <f t="shared" si="3"/>
        <v>955704</v>
      </c>
      <c r="G75" s="547"/>
    </row>
    <row r="76" spans="1:7" s="341" customFormat="1" ht="16.5">
      <c r="A76" s="337" t="s">
        <v>192</v>
      </c>
      <c r="B76" s="359" t="s">
        <v>999</v>
      </c>
      <c r="C76" s="337" t="s">
        <v>66</v>
      </c>
      <c r="D76" s="509">
        <v>1.36</v>
      </c>
      <c r="E76" s="506">
        <v>579815</v>
      </c>
      <c r="F76" s="340">
        <f t="shared" si="3"/>
        <v>788548</v>
      </c>
      <c r="G76" s="547"/>
    </row>
    <row r="77" spans="1:7" s="341" customFormat="1" ht="33">
      <c r="A77" s="337" t="s">
        <v>193</v>
      </c>
      <c r="B77" s="207" t="s">
        <v>61</v>
      </c>
      <c r="C77" s="337" t="s">
        <v>6</v>
      </c>
      <c r="D77" s="509">
        <v>306</v>
      </c>
      <c r="E77" s="506">
        <v>3201</v>
      </c>
      <c r="F77" s="340">
        <f t="shared" si="3"/>
        <v>979506</v>
      </c>
      <c r="G77" s="547"/>
    </row>
    <row r="78" spans="1:7" s="341" customFormat="1" ht="16.5">
      <c r="A78" s="337" t="s">
        <v>194</v>
      </c>
      <c r="B78" s="207" t="s">
        <v>177</v>
      </c>
      <c r="C78" s="361" t="s">
        <v>8</v>
      </c>
      <c r="D78" s="509">
        <v>16</v>
      </c>
      <c r="E78" s="506">
        <v>905</v>
      </c>
      <c r="F78" s="340">
        <f t="shared" si="3"/>
        <v>14480</v>
      </c>
      <c r="G78" s="547"/>
    </row>
    <row r="79" spans="1:7" s="341" customFormat="1" ht="16.5">
      <c r="A79" s="337" t="s">
        <v>195</v>
      </c>
      <c r="B79" s="207" t="s">
        <v>178</v>
      </c>
      <c r="C79" s="361" t="s">
        <v>65</v>
      </c>
      <c r="D79" s="509">
        <v>97.38</v>
      </c>
      <c r="E79" s="506">
        <v>60954</v>
      </c>
      <c r="F79" s="340">
        <f t="shared" si="3"/>
        <v>5935701</v>
      </c>
      <c r="G79" s="547"/>
    </row>
    <row r="80" spans="1:7" s="341" customFormat="1" ht="23.25" customHeight="1">
      <c r="A80" s="337" t="s">
        <v>196</v>
      </c>
      <c r="B80" s="207" t="s">
        <v>179</v>
      </c>
      <c r="C80" s="361" t="s">
        <v>65</v>
      </c>
      <c r="D80" s="509">
        <v>2.56</v>
      </c>
      <c r="E80" s="506">
        <v>75184</v>
      </c>
      <c r="F80" s="340">
        <f t="shared" si="3"/>
        <v>192471</v>
      </c>
      <c r="G80" s="547"/>
    </row>
    <row r="81" spans="1:7" s="341" customFormat="1" ht="33">
      <c r="A81" s="337" t="s">
        <v>1084</v>
      </c>
      <c r="B81" s="359" t="s">
        <v>182</v>
      </c>
      <c r="C81" s="361" t="s">
        <v>65</v>
      </c>
      <c r="D81" s="496">
        <v>45</v>
      </c>
      <c r="E81" s="506">
        <v>39491</v>
      </c>
      <c r="F81" s="340">
        <f t="shared" si="3"/>
        <v>1777095</v>
      </c>
      <c r="G81" s="547"/>
    </row>
    <row r="82" spans="1:7" s="341" customFormat="1" ht="16.5">
      <c r="A82" s="337" t="s">
        <v>197</v>
      </c>
      <c r="B82" s="359" t="s">
        <v>180</v>
      </c>
      <c r="C82" s="361" t="s">
        <v>8</v>
      </c>
      <c r="D82" s="509">
        <v>74</v>
      </c>
      <c r="E82" s="506">
        <v>30748</v>
      </c>
      <c r="F82" s="340">
        <f t="shared" si="3"/>
        <v>2275352</v>
      </c>
      <c r="G82" s="547"/>
    </row>
    <row r="83" spans="1:7" s="341" customFormat="1" ht="33">
      <c r="A83" s="337" t="s">
        <v>198</v>
      </c>
      <c r="B83" s="359" t="s">
        <v>181</v>
      </c>
      <c r="C83" s="361" t="s">
        <v>65</v>
      </c>
      <c r="D83" s="509">
        <v>116</v>
      </c>
      <c r="E83" s="506">
        <v>86583</v>
      </c>
      <c r="F83" s="340">
        <f t="shared" si="3"/>
        <v>10043628</v>
      </c>
      <c r="G83" s="547"/>
    </row>
    <row r="84" spans="1:7" s="341" customFormat="1" ht="16.5">
      <c r="A84" s="337" t="s">
        <v>1085</v>
      </c>
      <c r="B84" s="359" t="s">
        <v>183</v>
      </c>
      <c r="C84" s="361" t="s">
        <v>65</v>
      </c>
      <c r="D84" s="509">
        <v>116</v>
      </c>
      <c r="E84" s="506">
        <v>47098</v>
      </c>
      <c r="F84" s="340">
        <f t="shared" si="3"/>
        <v>5463368</v>
      </c>
      <c r="G84" s="547"/>
    </row>
    <row r="85" spans="1:7" s="341" customFormat="1" ht="15.95" customHeight="1">
      <c r="A85" s="337" t="s">
        <v>199</v>
      </c>
      <c r="B85" s="359" t="s">
        <v>184</v>
      </c>
      <c r="C85" s="361" t="s">
        <v>65</v>
      </c>
      <c r="D85" s="509">
        <v>116</v>
      </c>
      <c r="E85" s="506">
        <v>19670</v>
      </c>
      <c r="F85" s="340">
        <f t="shared" si="3"/>
        <v>2281720</v>
      </c>
      <c r="G85" s="547"/>
    </row>
    <row r="86" spans="1:7" s="341" customFormat="1" ht="15.95" customHeight="1">
      <c r="A86" s="337" t="s">
        <v>200</v>
      </c>
      <c r="B86" s="359" t="s">
        <v>185</v>
      </c>
      <c r="C86" s="361" t="s">
        <v>65</v>
      </c>
      <c r="D86" s="510">
        <v>95.6</v>
      </c>
      <c r="E86" s="506">
        <v>1733</v>
      </c>
      <c r="F86" s="340">
        <f t="shared" si="3"/>
        <v>165675</v>
      </c>
      <c r="G86" s="547"/>
    </row>
    <row r="87" spans="1:7" s="341" customFormat="1" ht="33">
      <c r="A87" s="337" t="s">
        <v>201</v>
      </c>
      <c r="B87" s="359" t="s">
        <v>186</v>
      </c>
      <c r="C87" s="337" t="s">
        <v>7</v>
      </c>
      <c r="D87" s="496">
        <v>1</v>
      </c>
      <c r="E87" s="506">
        <v>1885011</v>
      </c>
      <c r="F87" s="340">
        <f t="shared" si="3"/>
        <v>1885011</v>
      </c>
      <c r="G87" s="547"/>
    </row>
    <row r="88" spans="1:7" ht="49.5">
      <c r="A88" s="337" t="s">
        <v>202</v>
      </c>
      <c r="B88" s="370" t="s">
        <v>791</v>
      </c>
      <c r="C88" s="337" t="s">
        <v>406</v>
      </c>
      <c r="D88" s="496">
        <v>1</v>
      </c>
      <c r="E88" s="506">
        <v>25000000</v>
      </c>
      <c r="F88" s="340">
        <f t="shared" si="3"/>
        <v>25000000</v>
      </c>
      <c r="G88" s="547"/>
    </row>
    <row r="89" spans="1:7" ht="15.95" customHeight="1">
      <c r="A89" s="611" t="s">
        <v>1003</v>
      </c>
      <c r="B89" s="612"/>
      <c r="C89" s="612"/>
      <c r="D89" s="612"/>
      <c r="E89" s="613"/>
      <c r="F89" s="490">
        <f>SUM(F70:F88)</f>
        <v>60333030</v>
      </c>
      <c r="G89" s="555"/>
    </row>
    <row r="90" spans="1:7" ht="15.95" customHeight="1">
      <c r="A90" s="476">
        <v>4</v>
      </c>
      <c r="B90" s="576" t="s">
        <v>16</v>
      </c>
      <c r="C90" s="577"/>
      <c r="D90" s="577"/>
      <c r="E90" s="577"/>
      <c r="F90" s="578"/>
      <c r="G90" s="556"/>
    </row>
    <row r="91" spans="1:7" ht="15.95" customHeight="1">
      <c r="A91" s="476" t="s">
        <v>12</v>
      </c>
      <c r="B91" s="334" t="s">
        <v>5</v>
      </c>
      <c r="C91" s="364"/>
      <c r="D91" s="501"/>
      <c r="E91" s="364"/>
      <c r="F91" s="365"/>
      <c r="G91" s="558"/>
    </row>
    <row r="92" spans="1:7" s="341" customFormat="1" ht="15.95" customHeight="1">
      <c r="A92" s="337" t="s">
        <v>137</v>
      </c>
      <c r="B92" s="207" t="s">
        <v>280</v>
      </c>
      <c r="C92" s="337" t="s">
        <v>66</v>
      </c>
      <c r="D92" s="496">
        <v>1980</v>
      </c>
      <c r="E92" s="506">
        <v>8829</v>
      </c>
      <c r="F92" s="340">
        <f t="shared" ref="F92:F143" si="4">ROUND(D92*E92,0)</f>
        <v>17481420</v>
      </c>
      <c r="G92" s="547"/>
    </row>
    <row r="93" spans="1:7" s="341" customFormat="1" ht="16.5">
      <c r="A93" s="337" t="s">
        <v>138</v>
      </c>
      <c r="B93" s="359" t="s">
        <v>1000</v>
      </c>
      <c r="C93" s="337" t="s">
        <v>66</v>
      </c>
      <c r="D93" s="496">
        <v>83.9</v>
      </c>
      <c r="E93" s="506">
        <v>20929</v>
      </c>
      <c r="F93" s="340">
        <f t="shared" si="4"/>
        <v>1755943</v>
      </c>
      <c r="G93" s="547"/>
    </row>
    <row r="94" spans="1:7" s="341" customFormat="1" ht="15.95" customHeight="1">
      <c r="A94" s="337" t="s">
        <v>139</v>
      </c>
      <c r="B94" s="207" t="s">
        <v>55</v>
      </c>
      <c r="C94" s="337" t="s">
        <v>66</v>
      </c>
      <c r="D94" s="496">
        <v>1980</v>
      </c>
      <c r="E94" s="506">
        <v>16226</v>
      </c>
      <c r="F94" s="340">
        <f t="shared" si="4"/>
        <v>32127480</v>
      </c>
      <c r="G94" s="547"/>
    </row>
    <row r="95" spans="1:7" s="341" customFormat="1" ht="16.5">
      <c r="A95" s="337" t="s">
        <v>140</v>
      </c>
      <c r="B95" s="353" t="s">
        <v>69</v>
      </c>
      <c r="C95" s="337" t="s">
        <v>65</v>
      </c>
      <c r="D95" s="496">
        <v>396</v>
      </c>
      <c r="E95" s="506">
        <v>8043</v>
      </c>
      <c r="F95" s="340">
        <f t="shared" si="4"/>
        <v>3185028</v>
      </c>
      <c r="G95" s="547"/>
    </row>
    <row r="96" spans="1:7" s="341" customFormat="1" ht="33">
      <c r="A96" s="337" t="s">
        <v>141</v>
      </c>
      <c r="B96" s="370" t="s">
        <v>278</v>
      </c>
      <c r="C96" s="337" t="s">
        <v>66</v>
      </c>
      <c r="D96" s="496">
        <v>118.8</v>
      </c>
      <c r="E96" s="506">
        <v>38125</v>
      </c>
      <c r="F96" s="340">
        <f t="shared" si="4"/>
        <v>4529250</v>
      </c>
      <c r="G96" s="547"/>
    </row>
    <row r="97" spans="1:7" s="341" customFormat="1" ht="33">
      <c r="A97" s="337" t="s">
        <v>142</v>
      </c>
      <c r="B97" s="353" t="s">
        <v>959</v>
      </c>
      <c r="C97" s="348" t="s">
        <v>65</v>
      </c>
      <c r="D97" s="497">
        <v>398.6</v>
      </c>
      <c r="E97" s="506">
        <v>4003</v>
      </c>
      <c r="F97" s="340">
        <f t="shared" si="4"/>
        <v>1595596</v>
      </c>
      <c r="G97" s="547"/>
    </row>
    <row r="98" spans="1:7" s="341" customFormat="1" ht="33">
      <c r="A98" s="337" t="s">
        <v>143</v>
      </c>
      <c r="B98" s="207" t="s">
        <v>50</v>
      </c>
      <c r="C98" s="337" t="s">
        <v>66</v>
      </c>
      <c r="D98" s="496">
        <v>19.8</v>
      </c>
      <c r="E98" s="506">
        <v>32850</v>
      </c>
      <c r="F98" s="340">
        <f t="shared" si="4"/>
        <v>650430</v>
      </c>
      <c r="G98" s="547"/>
    </row>
    <row r="99" spans="1:7" s="341" customFormat="1" ht="49.5">
      <c r="A99" s="337" t="s">
        <v>144</v>
      </c>
      <c r="B99" s="207" t="s">
        <v>79</v>
      </c>
      <c r="C99" s="337" t="s">
        <v>66</v>
      </c>
      <c r="D99" s="496">
        <v>316.8</v>
      </c>
      <c r="E99" s="506">
        <v>671139</v>
      </c>
      <c r="F99" s="340">
        <f t="shared" si="4"/>
        <v>212616835</v>
      </c>
      <c r="G99" s="547"/>
    </row>
    <row r="100" spans="1:7" s="341" customFormat="1" ht="49.5">
      <c r="A100" s="337" t="s">
        <v>1086</v>
      </c>
      <c r="B100" s="207" t="s">
        <v>236</v>
      </c>
      <c r="C100" s="337" t="s">
        <v>66</v>
      </c>
      <c r="D100" s="496">
        <v>1162.3499999999999</v>
      </c>
      <c r="E100" s="506">
        <v>737263</v>
      </c>
      <c r="F100" s="340">
        <f t="shared" si="4"/>
        <v>856957648</v>
      </c>
      <c r="G100" s="547"/>
    </row>
    <row r="101" spans="1:7" s="341" customFormat="1" ht="33">
      <c r="A101" s="337" t="s">
        <v>145</v>
      </c>
      <c r="B101" s="207" t="s">
        <v>61</v>
      </c>
      <c r="C101" s="337" t="s">
        <v>6</v>
      </c>
      <c r="D101" s="496">
        <v>177480</v>
      </c>
      <c r="E101" s="506">
        <v>3201</v>
      </c>
      <c r="F101" s="340">
        <f t="shared" si="4"/>
        <v>568113480</v>
      </c>
      <c r="G101" s="547"/>
    </row>
    <row r="102" spans="1:7" s="341" customFormat="1" ht="33">
      <c r="A102" s="337" t="s">
        <v>1087</v>
      </c>
      <c r="B102" s="207" t="s">
        <v>960</v>
      </c>
      <c r="C102" s="337" t="s">
        <v>8</v>
      </c>
      <c r="D102" s="496">
        <v>220</v>
      </c>
      <c r="E102" s="506">
        <v>43676</v>
      </c>
      <c r="F102" s="340">
        <f t="shared" si="4"/>
        <v>9608720</v>
      </c>
      <c r="G102" s="547"/>
    </row>
    <row r="103" spans="1:7" s="341" customFormat="1" ht="33">
      <c r="A103" s="337" t="s">
        <v>146</v>
      </c>
      <c r="B103" s="370" t="s">
        <v>242</v>
      </c>
      <c r="C103" s="337" t="s">
        <v>65</v>
      </c>
      <c r="D103" s="496">
        <v>353.35</v>
      </c>
      <c r="E103" s="506">
        <v>60274</v>
      </c>
      <c r="F103" s="340">
        <f t="shared" si="4"/>
        <v>21297818</v>
      </c>
      <c r="G103" s="547"/>
    </row>
    <row r="104" spans="1:7" s="341" customFormat="1" ht="15.95" customHeight="1">
      <c r="A104" s="337" t="s">
        <v>147</v>
      </c>
      <c r="B104" s="204" t="s">
        <v>782</v>
      </c>
      <c r="C104" s="348" t="s">
        <v>8</v>
      </c>
      <c r="D104" s="497">
        <v>38.5</v>
      </c>
      <c r="E104" s="506">
        <v>47789</v>
      </c>
      <c r="F104" s="340">
        <f t="shared" si="4"/>
        <v>1839877</v>
      </c>
      <c r="G104" s="547"/>
    </row>
    <row r="105" spans="1:7" s="341" customFormat="1" ht="66">
      <c r="A105" s="337" t="s">
        <v>148</v>
      </c>
      <c r="B105" s="370" t="s">
        <v>58</v>
      </c>
      <c r="C105" s="337" t="s">
        <v>8</v>
      </c>
      <c r="D105" s="496">
        <v>93.35</v>
      </c>
      <c r="E105" s="506">
        <v>353016</v>
      </c>
      <c r="F105" s="340">
        <f t="shared" si="4"/>
        <v>32954044</v>
      </c>
      <c r="G105" s="547"/>
    </row>
    <row r="106" spans="1:7" s="341" customFormat="1" ht="15.95" customHeight="1">
      <c r="A106" s="337" t="s">
        <v>1088</v>
      </c>
      <c r="B106" s="354" t="s">
        <v>71</v>
      </c>
      <c r="C106" s="348" t="s">
        <v>44</v>
      </c>
      <c r="D106" s="497">
        <v>1</v>
      </c>
      <c r="E106" s="567">
        <v>12000000</v>
      </c>
      <c r="F106" s="340">
        <f t="shared" si="4"/>
        <v>12000000</v>
      </c>
      <c r="G106" s="547"/>
    </row>
    <row r="107" spans="1:7" s="341" customFormat="1" ht="49.5">
      <c r="A107" s="337" t="s">
        <v>1089</v>
      </c>
      <c r="B107" s="359" t="s">
        <v>961</v>
      </c>
      <c r="C107" s="337" t="s">
        <v>7</v>
      </c>
      <c r="D107" s="496">
        <v>4</v>
      </c>
      <c r="E107" s="506">
        <v>2372089</v>
      </c>
      <c r="F107" s="340">
        <f t="shared" si="4"/>
        <v>9488356</v>
      </c>
      <c r="G107" s="547"/>
    </row>
    <row r="108" spans="1:7" s="341" customFormat="1" ht="33">
      <c r="A108" s="337" t="s">
        <v>149</v>
      </c>
      <c r="B108" s="362" t="s">
        <v>962</v>
      </c>
      <c r="C108" s="337" t="s">
        <v>7</v>
      </c>
      <c r="D108" s="496">
        <v>1</v>
      </c>
      <c r="E108" s="506">
        <v>854696</v>
      </c>
      <c r="F108" s="340">
        <f t="shared" si="4"/>
        <v>854696</v>
      </c>
      <c r="G108" s="547"/>
    </row>
    <row r="109" spans="1:7" s="341" customFormat="1" ht="49.5">
      <c r="A109" s="337" t="s">
        <v>1090</v>
      </c>
      <c r="B109" s="359" t="s">
        <v>1007</v>
      </c>
      <c r="C109" s="337" t="s">
        <v>7</v>
      </c>
      <c r="D109" s="496">
        <v>4</v>
      </c>
      <c r="E109" s="506">
        <v>762533</v>
      </c>
      <c r="F109" s="340">
        <f t="shared" si="4"/>
        <v>3050132</v>
      </c>
      <c r="G109" s="547"/>
    </row>
    <row r="110" spans="1:7" s="341" customFormat="1" ht="33">
      <c r="A110" s="337" t="s">
        <v>1091</v>
      </c>
      <c r="B110" s="377" t="s">
        <v>963</v>
      </c>
      <c r="C110" s="378" t="s">
        <v>7</v>
      </c>
      <c r="D110" s="511">
        <v>24</v>
      </c>
      <c r="E110" s="506">
        <v>569260</v>
      </c>
      <c r="F110" s="340">
        <f t="shared" si="4"/>
        <v>13662240</v>
      </c>
      <c r="G110" s="547"/>
    </row>
    <row r="111" spans="1:7" s="341" customFormat="1" ht="33">
      <c r="A111" s="337" t="s">
        <v>203</v>
      </c>
      <c r="B111" s="359" t="s">
        <v>964</v>
      </c>
      <c r="C111" s="337" t="s">
        <v>7</v>
      </c>
      <c r="D111" s="496">
        <v>1</v>
      </c>
      <c r="E111" s="506">
        <v>129675</v>
      </c>
      <c r="F111" s="340">
        <f t="shared" si="4"/>
        <v>129675</v>
      </c>
      <c r="G111" s="547"/>
    </row>
    <row r="112" spans="1:7" s="341" customFormat="1" ht="33">
      <c r="A112" s="337" t="s">
        <v>204</v>
      </c>
      <c r="B112" s="359" t="s">
        <v>1005</v>
      </c>
      <c r="C112" s="337" t="s">
        <v>65</v>
      </c>
      <c r="D112" s="496">
        <v>5.75</v>
      </c>
      <c r="E112" s="506">
        <v>619935</v>
      </c>
      <c r="F112" s="340">
        <f t="shared" si="4"/>
        <v>3564626</v>
      </c>
      <c r="G112" s="547"/>
    </row>
    <row r="113" spans="1:7" s="341" customFormat="1" ht="16.5">
      <c r="A113" s="337" t="s">
        <v>206</v>
      </c>
      <c r="B113" s="359" t="s">
        <v>1058</v>
      </c>
      <c r="C113" s="337" t="s">
        <v>7</v>
      </c>
      <c r="D113" s="496">
        <v>1</v>
      </c>
      <c r="E113" s="506">
        <v>11333390</v>
      </c>
      <c r="F113" s="340">
        <f t="shared" si="4"/>
        <v>11333390</v>
      </c>
      <c r="G113" s="547"/>
    </row>
    <row r="114" spans="1:7" s="341" customFormat="1" ht="16.5">
      <c r="A114" s="337" t="s">
        <v>210</v>
      </c>
      <c r="B114" s="207" t="s">
        <v>302</v>
      </c>
      <c r="C114" s="382" t="s">
        <v>8</v>
      </c>
      <c r="D114" s="496">
        <v>145.25</v>
      </c>
      <c r="E114" s="506">
        <v>27530</v>
      </c>
      <c r="F114" s="340">
        <f t="shared" si="4"/>
        <v>3998733</v>
      </c>
      <c r="G114" s="547"/>
    </row>
    <row r="115" spans="1:7" s="341" customFormat="1" ht="16.5">
      <c r="A115" s="337" t="s">
        <v>331</v>
      </c>
      <c r="B115" s="207" t="s">
        <v>303</v>
      </c>
      <c r="C115" s="382" t="s">
        <v>8</v>
      </c>
      <c r="D115" s="496">
        <v>70.25</v>
      </c>
      <c r="E115" s="506">
        <v>45846</v>
      </c>
      <c r="F115" s="340">
        <f t="shared" si="4"/>
        <v>3220682</v>
      </c>
      <c r="G115" s="547"/>
    </row>
    <row r="116" spans="1:7" s="341" customFormat="1" ht="16.5">
      <c r="A116" s="337" t="s">
        <v>1092</v>
      </c>
      <c r="B116" s="207" t="s">
        <v>313</v>
      </c>
      <c r="C116" s="382" t="s">
        <v>8</v>
      </c>
      <c r="D116" s="496">
        <v>137.5</v>
      </c>
      <c r="E116" s="506">
        <v>64958</v>
      </c>
      <c r="F116" s="340">
        <f t="shared" si="4"/>
        <v>8931725</v>
      </c>
      <c r="G116" s="547"/>
    </row>
    <row r="117" spans="1:7" s="341" customFormat="1" ht="24.95" customHeight="1">
      <c r="A117" s="337" t="s">
        <v>1093</v>
      </c>
      <c r="B117" s="207" t="s">
        <v>304</v>
      </c>
      <c r="C117" s="382" t="s">
        <v>7</v>
      </c>
      <c r="D117" s="496">
        <v>24</v>
      </c>
      <c r="E117" s="506">
        <v>36289</v>
      </c>
      <c r="F117" s="340">
        <f t="shared" si="4"/>
        <v>870936</v>
      </c>
      <c r="G117" s="547"/>
    </row>
    <row r="118" spans="1:7" s="341" customFormat="1" ht="16.5">
      <c r="A118" s="337" t="s">
        <v>1094</v>
      </c>
      <c r="B118" s="207" t="s">
        <v>305</v>
      </c>
      <c r="C118" s="382" t="s">
        <v>7</v>
      </c>
      <c r="D118" s="496">
        <v>11</v>
      </c>
      <c r="E118" s="506">
        <v>64958</v>
      </c>
      <c r="F118" s="340">
        <f t="shared" si="4"/>
        <v>714538</v>
      </c>
      <c r="G118" s="547"/>
    </row>
    <row r="119" spans="1:7" s="341" customFormat="1" ht="16.5">
      <c r="A119" s="337" t="s">
        <v>1095</v>
      </c>
      <c r="B119" s="207" t="s">
        <v>374</v>
      </c>
      <c r="C119" s="382" t="s">
        <v>7</v>
      </c>
      <c r="D119" s="496">
        <v>12</v>
      </c>
      <c r="E119" s="506">
        <v>88849</v>
      </c>
      <c r="F119" s="340">
        <f t="shared" si="4"/>
        <v>1066188</v>
      </c>
      <c r="G119" s="547"/>
    </row>
    <row r="120" spans="1:7" s="341" customFormat="1" ht="33">
      <c r="A120" s="337" t="s">
        <v>1096</v>
      </c>
      <c r="B120" s="204" t="s">
        <v>792</v>
      </c>
      <c r="C120" s="382" t="s">
        <v>7</v>
      </c>
      <c r="D120" s="496">
        <v>16</v>
      </c>
      <c r="E120" s="506">
        <v>82472</v>
      </c>
      <c r="F120" s="340">
        <f t="shared" si="4"/>
        <v>1319552</v>
      </c>
      <c r="G120" s="547"/>
    </row>
    <row r="121" spans="1:7" s="341" customFormat="1" ht="49.5">
      <c r="A121" s="337" t="s">
        <v>1097</v>
      </c>
      <c r="B121" s="204" t="s">
        <v>793</v>
      </c>
      <c r="C121" s="382" t="s">
        <v>7</v>
      </c>
      <c r="D121" s="496">
        <v>14</v>
      </c>
      <c r="E121" s="506">
        <v>135452</v>
      </c>
      <c r="F121" s="340">
        <f t="shared" si="4"/>
        <v>1896328</v>
      </c>
      <c r="G121" s="547"/>
    </row>
    <row r="122" spans="1:7" s="341" customFormat="1" ht="66">
      <c r="A122" s="337" t="s">
        <v>1098</v>
      </c>
      <c r="B122" s="204" t="s">
        <v>170</v>
      </c>
      <c r="C122" s="382" t="s">
        <v>8</v>
      </c>
      <c r="D122" s="496">
        <v>169.8</v>
      </c>
      <c r="E122" s="506">
        <v>218003</v>
      </c>
      <c r="F122" s="340">
        <f t="shared" si="4"/>
        <v>37016909</v>
      </c>
      <c r="G122" s="547"/>
    </row>
    <row r="123" spans="1:7" s="341" customFormat="1" ht="81.95" customHeight="1">
      <c r="A123" s="337" t="s">
        <v>1099</v>
      </c>
      <c r="B123" s="204" t="s">
        <v>171</v>
      </c>
      <c r="C123" s="382" t="s">
        <v>8</v>
      </c>
      <c r="D123" s="496">
        <v>248.65</v>
      </c>
      <c r="E123" s="506">
        <v>201462</v>
      </c>
      <c r="F123" s="340">
        <f t="shared" si="4"/>
        <v>50093526</v>
      </c>
      <c r="G123" s="547"/>
    </row>
    <row r="124" spans="1:7" s="341" customFormat="1" ht="66">
      <c r="A124" s="337" t="s">
        <v>1100</v>
      </c>
      <c r="B124" s="204" t="s">
        <v>59</v>
      </c>
      <c r="C124" s="382" t="s">
        <v>7</v>
      </c>
      <c r="D124" s="496">
        <v>48</v>
      </c>
      <c r="E124" s="506">
        <v>7659020</v>
      </c>
      <c r="F124" s="340">
        <f t="shared" si="4"/>
        <v>367632960</v>
      </c>
      <c r="G124" s="547"/>
    </row>
    <row r="125" spans="1:7" s="341" customFormat="1" ht="99">
      <c r="A125" s="337" t="s">
        <v>1101</v>
      </c>
      <c r="B125" s="204" t="s">
        <v>172</v>
      </c>
      <c r="C125" s="382" t="s">
        <v>7</v>
      </c>
      <c r="D125" s="496">
        <v>24</v>
      </c>
      <c r="E125" s="506">
        <v>2719932</v>
      </c>
      <c r="F125" s="340">
        <f t="shared" si="4"/>
        <v>65278368</v>
      </c>
      <c r="G125" s="547"/>
    </row>
    <row r="126" spans="1:7" s="341" customFormat="1" ht="66">
      <c r="A126" s="337" t="s">
        <v>1102</v>
      </c>
      <c r="B126" s="204" t="s">
        <v>377</v>
      </c>
      <c r="C126" s="382" t="s">
        <v>7</v>
      </c>
      <c r="D126" s="496">
        <v>48</v>
      </c>
      <c r="E126" s="506">
        <v>4545740</v>
      </c>
      <c r="F126" s="340">
        <f t="shared" si="4"/>
        <v>218195520</v>
      </c>
      <c r="G126" s="547"/>
    </row>
    <row r="127" spans="1:7" s="341" customFormat="1" ht="65.099999999999994" customHeight="1">
      <c r="A127" s="337" t="s">
        <v>1103</v>
      </c>
      <c r="B127" s="204" t="s">
        <v>794</v>
      </c>
      <c r="C127" s="382" t="s">
        <v>7</v>
      </c>
      <c r="D127" s="496">
        <v>48</v>
      </c>
      <c r="E127" s="506">
        <v>4128140</v>
      </c>
      <c r="F127" s="340">
        <f t="shared" si="4"/>
        <v>198150720</v>
      </c>
      <c r="G127" s="547"/>
    </row>
    <row r="128" spans="1:7" s="341" customFormat="1" ht="16.5">
      <c r="A128" s="337" t="s">
        <v>1104</v>
      </c>
      <c r="B128" s="204" t="s">
        <v>173</v>
      </c>
      <c r="C128" s="348" t="s">
        <v>7</v>
      </c>
      <c r="D128" s="497">
        <v>192</v>
      </c>
      <c r="E128" s="506">
        <v>33608</v>
      </c>
      <c r="F128" s="340">
        <f t="shared" si="4"/>
        <v>6452736</v>
      </c>
      <c r="G128" s="547"/>
    </row>
    <row r="129" spans="1:7" s="341" customFormat="1" ht="16.5">
      <c r="A129" s="337" t="s">
        <v>1105</v>
      </c>
      <c r="B129" s="204" t="s">
        <v>362</v>
      </c>
      <c r="C129" s="348" t="s">
        <v>7</v>
      </c>
      <c r="D129" s="497">
        <v>5</v>
      </c>
      <c r="E129" s="506">
        <v>121279</v>
      </c>
      <c r="F129" s="340">
        <f t="shared" si="4"/>
        <v>606395</v>
      </c>
      <c r="G129" s="547"/>
    </row>
    <row r="130" spans="1:7" s="341" customFormat="1" ht="15.95" customHeight="1">
      <c r="A130" s="337" t="s">
        <v>1106</v>
      </c>
      <c r="B130" s="359" t="s">
        <v>737</v>
      </c>
      <c r="C130" s="361" t="s">
        <v>65</v>
      </c>
      <c r="D130" s="496">
        <v>792</v>
      </c>
      <c r="E130" s="506">
        <v>33158</v>
      </c>
      <c r="F130" s="340">
        <f t="shared" si="4"/>
        <v>26261136</v>
      </c>
      <c r="G130" s="547"/>
    </row>
    <row r="131" spans="1:7" s="383" customFormat="1" ht="15.95" customHeight="1">
      <c r="A131" s="337" t="s">
        <v>1107</v>
      </c>
      <c r="B131" s="359" t="s">
        <v>965</v>
      </c>
      <c r="C131" s="382" t="s">
        <v>7</v>
      </c>
      <c r="D131" s="497">
        <v>2</v>
      </c>
      <c r="E131" s="506">
        <v>8648</v>
      </c>
      <c r="F131" s="340">
        <f t="shared" si="4"/>
        <v>17296</v>
      </c>
      <c r="G131" s="547"/>
    </row>
    <row r="132" spans="1:7" s="341" customFormat="1" ht="15.95" customHeight="1">
      <c r="A132" s="337" t="s">
        <v>1108</v>
      </c>
      <c r="B132" s="359" t="s">
        <v>966</v>
      </c>
      <c r="C132" s="361" t="s">
        <v>7</v>
      </c>
      <c r="D132" s="496">
        <v>66</v>
      </c>
      <c r="E132" s="506">
        <v>7746</v>
      </c>
      <c r="F132" s="340">
        <f t="shared" si="4"/>
        <v>511236</v>
      </c>
      <c r="G132" s="547"/>
    </row>
    <row r="133" spans="1:7" s="341" customFormat="1" ht="15.95" customHeight="1">
      <c r="A133" s="337" t="s">
        <v>1109</v>
      </c>
      <c r="B133" s="359" t="s">
        <v>967</v>
      </c>
      <c r="C133" s="361" t="s">
        <v>7</v>
      </c>
      <c r="D133" s="496">
        <v>6</v>
      </c>
      <c r="E133" s="506">
        <v>13196</v>
      </c>
      <c r="F133" s="340">
        <f t="shared" si="4"/>
        <v>79176</v>
      </c>
      <c r="G133" s="547"/>
    </row>
    <row r="134" spans="1:7" s="341" customFormat="1" ht="15.95" customHeight="1">
      <c r="A134" s="337" t="s">
        <v>1110</v>
      </c>
      <c r="B134" s="359" t="s">
        <v>968</v>
      </c>
      <c r="C134" s="361" t="s">
        <v>7</v>
      </c>
      <c r="D134" s="496">
        <v>47</v>
      </c>
      <c r="E134" s="506">
        <v>8324</v>
      </c>
      <c r="F134" s="340">
        <f t="shared" si="4"/>
        <v>391228</v>
      </c>
      <c r="G134" s="547"/>
    </row>
    <row r="135" spans="1:7" s="341" customFormat="1" ht="15.95" customHeight="1">
      <c r="A135" s="337" t="s">
        <v>1111</v>
      </c>
      <c r="B135" s="359" t="s">
        <v>969</v>
      </c>
      <c r="C135" s="361" t="s">
        <v>7</v>
      </c>
      <c r="D135" s="496">
        <v>2</v>
      </c>
      <c r="E135" s="506">
        <v>14421</v>
      </c>
      <c r="F135" s="340">
        <f t="shared" si="4"/>
        <v>28842</v>
      </c>
      <c r="G135" s="547"/>
    </row>
    <row r="136" spans="1:7" s="341" customFormat="1" ht="16.5">
      <c r="A136" s="337" t="s">
        <v>1112</v>
      </c>
      <c r="B136" s="359" t="s">
        <v>970</v>
      </c>
      <c r="C136" s="361" t="s">
        <v>7</v>
      </c>
      <c r="D136" s="496">
        <v>48</v>
      </c>
      <c r="E136" s="506">
        <v>9344</v>
      </c>
      <c r="F136" s="340">
        <f t="shared" si="4"/>
        <v>448512</v>
      </c>
      <c r="G136" s="547"/>
    </row>
    <row r="137" spans="1:7" s="341" customFormat="1" ht="16.5">
      <c r="A137" s="337" t="s">
        <v>1113</v>
      </c>
      <c r="B137" s="204" t="s">
        <v>971</v>
      </c>
      <c r="C137" s="337" t="s">
        <v>7</v>
      </c>
      <c r="D137" s="496">
        <v>2</v>
      </c>
      <c r="E137" s="506">
        <v>49249</v>
      </c>
      <c r="F137" s="340">
        <f t="shared" si="4"/>
        <v>98498</v>
      </c>
      <c r="G137" s="547"/>
    </row>
    <row r="138" spans="1:7" s="341" customFormat="1" ht="16.5">
      <c r="A138" s="337" t="s">
        <v>1114</v>
      </c>
      <c r="B138" s="359" t="s">
        <v>972</v>
      </c>
      <c r="C138" s="337" t="s">
        <v>7</v>
      </c>
      <c r="D138" s="496">
        <v>10</v>
      </c>
      <c r="E138" s="506">
        <v>16158</v>
      </c>
      <c r="F138" s="340">
        <f t="shared" si="4"/>
        <v>161580</v>
      </c>
      <c r="G138" s="547"/>
    </row>
    <row r="139" spans="1:7" s="341" customFormat="1" ht="15.95" customHeight="1">
      <c r="A139" s="337" t="s">
        <v>1115</v>
      </c>
      <c r="B139" s="204" t="s">
        <v>973</v>
      </c>
      <c r="C139" s="382" t="s">
        <v>7</v>
      </c>
      <c r="D139" s="496">
        <v>4</v>
      </c>
      <c r="E139" s="506">
        <v>242862</v>
      </c>
      <c r="F139" s="340">
        <f t="shared" si="4"/>
        <v>971448</v>
      </c>
      <c r="G139" s="547"/>
    </row>
    <row r="140" spans="1:7" s="341" customFormat="1" ht="16.5">
      <c r="A140" s="337" t="s">
        <v>1116</v>
      </c>
      <c r="B140" s="359" t="s">
        <v>974</v>
      </c>
      <c r="C140" s="337" t="s">
        <v>7</v>
      </c>
      <c r="D140" s="496">
        <v>5</v>
      </c>
      <c r="E140" s="506">
        <v>50502</v>
      </c>
      <c r="F140" s="340">
        <f t="shared" si="4"/>
        <v>252510</v>
      </c>
      <c r="G140" s="547"/>
    </row>
    <row r="141" spans="1:7" s="341" customFormat="1" ht="49.5">
      <c r="A141" s="337" t="s">
        <v>1117</v>
      </c>
      <c r="B141" s="204" t="s">
        <v>975</v>
      </c>
      <c r="C141" s="382" t="s">
        <v>8</v>
      </c>
      <c r="D141" s="497">
        <v>263.97000000000003</v>
      </c>
      <c r="E141" s="506">
        <v>13596</v>
      </c>
      <c r="F141" s="340">
        <f t="shared" si="4"/>
        <v>3588936</v>
      </c>
      <c r="G141" s="547"/>
    </row>
    <row r="142" spans="1:7" s="341" customFormat="1" ht="49.5">
      <c r="A142" s="337" t="s">
        <v>1118</v>
      </c>
      <c r="B142" s="204" t="s">
        <v>976</v>
      </c>
      <c r="C142" s="382" t="s">
        <v>8</v>
      </c>
      <c r="D142" s="497">
        <v>12.97</v>
      </c>
      <c r="E142" s="506">
        <v>50661</v>
      </c>
      <c r="F142" s="340">
        <f t="shared" si="4"/>
        <v>657073</v>
      </c>
      <c r="G142" s="547"/>
    </row>
    <row r="143" spans="1:7" s="341" customFormat="1" ht="33">
      <c r="A143" s="337" t="s">
        <v>1119</v>
      </c>
      <c r="B143" s="370" t="s">
        <v>977</v>
      </c>
      <c r="C143" s="382" t="s">
        <v>8</v>
      </c>
      <c r="D143" s="497">
        <v>20.38</v>
      </c>
      <c r="E143" s="506">
        <v>88123</v>
      </c>
      <c r="F143" s="340">
        <f t="shared" si="4"/>
        <v>1795947</v>
      </c>
      <c r="G143" s="547"/>
    </row>
    <row r="144" spans="1:7" s="341" customFormat="1" ht="15.95" customHeight="1">
      <c r="A144" s="611" t="s">
        <v>1003</v>
      </c>
      <c r="B144" s="612"/>
      <c r="C144" s="612"/>
      <c r="D144" s="612"/>
      <c r="E144" s="613"/>
      <c r="F144" s="490">
        <f>SUM(F92:F143)</f>
        <v>2819505918</v>
      </c>
      <c r="G144" s="555"/>
    </row>
    <row r="145" spans="1:7" ht="15.95" customHeight="1">
      <c r="A145" s="476">
        <v>5</v>
      </c>
      <c r="B145" s="576" t="s">
        <v>1651</v>
      </c>
      <c r="C145" s="577"/>
      <c r="D145" s="577"/>
      <c r="E145" s="577"/>
      <c r="F145" s="578"/>
      <c r="G145" s="556"/>
    </row>
    <row r="146" spans="1:7" ht="15.95" customHeight="1">
      <c r="A146" s="476" t="s">
        <v>1220</v>
      </c>
      <c r="B146" s="334" t="s">
        <v>5</v>
      </c>
      <c r="C146" s="364"/>
      <c r="D146" s="501"/>
      <c r="E146" s="364"/>
      <c r="F146" s="365"/>
      <c r="G146" s="558"/>
    </row>
    <row r="147" spans="1:7" ht="15.95" customHeight="1">
      <c r="A147" s="337" t="s">
        <v>1221</v>
      </c>
      <c r="B147" s="207" t="s">
        <v>280</v>
      </c>
      <c r="C147" s="337" t="s">
        <v>66</v>
      </c>
      <c r="D147" s="496">
        <v>606.5</v>
      </c>
      <c r="E147" s="506">
        <v>8829</v>
      </c>
      <c r="F147" s="340">
        <f t="shared" ref="F147:F171" si="5">ROUND(D147*E147,0)</f>
        <v>5354789</v>
      </c>
      <c r="G147" s="547"/>
    </row>
    <row r="148" spans="1:7" ht="15.95" customHeight="1">
      <c r="A148" s="337" t="s">
        <v>1222</v>
      </c>
      <c r="B148" s="207" t="s">
        <v>55</v>
      </c>
      <c r="C148" s="337" t="s">
        <v>66</v>
      </c>
      <c r="D148" s="496">
        <v>606.5</v>
      </c>
      <c r="E148" s="506">
        <v>16226</v>
      </c>
      <c r="F148" s="340">
        <f t="shared" si="5"/>
        <v>9841069</v>
      </c>
      <c r="G148" s="547"/>
    </row>
    <row r="149" spans="1:7" ht="16.5">
      <c r="A149" s="337" t="s">
        <v>1223</v>
      </c>
      <c r="B149" s="353" t="s">
        <v>69</v>
      </c>
      <c r="C149" s="337" t="s">
        <v>65</v>
      </c>
      <c r="D149" s="496">
        <v>178.5</v>
      </c>
      <c r="E149" s="506">
        <v>8043</v>
      </c>
      <c r="F149" s="340">
        <f t="shared" si="5"/>
        <v>1435676</v>
      </c>
      <c r="G149" s="547"/>
    </row>
    <row r="150" spans="1:7" ht="33">
      <c r="A150" s="337" t="s">
        <v>1224</v>
      </c>
      <c r="B150" s="207" t="s">
        <v>276</v>
      </c>
      <c r="C150" s="337" t="s">
        <v>66</v>
      </c>
      <c r="D150" s="496">
        <v>53.55</v>
      </c>
      <c r="E150" s="506">
        <v>38125</v>
      </c>
      <c r="F150" s="340">
        <f t="shared" si="5"/>
        <v>2041594</v>
      </c>
      <c r="G150" s="547"/>
    </row>
    <row r="151" spans="1:7" ht="33">
      <c r="A151" s="337" t="s">
        <v>1225</v>
      </c>
      <c r="B151" s="353" t="s">
        <v>959</v>
      </c>
      <c r="C151" s="337" t="s">
        <v>65</v>
      </c>
      <c r="D151" s="496">
        <v>179.8</v>
      </c>
      <c r="E151" s="506">
        <v>4003</v>
      </c>
      <c r="F151" s="340">
        <f t="shared" si="5"/>
        <v>719739</v>
      </c>
      <c r="G151" s="547"/>
    </row>
    <row r="152" spans="1:7" ht="33">
      <c r="A152" s="337" t="s">
        <v>1226</v>
      </c>
      <c r="B152" s="207" t="s">
        <v>50</v>
      </c>
      <c r="C152" s="337" t="s">
        <v>66</v>
      </c>
      <c r="D152" s="496">
        <v>8.9499999999999993</v>
      </c>
      <c r="E152" s="506">
        <v>32850</v>
      </c>
      <c r="F152" s="340">
        <f t="shared" si="5"/>
        <v>294008</v>
      </c>
      <c r="G152" s="547"/>
    </row>
    <row r="153" spans="1:7" ht="49.5">
      <c r="A153" s="337" t="s">
        <v>1227</v>
      </c>
      <c r="B153" s="207" t="s">
        <v>234</v>
      </c>
      <c r="C153" s="337" t="s">
        <v>66</v>
      </c>
      <c r="D153" s="496">
        <v>35.700000000000003</v>
      </c>
      <c r="E153" s="506">
        <v>671139</v>
      </c>
      <c r="F153" s="340">
        <f t="shared" si="5"/>
        <v>23959662</v>
      </c>
      <c r="G153" s="547"/>
    </row>
    <row r="154" spans="1:7" ht="49.5">
      <c r="A154" s="337" t="s">
        <v>1228</v>
      </c>
      <c r="B154" s="207" t="s">
        <v>235</v>
      </c>
      <c r="C154" s="337" t="s">
        <v>66</v>
      </c>
      <c r="D154" s="496">
        <v>35.450000000000003</v>
      </c>
      <c r="E154" s="506">
        <v>737263</v>
      </c>
      <c r="F154" s="340">
        <f t="shared" si="5"/>
        <v>26135973</v>
      </c>
      <c r="G154" s="547"/>
    </row>
    <row r="155" spans="1:7" ht="33">
      <c r="A155" s="337" t="s">
        <v>1229</v>
      </c>
      <c r="B155" s="207" t="s">
        <v>61</v>
      </c>
      <c r="C155" s="337" t="s">
        <v>6</v>
      </c>
      <c r="D155" s="496">
        <v>8538</v>
      </c>
      <c r="E155" s="506">
        <v>3201</v>
      </c>
      <c r="F155" s="340">
        <f t="shared" si="5"/>
        <v>27330138</v>
      </c>
      <c r="G155" s="547"/>
    </row>
    <row r="156" spans="1:7" ht="33">
      <c r="A156" s="337" t="s">
        <v>1230</v>
      </c>
      <c r="B156" s="207" t="s">
        <v>795</v>
      </c>
      <c r="C156" s="337" t="s">
        <v>8</v>
      </c>
      <c r="D156" s="496">
        <v>62.1</v>
      </c>
      <c r="E156" s="506">
        <v>27799</v>
      </c>
      <c r="F156" s="340">
        <f t="shared" si="5"/>
        <v>1726318</v>
      </c>
      <c r="G156" s="547"/>
    </row>
    <row r="157" spans="1:7" ht="16.5">
      <c r="A157" s="337" t="s">
        <v>1231</v>
      </c>
      <c r="B157" s="207" t="s">
        <v>802</v>
      </c>
      <c r="C157" s="337" t="s">
        <v>65</v>
      </c>
      <c r="D157" s="497">
        <v>178.5</v>
      </c>
      <c r="E157" s="506">
        <v>33158</v>
      </c>
      <c r="F157" s="340">
        <f t="shared" si="5"/>
        <v>5918703</v>
      </c>
      <c r="G157" s="547"/>
    </row>
    <row r="158" spans="1:7" ht="16.5">
      <c r="A158" s="337" t="s">
        <v>1232</v>
      </c>
      <c r="B158" s="204" t="s">
        <v>782</v>
      </c>
      <c r="C158" s="348" t="s">
        <v>8</v>
      </c>
      <c r="D158" s="497">
        <v>25.9</v>
      </c>
      <c r="E158" s="506">
        <v>47789</v>
      </c>
      <c r="F158" s="340">
        <f t="shared" si="5"/>
        <v>1237735</v>
      </c>
      <c r="G158" s="547"/>
    </row>
    <row r="159" spans="1:7" ht="33">
      <c r="A159" s="337" t="s">
        <v>1233</v>
      </c>
      <c r="B159" s="207" t="s">
        <v>242</v>
      </c>
      <c r="C159" s="337" t="s">
        <v>65</v>
      </c>
      <c r="D159" s="497">
        <v>54.089999999999996</v>
      </c>
      <c r="E159" s="506">
        <v>60274</v>
      </c>
      <c r="F159" s="340">
        <f t="shared" si="5"/>
        <v>3260221</v>
      </c>
      <c r="G159" s="547"/>
    </row>
    <row r="160" spans="1:7" ht="49.5">
      <c r="A160" s="337" t="s">
        <v>1234</v>
      </c>
      <c r="B160" s="386" t="s">
        <v>1145</v>
      </c>
      <c r="C160" s="387" t="s">
        <v>7</v>
      </c>
      <c r="D160" s="497">
        <v>4</v>
      </c>
      <c r="E160" s="506">
        <v>739259</v>
      </c>
      <c r="F160" s="340">
        <f t="shared" si="5"/>
        <v>2957036</v>
      </c>
      <c r="G160" s="547"/>
    </row>
    <row r="161" spans="1:7" s="396" customFormat="1" ht="38.25" customHeight="1">
      <c r="A161" s="337" t="s">
        <v>1235</v>
      </c>
      <c r="B161" s="392" t="s">
        <v>803</v>
      </c>
      <c r="C161" s="397" t="s">
        <v>65</v>
      </c>
      <c r="D161" s="497">
        <v>115.5</v>
      </c>
      <c r="E161" s="506">
        <v>38545</v>
      </c>
      <c r="F161" s="340">
        <f t="shared" si="5"/>
        <v>4451948</v>
      </c>
      <c r="G161" s="547"/>
    </row>
    <row r="162" spans="1:7" ht="16.5">
      <c r="A162" s="337" t="s">
        <v>1236</v>
      </c>
      <c r="B162" s="392" t="s">
        <v>1146</v>
      </c>
      <c r="C162" s="397" t="s">
        <v>6</v>
      </c>
      <c r="D162" s="497">
        <v>2152</v>
      </c>
      <c r="E162" s="506">
        <v>25406</v>
      </c>
      <c r="F162" s="340">
        <f t="shared" si="5"/>
        <v>54673712</v>
      </c>
      <c r="G162" s="547"/>
    </row>
    <row r="163" spans="1:7" ht="15.95" customHeight="1">
      <c r="A163" s="337" t="s">
        <v>1237</v>
      </c>
      <c r="B163" s="398" t="s">
        <v>18</v>
      </c>
      <c r="C163" s="397" t="s">
        <v>66</v>
      </c>
      <c r="D163" s="497">
        <v>62.74</v>
      </c>
      <c r="E163" s="506">
        <v>55470</v>
      </c>
      <c r="F163" s="340">
        <f t="shared" si="5"/>
        <v>3480188</v>
      </c>
      <c r="G163" s="547"/>
    </row>
    <row r="164" spans="1:7" ht="15.95" customHeight="1">
      <c r="A164" s="337" t="s">
        <v>1238</v>
      </c>
      <c r="B164" s="398" t="s">
        <v>382</v>
      </c>
      <c r="C164" s="397" t="s">
        <v>66</v>
      </c>
      <c r="D164" s="497">
        <v>7.84</v>
      </c>
      <c r="E164" s="506">
        <v>50470</v>
      </c>
      <c r="F164" s="340">
        <f t="shared" si="5"/>
        <v>395685</v>
      </c>
      <c r="G164" s="547"/>
    </row>
    <row r="165" spans="1:7" ht="15.95" customHeight="1">
      <c r="A165" s="337" t="s">
        <v>1239</v>
      </c>
      <c r="B165" s="398" t="s">
        <v>19</v>
      </c>
      <c r="C165" s="397" t="s">
        <v>66</v>
      </c>
      <c r="D165" s="497">
        <v>15.68</v>
      </c>
      <c r="E165" s="506">
        <v>48314</v>
      </c>
      <c r="F165" s="340">
        <f t="shared" si="5"/>
        <v>757564</v>
      </c>
      <c r="G165" s="547"/>
    </row>
    <row r="166" spans="1:7" ht="16.5">
      <c r="A166" s="337" t="s">
        <v>1240</v>
      </c>
      <c r="B166" s="398" t="s">
        <v>20</v>
      </c>
      <c r="C166" s="397" t="s">
        <v>66</v>
      </c>
      <c r="D166" s="497">
        <v>15.68</v>
      </c>
      <c r="E166" s="506">
        <v>46214</v>
      </c>
      <c r="F166" s="340">
        <f t="shared" si="5"/>
        <v>724636</v>
      </c>
      <c r="G166" s="547"/>
    </row>
    <row r="167" spans="1:7" ht="28.5" customHeight="1">
      <c r="A167" s="337" t="s">
        <v>1241</v>
      </c>
      <c r="B167" s="398" t="s">
        <v>21</v>
      </c>
      <c r="C167" s="397" t="s">
        <v>65</v>
      </c>
      <c r="D167" s="497">
        <v>141.6</v>
      </c>
      <c r="E167" s="506">
        <v>43840</v>
      </c>
      <c r="F167" s="340">
        <f t="shared" si="5"/>
        <v>6207744</v>
      </c>
      <c r="G167" s="547"/>
    </row>
    <row r="168" spans="1:7" ht="15.95" customHeight="1">
      <c r="A168" s="337" t="s">
        <v>1242</v>
      </c>
      <c r="B168" s="398" t="s">
        <v>1156</v>
      </c>
      <c r="C168" s="397" t="s">
        <v>8</v>
      </c>
      <c r="D168" s="497">
        <v>23.52</v>
      </c>
      <c r="E168" s="506">
        <v>8589</v>
      </c>
      <c r="F168" s="340">
        <f t="shared" si="5"/>
        <v>202013</v>
      </c>
      <c r="G168" s="547"/>
    </row>
    <row r="169" spans="1:7" ht="33">
      <c r="A169" s="337" t="s">
        <v>1243</v>
      </c>
      <c r="B169" s="398" t="s">
        <v>1663</v>
      </c>
      <c r="C169" s="397" t="s">
        <v>7</v>
      </c>
      <c r="D169" s="497">
        <v>4</v>
      </c>
      <c r="E169" s="506">
        <v>3439</v>
      </c>
      <c r="F169" s="340">
        <f t="shared" si="5"/>
        <v>13756</v>
      </c>
      <c r="G169" s="547"/>
    </row>
    <row r="170" spans="1:7" ht="16.5">
      <c r="A170" s="337" t="s">
        <v>1244</v>
      </c>
      <c r="B170" s="399" t="s">
        <v>387</v>
      </c>
      <c r="C170" s="397" t="s">
        <v>7</v>
      </c>
      <c r="D170" s="497">
        <v>1</v>
      </c>
      <c r="E170" s="506">
        <v>45079</v>
      </c>
      <c r="F170" s="340">
        <f t="shared" si="5"/>
        <v>45079</v>
      </c>
      <c r="G170" s="547"/>
    </row>
    <row r="171" spans="1:7" ht="36" customHeight="1">
      <c r="A171" s="337" t="s">
        <v>1245</v>
      </c>
      <c r="B171" s="398" t="s">
        <v>1664</v>
      </c>
      <c r="C171" s="397" t="s">
        <v>8</v>
      </c>
      <c r="D171" s="497">
        <v>29.82</v>
      </c>
      <c r="E171" s="506">
        <v>5403</v>
      </c>
      <c r="F171" s="340">
        <f t="shared" si="5"/>
        <v>161117</v>
      </c>
      <c r="G171" s="547"/>
    </row>
    <row r="172" spans="1:7" ht="15.95" customHeight="1">
      <c r="A172" s="614" t="s">
        <v>958</v>
      </c>
      <c r="B172" s="615"/>
      <c r="C172" s="615"/>
      <c r="D172" s="615"/>
      <c r="E172" s="616"/>
      <c r="F172" s="490">
        <f>SUM(F147:F171)</f>
        <v>183326103</v>
      </c>
      <c r="G172" s="555"/>
    </row>
    <row r="173" spans="1:7" ht="15.95" customHeight="1">
      <c r="A173" s="476">
        <v>6</v>
      </c>
      <c r="B173" s="576" t="s">
        <v>22</v>
      </c>
      <c r="C173" s="577"/>
      <c r="D173" s="577"/>
      <c r="E173" s="577"/>
      <c r="F173" s="578"/>
      <c r="G173" s="556"/>
    </row>
    <row r="174" spans="1:7" ht="15.95" customHeight="1">
      <c r="A174" s="476" t="s">
        <v>1246</v>
      </c>
      <c r="B174" s="334" t="s">
        <v>23</v>
      </c>
      <c r="C174" s="364"/>
      <c r="D174" s="501"/>
      <c r="E174" s="364"/>
      <c r="F174" s="365"/>
      <c r="G174" s="558"/>
    </row>
    <row r="175" spans="1:7" ht="33">
      <c r="A175" s="397" t="s">
        <v>1247</v>
      </c>
      <c r="B175" s="399" t="s">
        <v>275</v>
      </c>
      <c r="C175" s="401" t="s">
        <v>66</v>
      </c>
      <c r="D175" s="512">
        <v>48</v>
      </c>
      <c r="E175" s="506">
        <v>38125</v>
      </c>
      <c r="F175" s="340">
        <f t="shared" ref="F175:F216" si="6">ROUND(D175*E175,0)</f>
        <v>1830000</v>
      </c>
      <c r="G175" s="547"/>
    </row>
    <row r="176" spans="1:7" ht="16.5">
      <c r="A176" s="402" t="s">
        <v>1248</v>
      </c>
      <c r="B176" s="403" t="s">
        <v>1192</v>
      </c>
      <c r="C176" s="404" t="s">
        <v>7</v>
      </c>
      <c r="D176" s="507">
        <v>4</v>
      </c>
      <c r="E176" s="506">
        <v>208238</v>
      </c>
      <c r="F176" s="340">
        <f t="shared" si="6"/>
        <v>832952</v>
      </c>
      <c r="G176" s="547"/>
    </row>
    <row r="177" spans="1:7" ht="16.5">
      <c r="A177" s="397" t="s">
        <v>1249</v>
      </c>
      <c r="B177" s="405" t="s">
        <v>1194</v>
      </c>
      <c r="C177" s="404" t="s">
        <v>66</v>
      </c>
      <c r="D177" s="507">
        <v>1.67</v>
      </c>
      <c r="E177" s="506">
        <v>597315</v>
      </c>
      <c r="F177" s="340">
        <f t="shared" si="6"/>
        <v>997516</v>
      </c>
      <c r="G177" s="547"/>
    </row>
    <row r="178" spans="1:7" ht="15.95" customHeight="1">
      <c r="A178" s="402" t="s">
        <v>1250</v>
      </c>
      <c r="B178" s="405" t="s">
        <v>75</v>
      </c>
      <c r="C178" s="404" t="s">
        <v>65</v>
      </c>
      <c r="D178" s="507">
        <v>116.6</v>
      </c>
      <c r="E178" s="506">
        <v>27135</v>
      </c>
      <c r="F178" s="340">
        <f t="shared" si="6"/>
        <v>3163941</v>
      </c>
      <c r="G178" s="547"/>
    </row>
    <row r="179" spans="1:7" ht="15.95" customHeight="1">
      <c r="A179" s="397" t="s">
        <v>1251</v>
      </c>
      <c r="B179" s="405" t="s">
        <v>804</v>
      </c>
      <c r="C179" s="404" t="s">
        <v>66</v>
      </c>
      <c r="D179" s="507">
        <v>3.69</v>
      </c>
      <c r="E179" s="506">
        <v>14821</v>
      </c>
      <c r="F179" s="340">
        <f t="shared" si="6"/>
        <v>54689</v>
      </c>
      <c r="G179" s="547"/>
    </row>
    <row r="180" spans="1:7" ht="16.5">
      <c r="A180" s="402" t="s">
        <v>1252</v>
      </c>
      <c r="B180" s="405" t="s">
        <v>805</v>
      </c>
      <c r="C180" s="404" t="s">
        <v>8</v>
      </c>
      <c r="D180" s="507">
        <v>24.6</v>
      </c>
      <c r="E180" s="506">
        <v>22891</v>
      </c>
      <c r="F180" s="340">
        <f t="shared" si="6"/>
        <v>563119</v>
      </c>
      <c r="G180" s="547"/>
    </row>
    <row r="181" spans="1:7" ht="16.5">
      <c r="A181" s="397" t="s">
        <v>1253</v>
      </c>
      <c r="B181" s="405" t="s">
        <v>1197</v>
      </c>
      <c r="C181" s="404" t="s">
        <v>65</v>
      </c>
      <c r="D181" s="507">
        <v>111.32</v>
      </c>
      <c r="E181" s="506">
        <v>32200</v>
      </c>
      <c r="F181" s="340">
        <f t="shared" si="6"/>
        <v>3584504</v>
      </c>
      <c r="G181" s="547"/>
    </row>
    <row r="182" spans="1:7" ht="15.95" customHeight="1">
      <c r="A182" s="402" t="s">
        <v>1254</v>
      </c>
      <c r="B182" s="405" t="s">
        <v>62</v>
      </c>
      <c r="C182" s="404" t="s">
        <v>65</v>
      </c>
      <c r="D182" s="507">
        <v>116.6</v>
      </c>
      <c r="E182" s="506">
        <v>3981</v>
      </c>
      <c r="F182" s="340">
        <f t="shared" si="6"/>
        <v>464185</v>
      </c>
      <c r="G182" s="547"/>
    </row>
    <row r="183" spans="1:7" ht="15.95" customHeight="1">
      <c r="A183" s="397" t="s">
        <v>1255</v>
      </c>
      <c r="B183" s="405" t="s">
        <v>46</v>
      </c>
      <c r="C183" s="404" t="s">
        <v>65</v>
      </c>
      <c r="D183" s="507">
        <v>89.79</v>
      </c>
      <c r="E183" s="506">
        <v>31298</v>
      </c>
      <c r="F183" s="340">
        <f t="shared" si="6"/>
        <v>2810247</v>
      </c>
      <c r="G183" s="547"/>
    </row>
    <row r="184" spans="1:7" ht="33">
      <c r="A184" s="402" t="s">
        <v>1256</v>
      </c>
      <c r="B184" s="403" t="s">
        <v>980</v>
      </c>
      <c r="C184" s="404" t="s">
        <v>7</v>
      </c>
      <c r="D184" s="507">
        <v>8</v>
      </c>
      <c r="E184" s="506">
        <v>21233</v>
      </c>
      <c r="F184" s="340">
        <f t="shared" si="6"/>
        <v>169864</v>
      </c>
      <c r="G184" s="547"/>
    </row>
    <row r="185" spans="1:7" ht="33">
      <c r="A185" s="397" t="s">
        <v>1257</v>
      </c>
      <c r="B185" s="403" t="s">
        <v>981</v>
      </c>
      <c r="C185" s="404" t="s">
        <v>7</v>
      </c>
      <c r="D185" s="507">
        <v>3</v>
      </c>
      <c r="E185" s="506">
        <v>29180</v>
      </c>
      <c r="F185" s="340">
        <f t="shared" si="6"/>
        <v>87540</v>
      </c>
      <c r="G185" s="547"/>
    </row>
    <row r="186" spans="1:7" ht="33">
      <c r="A186" s="402" t="s">
        <v>1258</v>
      </c>
      <c r="B186" s="403" t="s">
        <v>982</v>
      </c>
      <c r="C186" s="404" t="s">
        <v>7</v>
      </c>
      <c r="D186" s="507">
        <v>2</v>
      </c>
      <c r="E186" s="506">
        <v>41519</v>
      </c>
      <c r="F186" s="340">
        <f t="shared" si="6"/>
        <v>83038</v>
      </c>
      <c r="G186" s="547"/>
    </row>
    <row r="187" spans="1:7" ht="16.5">
      <c r="A187" s="397" t="s">
        <v>1259</v>
      </c>
      <c r="B187" s="408" t="s">
        <v>1216</v>
      </c>
      <c r="C187" s="404" t="s">
        <v>7</v>
      </c>
      <c r="D187" s="507">
        <v>7</v>
      </c>
      <c r="E187" s="506">
        <v>17016</v>
      </c>
      <c r="F187" s="340">
        <f t="shared" si="6"/>
        <v>119112</v>
      </c>
      <c r="G187" s="547"/>
    </row>
    <row r="188" spans="1:7" ht="15.95" customHeight="1">
      <c r="A188" s="402" t="s">
        <v>1260</v>
      </c>
      <c r="B188" s="405" t="s">
        <v>983</v>
      </c>
      <c r="C188" s="404" t="s">
        <v>7</v>
      </c>
      <c r="D188" s="507">
        <v>1</v>
      </c>
      <c r="E188" s="506">
        <v>14698</v>
      </c>
      <c r="F188" s="340">
        <f t="shared" si="6"/>
        <v>14698</v>
      </c>
      <c r="G188" s="547"/>
    </row>
    <row r="189" spans="1:7" ht="15.95" customHeight="1">
      <c r="A189" s="397" t="s">
        <v>1261</v>
      </c>
      <c r="B189" s="405" t="s">
        <v>984</v>
      </c>
      <c r="C189" s="404" t="s">
        <v>7</v>
      </c>
      <c r="D189" s="507">
        <v>1</v>
      </c>
      <c r="E189" s="506">
        <v>18690</v>
      </c>
      <c r="F189" s="340">
        <f t="shared" si="6"/>
        <v>18690</v>
      </c>
      <c r="G189" s="547"/>
    </row>
    <row r="190" spans="1:7" ht="15.95" customHeight="1">
      <c r="A190" s="402" t="s">
        <v>1262</v>
      </c>
      <c r="B190" s="405" t="s">
        <v>985</v>
      </c>
      <c r="C190" s="404" t="s">
        <v>7</v>
      </c>
      <c r="D190" s="507">
        <v>3</v>
      </c>
      <c r="E190" s="506">
        <v>32483</v>
      </c>
      <c r="F190" s="340">
        <f t="shared" si="6"/>
        <v>97449</v>
      </c>
      <c r="G190" s="547"/>
    </row>
    <row r="191" spans="1:7" ht="15.95" customHeight="1">
      <c r="A191" s="397" t="s">
        <v>1263</v>
      </c>
      <c r="B191" s="204" t="s">
        <v>986</v>
      </c>
      <c r="C191" s="382" t="s">
        <v>7</v>
      </c>
      <c r="D191" s="496">
        <v>7</v>
      </c>
      <c r="E191" s="506">
        <v>28525</v>
      </c>
      <c r="F191" s="340">
        <f t="shared" si="6"/>
        <v>199675</v>
      </c>
      <c r="G191" s="547"/>
    </row>
    <row r="192" spans="1:7" ht="15.95" customHeight="1">
      <c r="A192" s="402" t="s">
        <v>1264</v>
      </c>
      <c r="B192" s="405" t="s">
        <v>1652</v>
      </c>
      <c r="C192" s="404" t="s">
        <v>7</v>
      </c>
      <c r="D192" s="507">
        <v>7</v>
      </c>
      <c r="E192" s="506">
        <v>45079</v>
      </c>
      <c r="F192" s="340">
        <f t="shared" si="6"/>
        <v>315553</v>
      </c>
      <c r="G192" s="547"/>
    </row>
    <row r="193" spans="1:7" ht="15.95" customHeight="1">
      <c r="A193" s="397" t="s">
        <v>1265</v>
      </c>
      <c r="B193" s="405" t="s">
        <v>1653</v>
      </c>
      <c r="C193" s="404" t="s">
        <v>7</v>
      </c>
      <c r="D193" s="507">
        <v>1</v>
      </c>
      <c r="E193" s="506">
        <v>66257</v>
      </c>
      <c r="F193" s="340">
        <f t="shared" si="6"/>
        <v>66257</v>
      </c>
      <c r="G193" s="547"/>
    </row>
    <row r="194" spans="1:7" ht="15.95" customHeight="1">
      <c r="A194" s="402" t="s">
        <v>1266</v>
      </c>
      <c r="B194" s="405" t="s">
        <v>1654</v>
      </c>
      <c r="C194" s="404" t="s">
        <v>7</v>
      </c>
      <c r="D194" s="507">
        <v>1</v>
      </c>
      <c r="E194" s="506">
        <v>101178</v>
      </c>
      <c r="F194" s="340">
        <f t="shared" si="6"/>
        <v>101178</v>
      </c>
      <c r="G194" s="547"/>
    </row>
    <row r="195" spans="1:7" ht="15.95" customHeight="1">
      <c r="A195" s="397" t="s">
        <v>1267</v>
      </c>
      <c r="B195" s="204" t="s">
        <v>987</v>
      </c>
      <c r="C195" s="382" t="s">
        <v>7</v>
      </c>
      <c r="D195" s="496">
        <v>5</v>
      </c>
      <c r="E195" s="506">
        <v>14028</v>
      </c>
      <c r="F195" s="340">
        <f t="shared" si="6"/>
        <v>70140</v>
      </c>
      <c r="G195" s="547"/>
    </row>
    <row r="196" spans="1:7" ht="15.95" customHeight="1">
      <c r="A196" s="402" t="s">
        <v>1268</v>
      </c>
      <c r="B196" s="405" t="s">
        <v>988</v>
      </c>
      <c r="C196" s="404" t="s">
        <v>7</v>
      </c>
      <c r="D196" s="507">
        <v>4</v>
      </c>
      <c r="E196" s="506">
        <v>7776</v>
      </c>
      <c r="F196" s="340">
        <f t="shared" si="6"/>
        <v>31104</v>
      </c>
      <c r="G196" s="547"/>
    </row>
    <row r="197" spans="1:7" ht="15.95" customHeight="1">
      <c r="A197" s="397" t="s">
        <v>1269</v>
      </c>
      <c r="B197" s="204" t="s">
        <v>989</v>
      </c>
      <c r="C197" s="382" t="s">
        <v>8</v>
      </c>
      <c r="D197" s="507">
        <v>286.17999999999995</v>
      </c>
      <c r="E197" s="506">
        <v>13596</v>
      </c>
      <c r="F197" s="340">
        <f t="shared" si="6"/>
        <v>3890903</v>
      </c>
      <c r="G197" s="547"/>
    </row>
    <row r="198" spans="1:7" ht="49.5">
      <c r="A198" s="402" t="s">
        <v>1270</v>
      </c>
      <c r="B198" s="405" t="s">
        <v>990</v>
      </c>
      <c r="C198" s="404" t="s">
        <v>7</v>
      </c>
      <c r="D198" s="507">
        <v>2</v>
      </c>
      <c r="E198" s="506">
        <v>144124</v>
      </c>
      <c r="F198" s="340">
        <f t="shared" si="6"/>
        <v>288248</v>
      </c>
      <c r="G198" s="547"/>
    </row>
    <row r="199" spans="1:7" ht="33">
      <c r="A199" s="397" t="s">
        <v>1271</v>
      </c>
      <c r="B199" s="405" t="s">
        <v>991</v>
      </c>
      <c r="C199" s="404" t="s">
        <v>7</v>
      </c>
      <c r="D199" s="507">
        <v>5</v>
      </c>
      <c r="E199" s="506">
        <v>288681</v>
      </c>
      <c r="F199" s="340">
        <f t="shared" si="6"/>
        <v>1443405</v>
      </c>
      <c r="G199" s="547"/>
    </row>
    <row r="200" spans="1:7" ht="15.95" customHeight="1">
      <c r="A200" s="402" t="s">
        <v>1272</v>
      </c>
      <c r="B200" s="405" t="s">
        <v>25</v>
      </c>
      <c r="C200" s="404" t="s">
        <v>8</v>
      </c>
      <c r="D200" s="507">
        <v>6.5</v>
      </c>
      <c r="E200" s="506">
        <v>26339</v>
      </c>
      <c r="F200" s="340">
        <f t="shared" si="6"/>
        <v>171204</v>
      </c>
      <c r="G200" s="547"/>
    </row>
    <row r="201" spans="1:7" ht="15.95" customHeight="1">
      <c r="A201" s="397" t="s">
        <v>1273</v>
      </c>
      <c r="B201" s="405" t="s">
        <v>26</v>
      </c>
      <c r="C201" s="404" t="s">
        <v>65</v>
      </c>
      <c r="D201" s="507">
        <v>29.29</v>
      </c>
      <c r="E201" s="506">
        <v>3282</v>
      </c>
      <c r="F201" s="340">
        <f t="shared" si="6"/>
        <v>96130</v>
      </c>
      <c r="G201" s="547"/>
    </row>
    <row r="202" spans="1:7" s="413" customFormat="1" ht="15.95" customHeight="1">
      <c r="A202" s="402" t="s">
        <v>1274</v>
      </c>
      <c r="B202" s="405" t="s">
        <v>24</v>
      </c>
      <c r="C202" s="404" t="s">
        <v>65</v>
      </c>
      <c r="D202" s="515">
        <v>79.95</v>
      </c>
      <c r="E202" s="506">
        <v>18167</v>
      </c>
      <c r="F202" s="340">
        <f t="shared" si="6"/>
        <v>1452452</v>
      </c>
      <c r="G202" s="547"/>
    </row>
    <row r="203" spans="1:7" s="413" customFormat="1" ht="15.95" customHeight="1">
      <c r="A203" s="397" t="s">
        <v>1275</v>
      </c>
      <c r="B203" s="405" t="s">
        <v>47</v>
      </c>
      <c r="C203" s="404" t="s">
        <v>8</v>
      </c>
      <c r="D203" s="515">
        <v>0.66</v>
      </c>
      <c r="E203" s="506">
        <v>50489</v>
      </c>
      <c r="F203" s="340">
        <f t="shared" si="6"/>
        <v>33323</v>
      </c>
      <c r="G203" s="547"/>
    </row>
    <row r="204" spans="1:7" s="413" customFormat="1" ht="15.95" customHeight="1">
      <c r="A204" s="402" t="s">
        <v>1276</v>
      </c>
      <c r="B204" s="405" t="s">
        <v>27</v>
      </c>
      <c r="C204" s="404" t="s">
        <v>7</v>
      </c>
      <c r="D204" s="515">
        <v>2</v>
      </c>
      <c r="E204" s="506">
        <v>88112</v>
      </c>
      <c r="F204" s="340">
        <f t="shared" si="6"/>
        <v>176224</v>
      </c>
      <c r="G204" s="547"/>
    </row>
    <row r="205" spans="1:7" s="413" customFormat="1" ht="15.95" customHeight="1">
      <c r="A205" s="397" t="s">
        <v>1277</v>
      </c>
      <c r="B205" s="405" t="s">
        <v>28</v>
      </c>
      <c r="C205" s="404" t="s">
        <v>7</v>
      </c>
      <c r="D205" s="515">
        <v>2</v>
      </c>
      <c r="E205" s="506">
        <v>9811</v>
      </c>
      <c r="F205" s="340">
        <f t="shared" si="6"/>
        <v>19622</v>
      </c>
      <c r="G205" s="547"/>
    </row>
    <row r="206" spans="1:7" s="413" customFormat="1" ht="15.95" customHeight="1">
      <c r="A206" s="402" t="s">
        <v>1278</v>
      </c>
      <c r="B206" s="405" t="s">
        <v>29</v>
      </c>
      <c r="C206" s="404" t="s">
        <v>7</v>
      </c>
      <c r="D206" s="515">
        <v>2</v>
      </c>
      <c r="E206" s="506">
        <v>15661</v>
      </c>
      <c r="F206" s="340">
        <f t="shared" si="6"/>
        <v>31322</v>
      </c>
      <c r="G206" s="547"/>
    </row>
    <row r="207" spans="1:7" s="413" customFormat="1" ht="15.95" customHeight="1">
      <c r="A207" s="397" t="s">
        <v>1278</v>
      </c>
      <c r="B207" s="405" t="s">
        <v>30</v>
      </c>
      <c r="C207" s="404" t="s">
        <v>7</v>
      </c>
      <c r="D207" s="515">
        <v>2</v>
      </c>
      <c r="E207" s="506">
        <v>21754</v>
      </c>
      <c r="F207" s="340">
        <f t="shared" si="6"/>
        <v>43508</v>
      </c>
      <c r="G207" s="547"/>
    </row>
    <row r="208" spans="1:7" s="413" customFormat="1" ht="15.95" customHeight="1">
      <c r="A208" s="402" t="s">
        <v>1279</v>
      </c>
      <c r="B208" s="405" t="s">
        <v>31</v>
      </c>
      <c r="C208" s="404" t="s">
        <v>8</v>
      </c>
      <c r="D208" s="515">
        <v>1.5</v>
      </c>
      <c r="E208" s="506">
        <v>89323</v>
      </c>
      <c r="F208" s="340">
        <f t="shared" si="6"/>
        <v>133985</v>
      </c>
      <c r="G208" s="547"/>
    </row>
    <row r="209" spans="1:7" s="413" customFormat="1" ht="15.95" customHeight="1">
      <c r="A209" s="397" t="s">
        <v>1280</v>
      </c>
      <c r="B209" s="405" t="s">
        <v>56</v>
      </c>
      <c r="C209" s="404" t="s">
        <v>7</v>
      </c>
      <c r="D209" s="515">
        <v>2</v>
      </c>
      <c r="E209" s="506">
        <v>69273</v>
      </c>
      <c r="F209" s="340">
        <f t="shared" si="6"/>
        <v>138546</v>
      </c>
      <c r="G209" s="547"/>
    </row>
    <row r="210" spans="1:7" s="413" customFormat="1" ht="15.95" customHeight="1">
      <c r="A210" s="402" t="s">
        <v>1281</v>
      </c>
      <c r="B210" s="405" t="s">
        <v>1198</v>
      </c>
      <c r="C210" s="404" t="s">
        <v>7</v>
      </c>
      <c r="D210" s="515">
        <v>2</v>
      </c>
      <c r="E210" s="506">
        <v>305480</v>
      </c>
      <c r="F210" s="340">
        <f t="shared" si="6"/>
        <v>610960</v>
      </c>
      <c r="G210" s="547"/>
    </row>
    <row r="211" spans="1:7" s="413" customFormat="1" ht="15.95" customHeight="1">
      <c r="A211" s="397" t="s">
        <v>1282</v>
      </c>
      <c r="B211" s="405" t="s">
        <v>32</v>
      </c>
      <c r="C211" s="404" t="s">
        <v>7</v>
      </c>
      <c r="D211" s="515">
        <v>2</v>
      </c>
      <c r="E211" s="506">
        <v>169660</v>
      </c>
      <c r="F211" s="340">
        <f t="shared" si="6"/>
        <v>339320</v>
      </c>
      <c r="G211" s="547"/>
    </row>
    <row r="212" spans="1:7" s="413" customFormat="1" ht="15.95" customHeight="1">
      <c r="A212" s="402" t="s">
        <v>1283</v>
      </c>
      <c r="B212" s="405" t="s">
        <v>33</v>
      </c>
      <c r="C212" s="404" t="s">
        <v>7</v>
      </c>
      <c r="D212" s="515">
        <v>1</v>
      </c>
      <c r="E212" s="506">
        <v>146500</v>
      </c>
      <c r="F212" s="340">
        <f t="shared" si="6"/>
        <v>146500</v>
      </c>
      <c r="G212" s="547"/>
    </row>
    <row r="213" spans="1:7" s="413" customFormat="1" ht="15.95" customHeight="1">
      <c r="A213" s="397" t="s">
        <v>1284</v>
      </c>
      <c r="B213" s="405" t="s">
        <v>806</v>
      </c>
      <c r="C213" s="404" t="s">
        <v>7</v>
      </c>
      <c r="D213" s="515">
        <v>1</v>
      </c>
      <c r="E213" s="506">
        <v>263660</v>
      </c>
      <c r="F213" s="340">
        <f t="shared" si="6"/>
        <v>263660</v>
      </c>
      <c r="G213" s="547"/>
    </row>
    <row r="214" spans="1:7" s="413" customFormat="1" ht="15.95" customHeight="1">
      <c r="A214" s="402" t="s">
        <v>1285</v>
      </c>
      <c r="B214" s="405" t="s">
        <v>34</v>
      </c>
      <c r="C214" s="404" t="s">
        <v>7</v>
      </c>
      <c r="D214" s="515">
        <v>2</v>
      </c>
      <c r="E214" s="506">
        <v>14010</v>
      </c>
      <c r="F214" s="340">
        <f t="shared" si="6"/>
        <v>28020</v>
      </c>
      <c r="G214" s="547"/>
    </row>
    <row r="215" spans="1:7" s="413" customFormat="1" ht="15.95" customHeight="1">
      <c r="A215" s="397" t="s">
        <v>1286</v>
      </c>
      <c r="B215" s="204" t="s">
        <v>35</v>
      </c>
      <c r="C215" s="382" t="s">
        <v>7</v>
      </c>
      <c r="D215" s="515">
        <v>1</v>
      </c>
      <c r="E215" s="506">
        <v>371660</v>
      </c>
      <c r="F215" s="340">
        <f t="shared" si="6"/>
        <v>371660</v>
      </c>
      <c r="G215" s="547"/>
    </row>
    <row r="216" spans="1:7" s="413" customFormat="1" ht="15.95" customHeight="1">
      <c r="A216" s="402" t="s">
        <v>1287</v>
      </c>
      <c r="B216" s="204" t="s">
        <v>85</v>
      </c>
      <c r="C216" s="382" t="s">
        <v>7</v>
      </c>
      <c r="D216" s="515">
        <v>1</v>
      </c>
      <c r="E216" s="506">
        <v>171660</v>
      </c>
      <c r="F216" s="340">
        <f t="shared" si="6"/>
        <v>171660</v>
      </c>
      <c r="G216" s="547"/>
    </row>
    <row r="217" spans="1:7" ht="15.95" customHeight="1">
      <c r="A217" s="570" t="s">
        <v>1169</v>
      </c>
      <c r="B217" s="571"/>
      <c r="C217" s="571"/>
      <c r="D217" s="571"/>
      <c r="E217" s="572"/>
      <c r="F217" s="490">
        <f>SUM(F175:F216)</f>
        <v>25526103</v>
      </c>
      <c r="G217" s="555"/>
    </row>
    <row r="218" spans="1:7" ht="15.95" customHeight="1">
      <c r="A218" s="476">
        <v>7</v>
      </c>
      <c r="B218" s="415" t="s">
        <v>36</v>
      </c>
      <c r="C218" s="416"/>
      <c r="D218" s="503"/>
      <c r="E218" s="416"/>
      <c r="F218" s="417"/>
      <c r="G218" s="560"/>
    </row>
    <row r="219" spans="1:7" ht="15.95" customHeight="1">
      <c r="A219" s="367" t="s">
        <v>1288</v>
      </c>
      <c r="B219" s="405" t="s">
        <v>37</v>
      </c>
      <c r="C219" s="404" t="s">
        <v>8</v>
      </c>
      <c r="D219" s="507">
        <v>546.34</v>
      </c>
      <c r="E219" s="506">
        <v>1441</v>
      </c>
      <c r="F219" s="340">
        <f t="shared" ref="F219:F228" si="7">ROUND(D219*E219,0)</f>
        <v>787276</v>
      </c>
      <c r="G219" s="547"/>
    </row>
    <row r="220" spans="1:7" ht="15.95" customHeight="1">
      <c r="A220" s="367" t="s">
        <v>82</v>
      </c>
      <c r="B220" s="405" t="s">
        <v>807</v>
      </c>
      <c r="C220" s="404" t="s">
        <v>66</v>
      </c>
      <c r="D220" s="507">
        <v>27.3</v>
      </c>
      <c r="E220" s="506">
        <v>20929</v>
      </c>
      <c r="F220" s="340">
        <f t="shared" si="7"/>
        <v>571362</v>
      </c>
      <c r="G220" s="547"/>
    </row>
    <row r="221" spans="1:7" ht="33">
      <c r="A221" s="367" t="s">
        <v>1289</v>
      </c>
      <c r="B221" s="408" t="s">
        <v>1170</v>
      </c>
      <c r="C221" s="367" t="s">
        <v>66</v>
      </c>
      <c r="D221" s="496">
        <v>34.28</v>
      </c>
      <c r="E221" s="506">
        <v>531534</v>
      </c>
      <c r="F221" s="340">
        <f t="shared" si="7"/>
        <v>18220986</v>
      </c>
      <c r="G221" s="547"/>
    </row>
    <row r="222" spans="1:7" ht="33">
      <c r="A222" s="367" t="s">
        <v>1290</v>
      </c>
      <c r="B222" s="408" t="s">
        <v>61</v>
      </c>
      <c r="C222" s="367" t="s">
        <v>6</v>
      </c>
      <c r="D222" s="507">
        <v>648</v>
      </c>
      <c r="E222" s="506">
        <v>3201</v>
      </c>
      <c r="F222" s="340">
        <f t="shared" si="7"/>
        <v>2074248</v>
      </c>
      <c r="G222" s="547"/>
    </row>
    <row r="223" spans="1:7" ht="15.95" customHeight="1">
      <c r="A223" s="367" t="s">
        <v>1291</v>
      </c>
      <c r="B223" s="405" t="s">
        <v>39</v>
      </c>
      <c r="C223" s="404" t="s">
        <v>7</v>
      </c>
      <c r="D223" s="515">
        <v>273</v>
      </c>
      <c r="E223" s="506">
        <v>11036</v>
      </c>
      <c r="F223" s="340">
        <f t="shared" si="7"/>
        <v>3012828</v>
      </c>
      <c r="G223" s="547"/>
    </row>
    <row r="224" spans="1:7" s="413" customFormat="1" ht="15.95" customHeight="1">
      <c r="A224" s="367" t="s">
        <v>1292</v>
      </c>
      <c r="B224" s="405" t="s">
        <v>38</v>
      </c>
      <c r="C224" s="404" t="s">
        <v>8</v>
      </c>
      <c r="D224" s="515">
        <v>764.4</v>
      </c>
      <c r="E224" s="506">
        <v>24131</v>
      </c>
      <c r="F224" s="340">
        <f t="shared" si="7"/>
        <v>18445736</v>
      </c>
      <c r="G224" s="547"/>
    </row>
    <row r="225" spans="1:7" s="413" customFormat="1" ht="15.95" customHeight="1">
      <c r="A225" s="367" t="s">
        <v>1293</v>
      </c>
      <c r="B225" s="405" t="s">
        <v>40</v>
      </c>
      <c r="C225" s="404" t="s">
        <v>65</v>
      </c>
      <c r="D225" s="515">
        <v>1528.8</v>
      </c>
      <c r="E225" s="506">
        <v>22910</v>
      </c>
      <c r="F225" s="340">
        <f t="shared" si="7"/>
        <v>35024808</v>
      </c>
      <c r="G225" s="547"/>
    </row>
    <row r="226" spans="1:7" s="413" customFormat="1" ht="15.95" customHeight="1">
      <c r="A226" s="367" t="s">
        <v>1294</v>
      </c>
      <c r="B226" s="405" t="s">
        <v>41</v>
      </c>
      <c r="C226" s="404" t="s">
        <v>8</v>
      </c>
      <c r="D226" s="515">
        <v>546.34</v>
      </c>
      <c r="E226" s="506">
        <v>1983</v>
      </c>
      <c r="F226" s="340">
        <f t="shared" si="7"/>
        <v>1083392</v>
      </c>
      <c r="G226" s="547"/>
    </row>
    <row r="227" spans="1:7" s="413" customFormat="1" ht="15.95" customHeight="1">
      <c r="A227" s="367" t="s">
        <v>1295</v>
      </c>
      <c r="B227" s="405" t="s">
        <v>1179</v>
      </c>
      <c r="C227" s="404" t="s">
        <v>8</v>
      </c>
      <c r="D227" s="515">
        <v>1693</v>
      </c>
      <c r="E227" s="506">
        <v>2028</v>
      </c>
      <c r="F227" s="340">
        <f t="shared" si="7"/>
        <v>3433404</v>
      </c>
      <c r="G227" s="547"/>
    </row>
    <row r="228" spans="1:7" s="413" customFormat="1" ht="82.5">
      <c r="A228" s="367" t="s">
        <v>1296</v>
      </c>
      <c r="B228" s="405" t="s">
        <v>42</v>
      </c>
      <c r="C228" s="404" t="s">
        <v>7</v>
      </c>
      <c r="D228" s="515">
        <v>1</v>
      </c>
      <c r="E228" s="506">
        <v>1208062</v>
      </c>
      <c r="F228" s="340">
        <f t="shared" si="7"/>
        <v>1208062</v>
      </c>
      <c r="G228" s="547"/>
    </row>
    <row r="229" spans="1:7" ht="15.95" customHeight="1">
      <c r="A229" s="573" t="s">
        <v>1003</v>
      </c>
      <c r="B229" s="574"/>
      <c r="C229" s="574"/>
      <c r="D229" s="574"/>
      <c r="E229" s="575"/>
      <c r="F229" s="490">
        <f>SUM(F219:F228)</f>
        <v>83862102</v>
      </c>
      <c r="G229" s="555"/>
    </row>
    <row r="230" spans="1:7" ht="15.95" customHeight="1">
      <c r="A230" s="476">
        <v>8</v>
      </c>
      <c r="B230" s="576" t="s">
        <v>64</v>
      </c>
      <c r="C230" s="577"/>
      <c r="D230" s="577"/>
      <c r="E230" s="577"/>
      <c r="F230" s="578"/>
      <c r="G230" s="556"/>
    </row>
    <row r="231" spans="1:7" ht="15.95" customHeight="1">
      <c r="A231" s="476" t="s">
        <v>1297</v>
      </c>
      <c r="B231" s="345" t="s">
        <v>5</v>
      </c>
      <c r="C231" s="346"/>
      <c r="D231" s="500"/>
      <c r="E231" s="346"/>
      <c r="F231" s="347"/>
      <c r="G231" s="557"/>
    </row>
    <row r="232" spans="1:7" ht="15.95" customHeight="1">
      <c r="A232" s="367" t="s">
        <v>1298</v>
      </c>
      <c r="B232" s="405" t="s">
        <v>3</v>
      </c>
      <c r="C232" s="404" t="s">
        <v>65</v>
      </c>
      <c r="D232" s="507">
        <v>4228.2</v>
      </c>
      <c r="E232" s="506">
        <v>2954</v>
      </c>
      <c r="F232" s="340">
        <f t="shared" ref="F232:F241" si="8">ROUND(D232*E232,0)</f>
        <v>12490103</v>
      </c>
      <c r="G232" s="547"/>
    </row>
    <row r="233" spans="1:7" ht="15.95" customHeight="1">
      <c r="A233" s="367" t="s">
        <v>1299</v>
      </c>
      <c r="B233" s="408" t="s">
        <v>280</v>
      </c>
      <c r="C233" s="337" t="s">
        <v>66</v>
      </c>
      <c r="D233" s="507">
        <v>3206.2</v>
      </c>
      <c r="E233" s="506">
        <v>8829</v>
      </c>
      <c r="F233" s="340">
        <f t="shared" si="8"/>
        <v>28307540</v>
      </c>
      <c r="G233" s="547"/>
    </row>
    <row r="234" spans="1:7" ht="15.95" customHeight="1">
      <c r="A234" s="367" t="s">
        <v>1300</v>
      </c>
      <c r="B234" s="408" t="s">
        <v>55</v>
      </c>
      <c r="C234" s="337" t="s">
        <v>66</v>
      </c>
      <c r="D234" s="507">
        <v>3206.9</v>
      </c>
      <c r="E234" s="506">
        <v>16226</v>
      </c>
      <c r="F234" s="340">
        <f t="shared" si="8"/>
        <v>52035159</v>
      </c>
      <c r="G234" s="547"/>
    </row>
    <row r="235" spans="1:7" ht="33">
      <c r="A235" s="367" t="s">
        <v>1301</v>
      </c>
      <c r="B235" s="353" t="s">
        <v>959</v>
      </c>
      <c r="C235" s="337" t="s">
        <v>65</v>
      </c>
      <c r="D235" s="515">
        <v>4249.1000000000004</v>
      </c>
      <c r="E235" s="506">
        <v>4003</v>
      </c>
      <c r="F235" s="340">
        <f t="shared" si="8"/>
        <v>17009147</v>
      </c>
      <c r="G235" s="547"/>
    </row>
    <row r="236" spans="1:7" ht="16.5">
      <c r="A236" s="367" t="s">
        <v>1302</v>
      </c>
      <c r="B236" s="419" t="s">
        <v>1171</v>
      </c>
      <c r="C236" s="337" t="s">
        <v>65</v>
      </c>
      <c r="D236" s="515">
        <v>3862.9</v>
      </c>
      <c r="E236" s="506">
        <v>1467</v>
      </c>
      <c r="F236" s="340">
        <f t="shared" si="8"/>
        <v>5666874</v>
      </c>
      <c r="G236" s="547"/>
    </row>
    <row r="237" spans="1:7" ht="33">
      <c r="A237" s="367" t="s">
        <v>1303</v>
      </c>
      <c r="B237" s="419" t="s">
        <v>1172</v>
      </c>
      <c r="C237" s="337" t="s">
        <v>65</v>
      </c>
      <c r="D237" s="515">
        <v>289.70999999999998</v>
      </c>
      <c r="E237" s="506">
        <v>387818</v>
      </c>
      <c r="F237" s="340">
        <f t="shared" si="8"/>
        <v>112354753</v>
      </c>
      <c r="G237" s="547"/>
    </row>
    <row r="238" spans="1:7" ht="33">
      <c r="A238" s="367" t="s">
        <v>1304</v>
      </c>
      <c r="B238" s="419" t="s">
        <v>67</v>
      </c>
      <c r="C238" s="337" t="s">
        <v>66</v>
      </c>
      <c r="D238" s="515">
        <v>1545.2</v>
      </c>
      <c r="E238" s="506">
        <v>75391</v>
      </c>
      <c r="F238" s="340">
        <f t="shared" si="8"/>
        <v>116494173</v>
      </c>
      <c r="G238" s="547"/>
    </row>
    <row r="239" spans="1:7" ht="33">
      <c r="A239" s="367" t="s">
        <v>1305</v>
      </c>
      <c r="B239" s="419" t="s">
        <v>68</v>
      </c>
      <c r="C239" s="337" t="s">
        <v>66</v>
      </c>
      <c r="D239" s="507">
        <v>579.4</v>
      </c>
      <c r="E239" s="506">
        <v>77171</v>
      </c>
      <c r="F239" s="340">
        <f t="shared" si="8"/>
        <v>44712877</v>
      </c>
      <c r="G239" s="547"/>
    </row>
    <row r="240" spans="1:7" ht="15.95" customHeight="1">
      <c r="A240" s="367" t="s">
        <v>1306</v>
      </c>
      <c r="B240" s="207" t="s">
        <v>43</v>
      </c>
      <c r="C240" s="337" t="s">
        <v>8</v>
      </c>
      <c r="D240" s="507">
        <v>1041.6600000000001</v>
      </c>
      <c r="E240" s="506">
        <v>26967</v>
      </c>
      <c r="F240" s="340">
        <f t="shared" si="8"/>
        <v>28090445</v>
      </c>
      <c r="G240" s="547"/>
    </row>
    <row r="241" spans="1:7" ht="16.5">
      <c r="A241" s="367" t="s">
        <v>1307</v>
      </c>
      <c r="B241" s="405" t="s">
        <v>1176</v>
      </c>
      <c r="C241" s="404" t="s">
        <v>65</v>
      </c>
      <c r="D241" s="507">
        <v>365.3</v>
      </c>
      <c r="E241" s="506">
        <v>8274</v>
      </c>
      <c r="F241" s="340">
        <f t="shared" si="8"/>
        <v>3022492</v>
      </c>
      <c r="G241" s="547"/>
    </row>
    <row r="242" spans="1:7" ht="15.95" customHeight="1">
      <c r="A242" s="570" t="s">
        <v>1003</v>
      </c>
      <c r="B242" s="571"/>
      <c r="C242" s="571"/>
      <c r="D242" s="571"/>
      <c r="E242" s="572"/>
      <c r="F242" s="490">
        <f>SUM(F232:F241)</f>
        <v>420183563</v>
      </c>
      <c r="G242" s="555"/>
    </row>
    <row r="243" spans="1:7" ht="16.5">
      <c r="A243" s="476">
        <v>9</v>
      </c>
      <c r="B243" s="576" t="s">
        <v>45</v>
      </c>
      <c r="C243" s="577"/>
      <c r="D243" s="577"/>
      <c r="E243" s="577"/>
      <c r="F243" s="578"/>
      <c r="G243" s="556"/>
    </row>
    <row r="244" spans="1:7" ht="59.25" customHeight="1">
      <c r="A244" s="420" t="s">
        <v>83</v>
      </c>
      <c r="B244" s="357" t="s">
        <v>76</v>
      </c>
      <c r="C244" s="421" t="s">
        <v>73</v>
      </c>
      <c r="D244" s="507">
        <v>1</v>
      </c>
      <c r="E244" s="506">
        <v>150000000</v>
      </c>
      <c r="F244" s="340">
        <f>ROUND(D244*E244,0)</f>
        <v>150000000</v>
      </c>
      <c r="G244" s="547"/>
    </row>
    <row r="245" spans="1:7" ht="15.95" customHeight="1">
      <c r="A245" s="593" t="s">
        <v>958</v>
      </c>
      <c r="B245" s="594"/>
      <c r="C245" s="594"/>
      <c r="D245" s="594"/>
      <c r="E245" s="595"/>
      <c r="F245" s="490">
        <f>SUM(F244)</f>
        <v>150000000</v>
      </c>
      <c r="G245" s="555"/>
    </row>
    <row r="246" spans="1:7" ht="16.5">
      <c r="A246" s="423">
        <v>10</v>
      </c>
      <c r="B246" s="424" t="s">
        <v>819</v>
      </c>
      <c r="C246" s="425"/>
      <c r="D246" s="504"/>
      <c r="E246" s="427"/>
      <c r="F246" s="428"/>
      <c r="G246" s="561"/>
    </row>
    <row r="247" spans="1:7" ht="16.5">
      <c r="A247" s="423" t="s">
        <v>84</v>
      </c>
      <c r="B247" s="424" t="s">
        <v>820</v>
      </c>
      <c r="C247" s="425"/>
      <c r="D247" s="504"/>
      <c r="E247" s="427"/>
      <c r="F247" s="428"/>
      <c r="G247" s="561"/>
    </row>
    <row r="248" spans="1:7" ht="16.5">
      <c r="A248" s="429" t="s">
        <v>153</v>
      </c>
      <c r="B248" s="430" t="s">
        <v>821</v>
      </c>
      <c r="C248" s="431" t="s">
        <v>157</v>
      </c>
      <c r="D248" s="538">
        <v>19</v>
      </c>
      <c r="E248" s="506">
        <v>888944</v>
      </c>
      <c r="F248" s="340">
        <f t="shared" ref="F248:F260" si="9">ROUND(D248*E248,0)</f>
        <v>16889936</v>
      </c>
      <c r="G248" s="547"/>
    </row>
    <row r="249" spans="1:7" ht="16.5">
      <c r="A249" s="429" t="s">
        <v>1180</v>
      </c>
      <c r="B249" s="430" t="s">
        <v>822</v>
      </c>
      <c r="C249" s="431" t="s">
        <v>157</v>
      </c>
      <c r="D249" s="538">
        <v>28</v>
      </c>
      <c r="E249" s="506">
        <v>824505</v>
      </c>
      <c r="F249" s="340">
        <f t="shared" si="9"/>
        <v>23086140</v>
      </c>
      <c r="G249" s="547"/>
    </row>
    <row r="250" spans="1:7" ht="16.5">
      <c r="A250" s="429" t="s">
        <v>1181</v>
      </c>
      <c r="B250" s="430" t="s">
        <v>823</v>
      </c>
      <c r="C250" s="431" t="s">
        <v>157</v>
      </c>
      <c r="D250" s="538">
        <v>15</v>
      </c>
      <c r="E250" s="506">
        <v>538971</v>
      </c>
      <c r="F250" s="340">
        <f t="shared" si="9"/>
        <v>8084565</v>
      </c>
      <c r="G250" s="547"/>
    </row>
    <row r="251" spans="1:7" ht="16.5">
      <c r="A251" s="429" t="s">
        <v>1182</v>
      </c>
      <c r="B251" s="449" t="s">
        <v>824</v>
      </c>
      <c r="C251" s="431" t="s">
        <v>454</v>
      </c>
      <c r="D251" s="538">
        <v>170</v>
      </c>
      <c r="E251" s="506">
        <v>11489</v>
      </c>
      <c r="F251" s="340">
        <f t="shared" si="9"/>
        <v>1953130</v>
      </c>
      <c r="G251" s="547"/>
    </row>
    <row r="252" spans="1:7" ht="16.5">
      <c r="A252" s="429" t="s">
        <v>1183</v>
      </c>
      <c r="B252" s="430" t="s">
        <v>825</v>
      </c>
      <c r="C252" s="431" t="s">
        <v>454</v>
      </c>
      <c r="D252" s="538">
        <v>170</v>
      </c>
      <c r="E252" s="506">
        <v>11646</v>
      </c>
      <c r="F252" s="340">
        <f t="shared" si="9"/>
        <v>1979820</v>
      </c>
      <c r="G252" s="547"/>
    </row>
    <row r="253" spans="1:7" ht="16.5">
      <c r="A253" s="429" t="s">
        <v>1184</v>
      </c>
      <c r="B253" s="430" t="s">
        <v>826</v>
      </c>
      <c r="C253" s="431" t="s">
        <v>454</v>
      </c>
      <c r="D253" s="538">
        <v>60</v>
      </c>
      <c r="E253" s="506">
        <v>5794</v>
      </c>
      <c r="F253" s="340">
        <f t="shared" si="9"/>
        <v>347640</v>
      </c>
      <c r="G253" s="547"/>
    </row>
    <row r="254" spans="1:7" ht="16.5">
      <c r="A254" s="429" t="s">
        <v>1185</v>
      </c>
      <c r="B254" s="430" t="s">
        <v>827</v>
      </c>
      <c r="C254" s="431" t="s">
        <v>493</v>
      </c>
      <c r="D254" s="538">
        <v>970</v>
      </c>
      <c r="E254" s="506">
        <v>12135</v>
      </c>
      <c r="F254" s="340">
        <f t="shared" si="9"/>
        <v>11770950</v>
      </c>
      <c r="G254" s="547"/>
    </row>
    <row r="255" spans="1:7" ht="16.5">
      <c r="A255" s="429" t="s">
        <v>1186</v>
      </c>
      <c r="B255" s="430" t="s">
        <v>828</v>
      </c>
      <c r="C255" s="431" t="s">
        <v>454</v>
      </c>
      <c r="D255" s="538">
        <v>70</v>
      </c>
      <c r="E255" s="506">
        <v>42332</v>
      </c>
      <c r="F255" s="340">
        <f t="shared" si="9"/>
        <v>2963240</v>
      </c>
      <c r="G255" s="547"/>
    </row>
    <row r="256" spans="1:7" ht="16.5">
      <c r="A256" s="429" t="s">
        <v>1187</v>
      </c>
      <c r="B256" s="430" t="s">
        <v>829</v>
      </c>
      <c r="C256" s="431" t="s">
        <v>493</v>
      </c>
      <c r="D256" s="538">
        <v>1510</v>
      </c>
      <c r="E256" s="506">
        <v>11836</v>
      </c>
      <c r="F256" s="340">
        <f t="shared" si="9"/>
        <v>17872360</v>
      </c>
      <c r="G256" s="547"/>
    </row>
    <row r="257" spans="1:7" ht="16.5">
      <c r="A257" s="429" t="s">
        <v>1188</v>
      </c>
      <c r="B257" s="430" t="s">
        <v>830</v>
      </c>
      <c r="C257" s="431" t="s">
        <v>493</v>
      </c>
      <c r="D257" s="538">
        <v>970</v>
      </c>
      <c r="E257" s="506">
        <v>4100</v>
      </c>
      <c r="F257" s="340">
        <f t="shared" si="9"/>
        <v>3977000</v>
      </c>
      <c r="G257" s="547"/>
    </row>
    <row r="258" spans="1:7" ht="16.5">
      <c r="A258" s="429" t="s">
        <v>1189</v>
      </c>
      <c r="B258" s="430" t="s">
        <v>831</v>
      </c>
      <c r="C258" s="431" t="s">
        <v>157</v>
      </c>
      <c r="D258" s="538">
        <v>17</v>
      </c>
      <c r="E258" s="506">
        <v>41140</v>
      </c>
      <c r="F258" s="340">
        <f t="shared" si="9"/>
        <v>699380</v>
      </c>
      <c r="G258" s="547"/>
    </row>
    <row r="259" spans="1:7" ht="16.5">
      <c r="A259" s="429" t="s">
        <v>1190</v>
      </c>
      <c r="B259" s="430" t="s">
        <v>832</v>
      </c>
      <c r="C259" s="431" t="s">
        <v>157</v>
      </c>
      <c r="D259" s="538">
        <v>5</v>
      </c>
      <c r="E259" s="506">
        <v>340124</v>
      </c>
      <c r="F259" s="340">
        <f t="shared" si="9"/>
        <v>1700620</v>
      </c>
      <c r="G259" s="547"/>
    </row>
    <row r="260" spans="1:7" ht="16.5">
      <c r="A260" s="429" t="s">
        <v>1191</v>
      </c>
      <c r="B260" s="430" t="s">
        <v>833</v>
      </c>
      <c r="C260" s="431" t="s">
        <v>157</v>
      </c>
      <c r="D260" s="538">
        <v>5</v>
      </c>
      <c r="E260" s="506">
        <v>29690</v>
      </c>
      <c r="F260" s="340">
        <f t="shared" si="9"/>
        <v>148450</v>
      </c>
      <c r="G260" s="547"/>
    </row>
    <row r="261" spans="1:7" ht="16.5">
      <c r="A261" s="429"/>
      <c r="B261" s="430"/>
      <c r="C261" s="431"/>
      <c r="D261" s="539"/>
      <c r="E261" s="435" t="s">
        <v>958</v>
      </c>
      <c r="F261" s="517">
        <f>SUM(F248:F260)</f>
        <v>91473231</v>
      </c>
      <c r="G261" s="548"/>
    </row>
    <row r="262" spans="1:7" ht="16.5">
      <c r="A262" s="423" t="s">
        <v>1308</v>
      </c>
      <c r="B262" s="424" t="s">
        <v>834</v>
      </c>
      <c r="C262" s="437"/>
      <c r="D262" s="540"/>
      <c r="E262" s="439"/>
      <c r="F262" s="440"/>
      <c r="G262" s="562"/>
    </row>
    <row r="263" spans="1:7" ht="16.5">
      <c r="A263" s="429" t="s">
        <v>1309</v>
      </c>
      <c r="B263" s="430" t="s">
        <v>821</v>
      </c>
      <c r="C263" s="431" t="s">
        <v>157</v>
      </c>
      <c r="D263" s="538">
        <v>11</v>
      </c>
      <c r="E263" s="506">
        <v>888944</v>
      </c>
      <c r="F263" s="340">
        <f t="shared" ref="F263:F275" si="10">ROUND(D263*E263,0)</f>
        <v>9778384</v>
      </c>
      <c r="G263" s="547"/>
    </row>
    <row r="264" spans="1:7" ht="16.5">
      <c r="A264" s="429" t="s">
        <v>1310</v>
      </c>
      <c r="B264" s="430" t="s">
        <v>822</v>
      </c>
      <c r="C264" s="431" t="s">
        <v>157</v>
      </c>
      <c r="D264" s="538">
        <v>11</v>
      </c>
      <c r="E264" s="506">
        <v>824505</v>
      </c>
      <c r="F264" s="340">
        <f t="shared" si="10"/>
        <v>9069555</v>
      </c>
      <c r="G264" s="547"/>
    </row>
    <row r="265" spans="1:7" ht="16.5">
      <c r="A265" s="429" t="s">
        <v>1311</v>
      </c>
      <c r="B265" s="430" t="s">
        <v>823</v>
      </c>
      <c r="C265" s="431" t="s">
        <v>157</v>
      </c>
      <c r="D265" s="538">
        <v>11</v>
      </c>
      <c r="E265" s="506">
        <v>538971</v>
      </c>
      <c r="F265" s="340">
        <f t="shared" si="10"/>
        <v>5928681</v>
      </c>
      <c r="G265" s="547"/>
    </row>
    <row r="266" spans="1:7" ht="16.5">
      <c r="A266" s="429" t="s">
        <v>1312</v>
      </c>
      <c r="B266" s="430" t="s">
        <v>824</v>
      </c>
      <c r="C266" s="431" t="s">
        <v>454</v>
      </c>
      <c r="D266" s="538">
        <v>69</v>
      </c>
      <c r="E266" s="506">
        <v>11489</v>
      </c>
      <c r="F266" s="340">
        <f t="shared" si="10"/>
        <v>792741</v>
      </c>
      <c r="G266" s="547"/>
    </row>
    <row r="267" spans="1:7" ht="16.5">
      <c r="A267" s="429" t="s">
        <v>1313</v>
      </c>
      <c r="B267" s="430" t="s">
        <v>825</v>
      </c>
      <c r="C267" s="431" t="s">
        <v>454</v>
      </c>
      <c r="D267" s="538">
        <v>69</v>
      </c>
      <c r="E267" s="506">
        <v>11646</v>
      </c>
      <c r="F267" s="340">
        <f t="shared" si="10"/>
        <v>803574</v>
      </c>
      <c r="G267" s="547"/>
    </row>
    <row r="268" spans="1:7" ht="16.5">
      <c r="A268" s="429" t="s">
        <v>1314</v>
      </c>
      <c r="B268" s="430" t="s">
        <v>826</v>
      </c>
      <c r="C268" s="431" t="s">
        <v>454</v>
      </c>
      <c r="D268" s="538">
        <v>18</v>
      </c>
      <c r="E268" s="506">
        <v>5794</v>
      </c>
      <c r="F268" s="340">
        <f t="shared" si="10"/>
        <v>104292</v>
      </c>
      <c r="G268" s="547"/>
    </row>
    <row r="269" spans="1:7" ht="16.5">
      <c r="A269" s="429" t="s">
        <v>1315</v>
      </c>
      <c r="B269" s="430" t="s">
        <v>827</v>
      </c>
      <c r="C269" s="431" t="s">
        <v>493</v>
      </c>
      <c r="D269" s="538">
        <v>450</v>
      </c>
      <c r="E269" s="506">
        <v>12135</v>
      </c>
      <c r="F269" s="340">
        <f t="shared" si="10"/>
        <v>5460750</v>
      </c>
      <c r="G269" s="547"/>
    </row>
    <row r="270" spans="1:7" ht="16.5">
      <c r="A270" s="429" t="s">
        <v>1316</v>
      </c>
      <c r="B270" s="430" t="s">
        <v>828</v>
      </c>
      <c r="C270" s="431" t="s">
        <v>454</v>
      </c>
      <c r="D270" s="538">
        <v>25</v>
      </c>
      <c r="E270" s="506">
        <v>42332</v>
      </c>
      <c r="F270" s="340">
        <f t="shared" si="10"/>
        <v>1058300</v>
      </c>
      <c r="G270" s="547"/>
    </row>
    <row r="271" spans="1:7" ht="16.5">
      <c r="A271" s="429" t="s">
        <v>1317</v>
      </c>
      <c r="B271" s="430" t="s">
        <v>829</v>
      </c>
      <c r="C271" s="431" t="s">
        <v>493</v>
      </c>
      <c r="D271" s="538">
        <v>780</v>
      </c>
      <c r="E271" s="506">
        <v>11836</v>
      </c>
      <c r="F271" s="340">
        <f t="shared" si="10"/>
        <v>9232080</v>
      </c>
      <c r="G271" s="547"/>
    </row>
    <row r="272" spans="1:7" ht="16.5">
      <c r="A272" s="429" t="s">
        <v>1318</v>
      </c>
      <c r="B272" s="430" t="s">
        <v>830</v>
      </c>
      <c r="C272" s="431" t="s">
        <v>493</v>
      </c>
      <c r="D272" s="538">
        <v>520</v>
      </c>
      <c r="E272" s="506">
        <v>4100</v>
      </c>
      <c r="F272" s="340">
        <f t="shared" si="10"/>
        <v>2132000</v>
      </c>
      <c r="G272" s="547"/>
    </row>
    <row r="273" spans="1:7" ht="16.5">
      <c r="A273" s="429" t="s">
        <v>1319</v>
      </c>
      <c r="B273" s="430" t="s">
        <v>831</v>
      </c>
      <c r="C273" s="431" t="s">
        <v>157</v>
      </c>
      <c r="D273" s="538">
        <v>11</v>
      </c>
      <c r="E273" s="506">
        <v>41140</v>
      </c>
      <c r="F273" s="340">
        <f t="shared" si="10"/>
        <v>452540</v>
      </c>
      <c r="G273" s="547"/>
    </row>
    <row r="274" spans="1:7" ht="16.5">
      <c r="A274" s="429" t="s">
        <v>1320</v>
      </c>
      <c r="B274" s="430" t="s">
        <v>832</v>
      </c>
      <c r="C274" s="431" t="s">
        <v>157</v>
      </c>
      <c r="D274" s="538">
        <v>8</v>
      </c>
      <c r="E274" s="506">
        <v>340124</v>
      </c>
      <c r="F274" s="340">
        <f t="shared" si="10"/>
        <v>2720992</v>
      </c>
      <c r="G274" s="547"/>
    </row>
    <row r="275" spans="1:7" ht="16.5">
      <c r="A275" s="429" t="s">
        <v>1321</v>
      </c>
      <c r="B275" s="430" t="s">
        <v>833</v>
      </c>
      <c r="C275" s="431" t="s">
        <v>157</v>
      </c>
      <c r="D275" s="538">
        <v>3</v>
      </c>
      <c r="E275" s="506">
        <v>29690</v>
      </c>
      <c r="F275" s="340">
        <f t="shared" si="10"/>
        <v>89070</v>
      </c>
      <c r="G275" s="547"/>
    </row>
    <row r="276" spans="1:7" ht="16.5">
      <c r="A276" s="429"/>
      <c r="B276" s="430"/>
      <c r="C276" s="431"/>
      <c r="D276" s="539"/>
      <c r="E276" s="435" t="s">
        <v>958</v>
      </c>
      <c r="F276" s="517">
        <f>SUM(F263:F275)</f>
        <v>47622959</v>
      </c>
      <c r="G276" s="548"/>
    </row>
    <row r="277" spans="1:7" ht="16.5">
      <c r="A277" s="423" t="s">
        <v>1322</v>
      </c>
      <c r="B277" s="424" t="s">
        <v>835</v>
      </c>
      <c r="C277" s="437"/>
      <c r="D277" s="540"/>
      <c r="E277" s="439"/>
      <c r="F277" s="440"/>
      <c r="G277" s="562"/>
    </row>
    <row r="278" spans="1:7" ht="16.5">
      <c r="A278" s="429" t="s">
        <v>1323</v>
      </c>
      <c r="B278" s="430" t="s">
        <v>821</v>
      </c>
      <c r="C278" s="431" t="s">
        <v>157</v>
      </c>
      <c r="D278" s="538">
        <v>4</v>
      </c>
      <c r="E278" s="506">
        <v>888944</v>
      </c>
      <c r="F278" s="340">
        <f t="shared" ref="F278:F290" si="11">ROUND(D278*E278,0)</f>
        <v>3555776</v>
      </c>
      <c r="G278" s="547"/>
    </row>
    <row r="279" spans="1:7" ht="16.5">
      <c r="A279" s="429" t="s">
        <v>1324</v>
      </c>
      <c r="B279" s="430" t="s">
        <v>822</v>
      </c>
      <c r="C279" s="431" t="s">
        <v>157</v>
      </c>
      <c r="D279" s="538">
        <v>3</v>
      </c>
      <c r="E279" s="506">
        <v>824505</v>
      </c>
      <c r="F279" s="340">
        <f t="shared" si="11"/>
        <v>2473515</v>
      </c>
      <c r="G279" s="547"/>
    </row>
    <row r="280" spans="1:7" ht="16.5">
      <c r="A280" s="429" t="s">
        <v>1325</v>
      </c>
      <c r="B280" s="430" t="s">
        <v>823</v>
      </c>
      <c r="C280" s="431" t="s">
        <v>157</v>
      </c>
      <c r="D280" s="538">
        <v>4</v>
      </c>
      <c r="E280" s="506">
        <v>538971</v>
      </c>
      <c r="F280" s="340">
        <f t="shared" si="11"/>
        <v>2155884</v>
      </c>
      <c r="G280" s="547"/>
    </row>
    <row r="281" spans="1:7" ht="16.5">
      <c r="A281" s="429" t="s">
        <v>1326</v>
      </c>
      <c r="B281" s="430" t="s">
        <v>824</v>
      </c>
      <c r="C281" s="431" t="s">
        <v>454</v>
      </c>
      <c r="D281" s="538">
        <v>12</v>
      </c>
      <c r="E281" s="506">
        <v>11489</v>
      </c>
      <c r="F281" s="340">
        <f t="shared" si="11"/>
        <v>137868</v>
      </c>
      <c r="G281" s="547"/>
    </row>
    <row r="282" spans="1:7" ht="16.5">
      <c r="A282" s="429" t="s">
        <v>1327</v>
      </c>
      <c r="B282" s="430" t="s">
        <v>825</v>
      </c>
      <c r="C282" s="431" t="s">
        <v>454</v>
      </c>
      <c r="D282" s="538">
        <v>12</v>
      </c>
      <c r="E282" s="506">
        <v>11646</v>
      </c>
      <c r="F282" s="340">
        <f t="shared" si="11"/>
        <v>139752</v>
      </c>
      <c r="G282" s="547"/>
    </row>
    <row r="283" spans="1:7" ht="16.5">
      <c r="A283" s="429" t="s">
        <v>1328</v>
      </c>
      <c r="B283" s="430" t="s">
        <v>826</v>
      </c>
      <c r="C283" s="431" t="s">
        <v>454</v>
      </c>
      <c r="D283" s="538">
        <v>3</v>
      </c>
      <c r="E283" s="506">
        <v>5794</v>
      </c>
      <c r="F283" s="340">
        <f t="shared" si="11"/>
        <v>17382</v>
      </c>
      <c r="G283" s="547"/>
    </row>
    <row r="284" spans="1:7" ht="16.5">
      <c r="A284" s="429" t="s">
        <v>1329</v>
      </c>
      <c r="B284" s="430" t="s">
        <v>827</v>
      </c>
      <c r="C284" s="431" t="s">
        <v>493</v>
      </c>
      <c r="D284" s="538">
        <v>60</v>
      </c>
      <c r="E284" s="506">
        <v>12135</v>
      </c>
      <c r="F284" s="340">
        <f t="shared" si="11"/>
        <v>728100</v>
      </c>
      <c r="G284" s="547"/>
    </row>
    <row r="285" spans="1:7" ht="16.5">
      <c r="A285" s="429" t="s">
        <v>1330</v>
      </c>
      <c r="B285" s="430" t="s">
        <v>828</v>
      </c>
      <c r="C285" s="431" t="s">
        <v>454</v>
      </c>
      <c r="D285" s="538">
        <v>4</v>
      </c>
      <c r="E285" s="506">
        <v>42332</v>
      </c>
      <c r="F285" s="340">
        <f t="shared" si="11"/>
        <v>169328</v>
      </c>
      <c r="G285" s="547"/>
    </row>
    <row r="286" spans="1:7" ht="16.5">
      <c r="A286" s="429" t="s">
        <v>1331</v>
      </c>
      <c r="B286" s="430" t="s">
        <v>829</v>
      </c>
      <c r="C286" s="431" t="s">
        <v>493</v>
      </c>
      <c r="D286" s="538">
        <v>160</v>
      </c>
      <c r="E286" s="506">
        <v>11836</v>
      </c>
      <c r="F286" s="340">
        <f t="shared" si="11"/>
        <v>1893760</v>
      </c>
      <c r="G286" s="547"/>
    </row>
    <row r="287" spans="1:7" ht="16.5">
      <c r="A287" s="429" t="s">
        <v>1332</v>
      </c>
      <c r="B287" s="430" t="s">
        <v>830</v>
      </c>
      <c r="C287" s="431" t="s">
        <v>493</v>
      </c>
      <c r="D287" s="538">
        <v>105</v>
      </c>
      <c r="E287" s="506">
        <v>4100</v>
      </c>
      <c r="F287" s="340">
        <f t="shared" si="11"/>
        <v>430500</v>
      </c>
      <c r="G287" s="547"/>
    </row>
    <row r="288" spans="1:7" ht="16.5">
      <c r="A288" s="429" t="s">
        <v>1333</v>
      </c>
      <c r="B288" s="430" t="s">
        <v>831</v>
      </c>
      <c r="C288" s="431" t="s">
        <v>157</v>
      </c>
      <c r="D288" s="538">
        <v>3</v>
      </c>
      <c r="E288" s="506">
        <v>41140</v>
      </c>
      <c r="F288" s="340">
        <f t="shared" si="11"/>
        <v>123420</v>
      </c>
      <c r="G288" s="547"/>
    </row>
    <row r="289" spans="1:7" ht="16.5">
      <c r="A289" s="429" t="s">
        <v>1334</v>
      </c>
      <c r="B289" s="430" t="s">
        <v>832</v>
      </c>
      <c r="C289" s="431" t="s">
        <v>157</v>
      </c>
      <c r="D289" s="538">
        <v>2</v>
      </c>
      <c r="E289" s="506">
        <v>340124</v>
      </c>
      <c r="F289" s="340">
        <f t="shared" si="11"/>
        <v>680248</v>
      </c>
      <c r="G289" s="547"/>
    </row>
    <row r="290" spans="1:7" ht="16.5">
      <c r="A290" s="429" t="s">
        <v>1335</v>
      </c>
      <c r="B290" s="430" t="s">
        <v>833</v>
      </c>
      <c r="C290" s="431" t="s">
        <v>157</v>
      </c>
      <c r="D290" s="538">
        <v>2</v>
      </c>
      <c r="E290" s="506">
        <v>29690</v>
      </c>
      <c r="F290" s="340">
        <f t="shared" si="11"/>
        <v>59380</v>
      </c>
      <c r="G290" s="547"/>
    </row>
    <row r="291" spans="1:7" ht="16.5">
      <c r="A291" s="429"/>
      <c r="B291" s="430"/>
      <c r="C291" s="431"/>
      <c r="D291" s="539"/>
      <c r="E291" s="435" t="s">
        <v>958</v>
      </c>
      <c r="F291" s="517">
        <f>SUM(F278:F290)</f>
        <v>12564913</v>
      </c>
      <c r="G291" s="548"/>
    </row>
    <row r="292" spans="1:7" ht="33">
      <c r="A292" s="423" t="s">
        <v>1336</v>
      </c>
      <c r="B292" s="424" t="s">
        <v>836</v>
      </c>
      <c r="C292" s="437"/>
      <c r="D292" s="540"/>
      <c r="E292" s="439"/>
      <c r="F292" s="440"/>
      <c r="G292" s="562"/>
    </row>
    <row r="293" spans="1:7" ht="16.5">
      <c r="A293" s="429" t="s">
        <v>1337</v>
      </c>
      <c r="B293" s="430" t="s">
        <v>821</v>
      </c>
      <c r="C293" s="431" t="s">
        <v>157</v>
      </c>
      <c r="D293" s="538">
        <v>3</v>
      </c>
      <c r="E293" s="506">
        <v>888944</v>
      </c>
      <c r="F293" s="340">
        <f t="shared" ref="F293:F305" si="12">ROUND(D293*E293,0)</f>
        <v>2666832</v>
      </c>
      <c r="G293" s="547"/>
    </row>
    <row r="294" spans="1:7" ht="16.5">
      <c r="A294" s="429" t="s">
        <v>1338</v>
      </c>
      <c r="B294" s="430" t="s">
        <v>822</v>
      </c>
      <c r="C294" s="431" t="s">
        <v>157</v>
      </c>
      <c r="D294" s="538">
        <v>3</v>
      </c>
      <c r="E294" s="506">
        <v>824505</v>
      </c>
      <c r="F294" s="340">
        <f t="shared" si="12"/>
        <v>2473515</v>
      </c>
      <c r="G294" s="547"/>
    </row>
    <row r="295" spans="1:7" ht="16.5">
      <c r="A295" s="429" t="s">
        <v>1339</v>
      </c>
      <c r="B295" s="430" t="s">
        <v>823</v>
      </c>
      <c r="C295" s="431" t="s">
        <v>157</v>
      </c>
      <c r="D295" s="538">
        <v>3</v>
      </c>
      <c r="E295" s="506">
        <v>538971</v>
      </c>
      <c r="F295" s="340">
        <f t="shared" si="12"/>
        <v>1616913</v>
      </c>
      <c r="G295" s="547"/>
    </row>
    <row r="296" spans="1:7" ht="16.5">
      <c r="A296" s="429" t="s">
        <v>1340</v>
      </c>
      <c r="B296" s="430" t="s">
        <v>824</v>
      </c>
      <c r="C296" s="431" t="s">
        <v>454</v>
      </c>
      <c r="D296" s="538">
        <v>9</v>
      </c>
      <c r="E296" s="506">
        <v>11489</v>
      </c>
      <c r="F296" s="340">
        <f t="shared" si="12"/>
        <v>103401</v>
      </c>
      <c r="G296" s="547"/>
    </row>
    <row r="297" spans="1:7" ht="16.5">
      <c r="A297" s="429" t="s">
        <v>1341</v>
      </c>
      <c r="B297" s="430" t="s">
        <v>825</v>
      </c>
      <c r="C297" s="431" t="s">
        <v>454</v>
      </c>
      <c r="D297" s="538">
        <v>9</v>
      </c>
      <c r="E297" s="506">
        <v>11646</v>
      </c>
      <c r="F297" s="340">
        <f t="shared" si="12"/>
        <v>104814</v>
      </c>
      <c r="G297" s="547"/>
    </row>
    <row r="298" spans="1:7" ht="16.5">
      <c r="A298" s="429" t="s">
        <v>1342</v>
      </c>
      <c r="B298" s="430" t="s">
        <v>826</v>
      </c>
      <c r="C298" s="431" t="s">
        <v>454</v>
      </c>
      <c r="D298" s="538">
        <v>3</v>
      </c>
      <c r="E298" s="506">
        <v>5794</v>
      </c>
      <c r="F298" s="340">
        <f t="shared" si="12"/>
        <v>17382</v>
      </c>
      <c r="G298" s="547"/>
    </row>
    <row r="299" spans="1:7" ht="16.5">
      <c r="A299" s="429" t="s">
        <v>1343</v>
      </c>
      <c r="B299" s="430" t="s">
        <v>827</v>
      </c>
      <c r="C299" s="431" t="s">
        <v>493</v>
      </c>
      <c r="D299" s="538">
        <v>60</v>
      </c>
      <c r="E299" s="506">
        <v>12135</v>
      </c>
      <c r="F299" s="340">
        <f t="shared" si="12"/>
        <v>728100</v>
      </c>
      <c r="G299" s="547"/>
    </row>
    <row r="300" spans="1:7" ht="16.5">
      <c r="A300" s="429" t="s">
        <v>1344</v>
      </c>
      <c r="B300" s="430" t="s">
        <v>828</v>
      </c>
      <c r="C300" s="431" t="s">
        <v>454</v>
      </c>
      <c r="D300" s="538">
        <v>3</v>
      </c>
      <c r="E300" s="506">
        <v>42332</v>
      </c>
      <c r="F300" s="340">
        <f t="shared" si="12"/>
        <v>126996</v>
      </c>
      <c r="G300" s="547"/>
    </row>
    <row r="301" spans="1:7" ht="16.5">
      <c r="A301" s="429" t="s">
        <v>1345</v>
      </c>
      <c r="B301" s="430" t="s">
        <v>829</v>
      </c>
      <c r="C301" s="431" t="s">
        <v>493</v>
      </c>
      <c r="D301" s="538">
        <v>100</v>
      </c>
      <c r="E301" s="506">
        <v>11836</v>
      </c>
      <c r="F301" s="340">
        <f t="shared" si="12"/>
        <v>1183600</v>
      </c>
      <c r="G301" s="547"/>
    </row>
    <row r="302" spans="1:7" ht="16.5">
      <c r="A302" s="429" t="s">
        <v>1346</v>
      </c>
      <c r="B302" s="430" t="s">
        <v>830</v>
      </c>
      <c r="C302" s="431" t="s">
        <v>493</v>
      </c>
      <c r="D302" s="538">
        <v>100</v>
      </c>
      <c r="E302" s="506">
        <v>4100</v>
      </c>
      <c r="F302" s="340">
        <f t="shared" si="12"/>
        <v>410000</v>
      </c>
      <c r="G302" s="547"/>
    </row>
    <row r="303" spans="1:7" ht="16.5">
      <c r="A303" s="429" t="s">
        <v>1347</v>
      </c>
      <c r="B303" s="430" t="s">
        <v>831</v>
      </c>
      <c r="C303" s="431" t="s">
        <v>157</v>
      </c>
      <c r="D303" s="538">
        <v>3</v>
      </c>
      <c r="E303" s="506">
        <v>41140</v>
      </c>
      <c r="F303" s="340">
        <f t="shared" si="12"/>
        <v>123420</v>
      </c>
      <c r="G303" s="547"/>
    </row>
    <row r="304" spans="1:7" ht="16.5">
      <c r="A304" s="429" t="s">
        <v>1348</v>
      </c>
      <c r="B304" s="430" t="s">
        <v>832</v>
      </c>
      <c r="C304" s="431" t="s">
        <v>157</v>
      </c>
      <c r="D304" s="538">
        <v>3</v>
      </c>
      <c r="E304" s="506">
        <v>340124</v>
      </c>
      <c r="F304" s="340">
        <f t="shared" si="12"/>
        <v>1020372</v>
      </c>
      <c r="G304" s="547"/>
    </row>
    <row r="305" spans="1:7" ht="16.5">
      <c r="A305" s="429" t="s">
        <v>1349</v>
      </c>
      <c r="B305" s="430" t="s">
        <v>833</v>
      </c>
      <c r="C305" s="431" t="s">
        <v>157</v>
      </c>
      <c r="D305" s="538">
        <v>3</v>
      </c>
      <c r="E305" s="506">
        <v>29690</v>
      </c>
      <c r="F305" s="340">
        <f t="shared" si="12"/>
        <v>89070</v>
      </c>
      <c r="G305" s="547"/>
    </row>
    <row r="306" spans="1:7" ht="16.5">
      <c r="A306" s="429"/>
      <c r="B306" s="430"/>
      <c r="C306" s="431"/>
      <c r="D306" s="539"/>
      <c r="E306" s="435" t="s">
        <v>958</v>
      </c>
      <c r="F306" s="517">
        <f>SUM(F293:F305)</f>
        <v>10664415</v>
      </c>
      <c r="G306" s="548"/>
    </row>
    <row r="307" spans="1:7" ht="16.5">
      <c r="A307" s="423" t="s">
        <v>1350</v>
      </c>
      <c r="B307" s="424" t="s">
        <v>879</v>
      </c>
      <c r="C307" s="437"/>
      <c r="D307" s="540"/>
      <c r="E307" s="439"/>
      <c r="F307" s="440"/>
      <c r="G307" s="562"/>
    </row>
    <row r="308" spans="1:7" ht="16.5">
      <c r="A308" s="429" t="s">
        <v>1351</v>
      </c>
      <c r="B308" s="430" t="s">
        <v>832</v>
      </c>
      <c r="C308" s="431" t="s">
        <v>157</v>
      </c>
      <c r="D308" s="538">
        <v>15</v>
      </c>
      <c r="E308" s="506">
        <v>140124</v>
      </c>
      <c r="F308" s="340">
        <f t="shared" ref="F308:F316" si="13">ROUND(D308*E308,0)</f>
        <v>2101860</v>
      </c>
      <c r="G308" s="547"/>
    </row>
    <row r="309" spans="1:7" ht="16.5">
      <c r="A309" s="429" t="s">
        <v>1352</v>
      </c>
      <c r="B309" s="430" t="s">
        <v>833</v>
      </c>
      <c r="C309" s="431" t="s">
        <v>157</v>
      </c>
      <c r="D309" s="538">
        <v>20</v>
      </c>
      <c r="E309" s="506">
        <v>29690</v>
      </c>
      <c r="F309" s="340">
        <f t="shared" si="13"/>
        <v>593800</v>
      </c>
      <c r="G309" s="547"/>
    </row>
    <row r="310" spans="1:7" ht="16.5">
      <c r="A310" s="429" t="s">
        <v>1353</v>
      </c>
      <c r="B310" s="430" t="s">
        <v>880</v>
      </c>
      <c r="C310" s="431" t="s">
        <v>157</v>
      </c>
      <c r="D310" s="538">
        <v>6</v>
      </c>
      <c r="E310" s="506">
        <v>72897</v>
      </c>
      <c r="F310" s="340">
        <f t="shared" si="13"/>
        <v>437382</v>
      </c>
      <c r="G310" s="547"/>
    </row>
    <row r="311" spans="1:7" ht="16.5">
      <c r="A311" s="429" t="s">
        <v>1354</v>
      </c>
      <c r="B311" s="430" t="s">
        <v>881</v>
      </c>
      <c r="C311" s="431" t="s">
        <v>157</v>
      </c>
      <c r="D311" s="538">
        <v>6</v>
      </c>
      <c r="E311" s="506">
        <v>329173</v>
      </c>
      <c r="F311" s="340">
        <f t="shared" si="13"/>
        <v>1975038</v>
      </c>
      <c r="G311" s="547"/>
    </row>
    <row r="312" spans="1:7" ht="16.5">
      <c r="A312" s="429" t="s">
        <v>1355</v>
      </c>
      <c r="B312" s="430" t="s">
        <v>882</v>
      </c>
      <c r="C312" s="431" t="s">
        <v>157</v>
      </c>
      <c r="D312" s="538">
        <v>40</v>
      </c>
      <c r="E312" s="506">
        <v>127364</v>
      </c>
      <c r="F312" s="340">
        <f t="shared" si="13"/>
        <v>5094560</v>
      </c>
      <c r="G312" s="547"/>
    </row>
    <row r="313" spans="1:7" ht="16.5">
      <c r="A313" s="429" t="s">
        <v>1356</v>
      </c>
      <c r="B313" s="430" t="s">
        <v>824</v>
      </c>
      <c r="C313" s="431" t="s">
        <v>454</v>
      </c>
      <c r="D313" s="538">
        <v>10</v>
      </c>
      <c r="E313" s="506">
        <v>11489</v>
      </c>
      <c r="F313" s="340">
        <f t="shared" si="13"/>
        <v>114890</v>
      </c>
      <c r="G313" s="547"/>
    </row>
    <row r="314" spans="1:7" ht="16.5">
      <c r="A314" s="429" t="s">
        <v>1357</v>
      </c>
      <c r="B314" s="430" t="s">
        <v>825</v>
      </c>
      <c r="C314" s="431" t="s">
        <v>454</v>
      </c>
      <c r="D314" s="538">
        <v>10</v>
      </c>
      <c r="E314" s="506">
        <v>11646</v>
      </c>
      <c r="F314" s="340">
        <f t="shared" si="13"/>
        <v>116460</v>
      </c>
      <c r="G314" s="547"/>
    </row>
    <row r="315" spans="1:7" ht="16.5">
      <c r="A315" s="429" t="s">
        <v>1358</v>
      </c>
      <c r="B315" s="430" t="s">
        <v>826</v>
      </c>
      <c r="C315" s="431" t="s">
        <v>454</v>
      </c>
      <c r="D315" s="538">
        <v>5</v>
      </c>
      <c r="E315" s="506">
        <v>5794</v>
      </c>
      <c r="F315" s="340">
        <f t="shared" si="13"/>
        <v>28970</v>
      </c>
      <c r="G315" s="547"/>
    </row>
    <row r="316" spans="1:7" ht="16.5">
      <c r="A316" s="429" t="s">
        <v>1359</v>
      </c>
      <c r="B316" s="430" t="s">
        <v>885</v>
      </c>
      <c r="C316" s="431" t="s">
        <v>493</v>
      </c>
      <c r="D316" s="538">
        <v>170</v>
      </c>
      <c r="E316" s="506">
        <v>182750</v>
      </c>
      <c r="F316" s="340">
        <f t="shared" si="13"/>
        <v>31067500</v>
      </c>
      <c r="G316" s="547"/>
    </row>
    <row r="317" spans="1:7" ht="16.5">
      <c r="A317" s="429"/>
      <c r="B317" s="430"/>
      <c r="C317" s="431"/>
      <c r="D317" s="539"/>
      <c r="E317" s="435" t="s">
        <v>958</v>
      </c>
      <c r="F317" s="517">
        <f>SUM(F308:F316)</f>
        <v>41530460</v>
      </c>
      <c r="G317" s="548"/>
    </row>
    <row r="318" spans="1:7" ht="16.5">
      <c r="A318" s="423" t="s">
        <v>1360</v>
      </c>
      <c r="B318" s="424" t="s">
        <v>888</v>
      </c>
      <c r="C318" s="437"/>
      <c r="D318" s="540"/>
      <c r="E318" s="439"/>
      <c r="F318" s="440"/>
      <c r="G318" s="562"/>
    </row>
    <row r="319" spans="1:7" ht="16.5">
      <c r="A319" s="423"/>
      <c r="B319" s="424" t="s">
        <v>820</v>
      </c>
      <c r="C319" s="437"/>
      <c r="D319" s="540"/>
      <c r="E319" s="439"/>
      <c r="F319" s="440"/>
      <c r="G319" s="562"/>
    </row>
    <row r="320" spans="1:7" ht="16.5">
      <c r="A320" s="429" t="s">
        <v>1361</v>
      </c>
      <c r="B320" s="430" t="s">
        <v>889</v>
      </c>
      <c r="C320" s="431" t="s">
        <v>493</v>
      </c>
      <c r="D320" s="538">
        <v>160</v>
      </c>
      <c r="E320" s="506">
        <v>302880</v>
      </c>
      <c r="F320" s="340">
        <f t="shared" ref="F320:F326" si="14">ROUND(D320*E320,0)</f>
        <v>48460800</v>
      </c>
      <c r="G320" s="547"/>
    </row>
    <row r="321" spans="1:7" ht="16.5">
      <c r="A321" s="429" t="s">
        <v>1362</v>
      </c>
      <c r="B321" s="430" t="s">
        <v>890</v>
      </c>
      <c r="C321" s="431" t="s">
        <v>157</v>
      </c>
      <c r="D321" s="538">
        <v>4</v>
      </c>
      <c r="E321" s="506">
        <v>32346</v>
      </c>
      <c r="F321" s="340">
        <f t="shared" si="14"/>
        <v>129384</v>
      </c>
      <c r="G321" s="547"/>
    </row>
    <row r="322" spans="1:7" ht="16.5">
      <c r="A322" s="429" t="s">
        <v>1363</v>
      </c>
      <c r="B322" s="430" t="s">
        <v>823</v>
      </c>
      <c r="C322" s="431" t="s">
        <v>157</v>
      </c>
      <c r="D322" s="538">
        <v>7</v>
      </c>
      <c r="E322" s="506">
        <v>538971</v>
      </c>
      <c r="F322" s="340">
        <f t="shared" si="14"/>
        <v>3772797</v>
      </c>
      <c r="G322" s="547"/>
    </row>
    <row r="323" spans="1:7" ht="16.5">
      <c r="A323" s="429" t="s">
        <v>1364</v>
      </c>
      <c r="B323" s="430" t="s">
        <v>824</v>
      </c>
      <c r="C323" s="431" t="s">
        <v>454</v>
      </c>
      <c r="D323" s="538">
        <v>47</v>
      </c>
      <c r="E323" s="506">
        <v>11489</v>
      </c>
      <c r="F323" s="340">
        <f t="shared" si="14"/>
        <v>539983</v>
      </c>
      <c r="G323" s="547"/>
    </row>
    <row r="324" spans="1:7" ht="16.5">
      <c r="A324" s="429" t="s">
        <v>1365</v>
      </c>
      <c r="B324" s="430" t="s">
        <v>825</v>
      </c>
      <c r="C324" s="431" t="s">
        <v>454</v>
      </c>
      <c r="D324" s="538">
        <v>47</v>
      </c>
      <c r="E324" s="506">
        <v>11646</v>
      </c>
      <c r="F324" s="340">
        <f t="shared" si="14"/>
        <v>547362</v>
      </c>
      <c r="G324" s="547"/>
    </row>
    <row r="325" spans="1:7" ht="16.5">
      <c r="A325" s="429" t="s">
        <v>1366</v>
      </c>
      <c r="B325" s="430" t="s">
        <v>826</v>
      </c>
      <c r="C325" s="431" t="s">
        <v>454</v>
      </c>
      <c r="D325" s="538">
        <v>12</v>
      </c>
      <c r="E325" s="506">
        <v>5794</v>
      </c>
      <c r="F325" s="340">
        <f t="shared" si="14"/>
        <v>69528</v>
      </c>
      <c r="G325" s="547"/>
    </row>
    <row r="326" spans="1:7" ht="16.5">
      <c r="A326" s="429" t="s">
        <v>1367</v>
      </c>
      <c r="B326" s="430" t="s">
        <v>828</v>
      </c>
      <c r="C326" s="431" t="s">
        <v>454</v>
      </c>
      <c r="D326" s="538">
        <v>16</v>
      </c>
      <c r="E326" s="506">
        <v>42332</v>
      </c>
      <c r="F326" s="340">
        <f t="shared" si="14"/>
        <v>677312</v>
      </c>
      <c r="G326" s="547"/>
    </row>
    <row r="327" spans="1:7" ht="16.5">
      <c r="A327" s="429"/>
      <c r="B327" s="430"/>
      <c r="C327" s="431"/>
      <c r="D327" s="539"/>
      <c r="E327" s="435" t="s">
        <v>958</v>
      </c>
      <c r="F327" s="517">
        <f>SUM(F320:F326)</f>
        <v>54197166</v>
      </c>
      <c r="G327" s="548"/>
    </row>
    <row r="328" spans="1:7" ht="16.5">
      <c r="A328" s="423" t="s">
        <v>1368</v>
      </c>
      <c r="B328" s="424" t="s">
        <v>834</v>
      </c>
      <c r="C328" s="437"/>
      <c r="D328" s="540"/>
      <c r="E328" s="439"/>
      <c r="F328" s="440"/>
      <c r="G328" s="562"/>
    </row>
    <row r="329" spans="1:7" ht="16.5">
      <c r="A329" s="429" t="s">
        <v>1369</v>
      </c>
      <c r="B329" s="430" t="s">
        <v>889</v>
      </c>
      <c r="C329" s="431" t="s">
        <v>493</v>
      </c>
      <c r="D329" s="538">
        <v>19</v>
      </c>
      <c r="E329" s="506">
        <v>302880</v>
      </c>
      <c r="F329" s="340">
        <f t="shared" ref="F329:F335" si="15">ROUND(D329*E329,0)</f>
        <v>5754720</v>
      </c>
      <c r="G329" s="547"/>
    </row>
    <row r="330" spans="1:7" ht="16.5">
      <c r="A330" s="429" t="s">
        <v>1370</v>
      </c>
      <c r="B330" s="430" t="s">
        <v>890</v>
      </c>
      <c r="C330" s="431" t="s">
        <v>157</v>
      </c>
      <c r="D330" s="538">
        <v>4</v>
      </c>
      <c r="E330" s="506">
        <v>32346</v>
      </c>
      <c r="F330" s="340">
        <f t="shared" si="15"/>
        <v>129384</v>
      </c>
      <c r="G330" s="547"/>
    </row>
    <row r="331" spans="1:7" ht="16.5">
      <c r="A331" s="429" t="s">
        <v>1371</v>
      </c>
      <c r="B331" s="430" t="s">
        <v>823</v>
      </c>
      <c r="C331" s="431" t="s">
        <v>157</v>
      </c>
      <c r="D331" s="538">
        <v>4</v>
      </c>
      <c r="E331" s="506">
        <v>538971</v>
      </c>
      <c r="F331" s="340">
        <f t="shared" si="15"/>
        <v>2155884</v>
      </c>
      <c r="G331" s="547"/>
    </row>
    <row r="332" spans="1:7" ht="16.5">
      <c r="A332" s="429" t="s">
        <v>1372</v>
      </c>
      <c r="B332" s="430" t="s">
        <v>824</v>
      </c>
      <c r="C332" s="431" t="s">
        <v>454</v>
      </c>
      <c r="D332" s="538">
        <v>5</v>
      </c>
      <c r="E332" s="506">
        <v>11489</v>
      </c>
      <c r="F332" s="340">
        <f t="shared" si="15"/>
        <v>57445</v>
      </c>
      <c r="G332" s="547"/>
    </row>
    <row r="333" spans="1:7" ht="16.5">
      <c r="A333" s="429" t="s">
        <v>1373</v>
      </c>
      <c r="B333" s="430" t="s">
        <v>825</v>
      </c>
      <c r="C333" s="431" t="s">
        <v>454</v>
      </c>
      <c r="D333" s="538">
        <v>5</v>
      </c>
      <c r="E333" s="506">
        <v>11646</v>
      </c>
      <c r="F333" s="340">
        <f t="shared" si="15"/>
        <v>58230</v>
      </c>
      <c r="G333" s="547"/>
    </row>
    <row r="334" spans="1:7" ht="16.5">
      <c r="A334" s="429" t="s">
        <v>1374</v>
      </c>
      <c r="B334" s="430" t="s">
        <v>826</v>
      </c>
      <c r="C334" s="431" t="s">
        <v>454</v>
      </c>
      <c r="D334" s="538">
        <v>2</v>
      </c>
      <c r="E334" s="506">
        <v>5794</v>
      </c>
      <c r="F334" s="340">
        <f t="shared" si="15"/>
        <v>11588</v>
      </c>
      <c r="G334" s="547"/>
    </row>
    <row r="335" spans="1:7" ht="16.5">
      <c r="A335" s="429" t="s">
        <v>1375</v>
      </c>
      <c r="B335" s="430" t="s">
        <v>828</v>
      </c>
      <c r="C335" s="431" t="s">
        <v>454</v>
      </c>
      <c r="D335" s="538">
        <v>2</v>
      </c>
      <c r="E335" s="506">
        <v>42332</v>
      </c>
      <c r="F335" s="340">
        <f t="shared" si="15"/>
        <v>84664</v>
      </c>
      <c r="G335" s="547"/>
    </row>
    <row r="336" spans="1:7" ht="16.5">
      <c r="A336" s="429"/>
      <c r="B336" s="430"/>
      <c r="C336" s="431"/>
      <c r="D336" s="539"/>
      <c r="E336" s="435" t="s">
        <v>958</v>
      </c>
      <c r="F336" s="517">
        <f>SUM(F329:F335)</f>
        <v>8251915</v>
      </c>
      <c r="G336" s="548"/>
    </row>
    <row r="337" spans="1:7" ht="16.5">
      <c r="A337" s="423" t="s">
        <v>1376</v>
      </c>
      <c r="B337" s="424" t="s">
        <v>835</v>
      </c>
      <c r="C337" s="437"/>
      <c r="D337" s="540"/>
      <c r="E337" s="439"/>
      <c r="F337" s="440"/>
      <c r="G337" s="562"/>
    </row>
    <row r="338" spans="1:7" ht="16.5">
      <c r="A338" s="429" t="s">
        <v>1377</v>
      </c>
      <c r="B338" s="430" t="s">
        <v>889</v>
      </c>
      <c r="C338" s="431" t="s">
        <v>493</v>
      </c>
      <c r="D338" s="538">
        <v>25</v>
      </c>
      <c r="E338" s="506">
        <v>302880</v>
      </c>
      <c r="F338" s="340">
        <f t="shared" ref="F338:F344" si="16">ROUND(D338*E338,0)</f>
        <v>7572000</v>
      </c>
      <c r="G338" s="547"/>
    </row>
    <row r="339" spans="1:7" ht="16.5">
      <c r="A339" s="429" t="s">
        <v>1378</v>
      </c>
      <c r="B339" s="430" t="s">
        <v>890</v>
      </c>
      <c r="C339" s="431" t="s">
        <v>157</v>
      </c>
      <c r="D339" s="538">
        <v>3</v>
      </c>
      <c r="E339" s="506">
        <v>32346</v>
      </c>
      <c r="F339" s="340">
        <f t="shared" si="16"/>
        <v>97038</v>
      </c>
      <c r="G339" s="547"/>
    </row>
    <row r="340" spans="1:7" ht="16.5">
      <c r="A340" s="429" t="s">
        <v>1429</v>
      </c>
      <c r="B340" s="430" t="s">
        <v>823</v>
      </c>
      <c r="C340" s="431" t="s">
        <v>157</v>
      </c>
      <c r="D340" s="538">
        <v>3</v>
      </c>
      <c r="E340" s="506">
        <v>538971</v>
      </c>
      <c r="F340" s="340">
        <f t="shared" si="16"/>
        <v>1616913</v>
      </c>
      <c r="G340" s="547"/>
    </row>
    <row r="341" spans="1:7" ht="16.5">
      <c r="A341" s="429" t="s">
        <v>1430</v>
      </c>
      <c r="B341" s="430" t="s">
        <v>824</v>
      </c>
      <c r="C341" s="431" t="s">
        <v>454</v>
      </c>
      <c r="D341" s="538">
        <v>6</v>
      </c>
      <c r="E341" s="506">
        <v>11489</v>
      </c>
      <c r="F341" s="340">
        <f t="shared" si="16"/>
        <v>68934</v>
      </c>
      <c r="G341" s="547"/>
    </row>
    <row r="342" spans="1:7" ht="16.5">
      <c r="A342" s="429" t="s">
        <v>1431</v>
      </c>
      <c r="B342" s="430" t="s">
        <v>825</v>
      </c>
      <c r="C342" s="431" t="s">
        <v>454</v>
      </c>
      <c r="D342" s="538">
        <v>6</v>
      </c>
      <c r="E342" s="506">
        <v>11646</v>
      </c>
      <c r="F342" s="340">
        <f t="shared" si="16"/>
        <v>69876</v>
      </c>
      <c r="G342" s="547"/>
    </row>
    <row r="343" spans="1:7" ht="16.5">
      <c r="A343" s="429" t="s">
        <v>1432</v>
      </c>
      <c r="B343" s="430" t="s">
        <v>826</v>
      </c>
      <c r="C343" s="431" t="s">
        <v>454</v>
      </c>
      <c r="D343" s="538">
        <v>2</v>
      </c>
      <c r="E343" s="506">
        <v>5794</v>
      </c>
      <c r="F343" s="340">
        <f t="shared" si="16"/>
        <v>11588</v>
      </c>
      <c r="G343" s="547"/>
    </row>
    <row r="344" spans="1:7" ht="16.5">
      <c r="A344" s="429" t="s">
        <v>1433</v>
      </c>
      <c r="B344" s="430" t="s">
        <v>828</v>
      </c>
      <c r="C344" s="431" t="s">
        <v>454</v>
      </c>
      <c r="D344" s="538">
        <v>2</v>
      </c>
      <c r="E344" s="506">
        <v>42332</v>
      </c>
      <c r="F344" s="340">
        <f t="shared" si="16"/>
        <v>84664</v>
      </c>
      <c r="G344" s="547"/>
    </row>
    <row r="345" spans="1:7" ht="16.5">
      <c r="A345" s="429"/>
      <c r="B345" s="430"/>
      <c r="C345" s="431"/>
      <c r="D345" s="539"/>
      <c r="E345" s="435" t="s">
        <v>958</v>
      </c>
      <c r="F345" s="517">
        <f>SUM(F338:F344)</f>
        <v>9521013</v>
      </c>
      <c r="G345" s="548"/>
    </row>
    <row r="346" spans="1:7" s="523" customFormat="1" ht="33">
      <c r="A346" s="518" t="s">
        <v>1379</v>
      </c>
      <c r="B346" s="519" t="s">
        <v>836</v>
      </c>
      <c r="C346" s="520"/>
      <c r="D346" s="541"/>
      <c r="E346" s="521"/>
      <c r="F346" s="522"/>
      <c r="G346" s="563"/>
    </row>
    <row r="347" spans="1:7" ht="16.5">
      <c r="A347" s="429" t="s">
        <v>1380</v>
      </c>
      <c r="B347" s="430" t="s">
        <v>889</v>
      </c>
      <c r="C347" s="431" t="s">
        <v>493</v>
      </c>
      <c r="D347" s="538">
        <v>12</v>
      </c>
      <c r="E347" s="506">
        <v>302880</v>
      </c>
      <c r="F347" s="340">
        <f t="shared" ref="F347:F353" si="17">ROUND(D347*E347,0)</f>
        <v>3634560</v>
      </c>
      <c r="G347" s="547"/>
    </row>
    <row r="348" spans="1:7" ht="16.5">
      <c r="A348" s="429" t="s">
        <v>1381</v>
      </c>
      <c r="B348" s="430" t="s">
        <v>890</v>
      </c>
      <c r="C348" s="431" t="s">
        <v>157</v>
      </c>
      <c r="D348" s="538">
        <v>4</v>
      </c>
      <c r="E348" s="506">
        <v>32346</v>
      </c>
      <c r="F348" s="340">
        <f t="shared" si="17"/>
        <v>129384</v>
      </c>
      <c r="G348" s="547"/>
    </row>
    <row r="349" spans="1:7" ht="16.5">
      <c r="A349" s="429" t="s">
        <v>1434</v>
      </c>
      <c r="B349" s="430" t="s">
        <v>823</v>
      </c>
      <c r="C349" s="431" t="s">
        <v>157</v>
      </c>
      <c r="D349" s="538">
        <v>4</v>
      </c>
      <c r="E349" s="506">
        <v>538971</v>
      </c>
      <c r="F349" s="340">
        <f t="shared" si="17"/>
        <v>2155884</v>
      </c>
      <c r="G349" s="547"/>
    </row>
    <row r="350" spans="1:7" ht="16.5">
      <c r="A350" s="429" t="s">
        <v>1435</v>
      </c>
      <c r="B350" s="430" t="s">
        <v>824</v>
      </c>
      <c r="C350" s="431" t="s">
        <v>454</v>
      </c>
      <c r="D350" s="538">
        <v>3</v>
      </c>
      <c r="E350" s="506">
        <v>11489</v>
      </c>
      <c r="F350" s="340">
        <f t="shared" si="17"/>
        <v>34467</v>
      </c>
      <c r="G350" s="547"/>
    </row>
    <row r="351" spans="1:7" ht="16.5">
      <c r="A351" s="429" t="s">
        <v>1436</v>
      </c>
      <c r="B351" s="430" t="s">
        <v>825</v>
      </c>
      <c r="C351" s="431" t="s">
        <v>454</v>
      </c>
      <c r="D351" s="538">
        <v>3</v>
      </c>
      <c r="E351" s="506">
        <v>11646</v>
      </c>
      <c r="F351" s="340">
        <f t="shared" si="17"/>
        <v>34938</v>
      </c>
      <c r="G351" s="547"/>
    </row>
    <row r="352" spans="1:7" ht="16.5">
      <c r="A352" s="429" t="s">
        <v>1437</v>
      </c>
      <c r="B352" s="430" t="s">
        <v>826</v>
      </c>
      <c r="C352" s="431" t="s">
        <v>454</v>
      </c>
      <c r="D352" s="538">
        <v>1</v>
      </c>
      <c r="E352" s="506">
        <v>5794</v>
      </c>
      <c r="F352" s="340">
        <f t="shared" si="17"/>
        <v>5794</v>
      </c>
      <c r="G352" s="547"/>
    </row>
    <row r="353" spans="1:7" ht="16.5">
      <c r="A353" s="429" t="s">
        <v>1438</v>
      </c>
      <c r="B353" s="430" t="s">
        <v>828</v>
      </c>
      <c r="C353" s="431" t="s">
        <v>454</v>
      </c>
      <c r="D353" s="538">
        <v>1</v>
      </c>
      <c r="E353" s="506">
        <v>42332</v>
      </c>
      <c r="F353" s="340">
        <f t="shared" si="17"/>
        <v>42332</v>
      </c>
      <c r="G353" s="547"/>
    </row>
    <row r="354" spans="1:7" ht="16.5">
      <c r="A354" s="429"/>
      <c r="B354" s="430"/>
      <c r="C354" s="431"/>
      <c r="D354" s="539"/>
      <c r="E354" s="435" t="s">
        <v>958</v>
      </c>
      <c r="F354" s="517">
        <f>SUM(F347:F353)</f>
        <v>6037359</v>
      </c>
      <c r="G354" s="548"/>
    </row>
    <row r="355" spans="1:7" ht="33">
      <c r="A355" s="423" t="s">
        <v>1382</v>
      </c>
      <c r="B355" s="424" t="s">
        <v>898</v>
      </c>
      <c r="C355" s="437" t="s">
        <v>493</v>
      </c>
      <c r="D355" s="540"/>
      <c r="E355" s="439"/>
      <c r="F355" s="440"/>
      <c r="G355" s="562"/>
    </row>
    <row r="356" spans="1:7" ht="16.5">
      <c r="A356" s="429" t="s">
        <v>1383</v>
      </c>
      <c r="B356" s="430" t="s">
        <v>899</v>
      </c>
      <c r="C356" s="431" t="s">
        <v>493</v>
      </c>
      <c r="D356" s="538">
        <v>110</v>
      </c>
      <c r="E356" s="506">
        <v>55008</v>
      </c>
      <c r="F356" s="340">
        <f t="shared" ref="F356:F361" si="18">ROUND(D356*E356,0)</f>
        <v>6050880</v>
      </c>
      <c r="G356" s="547"/>
    </row>
    <row r="357" spans="1:7" ht="16.5">
      <c r="A357" s="429" t="s">
        <v>1384</v>
      </c>
      <c r="B357" s="430" t="s">
        <v>823</v>
      </c>
      <c r="C357" s="431" t="s">
        <v>157</v>
      </c>
      <c r="D357" s="538">
        <v>3</v>
      </c>
      <c r="E357" s="506">
        <v>538971</v>
      </c>
      <c r="F357" s="340">
        <f t="shared" si="18"/>
        <v>1616913</v>
      </c>
      <c r="G357" s="547"/>
    </row>
    <row r="358" spans="1:7" ht="16.5">
      <c r="A358" s="429" t="s">
        <v>1439</v>
      </c>
      <c r="B358" s="430" t="s">
        <v>824</v>
      </c>
      <c r="C358" s="431" t="s">
        <v>454</v>
      </c>
      <c r="D358" s="538">
        <v>8</v>
      </c>
      <c r="E358" s="506">
        <v>11489</v>
      </c>
      <c r="F358" s="340">
        <f t="shared" si="18"/>
        <v>91912</v>
      </c>
      <c r="G358" s="547"/>
    </row>
    <row r="359" spans="1:7" ht="16.5">
      <c r="A359" s="429" t="s">
        <v>1440</v>
      </c>
      <c r="B359" s="430" t="s">
        <v>825</v>
      </c>
      <c r="C359" s="431" t="s">
        <v>454</v>
      </c>
      <c r="D359" s="538">
        <v>6</v>
      </c>
      <c r="E359" s="506">
        <v>11646</v>
      </c>
      <c r="F359" s="340">
        <f t="shared" si="18"/>
        <v>69876</v>
      </c>
      <c r="G359" s="547"/>
    </row>
    <row r="360" spans="1:7" ht="16.5">
      <c r="A360" s="429" t="s">
        <v>1441</v>
      </c>
      <c r="B360" s="430" t="s">
        <v>826</v>
      </c>
      <c r="C360" s="431" t="s">
        <v>454</v>
      </c>
      <c r="D360" s="538">
        <v>2</v>
      </c>
      <c r="E360" s="506">
        <v>5794</v>
      </c>
      <c r="F360" s="340">
        <f t="shared" si="18"/>
        <v>11588</v>
      </c>
      <c r="G360" s="547"/>
    </row>
    <row r="361" spans="1:7" ht="16.5">
      <c r="A361" s="429" t="s">
        <v>1442</v>
      </c>
      <c r="B361" s="430" t="s">
        <v>828</v>
      </c>
      <c r="C361" s="431" t="s">
        <v>454</v>
      </c>
      <c r="D361" s="538">
        <v>2</v>
      </c>
      <c r="E361" s="506">
        <v>42332</v>
      </c>
      <c r="F361" s="340">
        <f t="shared" si="18"/>
        <v>84664</v>
      </c>
      <c r="G361" s="547"/>
    </row>
    <row r="362" spans="1:7" ht="16.5">
      <c r="A362" s="429"/>
      <c r="B362" s="430"/>
      <c r="C362" s="431"/>
      <c r="D362" s="539"/>
      <c r="E362" s="435" t="s">
        <v>958</v>
      </c>
      <c r="F362" s="517">
        <f>SUM(F356:F361)</f>
        <v>7925833</v>
      </c>
      <c r="G362" s="548"/>
    </row>
    <row r="363" spans="1:7" ht="33">
      <c r="A363" s="423" t="s">
        <v>1385</v>
      </c>
      <c r="B363" s="424" t="s">
        <v>900</v>
      </c>
      <c r="C363" s="437"/>
      <c r="D363" s="540"/>
      <c r="E363" s="439"/>
      <c r="F363" s="440"/>
      <c r="G363" s="562"/>
    </row>
    <row r="364" spans="1:7" ht="16.5">
      <c r="A364" s="429" t="s">
        <v>1386</v>
      </c>
      <c r="B364" s="430" t="s">
        <v>899</v>
      </c>
      <c r="C364" s="431" t="s">
        <v>493</v>
      </c>
      <c r="D364" s="538">
        <v>111</v>
      </c>
      <c r="E364" s="506">
        <v>55008</v>
      </c>
      <c r="F364" s="340">
        <f t="shared" ref="F364:F369" si="19">ROUND(D364*E364,0)</f>
        <v>6105888</v>
      </c>
      <c r="G364" s="547"/>
    </row>
    <row r="365" spans="1:7" ht="16.5">
      <c r="A365" s="429" t="s">
        <v>1387</v>
      </c>
      <c r="B365" s="430" t="s">
        <v>823</v>
      </c>
      <c r="C365" s="431" t="s">
        <v>157</v>
      </c>
      <c r="D365" s="538">
        <v>2</v>
      </c>
      <c r="E365" s="506">
        <v>538971</v>
      </c>
      <c r="F365" s="340">
        <f t="shared" si="19"/>
        <v>1077942</v>
      </c>
      <c r="G365" s="547"/>
    </row>
    <row r="366" spans="1:7" ht="16.5">
      <c r="A366" s="429" t="s">
        <v>1443</v>
      </c>
      <c r="B366" s="430" t="s">
        <v>824</v>
      </c>
      <c r="C366" s="431" t="s">
        <v>454</v>
      </c>
      <c r="D366" s="538">
        <v>8</v>
      </c>
      <c r="E366" s="506">
        <v>11489</v>
      </c>
      <c r="F366" s="340">
        <f t="shared" si="19"/>
        <v>91912</v>
      </c>
      <c r="G366" s="547"/>
    </row>
    <row r="367" spans="1:7" ht="16.5">
      <c r="A367" s="429" t="s">
        <v>1444</v>
      </c>
      <c r="B367" s="430" t="s">
        <v>825</v>
      </c>
      <c r="C367" s="431" t="s">
        <v>454</v>
      </c>
      <c r="D367" s="538">
        <v>8</v>
      </c>
      <c r="E367" s="506">
        <v>11646</v>
      </c>
      <c r="F367" s="340">
        <f t="shared" si="19"/>
        <v>93168</v>
      </c>
      <c r="G367" s="547"/>
    </row>
    <row r="368" spans="1:7" ht="16.5">
      <c r="A368" s="429" t="s">
        <v>1445</v>
      </c>
      <c r="B368" s="430" t="s">
        <v>826</v>
      </c>
      <c r="C368" s="431" t="s">
        <v>454</v>
      </c>
      <c r="D368" s="538">
        <v>2</v>
      </c>
      <c r="E368" s="506">
        <v>5794</v>
      </c>
      <c r="F368" s="340">
        <f t="shared" si="19"/>
        <v>11588</v>
      </c>
      <c r="G368" s="547"/>
    </row>
    <row r="369" spans="1:7" ht="16.5">
      <c r="A369" s="429" t="s">
        <v>1446</v>
      </c>
      <c r="B369" s="430" t="s">
        <v>828</v>
      </c>
      <c r="C369" s="431" t="s">
        <v>454</v>
      </c>
      <c r="D369" s="538">
        <v>3</v>
      </c>
      <c r="E369" s="506">
        <v>42332</v>
      </c>
      <c r="F369" s="340">
        <f t="shared" si="19"/>
        <v>126996</v>
      </c>
      <c r="G369" s="547"/>
    </row>
    <row r="370" spans="1:7" ht="16.5">
      <c r="A370" s="429"/>
      <c r="B370" s="430"/>
      <c r="C370" s="431"/>
      <c r="D370" s="539"/>
      <c r="E370" s="441" t="s">
        <v>958</v>
      </c>
      <c r="F370" s="517">
        <f>SUM(F364:F369)</f>
        <v>7507494</v>
      </c>
      <c r="G370" s="548"/>
    </row>
    <row r="371" spans="1:7" ht="33">
      <c r="A371" s="423" t="s">
        <v>1388</v>
      </c>
      <c r="B371" s="424" t="s">
        <v>901</v>
      </c>
      <c r="C371" s="437"/>
      <c r="D371" s="540"/>
      <c r="E371" s="439"/>
      <c r="F371" s="440"/>
      <c r="G371" s="562"/>
    </row>
    <row r="372" spans="1:7" ht="16.5">
      <c r="A372" s="429" t="s">
        <v>1389</v>
      </c>
      <c r="B372" s="430" t="s">
        <v>902</v>
      </c>
      <c r="C372" s="431" t="s">
        <v>493</v>
      </c>
      <c r="D372" s="538">
        <v>23</v>
      </c>
      <c r="E372" s="506">
        <v>39180</v>
      </c>
      <c r="F372" s="340">
        <f>ROUND(D372*E372,0)</f>
        <v>901140</v>
      </c>
      <c r="G372" s="547"/>
    </row>
    <row r="373" spans="1:7" ht="16.5">
      <c r="A373" s="429"/>
      <c r="B373" s="430"/>
      <c r="C373" s="431"/>
      <c r="D373" s="539"/>
      <c r="E373" s="441" t="s">
        <v>958</v>
      </c>
      <c r="F373" s="517">
        <f>F372</f>
        <v>901140</v>
      </c>
      <c r="G373" s="548"/>
    </row>
    <row r="374" spans="1:7" ht="16.5">
      <c r="A374" s="423" t="s">
        <v>1390</v>
      </c>
      <c r="B374" s="424" t="s">
        <v>1545</v>
      </c>
      <c r="C374" s="437"/>
      <c r="D374" s="540"/>
      <c r="E374" s="439"/>
      <c r="F374" s="440"/>
      <c r="G374" s="562"/>
    </row>
    <row r="375" spans="1:7" ht="16.5">
      <c r="A375" s="429" t="s">
        <v>1391</v>
      </c>
      <c r="B375" s="430" t="s">
        <v>821</v>
      </c>
      <c r="C375" s="431" t="s">
        <v>157</v>
      </c>
      <c r="D375" s="538">
        <v>7</v>
      </c>
      <c r="E375" s="506">
        <v>888944</v>
      </c>
      <c r="F375" s="340">
        <f t="shared" ref="F375:F387" si="20">ROUND(D375*E375,0)</f>
        <v>6222608</v>
      </c>
      <c r="G375" s="547"/>
    </row>
    <row r="376" spans="1:7" ht="16.5">
      <c r="A376" s="429" t="s">
        <v>1392</v>
      </c>
      <c r="B376" s="430" t="s">
        <v>822</v>
      </c>
      <c r="C376" s="431" t="s">
        <v>157</v>
      </c>
      <c r="D376" s="538">
        <v>7</v>
      </c>
      <c r="E376" s="506">
        <v>824505</v>
      </c>
      <c r="F376" s="340">
        <f t="shared" si="20"/>
        <v>5771535</v>
      </c>
      <c r="G376" s="547"/>
    </row>
    <row r="377" spans="1:7" ht="16.5">
      <c r="A377" s="429" t="s">
        <v>1548</v>
      </c>
      <c r="B377" s="430" t="s">
        <v>823</v>
      </c>
      <c r="C377" s="431" t="s">
        <v>157</v>
      </c>
      <c r="D377" s="538">
        <v>7</v>
      </c>
      <c r="E377" s="506">
        <v>538971</v>
      </c>
      <c r="F377" s="340">
        <f t="shared" si="20"/>
        <v>3772797</v>
      </c>
      <c r="G377" s="547"/>
    </row>
    <row r="378" spans="1:7" ht="16.5">
      <c r="A378" s="429" t="s">
        <v>1549</v>
      </c>
      <c r="B378" s="430" t="s">
        <v>824</v>
      </c>
      <c r="C378" s="431" t="s">
        <v>454</v>
      </c>
      <c r="D378" s="538">
        <v>47</v>
      </c>
      <c r="E378" s="506">
        <v>11489</v>
      </c>
      <c r="F378" s="340">
        <f t="shared" si="20"/>
        <v>539983</v>
      </c>
      <c r="G378" s="547"/>
    </row>
    <row r="379" spans="1:7" ht="16.5">
      <c r="A379" s="429" t="s">
        <v>1550</v>
      </c>
      <c r="B379" s="430" t="s">
        <v>825</v>
      </c>
      <c r="C379" s="431" t="s">
        <v>454</v>
      </c>
      <c r="D379" s="538">
        <v>47</v>
      </c>
      <c r="E379" s="506">
        <v>11646</v>
      </c>
      <c r="F379" s="340">
        <f t="shared" si="20"/>
        <v>547362</v>
      </c>
      <c r="G379" s="547"/>
    </row>
    <row r="380" spans="1:7" ht="16.5">
      <c r="A380" s="429" t="s">
        <v>1551</v>
      </c>
      <c r="B380" s="430" t="s">
        <v>826</v>
      </c>
      <c r="C380" s="431" t="s">
        <v>454</v>
      </c>
      <c r="D380" s="538">
        <v>12</v>
      </c>
      <c r="E380" s="506">
        <v>5794</v>
      </c>
      <c r="F380" s="340">
        <f t="shared" si="20"/>
        <v>69528</v>
      </c>
      <c r="G380" s="547"/>
    </row>
    <row r="381" spans="1:7" ht="16.5">
      <c r="A381" s="429" t="s">
        <v>1552</v>
      </c>
      <c r="B381" s="430" t="s">
        <v>827</v>
      </c>
      <c r="C381" s="431" t="s">
        <v>493</v>
      </c>
      <c r="D381" s="538">
        <v>304</v>
      </c>
      <c r="E381" s="506">
        <v>12135</v>
      </c>
      <c r="F381" s="340">
        <f t="shared" si="20"/>
        <v>3689040</v>
      </c>
      <c r="G381" s="547"/>
    </row>
    <row r="382" spans="1:7" ht="16.5">
      <c r="A382" s="429" t="s">
        <v>1553</v>
      </c>
      <c r="B382" s="430" t="s">
        <v>828</v>
      </c>
      <c r="C382" s="431" t="s">
        <v>454</v>
      </c>
      <c r="D382" s="538">
        <v>16</v>
      </c>
      <c r="E382" s="506">
        <v>42332</v>
      </c>
      <c r="F382" s="340">
        <f t="shared" si="20"/>
        <v>677312</v>
      </c>
      <c r="G382" s="547"/>
    </row>
    <row r="383" spans="1:7" ht="16.5">
      <c r="A383" s="429" t="s">
        <v>1554</v>
      </c>
      <c r="B383" s="430" t="s">
        <v>829</v>
      </c>
      <c r="C383" s="431" t="s">
        <v>493</v>
      </c>
      <c r="D383" s="538">
        <v>456</v>
      </c>
      <c r="E383" s="506">
        <v>11836</v>
      </c>
      <c r="F383" s="340">
        <f t="shared" si="20"/>
        <v>5397216</v>
      </c>
      <c r="G383" s="547"/>
    </row>
    <row r="384" spans="1:7" ht="16.5">
      <c r="A384" s="429" t="s">
        <v>1555</v>
      </c>
      <c r="B384" s="430" t="s">
        <v>830</v>
      </c>
      <c r="C384" s="431" t="s">
        <v>493</v>
      </c>
      <c r="D384" s="538">
        <v>347</v>
      </c>
      <c r="E384" s="506">
        <v>4100</v>
      </c>
      <c r="F384" s="340">
        <f t="shared" si="20"/>
        <v>1422700</v>
      </c>
      <c r="G384" s="547"/>
    </row>
    <row r="385" spans="1:7" ht="16.5">
      <c r="A385" s="429" t="s">
        <v>1556</v>
      </c>
      <c r="B385" s="430" t="s">
        <v>831</v>
      </c>
      <c r="C385" s="431" t="s">
        <v>157</v>
      </c>
      <c r="D385" s="538">
        <v>7</v>
      </c>
      <c r="E385" s="506">
        <v>41140</v>
      </c>
      <c r="F385" s="340">
        <f t="shared" si="20"/>
        <v>287980</v>
      </c>
      <c r="G385" s="547"/>
    </row>
    <row r="386" spans="1:7" ht="16.5">
      <c r="A386" s="429" t="s">
        <v>1557</v>
      </c>
      <c r="B386" s="430" t="s">
        <v>832</v>
      </c>
      <c r="C386" s="431" t="s">
        <v>157</v>
      </c>
      <c r="D386" s="538">
        <v>2</v>
      </c>
      <c r="E386" s="506">
        <v>340124</v>
      </c>
      <c r="F386" s="340">
        <f t="shared" si="20"/>
        <v>680248</v>
      </c>
      <c r="G386" s="547"/>
    </row>
    <row r="387" spans="1:7" ht="16.5">
      <c r="A387" s="429" t="s">
        <v>1558</v>
      </c>
      <c r="B387" s="430" t="s">
        <v>833</v>
      </c>
      <c r="C387" s="431" t="s">
        <v>157</v>
      </c>
      <c r="D387" s="538">
        <v>2</v>
      </c>
      <c r="E387" s="506">
        <v>29690</v>
      </c>
      <c r="F387" s="340">
        <f t="shared" si="20"/>
        <v>59380</v>
      </c>
      <c r="G387" s="547"/>
    </row>
    <row r="388" spans="1:7" ht="16.5">
      <c r="A388" s="443"/>
      <c r="B388" s="444"/>
      <c r="C388" s="445"/>
      <c r="D388" s="542"/>
      <c r="E388" s="447" t="s">
        <v>958</v>
      </c>
      <c r="F388" s="517">
        <f>SUM(F375:F387)</f>
        <v>29137689</v>
      </c>
      <c r="G388" s="548"/>
    </row>
    <row r="389" spans="1:7" ht="16.5">
      <c r="A389" s="423" t="s">
        <v>1393</v>
      </c>
      <c r="B389" s="424" t="s">
        <v>1545</v>
      </c>
      <c r="C389" s="437"/>
      <c r="D389" s="540"/>
      <c r="E389" s="439"/>
      <c r="F389" s="440"/>
      <c r="G389" s="562"/>
    </row>
    <row r="390" spans="1:7" ht="16.5">
      <c r="A390" s="429" t="s">
        <v>1394</v>
      </c>
      <c r="B390" s="430" t="s">
        <v>889</v>
      </c>
      <c r="C390" s="431" t="s">
        <v>493</v>
      </c>
      <c r="D390" s="538">
        <v>65</v>
      </c>
      <c r="E390" s="506">
        <v>302880</v>
      </c>
      <c r="F390" s="340">
        <f t="shared" ref="F390:F396" si="21">ROUND(D390*E390,0)</f>
        <v>19687200</v>
      </c>
      <c r="G390" s="547"/>
    </row>
    <row r="391" spans="1:7" ht="16.5">
      <c r="A391" s="429" t="s">
        <v>1395</v>
      </c>
      <c r="B391" s="430" t="s">
        <v>890</v>
      </c>
      <c r="C391" s="431" t="s">
        <v>157</v>
      </c>
      <c r="D391" s="538">
        <v>3</v>
      </c>
      <c r="E391" s="506">
        <v>32346</v>
      </c>
      <c r="F391" s="340">
        <f t="shared" si="21"/>
        <v>97038</v>
      </c>
      <c r="G391" s="547"/>
    </row>
    <row r="392" spans="1:7" ht="16.5">
      <c r="A392" s="429" t="s">
        <v>1559</v>
      </c>
      <c r="B392" s="430" t="s">
        <v>823</v>
      </c>
      <c r="C392" s="431" t="s">
        <v>157</v>
      </c>
      <c r="D392" s="538">
        <v>4</v>
      </c>
      <c r="E392" s="506">
        <v>538971</v>
      </c>
      <c r="F392" s="340">
        <f t="shared" si="21"/>
        <v>2155884</v>
      </c>
      <c r="G392" s="547"/>
    </row>
    <row r="393" spans="1:7" ht="16.5">
      <c r="A393" s="429" t="s">
        <v>1560</v>
      </c>
      <c r="B393" s="430" t="s">
        <v>824</v>
      </c>
      <c r="C393" s="431" t="s">
        <v>454</v>
      </c>
      <c r="D393" s="538">
        <v>20</v>
      </c>
      <c r="E393" s="506">
        <v>11489</v>
      </c>
      <c r="F393" s="340">
        <f t="shared" si="21"/>
        <v>229780</v>
      </c>
      <c r="G393" s="547"/>
    </row>
    <row r="394" spans="1:7" ht="16.5">
      <c r="A394" s="429" t="s">
        <v>1561</v>
      </c>
      <c r="B394" s="430" t="s">
        <v>825</v>
      </c>
      <c r="C394" s="431" t="s">
        <v>454</v>
      </c>
      <c r="D394" s="538">
        <v>20</v>
      </c>
      <c r="E394" s="506">
        <v>11646</v>
      </c>
      <c r="F394" s="340">
        <f t="shared" si="21"/>
        <v>232920</v>
      </c>
      <c r="G394" s="547"/>
    </row>
    <row r="395" spans="1:7" ht="16.5">
      <c r="A395" s="429" t="s">
        <v>1562</v>
      </c>
      <c r="B395" s="430" t="s">
        <v>826</v>
      </c>
      <c r="C395" s="431" t="s">
        <v>454</v>
      </c>
      <c r="D395" s="538">
        <v>5</v>
      </c>
      <c r="E395" s="506">
        <v>5794</v>
      </c>
      <c r="F395" s="340">
        <f t="shared" si="21"/>
        <v>28970</v>
      </c>
      <c r="G395" s="547"/>
    </row>
    <row r="396" spans="1:7" ht="16.5">
      <c r="A396" s="429" t="s">
        <v>1563</v>
      </c>
      <c r="B396" s="430" t="s">
        <v>828</v>
      </c>
      <c r="C396" s="431" t="s">
        <v>454</v>
      </c>
      <c r="D396" s="538">
        <v>7</v>
      </c>
      <c r="E396" s="506">
        <v>42332</v>
      </c>
      <c r="F396" s="340">
        <f t="shared" si="21"/>
        <v>296324</v>
      </c>
      <c r="G396" s="547"/>
    </row>
    <row r="397" spans="1:7" ht="16.5">
      <c r="A397" s="429"/>
      <c r="B397" s="430"/>
      <c r="C397" s="431"/>
      <c r="D397" s="539"/>
      <c r="E397" s="441" t="s">
        <v>958</v>
      </c>
      <c r="F397" s="517">
        <f>SUM(F390:F396)</f>
        <v>22728116</v>
      </c>
      <c r="G397" s="548"/>
    </row>
    <row r="398" spans="1:7" ht="33">
      <c r="A398" s="423" t="s">
        <v>1396</v>
      </c>
      <c r="B398" s="424" t="s">
        <v>1547</v>
      </c>
      <c r="C398" s="437" t="s">
        <v>493</v>
      </c>
      <c r="D398" s="540"/>
      <c r="E398" s="439"/>
      <c r="F398" s="440"/>
      <c r="G398" s="562"/>
    </row>
    <row r="399" spans="1:7" ht="16.5">
      <c r="A399" s="429" t="s">
        <v>1397</v>
      </c>
      <c r="B399" s="430" t="s">
        <v>1546</v>
      </c>
      <c r="C399" s="431" t="s">
        <v>493</v>
      </c>
      <c r="D399" s="538">
        <v>340</v>
      </c>
      <c r="E399" s="506">
        <v>27929</v>
      </c>
      <c r="F399" s="340">
        <f t="shared" ref="F399:F404" si="22">ROUND(D399*E399,0)</f>
        <v>9495860</v>
      </c>
      <c r="G399" s="547"/>
    </row>
    <row r="400" spans="1:7" ht="16.5">
      <c r="A400" s="429" t="s">
        <v>1448</v>
      </c>
      <c r="B400" s="430" t="s">
        <v>823</v>
      </c>
      <c r="C400" s="431" t="s">
        <v>157</v>
      </c>
      <c r="D400" s="538">
        <v>4</v>
      </c>
      <c r="E400" s="506">
        <v>538971</v>
      </c>
      <c r="F400" s="340">
        <f t="shared" si="22"/>
        <v>2155884</v>
      </c>
      <c r="G400" s="547"/>
    </row>
    <row r="401" spans="1:7" ht="16.5">
      <c r="A401" s="429" t="s">
        <v>1564</v>
      </c>
      <c r="B401" s="430" t="s">
        <v>824</v>
      </c>
      <c r="C401" s="431" t="s">
        <v>454</v>
      </c>
      <c r="D401" s="538">
        <v>27</v>
      </c>
      <c r="E401" s="506">
        <v>11489</v>
      </c>
      <c r="F401" s="340">
        <f t="shared" si="22"/>
        <v>310203</v>
      </c>
      <c r="G401" s="547"/>
    </row>
    <row r="402" spans="1:7" ht="16.5">
      <c r="A402" s="429" t="s">
        <v>1565</v>
      </c>
      <c r="B402" s="430" t="s">
        <v>825</v>
      </c>
      <c r="C402" s="431" t="s">
        <v>454</v>
      </c>
      <c r="D402" s="538">
        <v>27</v>
      </c>
      <c r="E402" s="506">
        <v>11646</v>
      </c>
      <c r="F402" s="340">
        <f t="shared" si="22"/>
        <v>314442</v>
      </c>
      <c r="G402" s="547"/>
    </row>
    <row r="403" spans="1:7" ht="16.5">
      <c r="A403" s="429" t="s">
        <v>1566</v>
      </c>
      <c r="B403" s="430" t="s">
        <v>826</v>
      </c>
      <c r="C403" s="431" t="s">
        <v>454</v>
      </c>
      <c r="D403" s="538">
        <v>7</v>
      </c>
      <c r="E403" s="506">
        <v>5794</v>
      </c>
      <c r="F403" s="340">
        <f t="shared" si="22"/>
        <v>40558</v>
      </c>
      <c r="G403" s="547"/>
    </row>
    <row r="404" spans="1:7" ht="16.5">
      <c r="A404" s="429" t="s">
        <v>1567</v>
      </c>
      <c r="B404" s="449" t="s">
        <v>828</v>
      </c>
      <c r="C404" s="431" t="s">
        <v>454</v>
      </c>
      <c r="D404" s="538">
        <v>9</v>
      </c>
      <c r="E404" s="506">
        <v>42332</v>
      </c>
      <c r="F404" s="340">
        <f t="shared" si="22"/>
        <v>380988</v>
      </c>
      <c r="G404" s="547"/>
    </row>
    <row r="405" spans="1:7" ht="16.5">
      <c r="A405" s="443"/>
      <c r="B405" s="444"/>
      <c r="C405" s="445"/>
      <c r="D405" s="542"/>
      <c r="E405" s="447" t="s">
        <v>958</v>
      </c>
      <c r="F405" s="517">
        <f>SUM(F399:F404)</f>
        <v>12697935</v>
      </c>
      <c r="G405" s="548"/>
    </row>
    <row r="406" spans="1:7" ht="16.5">
      <c r="A406" s="450"/>
      <c r="B406" s="424"/>
      <c r="C406" s="451"/>
      <c r="D406" s="505"/>
      <c r="E406" s="453" t="s">
        <v>903</v>
      </c>
      <c r="F406" s="491">
        <f>F261+F276+F291+F306+F317+F327+F336+F345+F354+F362+F370+F373+F388+F397+F405</f>
        <v>362761638</v>
      </c>
      <c r="G406" s="564"/>
    </row>
    <row r="407" spans="1:7" ht="15.95" customHeight="1">
      <c r="A407" s="476">
        <v>11</v>
      </c>
      <c r="B407" s="576" t="s">
        <v>1660</v>
      </c>
      <c r="C407" s="577"/>
      <c r="D407" s="577"/>
      <c r="E407" s="577"/>
      <c r="F407" s="578"/>
      <c r="G407" s="556"/>
    </row>
    <row r="408" spans="1:7" ht="15.95" customHeight="1">
      <c r="A408" s="476" t="s">
        <v>1524</v>
      </c>
      <c r="B408" s="371" t="s">
        <v>1515</v>
      </c>
      <c r="C408" s="335"/>
      <c r="D408" s="499"/>
      <c r="E408" s="335"/>
      <c r="F408" s="336"/>
      <c r="G408" s="554"/>
    </row>
    <row r="409" spans="1:7" ht="15.95" customHeight="1">
      <c r="A409" s="397" t="s">
        <v>1525</v>
      </c>
      <c r="B409" s="456" t="s">
        <v>216</v>
      </c>
      <c r="C409" s="387" t="s">
        <v>8</v>
      </c>
      <c r="D409" s="512">
        <v>548</v>
      </c>
      <c r="E409" s="506">
        <v>1441</v>
      </c>
      <c r="F409" s="340">
        <f t="shared" ref="F409:F423" si="23">ROUND(D409*E409,0)</f>
        <v>789668</v>
      </c>
      <c r="G409" s="547"/>
    </row>
    <row r="410" spans="1:7" ht="16.5">
      <c r="A410" s="397" t="s">
        <v>1526</v>
      </c>
      <c r="B410" s="456" t="s">
        <v>280</v>
      </c>
      <c r="C410" s="397" t="s">
        <v>66</v>
      </c>
      <c r="D410" s="512">
        <v>880.9</v>
      </c>
      <c r="E410" s="506">
        <v>8829</v>
      </c>
      <c r="F410" s="340">
        <f t="shared" si="23"/>
        <v>7777466</v>
      </c>
      <c r="G410" s="547"/>
    </row>
    <row r="411" spans="1:7" ht="15.95" customHeight="1">
      <c r="A411" s="397" t="s">
        <v>1527</v>
      </c>
      <c r="B411" s="207" t="s">
        <v>55</v>
      </c>
      <c r="C411" s="337" t="s">
        <v>66</v>
      </c>
      <c r="D411" s="496">
        <v>164</v>
      </c>
      <c r="E411" s="506">
        <v>16226</v>
      </c>
      <c r="F411" s="340">
        <f t="shared" si="23"/>
        <v>2661064</v>
      </c>
      <c r="G411" s="547"/>
    </row>
    <row r="412" spans="1:7" ht="33">
      <c r="A412" s="397" t="s">
        <v>1528</v>
      </c>
      <c r="B412" s="457" t="s">
        <v>1516</v>
      </c>
      <c r="C412" s="361" t="s">
        <v>66</v>
      </c>
      <c r="D412" s="496">
        <v>716.9</v>
      </c>
      <c r="E412" s="506">
        <v>38125</v>
      </c>
      <c r="F412" s="340">
        <f t="shared" si="23"/>
        <v>27331813</v>
      </c>
      <c r="G412" s="547"/>
    </row>
    <row r="413" spans="1:7" ht="15.95" customHeight="1">
      <c r="A413" s="397" t="s">
        <v>1529</v>
      </c>
      <c r="B413" s="398" t="s">
        <v>18</v>
      </c>
      <c r="C413" s="397" t="s">
        <v>66</v>
      </c>
      <c r="D413" s="512">
        <v>90</v>
      </c>
      <c r="E413" s="506">
        <v>55470</v>
      </c>
      <c r="F413" s="340">
        <f t="shared" si="23"/>
        <v>4992300</v>
      </c>
      <c r="G413" s="547"/>
    </row>
    <row r="414" spans="1:7" ht="49.5">
      <c r="A414" s="397" t="s">
        <v>1530</v>
      </c>
      <c r="B414" s="392" t="s">
        <v>1517</v>
      </c>
      <c r="C414" s="397" t="s">
        <v>7</v>
      </c>
      <c r="D414" s="512">
        <v>4</v>
      </c>
      <c r="E414" s="506">
        <v>1209590</v>
      </c>
      <c r="F414" s="340">
        <f t="shared" si="23"/>
        <v>4838360</v>
      </c>
      <c r="G414" s="547"/>
    </row>
    <row r="415" spans="1:7" ht="49.5">
      <c r="A415" s="397" t="s">
        <v>1531</v>
      </c>
      <c r="B415" s="392" t="s">
        <v>1518</v>
      </c>
      <c r="C415" s="397" t="s">
        <v>7</v>
      </c>
      <c r="D415" s="512">
        <v>1</v>
      </c>
      <c r="E415" s="506">
        <v>1383302</v>
      </c>
      <c r="F415" s="340">
        <f t="shared" si="23"/>
        <v>1383302</v>
      </c>
      <c r="G415" s="547"/>
    </row>
    <row r="416" spans="1:7" ht="49.5">
      <c r="A416" s="397" t="s">
        <v>1533</v>
      </c>
      <c r="B416" s="392" t="s">
        <v>1520</v>
      </c>
      <c r="C416" s="397" t="s">
        <v>7</v>
      </c>
      <c r="D416" s="512">
        <v>3</v>
      </c>
      <c r="E416" s="506">
        <v>1776610</v>
      </c>
      <c r="F416" s="340">
        <f t="shared" si="23"/>
        <v>5329830</v>
      </c>
      <c r="G416" s="547"/>
    </row>
    <row r="417" spans="1:7" ht="16.5">
      <c r="A417" s="397" t="s">
        <v>1536</v>
      </c>
      <c r="B417" s="399" t="s">
        <v>1626</v>
      </c>
      <c r="C417" s="387" t="s">
        <v>8</v>
      </c>
      <c r="D417" s="512">
        <v>220.86</v>
      </c>
      <c r="E417" s="506">
        <v>5403</v>
      </c>
      <c r="F417" s="340">
        <f t="shared" si="23"/>
        <v>1193307</v>
      </c>
      <c r="G417" s="547"/>
    </row>
    <row r="418" spans="1:7" ht="16.5">
      <c r="A418" s="397" t="s">
        <v>1537</v>
      </c>
      <c r="B418" s="399" t="s">
        <v>1630</v>
      </c>
      <c r="C418" s="387" t="s">
        <v>8</v>
      </c>
      <c r="D418" s="512">
        <v>82.44</v>
      </c>
      <c r="E418" s="506">
        <v>10181</v>
      </c>
      <c r="F418" s="340">
        <f t="shared" si="23"/>
        <v>839322</v>
      </c>
      <c r="G418" s="547"/>
    </row>
    <row r="419" spans="1:7" ht="16.5">
      <c r="A419" s="397" t="s">
        <v>1538</v>
      </c>
      <c r="B419" s="460" t="s">
        <v>1627</v>
      </c>
      <c r="C419" s="461" t="s">
        <v>8</v>
      </c>
      <c r="D419" s="516">
        <v>32.94</v>
      </c>
      <c r="E419" s="506">
        <v>13367</v>
      </c>
      <c r="F419" s="340">
        <f t="shared" si="23"/>
        <v>440309</v>
      </c>
      <c r="G419" s="547"/>
    </row>
    <row r="420" spans="1:7" ht="16.5">
      <c r="A420" s="397" t="s">
        <v>1539</v>
      </c>
      <c r="B420" s="460" t="s">
        <v>1638</v>
      </c>
      <c r="C420" s="461" t="s">
        <v>8</v>
      </c>
      <c r="D420" s="516">
        <v>24.82</v>
      </c>
      <c r="E420" s="506">
        <v>16552</v>
      </c>
      <c r="F420" s="340">
        <f t="shared" si="23"/>
        <v>410821</v>
      </c>
      <c r="G420" s="547"/>
    </row>
    <row r="421" spans="1:7" ht="16.5">
      <c r="A421" s="397" t="s">
        <v>1637</v>
      </c>
      <c r="B421" s="460" t="s">
        <v>1636</v>
      </c>
      <c r="C421" s="461" t="s">
        <v>8</v>
      </c>
      <c r="D421" s="516">
        <v>62.11</v>
      </c>
      <c r="E421" s="506">
        <v>20534</v>
      </c>
      <c r="F421" s="340">
        <f t="shared" si="23"/>
        <v>1275367</v>
      </c>
      <c r="G421" s="547"/>
    </row>
    <row r="422" spans="1:7" ht="16.5">
      <c r="A422" s="397" t="s">
        <v>1639</v>
      </c>
      <c r="B422" s="460" t="s">
        <v>1629</v>
      </c>
      <c r="C422" s="461" t="s">
        <v>8</v>
      </c>
      <c r="D422" s="512">
        <v>74.619999999999976</v>
      </c>
      <c r="E422" s="506">
        <v>26928</v>
      </c>
      <c r="F422" s="340">
        <f t="shared" si="23"/>
        <v>2009367</v>
      </c>
      <c r="G422" s="547"/>
    </row>
    <row r="423" spans="1:7" ht="16.5">
      <c r="A423" s="397" t="s">
        <v>1640</v>
      </c>
      <c r="B423" s="460" t="s">
        <v>1628</v>
      </c>
      <c r="C423" s="461" t="s">
        <v>8</v>
      </c>
      <c r="D423" s="516">
        <v>50</v>
      </c>
      <c r="E423" s="506">
        <v>37257</v>
      </c>
      <c r="F423" s="340">
        <f t="shared" si="23"/>
        <v>1862850</v>
      </c>
      <c r="G423" s="547"/>
    </row>
    <row r="424" spans="1:7" ht="15.95" customHeight="1">
      <c r="A424" s="582" t="s">
        <v>1003</v>
      </c>
      <c r="B424" s="582"/>
      <c r="C424" s="582"/>
      <c r="D424" s="582"/>
      <c r="E424" s="582"/>
      <c r="F424" s="490">
        <f>+SUM(F409:F423)</f>
        <v>63135146</v>
      </c>
      <c r="G424" s="555"/>
    </row>
    <row r="425" spans="1:7" ht="6" customHeight="1">
      <c r="A425" s="583"/>
      <c r="B425" s="584"/>
      <c r="C425" s="584"/>
      <c r="D425" s="584"/>
      <c r="E425" s="584"/>
      <c r="F425" s="585"/>
      <c r="G425" s="549"/>
    </row>
    <row r="426" spans="1:7" s="523" customFormat="1" ht="15.75" customHeight="1">
      <c r="A426" s="579" t="s">
        <v>1665</v>
      </c>
      <c r="B426" s="580"/>
      <c r="C426" s="580"/>
      <c r="D426" s="580"/>
      <c r="E426" s="581"/>
      <c r="F426" s="543">
        <f>+F424+F406+F245+F242+F229+F217+F172+F144+F89+F68+F44+F11</f>
        <v>4700091329</v>
      </c>
      <c r="G426" s="565"/>
    </row>
    <row r="427" spans="1:7" ht="15.95" customHeight="1">
      <c r="A427" s="586" t="s">
        <v>1426</v>
      </c>
      <c r="B427" s="587"/>
      <c r="C427" s="587"/>
      <c r="D427" s="587"/>
      <c r="E427" s="529">
        <v>0.15</v>
      </c>
      <c r="F427" s="524">
        <f>+ROUND(F426*E427,0)</f>
        <v>705013699</v>
      </c>
      <c r="G427" s="566"/>
    </row>
    <row r="428" spans="1:7" ht="15.95" customHeight="1">
      <c r="A428" s="586" t="s">
        <v>1427</v>
      </c>
      <c r="B428" s="588"/>
      <c r="C428" s="588"/>
      <c r="D428" s="588"/>
      <c r="E428" s="745">
        <v>9.1999999999999998E-2</v>
      </c>
      <c r="F428" s="524">
        <f>+ROUND(F426*E428,0)</f>
        <v>432408402</v>
      </c>
      <c r="G428" s="566"/>
    </row>
    <row r="429" spans="1:7" ht="15.95" customHeight="1">
      <c r="A429" s="589" t="s">
        <v>1428</v>
      </c>
      <c r="B429" s="588"/>
      <c r="C429" s="588"/>
      <c r="D429" s="588"/>
      <c r="E429" s="529">
        <v>0.05</v>
      </c>
      <c r="F429" s="524">
        <f>+ROUND(F426*E429,0)</f>
        <v>235004566</v>
      </c>
      <c r="G429" s="566"/>
    </row>
    <row r="430" spans="1:7" ht="15.95" customHeight="1">
      <c r="A430" s="589" t="s">
        <v>1679</v>
      </c>
      <c r="B430" s="588"/>
      <c r="C430" s="588"/>
      <c r="D430" s="588"/>
      <c r="E430" s="529">
        <v>0.16</v>
      </c>
      <c r="F430" s="524">
        <f>+ROUND(E430*F429,0)</f>
        <v>37600731</v>
      </c>
      <c r="G430" s="566"/>
    </row>
    <row r="431" spans="1:7" s="523" customFormat="1" ht="15.75" customHeight="1">
      <c r="A431" s="579" t="s">
        <v>1672</v>
      </c>
      <c r="B431" s="580"/>
      <c r="C431" s="580"/>
      <c r="D431" s="580"/>
      <c r="E431" s="581"/>
      <c r="F431" s="543">
        <f>+F427+F428+F429+F430</f>
        <v>1410027398</v>
      </c>
      <c r="G431" s="565"/>
    </row>
    <row r="432" spans="1:7" s="341" customFormat="1" ht="6.75" customHeight="1">
      <c r="A432" s="590"/>
      <c r="B432" s="591"/>
      <c r="C432" s="591"/>
      <c r="D432" s="591"/>
      <c r="E432" s="591"/>
      <c r="F432" s="592"/>
      <c r="G432" s="550"/>
    </row>
    <row r="433" spans="1:7" s="523" customFormat="1" ht="15" customHeight="1">
      <c r="A433" s="579" t="s">
        <v>1666</v>
      </c>
      <c r="B433" s="580"/>
      <c r="C433" s="580"/>
      <c r="D433" s="580"/>
      <c r="E433" s="581"/>
      <c r="F433" s="543">
        <f>+F426+F431</f>
        <v>6110118727</v>
      </c>
      <c r="G433" s="565"/>
    </row>
  </sheetData>
  <sheetProtection algorithmName="SHA-512" hashValue="wzsrrD2qClhGKnNN4Wr3wzqpU3lYo+ujH9BmSUbg0FQ+Qucx5CHsZBGGejGquYo5JTkhj9QRx7n3R7RLKJbFVw==" saltValue="ajUGoFpOphS/GLkUBFvJfQ==" spinCount="100000" sheet="1" objects="1" scenarios="1"/>
  <mergeCells count="36">
    <mergeCell ref="A430:D430"/>
    <mergeCell ref="B173:F173"/>
    <mergeCell ref="A11:E11"/>
    <mergeCell ref="B12:F12"/>
    <mergeCell ref="A44:E44"/>
    <mergeCell ref="B45:F45"/>
    <mergeCell ref="A68:E68"/>
    <mergeCell ref="A89:E89"/>
    <mergeCell ref="B90:F90"/>
    <mergeCell ref="A144:E144"/>
    <mergeCell ref="B145:F145"/>
    <mergeCell ref="A172:E172"/>
    <mergeCell ref="A1:F1"/>
    <mergeCell ref="A4:A5"/>
    <mergeCell ref="B4:B5"/>
    <mergeCell ref="C4:C5"/>
    <mergeCell ref="D4:D5"/>
    <mergeCell ref="E4:E5"/>
    <mergeCell ref="F4:F5"/>
    <mergeCell ref="A2:F2"/>
    <mergeCell ref="A217:E217"/>
    <mergeCell ref="A229:E229"/>
    <mergeCell ref="B243:F243"/>
    <mergeCell ref="A433:E433"/>
    <mergeCell ref="A431:E431"/>
    <mergeCell ref="A426:E426"/>
    <mergeCell ref="B407:F407"/>
    <mergeCell ref="A424:E424"/>
    <mergeCell ref="A425:F425"/>
    <mergeCell ref="A427:D427"/>
    <mergeCell ref="A428:D428"/>
    <mergeCell ref="A429:D429"/>
    <mergeCell ref="A432:F432"/>
    <mergeCell ref="A245:E245"/>
    <mergeCell ref="B230:F230"/>
    <mergeCell ref="A242:E242"/>
  </mergeCells>
  <pageMargins left="0.31496062992125984" right="0.31496062992125984" top="0.55118110236220474" bottom="0.7480314960629921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59"/>
  <sheetViews>
    <sheetView zoomScale="85" zoomScaleNormal="85" zoomScalePageLayoutView="85" workbookViewId="0">
      <selection activeCell="B11" sqref="B11"/>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2.140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663"/>
      <c r="C1" s="663"/>
      <c r="D1" s="663"/>
      <c r="E1" s="663"/>
      <c r="F1" s="663"/>
      <c r="G1" s="663"/>
      <c r="H1" s="663"/>
      <c r="I1" s="211"/>
    </row>
    <row r="2" spans="1:9" s="212" customFormat="1" ht="15" customHeight="1">
      <c r="A2" s="627"/>
      <c r="B2" s="629" t="s">
        <v>1616</v>
      </c>
      <c r="C2" s="630"/>
      <c r="D2" s="630"/>
      <c r="E2" s="630"/>
      <c r="F2" s="630"/>
      <c r="G2" s="630"/>
      <c r="H2" s="630"/>
      <c r="I2" s="66" t="s">
        <v>389</v>
      </c>
    </row>
    <row r="3" spans="1:9" s="212" customFormat="1" ht="15" customHeight="1">
      <c r="A3" s="628"/>
      <c r="B3" s="631"/>
      <c r="C3" s="632"/>
      <c r="D3" s="632"/>
      <c r="E3" s="632"/>
      <c r="F3" s="632"/>
      <c r="G3" s="632"/>
      <c r="H3" s="632"/>
      <c r="I3" s="67" t="s">
        <v>406</v>
      </c>
    </row>
    <row r="4" spans="1:9" s="212" customFormat="1" ht="15" customHeight="1">
      <c r="A4" s="68"/>
      <c r="B4" s="69"/>
      <c r="C4" s="69"/>
      <c r="D4" s="69"/>
      <c r="E4" s="69"/>
      <c r="F4" s="70"/>
      <c r="G4" s="70"/>
      <c r="H4" s="70"/>
      <c r="I4" s="71"/>
    </row>
    <row r="5" spans="1:9" s="212" customFormat="1" ht="15" customHeight="1">
      <c r="A5" s="72" t="s">
        <v>390</v>
      </c>
      <c r="B5" s="73"/>
      <c r="C5" s="73"/>
      <c r="D5" s="73"/>
      <c r="E5" s="73"/>
      <c r="F5" s="74"/>
      <c r="G5" s="74"/>
      <c r="H5" s="70"/>
      <c r="I5" s="71"/>
    </row>
    <row r="6" spans="1:9" s="212" customFormat="1">
      <c r="A6" s="75" t="s">
        <v>391</v>
      </c>
      <c r="B6" s="76" t="s">
        <v>392</v>
      </c>
      <c r="C6" s="76" t="s">
        <v>393</v>
      </c>
      <c r="D6" s="76" t="s">
        <v>394</v>
      </c>
      <c r="E6" s="76" t="s">
        <v>395</v>
      </c>
      <c r="F6" s="76" t="s">
        <v>396</v>
      </c>
      <c r="G6" s="76" t="s">
        <v>397</v>
      </c>
      <c r="H6" s="74"/>
      <c r="I6" s="71"/>
    </row>
    <row r="7" spans="1:9" s="212" customFormat="1">
      <c r="A7" s="77" t="s">
        <v>1617</v>
      </c>
      <c r="B7" s="325" t="s">
        <v>1618</v>
      </c>
      <c r="C7" s="79" t="s">
        <v>406</v>
      </c>
      <c r="D7" s="107">
        <v>500000</v>
      </c>
      <c r="E7" s="79">
        <v>2</v>
      </c>
      <c r="F7" s="79">
        <v>0</v>
      </c>
      <c r="G7" s="107">
        <f>(D7*E7)+((D7*E7)*F7/100)</f>
        <v>1000000</v>
      </c>
      <c r="H7" s="74"/>
      <c r="I7" s="71"/>
    </row>
    <row r="8" spans="1:9" s="212" customFormat="1">
      <c r="A8" s="82"/>
      <c r="B8" s="83"/>
      <c r="C8" s="84"/>
      <c r="D8" s="84"/>
      <c r="E8" s="84"/>
      <c r="F8"/>
      <c r="G8" s="93" t="s">
        <v>407</v>
      </c>
      <c r="H8" s="107">
        <f>SUM(G7:G7)</f>
        <v>1000000</v>
      </c>
      <c r="I8" s="71"/>
    </row>
    <row r="9" spans="1:9" s="212" customFormat="1">
      <c r="A9" s="72" t="s">
        <v>408</v>
      </c>
      <c r="B9" s="73"/>
      <c r="C9" s="73"/>
      <c r="D9" s="73"/>
      <c r="E9" s="73"/>
      <c r="F9"/>
      <c r="G9" s="74"/>
      <c r="H9" s="108"/>
      <c r="I9" s="71"/>
    </row>
    <row r="10" spans="1:9" s="212" customFormat="1">
      <c r="A10" s="75" t="s">
        <v>391</v>
      </c>
      <c r="B10" s="76" t="s">
        <v>392</v>
      </c>
      <c r="C10" s="76" t="s">
        <v>393</v>
      </c>
      <c r="D10" s="76" t="s">
        <v>394</v>
      </c>
      <c r="E10" s="76" t="s">
        <v>1621</v>
      </c>
      <c r="F10" s="76" t="s">
        <v>396</v>
      </c>
      <c r="G10" s="76" t="s">
        <v>397</v>
      </c>
      <c r="H10" s="108"/>
      <c r="I10" s="71"/>
    </row>
    <row r="11" spans="1:9" s="212" customFormat="1">
      <c r="A11" s="87"/>
      <c r="B11" s="132" t="s">
        <v>1619</v>
      </c>
      <c r="C11" s="114" t="s">
        <v>1620</v>
      </c>
      <c r="D11" s="107">
        <v>15000000</v>
      </c>
      <c r="E11" s="114">
        <v>4</v>
      </c>
      <c r="F11" s="79"/>
      <c r="G11" s="107">
        <f>+E11*D11</f>
        <v>60000000</v>
      </c>
      <c r="H11" s="108"/>
      <c r="I11" s="71"/>
    </row>
    <row r="12" spans="1:9" s="212" customFormat="1">
      <c r="A12" s="88"/>
      <c r="B12" s="132" t="s">
        <v>1622</v>
      </c>
      <c r="C12" s="114" t="s">
        <v>1620</v>
      </c>
      <c r="D12" s="107">
        <v>850000</v>
      </c>
      <c r="E12" s="114">
        <v>4</v>
      </c>
      <c r="F12" s="79"/>
      <c r="G12" s="107">
        <f>+E12*D12</f>
        <v>3400000</v>
      </c>
      <c r="H12" s="108"/>
      <c r="I12" s="71"/>
    </row>
    <row r="13" spans="1:9" s="212" customFormat="1">
      <c r="A13" s="88"/>
      <c r="B13" s="132" t="s">
        <v>1625</v>
      </c>
      <c r="C13" s="114" t="s">
        <v>1620</v>
      </c>
      <c r="D13" s="107">
        <v>3000000</v>
      </c>
      <c r="E13" s="114">
        <v>4</v>
      </c>
      <c r="F13" s="79"/>
      <c r="G13" s="107">
        <f>+E13*D13</f>
        <v>12000000</v>
      </c>
      <c r="H13" s="108"/>
      <c r="I13" s="71"/>
    </row>
    <row r="14" spans="1:9" s="212" customFormat="1">
      <c r="A14" s="90"/>
      <c r="B14" s="91"/>
      <c r="C14" s="91"/>
      <c r="D14" s="91"/>
      <c r="E14" s="91"/>
      <c r="F14"/>
      <c r="G14" s="85" t="s">
        <v>407</v>
      </c>
      <c r="H14" s="107">
        <f>SUM(G11:G13)</f>
        <v>75400000</v>
      </c>
      <c r="I14" s="71"/>
    </row>
    <row r="15" spans="1:9" s="212" customFormat="1">
      <c r="A15" s="72" t="s">
        <v>410</v>
      </c>
      <c r="B15" s="73"/>
      <c r="C15" s="73"/>
      <c r="D15" s="73"/>
      <c r="E15" s="73"/>
      <c r="F15"/>
      <c r="G15" s="74"/>
      <c r="H15" s="108"/>
      <c r="I15" s="71"/>
    </row>
    <row r="16" spans="1:9" s="212" customFormat="1">
      <c r="A16" s="75" t="s">
        <v>391</v>
      </c>
      <c r="B16" s="76" t="s">
        <v>392</v>
      </c>
      <c r="C16" s="76" t="s">
        <v>393</v>
      </c>
      <c r="D16" s="76" t="s">
        <v>394</v>
      </c>
      <c r="E16" s="76" t="s">
        <v>395</v>
      </c>
      <c r="F16" s="76" t="s">
        <v>396</v>
      </c>
      <c r="G16" s="76" t="s">
        <v>397</v>
      </c>
      <c r="H16" s="108"/>
      <c r="I16" s="71"/>
    </row>
    <row r="17" spans="1:9" s="212" customFormat="1" ht="25.5">
      <c r="A17" s="77" t="s">
        <v>494</v>
      </c>
      <c r="B17" s="325" t="s">
        <v>1623</v>
      </c>
      <c r="C17" s="79" t="s">
        <v>437</v>
      </c>
      <c r="D17" s="107">
        <v>480000</v>
      </c>
      <c r="E17" s="79">
        <v>120</v>
      </c>
      <c r="F17" s="79">
        <v>0</v>
      </c>
      <c r="G17" s="107">
        <f>(D17*E17)+((D17*E17)*F17/100)</f>
        <v>57600000</v>
      </c>
      <c r="H17" s="108"/>
      <c r="I17" s="71"/>
    </row>
    <row r="18" spans="1:9" s="212" customFormat="1">
      <c r="A18" s="90"/>
      <c r="B18" s="91"/>
      <c r="C18" s="91"/>
      <c r="D18" s="91"/>
      <c r="E18" s="91"/>
      <c r="F18"/>
      <c r="G18" s="93" t="s">
        <v>407</v>
      </c>
      <c r="H18" s="107">
        <f>SUM(G17:G17)</f>
        <v>57600000</v>
      </c>
      <c r="I18" s="71"/>
    </row>
    <row r="19" spans="1:9" s="212" customFormat="1">
      <c r="A19" s="72" t="s">
        <v>411</v>
      </c>
      <c r="B19" s="73"/>
      <c r="C19" s="73"/>
      <c r="D19" s="73"/>
      <c r="E19" s="73"/>
      <c r="F19"/>
      <c r="G19" s="74"/>
      <c r="H19" s="108"/>
      <c r="I19" s="71"/>
    </row>
    <row r="20" spans="1:9" s="212" customFormat="1">
      <c r="A20" s="75" t="s">
        <v>391</v>
      </c>
      <c r="B20" s="76" t="s">
        <v>392</v>
      </c>
      <c r="C20" s="76" t="s">
        <v>393</v>
      </c>
      <c r="D20" s="76" t="s">
        <v>394</v>
      </c>
      <c r="E20" s="76" t="s">
        <v>395</v>
      </c>
      <c r="F20" s="76" t="s">
        <v>396</v>
      </c>
      <c r="G20" s="76" t="s">
        <v>397</v>
      </c>
      <c r="H20" s="108"/>
      <c r="I20" s="71"/>
    </row>
    <row r="21" spans="1:9" s="212" customFormat="1">
      <c r="A21" s="87" t="s">
        <v>409</v>
      </c>
      <c r="B21" s="132" t="s">
        <v>1624</v>
      </c>
      <c r="C21" s="114" t="s">
        <v>1620</v>
      </c>
      <c r="D21" s="114">
        <v>4000000</v>
      </c>
      <c r="E21" s="114">
        <v>4</v>
      </c>
      <c r="F21" s="79" t="s">
        <v>409</v>
      </c>
      <c r="G21" s="326">
        <f>+E21*D21</f>
        <v>16000000</v>
      </c>
      <c r="H21" s="108"/>
      <c r="I21" s="71"/>
    </row>
    <row r="22" spans="1:9" s="212" customFormat="1">
      <c r="A22" s="94"/>
      <c r="B22" s="95"/>
      <c r="C22" s="95"/>
      <c r="D22" s="95"/>
      <c r="E22" s="95"/>
      <c r="F22"/>
      <c r="G22" s="93" t="s">
        <v>407</v>
      </c>
      <c r="H22" s="107">
        <f>SUM(G20:G21)</f>
        <v>16000000</v>
      </c>
      <c r="I22" s="71"/>
    </row>
    <row r="23" spans="1:9" s="212" customFormat="1">
      <c r="A23" s="94"/>
      <c r="B23" s="95"/>
      <c r="C23" s="95"/>
      <c r="D23" s="95"/>
      <c r="E23" s="95"/>
      <c r="F23"/>
      <c r="G23" s="74"/>
      <c r="H23" s="74"/>
      <c r="I23" s="71"/>
    </row>
    <row r="24" spans="1:9" s="212" customFormat="1">
      <c r="A24" s="96"/>
      <c r="B24" s="97"/>
      <c r="C24" s="98"/>
      <c r="D24" s="98"/>
      <c r="E24" s="98"/>
      <c r="F24"/>
      <c r="G24" s="99" t="s">
        <v>412</v>
      </c>
      <c r="H24" s="115">
        <f>SUM(H8:H22)</f>
        <v>150000000</v>
      </c>
      <c r="I24" s="71"/>
    </row>
    <row r="25" spans="1:9" s="212" customFormat="1">
      <c r="A25" s="96"/>
      <c r="B25" s="97"/>
      <c r="C25" s="98"/>
      <c r="D25" s="98"/>
      <c r="E25" s="98"/>
      <c r="F25" s="101"/>
      <c r="G25" s="116"/>
      <c r="H25" s="70"/>
      <c r="I25" s="71"/>
    </row>
    <row r="26" spans="1:9" s="212" customFormat="1" ht="15.75" thickBot="1">
      <c r="A26" s="624" t="s">
        <v>1004</v>
      </c>
      <c r="B26" s="625"/>
      <c r="C26" s="625"/>
      <c r="D26" s="625"/>
      <c r="E26" s="625"/>
      <c r="F26" s="625"/>
      <c r="G26" s="626"/>
      <c r="H26" s="117">
        <f>+ROUND(H24,0)</f>
        <v>150000000</v>
      </c>
      <c r="I26" s="103"/>
    </row>
    <row r="27" spans="1:9" s="212" customFormat="1">
      <c r="A27" s="91"/>
      <c r="B27" s="91"/>
      <c r="C27" s="91"/>
      <c r="D27" s="91"/>
      <c r="E27" s="91"/>
      <c r="G27" s="213"/>
      <c r="H27" s="214"/>
    </row>
    <row r="28" spans="1:9" s="212" customFormat="1">
      <c r="A28" s="220"/>
      <c r="B28" s="141"/>
      <c r="C28" s="141"/>
      <c r="D28" s="141"/>
      <c r="E28" s="141"/>
      <c r="F28" s="141"/>
      <c r="G28" s="141"/>
      <c r="H28" s="222"/>
    </row>
    <row r="29" spans="1:9" s="212" customFormat="1">
      <c r="A29" s="150"/>
      <c r="B29" s="83"/>
      <c r="C29" s="148"/>
      <c r="D29" s="160"/>
      <c r="E29" s="84"/>
      <c r="F29" s="84"/>
      <c r="G29" s="146"/>
      <c r="H29" s="221"/>
    </row>
    <row r="30" spans="1:9" s="212" customFormat="1">
      <c r="A30" s="91"/>
      <c r="B30" s="91"/>
      <c r="C30" s="91"/>
      <c r="D30" s="91"/>
      <c r="E30" s="91"/>
      <c r="G30" s="213"/>
      <c r="H30" s="222"/>
    </row>
    <row r="31" spans="1:9" s="212" customFormat="1">
      <c r="A31" s="120"/>
      <c r="B31" s="73"/>
      <c r="C31" s="73"/>
      <c r="D31" s="73"/>
      <c r="E31" s="73"/>
      <c r="G31" s="73"/>
      <c r="H31" s="222"/>
    </row>
    <row r="32" spans="1:9" s="212" customFormat="1">
      <c r="A32" s="220"/>
      <c r="B32" s="141"/>
      <c r="C32" s="141"/>
      <c r="D32" s="141"/>
      <c r="E32" s="141"/>
      <c r="F32" s="141"/>
      <c r="G32" s="141"/>
      <c r="H32" s="222"/>
    </row>
    <row r="33" spans="1:9" s="212" customFormat="1">
      <c r="A33" s="142"/>
      <c r="B33" s="143"/>
      <c r="C33" s="143"/>
      <c r="D33" s="143"/>
      <c r="E33" s="143"/>
      <c r="F33" s="84"/>
      <c r="G33" s="146"/>
      <c r="H33" s="221"/>
    </row>
    <row r="34" spans="1:9" s="212" customFormat="1">
      <c r="A34" s="91"/>
      <c r="B34" s="91"/>
      <c r="C34" s="91"/>
      <c r="D34" s="91"/>
      <c r="E34" s="91"/>
      <c r="G34" s="213"/>
      <c r="H34" s="222"/>
    </row>
    <row r="35" spans="1:9" s="212" customFormat="1">
      <c r="A35" s="120"/>
      <c r="B35" s="73"/>
      <c r="C35" s="73"/>
      <c r="D35" s="73"/>
      <c r="E35" s="73"/>
      <c r="G35" s="73"/>
      <c r="H35" s="222"/>
    </row>
    <row r="36" spans="1:9" s="212" customFormat="1">
      <c r="A36" s="220"/>
      <c r="B36" s="141"/>
      <c r="C36" s="141"/>
      <c r="D36" s="141"/>
      <c r="E36" s="141"/>
      <c r="F36" s="141"/>
      <c r="G36" s="141"/>
      <c r="H36" s="222"/>
    </row>
    <row r="37" spans="1:9" s="212" customFormat="1">
      <c r="A37" s="142"/>
      <c r="B37" s="143"/>
      <c r="C37" s="143"/>
      <c r="D37" s="143"/>
      <c r="E37" s="143"/>
      <c r="F37" s="84"/>
      <c r="G37" s="146"/>
      <c r="H37" s="221"/>
    </row>
    <row r="38" spans="1:9" s="212" customFormat="1">
      <c r="A38" s="123"/>
      <c r="B38" s="95"/>
      <c r="C38" s="95"/>
      <c r="D38" s="95"/>
      <c r="E38" s="95"/>
      <c r="G38" s="213"/>
      <c r="H38" s="73"/>
    </row>
    <row r="39" spans="1:9" s="212" customFormat="1">
      <c r="A39" s="123"/>
      <c r="B39" s="95"/>
      <c r="C39" s="95"/>
      <c r="D39" s="95"/>
      <c r="E39" s="95"/>
      <c r="G39" s="73"/>
      <c r="H39" s="225"/>
    </row>
    <row r="40" spans="1:9" s="212" customFormat="1">
      <c r="B40" s="97"/>
      <c r="C40" s="98"/>
      <c r="D40" s="98"/>
      <c r="E40" s="98"/>
      <c r="G40" s="220"/>
    </row>
    <row r="41" spans="1:9" s="212" customFormat="1">
      <c r="B41" s="97"/>
      <c r="C41" s="98"/>
      <c r="D41" s="98"/>
      <c r="E41" s="98"/>
      <c r="F41" s="220"/>
      <c r="G41" s="225"/>
      <c r="H41" s="226"/>
    </row>
    <row r="42" spans="1:9" s="212" customFormat="1">
      <c r="A42" s="633"/>
      <c r="B42" s="633"/>
      <c r="C42" s="633"/>
      <c r="D42" s="633"/>
      <c r="E42" s="633"/>
      <c r="F42" s="633"/>
      <c r="G42" s="633"/>
    </row>
    <row r="43" spans="1:9" s="212" customFormat="1">
      <c r="H43" s="227"/>
      <c r="I43" s="228"/>
    </row>
    <row r="44" spans="1:9" s="212" customFormat="1">
      <c r="A44" s="658"/>
      <c r="B44" s="227"/>
      <c r="C44" s="227"/>
      <c r="D44" s="227"/>
      <c r="E44" s="227"/>
      <c r="F44" s="227"/>
      <c r="G44" s="227"/>
      <c r="H44" s="227"/>
      <c r="I44" s="229"/>
    </row>
    <row r="45" spans="1:9" s="212" customFormat="1">
      <c r="A45" s="658"/>
      <c r="B45" s="227"/>
      <c r="C45" s="227"/>
      <c r="D45" s="227"/>
      <c r="E45" s="227"/>
      <c r="F45" s="227"/>
      <c r="G45" s="227"/>
    </row>
    <row r="46" spans="1:9" s="212" customFormat="1">
      <c r="A46" s="69"/>
      <c r="B46" s="69"/>
      <c r="C46" s="69"/>
      <c r="D46" s="69"/>
      <c r="E46" s="69"/>
    </row>
    <row r="47" spans="1:9" s="212" customFormat="1">
      <c r="A47" s="120"/>
      <c r="B47" s="73"/>
      <c r="C47" s="73"/>
      <c r="D47" s="73"/>
      <c r="E47" s="73"/>
      <c r="F47" s="73"/>
      <c r="G47" s="73"/>
      <c r="H47" s="73"/>
    </row>
    <row r="48" spans="1:9" s="212" customFormat="1">
      <c r="A48" s="220"/>
      <c r="B48" s="141"/>
      <c r="C48" s="141"/>
      <c r="D48" s="141"/>
      <c r="E48" s="141"/>
      <c r="F48" s="141"/>
      <c r="G48" s="141"/>
      <c r="H48" s="73"/>
    </row>
    <row r="49" spans="1:8" s="212" customFormat="1">
      <c r="A49" s="142"/>
      <c r="B49" s="143"/>
      <c r="C49" s="143"/>
      <c r="D49" s="143"/>
      <c r="E49" s="143"/>
      <c r="F49" s="84"/>
      <c r="G49" s="146"/>
      <c r="H49" s="221"/>
    </row>
    <row r="50" spans="1:8" s="212" customFormat="1">
      <c r="A50" s="84"/>
      <c r="B50" s="83"/>
      <c r="C50" s="84"/>
      <c r="D50" s="84"/>
      <c r="E50" s="84"/>
      <c r="G50" s="213"/>
      <c r="H50" s="222"/>
    </row>
    <row r="51" spans="1:8" s="212" customFormat="1">
      <c r="A51" s="120"/>
      <c r="B51" s="73"/>
      <c r="C51" s="73"/>
      <c r="D51" s="73"/>
      <c r="E51" s="73"/>
      <c r="G51" s="73"/>
      <c r="H51" s="222"/>
    </row>
    <row r="52" spans="1:8" s="212" customFormat="1">
      <c r="A52" s="220"/>
      <c r="B52" s="141"/>
      <c r="C52" s="141"/>
      <c r="D52" s="141"/>
      <c r="E52" s="141"/>
      <c r="F52" s="141"/>
      <c r="G52" s="141"/>
      <c r="H52" s="222"/>
    </row>
    <row r="53" spans="1:8" s="212" customFormat="1">
      <c r="A53" s="150"/>
      <c r="B53" s="83"/>
      <c r="C53" s="148"/>
      <c r="D53" s="160"/>
      <c r="E53" s="84"/>
      <c r="F53" s="84"/>
      <c r="G53" s="146"/>
      <c r="H53" s="221"/>
    </row>
    <row r="54" spans="1:8" s="212" customFormat="1">
      <c r="A54" s="91"/>
      <c r="B54" s="91"/>
      <c r="C54" s="91"/>
      <c r="D54" s="91"/>
      <c r="E54" s="91"/>
      <c r="G54" s="213"/>
      <c r="H54" s="222"/>
    </row>
    <row r="55" spans="1:8" s="212" customFormat="1">
      <c r="A55" s="120"/>
      <c r="B55" s="73"/>
      <c r="C55" s="73"/>
      <c r="D55" s="73"/>
      <c r="E55" s="73"/>
      <c r="G55" s="73"/>
      <c r="H55" s="222"/>
    </row>
    <row r="56" spans="1:8" s="212" customFormat="1">
      <c r="A56" s="220"/>
      <c r="B56" s="141"/>
      <c r="C56" s="141"/>
      <c r="D56" s="141"/>
      <c r="E56" s="141"/>
      <c r="F56" s="141"/>
      <c r="G56" s="141"/>
      <c r="H56" s="222"/>
    </row>
    <row r="57" spans="1:8" s="212" customFormat="1">
      <c r="A57" s="142"/>
      <c r="B57" s="143"/>
      <c r="C57" s="143"/>
      <c r="D57" s="143"/>
      <c r="E57" s="143"/>
      <c r="F57" s="84"/>
      <c r="G57" s="146"/>
      <c r="H57" s="221"/>
    </row>
    <row r="58" spans="1:8" s="212" customFormat="1">
      <c r="A58" s="91"/>
      <c r="B58" s="91"/>
      <c r="C58" s="91"/>
      <c r="D58" s="91"/>
      <c r="E58" s="91"/>
      <c r="G58" s="213"/>
      <c r="H58" s="222"/>
    </row>
    <row r="59" spans="1:8" s="212" customFormat="1">
      <c r="A59" s="120"/>
      <c r="B59" s="73"/>
      <c r="C59" s="73"/>
      <c r="D59" s="73"/>
      <c r="E59" s="73"/>
      <c r="G59" s="73"/>
      <c r="H59" s="222"/>
    </row>
    <row r="60" spans="1:8" s="212" customFormat="1">
      <c r="A60" s="220"/>
      <c r="B60" s="141"/>
      <c r="C60" s="141"/>
      <c r="D60" s="141"/>
      <c r="E60" s="141"/>
      <c r="F60" s="141"/>
      <c r="G60" s="141"/>
      <c r="H60" s="222"/>
    </row>
    <row r="61" spans="1:8" s="212" customFormat="1">
      <c r="A61" s="142"/>
      <c r="B61" s="143"/>
      <c r="C61" s="143"/>
      <c r="D61" s="143"/>
      <c r="E61" s="143"/>
      <c r="F61" s="84"/>
      <c r="G61" s="146"/>
      <c r="H61" s="221"/>
    </row>
    <row r="62" spans="1:8" s="212" customFormat="1">
      <c r="A62" s="123"/>
      <c r="B62" s="95"/>
      <c r="C62" s="95"/>
      <c r="D62" s="95"/>
      <c r="E62" s="95"/>
      <c r="G62" s="213"/>
      <c r="H62" s="73"/>
    </row>
    <row r="63" spans="1:8" s="212" customFormat="1">
      <c r="A63" s="123"/>
      <c r="B63" s="95"/>
      <c r="C63" s="95"/>
      <c r="D63" s="95"/>
      <c r="E63" s="95"/>
      <c r="G63" s="73"/>
      <c r="H63" s="225"/>
    </row>
    <row r="64" spans="1:8" s="212" customFormat="1">
      <c r="B64" s="97"/>
      <c r="C64" s="98"/>
      <c r="D64" s="98"/>
      <c r="E64" s="98"/>
      <c r="G64" s="220"/>
    </row>
    <row r="65" spans="1:9" s="212" customFormat="1">
      <c r="B65" s="97"/>
      <c r="C65" s="98"/>
      <c r="D65" s="98"/>
      <c r="E65" s="98"/>
      <c r="F65" s="220"/>
      <c r="G65" s="225"/>
      <c r="H65" s="226"/>
    </row>
    <row r="66" spans="1:9" s="212" customFormat="1">
      <c r="A66" s="633"/>
      <c r="B66" s="633"/>
      <c r="C66" s="633"/>
      <c r="D66" s="633"/>
      <c r="E66" s="633"/>
      <c r="F66" s="633"/>
      <c r="G66" s="633"/>
    </row>
    <row r="67" spans="1:9" s="212" customFormat="1">
      <c r="H67" s="227"/>
      <c r="I67" s="228"/>
    </row>
    <row r="68" spans="1:9" s="212" customFormat="1">
      <c r="A68" s="658"/>
      <c r="B68" s="227"/>
      <c r="C68" s="227"/>
      <c r="D68" s="227"/>
      <c r="E68" s="227"/>
      <c r="F68" s="227"/>
      <c r="G68" s="227"/>
      <c r="H68" s="227"/>
      <c r="I68" s="229"/>
    </row>
    <row r="69" spans="1:9" s="212" customFormat="1">
      <c r="A69" s="658"/>
      <c r="B69" s="227"/>
      <c r="C69" s="227"/>
      <c r="D69" s="227"/>
      <c r="E69" s="227"/>
      <c r="F69" s="227"/>
      <c r="G69" s="227"/>
    </row>
    <row r="70" spans="1:9" s="212" customFormat="1">
      <c r="A70" s="69"/>
      <c r="B70" s="69"/>
      <c r="C70" s="69"/>
      <c r="D70" s="69"/>
      <c r="E70" s="69"/>
    </row>
    <row r="71" spans="1:9" s="212" customFormat="1">
      <c r="A71" s="120"/>
      <c r="B71" s="73"/>
      <c r="C71" s="73"/>
      <c r="D71" s="73"/>
      <c r="E71" s="73"/>
      <c r="F71" s="73"/>
      <c r="G71" s="73"/>
      <c r="H71" s="73"/>
    </row>
    <row r="72" spans="1:9" s="212" customFormat="1">
      <c r="A72" s="220"/>
      <c r="B72" s="141"/>
      <c r="C72" s="141"/>
      <c r="D72" s="141"/>
      <c r="E72" s="141"/>
      <c r="F72" s="141"/>
      <c r="G72" s="141"/>
      <c r="H72" s="73"/>
    </row>
    <row r="73" spans="1:9" s="212" customFormat="1">
      <c r="A73" s="142"/>
      <c r="B73" s="143"/>
      <c r="C73" s="143"/>
      <c r="D73" s="143"/>
      <c r="E73" s="143"/>
      <c r="F73" s="84"/>
      <c r="G73" s="146"/>
      <c r="H73" s="221"/>
    </row>
    <row r="74" spans="1:9" s="212" customFormat="1">
      <c r="A74" s="84"/>
      <c r="B74" s="83"/>
      <c r="C74" s="84"/>
      <c r="D74" s="84"/>
      <c r="E74" s="84"/>
      <c r="G74" s="213"/>
      <c r="H74" s="222"/>
    </row>
    <row r="75" spans="1:9" s="212" customFormat="1">
      <c r="A75" s="120"/>
      <c r="B75" s="73"/>
      <c r="C75" s="73"/>
      <c r="D75" s="73"/>
      <c r="E75" s="73"/>
      <c r="G75" s="73"/>
      <c r="H75" s="222"/>
    </row>
    <row r="76" spans="1:9" s="212" customFormat="1">
      <c r="A76" s="220"/>
      <c r="B76" s="141"/>
      <c r="C76" s="141"/>
      <c r="D76" s="141"/>
      <c r="E76" s="141"/>
      <c r="F76" s="141"/>
      <c r="G76" s="141"/>
      <c r="H76" s="222"/>
    </row>
    <row r="77" spans="1:9" s="212" customFormat="1">
      <c r="A77" s="150"/>
      <c r="B77" s="83"/>
      <c r="C77" s="148"/>
      <c r="D77" s="160"/>
      <c r="E77" s="84"/>
      <c r="F77" s="84"/>
      <c r="G77" s="146"/>
      <c r="H77" s="221"/>
    </row>
    <row r="78" spans="1:9" s="212" customFormat="1">
      <c r="A78" s="91"/>
      <c r="B78" s="91"/>
      <c r="C78" s="91"/>
      <c r="D78" s="91"/>
      <c r="E78" s="91"/>
      <c r="G78" s="213"/>
      <c r="H78" s="222"/>
    </row>
    <row r="79" spans="1:9" s="212" customFormat="1">
      <c r="A79" s="120"/>
      <c r="B79" s="73"/>
      <c r="C79" s="73"/>
      <c r="D79" s="73"/>
      <c r="E79" s="73"/>
      <c r="G79" s="73"/>
      <c r="H79" s="222"/>
    </row>
    <row r="80" spans="1:9" s="212" customFormat="1">
      <c r="A80" s="220"/>
      <c r="B80" s="141"/>
      <c r="C80" s="141"/>
      <c r="D80" s="141"/>
      <c r="E80" s="141"/>
      <c r="F80" s="141"/>
      <c r="G80" s="141"/>
      <c r="H80" s="222"/>
    </row>
    <row r="81" spans="1:9" s="212" customFormat="1">
      <c r="A81" s="142"/>
      <c r="B81" s="143"/>
      <c r="C81" s="143"/>
      <c r="D81" s="143"/>
      <c r="E81" s="143"/>
      <c r="F81" s="84"/>
      <c r="G81" s="146"/>
      <c r="H81" s="221"/>
    </row>
    <row r="82" spans="1:9" s="212" customFormat="1">
      <c r="A82" s="91"/>
      <c r="B82" s="91"/>
      <c r="C82" s="91"/>
      <c r="D82" s="91"/>
      <c r="E82" s="91"/>
      <c r="G82" s="213"/>
      <c r="H82" s="222"/>
    </row>
    <row r="83" spans="1:9" s="212" customFormat="1">
      <c r="A83" s="120"/>
      <c r="B83" s="73"/>
      <c r="C83" s="73"/>
      <c r="D83" s="73"/>
      <c r="E83" s="73"/>
      <c r="G83" s="73"/>
      <c r="H83" s="222"/>
    </row>
    <row r="84" spans="1:9" s="212" customFormat="1">
      <c r="A84" s="220"/>
      <c r="B84" s="141"/>
      <c r="C84" s="141"/>
      <c r="D84" s="141"/>
      <c r="E84" s="141"/>
      <c r="F84" s="141"/>
      <c r="G84" s="141"/>
      <c r="H84" s="222"/>
    </row>
    <row r="85" spans="1:9" s="212" customFormat="1">
      <c r="A85" s="142"/>
      <c r="B85" s="143"/>
      <c r="C85" s="143"/>
      <c r="D85" s="143"/>
      <c r="E85" s="143"/>
      <c r="F85" s="84"/>
      <c r="G85" s="146"/>
      <c r="H85" s="221"/>
    </row>
    <row r="86" spans="1:9" s="212" customFormat="1">
      <c r="A86" s="123"/>
      <c r="B86" s="95"/>
      <c r="C86" s="95"/>
      <c r="D86" s="95"/>
      <c r="E86" s="95"/>
      <c r="G86" s="213"/>
      <c r="H86" s="73"/>
    </row>
    <row r="87" spans="1:9" s="212" customFormat="1">
      <c r="A87" s="123"/>
      <c r="B87" s="95"/>
      <c r="C87" s="95"/>
      <c r="D87" s="95"/>
      <c r="E87" s="95"/>
      <c r="G87" s="73"/>
      <c r="H87" s="225"/>
    </row>
    <row r="88" spans="1:9" s="212" customFormat="1">
      <c r="B88" s="97"/>
      <c r="C88" s="98"/>
      <c r="D88" s="98"/>
      <c r="E88" s="98"/>
      <c r="G88" s="220"/>
    </row>
    <row r="89" spans="1:9" s="212" customFormat="1">
      <c r="B89" s="97"/>
      <c r="C89" s="98"/>
      <c r="D89" s="98"/>
      <c r="E89" s="98"/>
      <c r="F89" s="220"/>
      <c r="G89" s="225"/>
      <c r="H89" s="226"/>
    </row>
    <row r="90" spans="1:9" s="212" customFormat="1">
      <c r="A90" s="633"/>
      <c r="B90" s="633"/>
      <c r="C90" s="633"/>
      <c r="D90" s="633"/>
      <c r="E90" s="633"/>
      <c r="F90" s="633"/>
      <c r="G90" s="633"/>
    </row>
    <row r="91" spans="1:9" s="212" customFormat="1">
      <c r="H91" s="227"/>
      <c r="I91" s="228"/>
    </row>
    <row r="92" spans="1:9" s="212" customFormat="1">
      <c r="A92" s="658"/>
      <c r="B92" s="227"/>
      <c r="C92" s="227"/>
      <c r="D92" s="227"/>
      <c r="E92" s="227"/>
      <c r="F92" s="227"/>
      <c r="G92" s="227"/>
      <c r="H92" s="227"/>
      <c r="I92" s="229"/>
    </row>
    <row r="93" spans="1:9" s="212" customFormat="1">
      <c r="A93" s="658"/>
      <c r="B93" s="227"/>
      <c r="C93" s="227"/>
      <c r="D93" s="227"/>
      <c r="E93" s="227"/>
      <c r="F93" s="227"/>
      <c r="G93" s="227"/>
    </row>
    <row r="94" spans="1:9" s="212" customFormat="1">
      <c r="A94" s="69"/>
      <c r="B94" s="69"/>
      <c r="C94" s="69"/>
      <c r="D94" s="69"/>
      <c r="E94" s="69"/>
    </row>
    <row r="95" spans="1:9" s="212" customFormat="1">
      <c r="A95" s="120"/>
      <c r="B95" s="73"/>
      <c r="C95" s="73"/>
      <c r="D95" s="73"/>
      <c r="E95" s="73"/>
      <c r="F95" s="73"/>
      <c r="G95" s="73"/>
      <c r="H95" s="73"/>
    </row>
    <row r="96" spans="1:9" s="212" customFormat="1">
      <c r="A96" s="220"/>
      <c r="B96" s="141"/>
      <c r="C96" s="141"/>
      <c r="D96" s="141"/>
      <c r="E96" s="141"/>
      <c r="F96" s="141"/>
      <c r="G96" s="141"/>
      <c r="H96" s="73"/>
    </row>
    <row r="97" spans="1:8" s="212" customFormat="1">
      <c r="A97" s="142"/>
      <c r="B97" s="143"/>
      <c r="C97" s="143"/>
      <c r="D97" s="143"/>
      <c r="E97" s="143"/>
      <c r="F97" s="84"/>
      <c r="G97" s="146"/>
      <c r="H97" s="221"/>
    </row>
    <row r="98" spans="1:8" s="212" customFormat="1">
      <c r="A98" s="84"/>
      <c r="B98" s="83"/>
      <c r="C98" s="84"/>
      <c r="D98" s="84"/>
      <c r="E98" s="84"/>
      <c r="G98" s="213"/>
      <c r="H98" s="222"/>
    </row>
    <row r="99" spans="1:8" s="212" customFormat="1">
      <c r="A99" s="120"/>
      <c r="B99" s="73"/>
      <c r="C99" s="73"/>
      <c r="D99" s="73"/>
      <c r="E99" s="73"/>
      <c r="G99" s="73"/>
      <c r="H99" s="222"/>
    </row>
    <row r="100" spans="1:8" s="212" customFormat="1">
      <c r="A100" s="220"/>
      <c r="B100" s="141"/>
      <c r="C100" s="141"/>
      <c r="D100" s="141"/>
      <c r="E100" s="141"/>
      <c r="F100" s="141"/>
      <c r="G100" s="141"/>
      <c r="H100" s="222"/>
    </row>
    <row r="101" spans="1:8" s="212" customFormat="1">
      <c r="A101" s="150"/>
      <c r="B101" s="83"/>
      <c r="C101" s="148"/>
      <c r="D101" s="160"/>
      <c r="E101" s="84"/>
      <c r="F101" s="84"/>
      <c r="G101" s="146"/>
      <c r="H101" s="221"/>
    </row>
    <row r="102" spans="1:8" s="212" customFormat="1">
      <c r="A102" s="91"/>
      <c r="B102" s="91"/>
      <c r="C102" s="91"/>
      <c r="D102" s="91"/>
      <c r="E102" s="91"/>
      <c r="G102" s="213"/>
      <c r="H102" s="222"/>
    </row>
    <row r="103" spans="1:8" s="212" customFormat="1">
      <c r="A103" s="120"/>
      <c r="B103" s="73"/>
      <c r="C103" s="73"/>
      <c r="D103" s="73"/>
      <c r="E103" s="73"/>
      <c r="G103" s="73"/>
      <c r="H103" s="222"/>
    </row>
    <row r="104" spans="1:8" s="212" customFormat="1">
      <c r="A104" s="220"/>
      <c r="B104" s="141"/>
      <c r="C104" s="141"/>
      <c r="D104" s="141"/>
      <c r="E104" s="141"/>
      <c r="F104" s="141"/>
      <c r="G104" s="141"/>
      <c r="H104" s="222"/>
    </row>
    <row r="105" spans="1:8" s="212" customFormat="1">
      <c r="A105" s="142"/>
      <c r="B105" s="143"/>
      <c r="C105" s="143"/>
      <c r="D105" s="143"/>
      <c r="E105" s="143"/>
      <c r="F105" s="84"/>
      <c r="G105" s="146"/>
      <c r="H105" s="221"/>
    </row>
    <row r="106" spans="1:8" s="212" customFormat="1">
      <c r="A106" s="91"/>
      <c r="B106" s="91"/>
      <c r="C106" s="91"/>
      <c r="D106" s="91"/>
      <c r="E106" s="91"/>
      <c r="G106" s="213"/>
      <c r="H106" s="222"/>
    </row>
    <row r="107" spans="1:8" s="212" customFormat="1">
      <c r="A107" s="120"/>
      <c r="B107" s="73"/>
      <c r="C107" s="73"/>
      <c r="D107" s="73"/>
      <c r="E107" s="73"/>
      <c r="G107" s="73"/>
      <c r="H107" s="222"/>
    </row>
    <row r="108" spans="1:8" s="212" customFormat="1">
      <c r="A108" s="220"/>
      <c r="B108" s="141"/>
      <c r="C108" s="141"/>
      <c r="D108" s="141"/>
      <c r="E108" s="141"/>
      <c r="F108" s="141"/>
      <c r="G108" s="141"/>
      <c r="H108" s="222"/>
    </row>
    <row r="109" spans="1:8" s="212" customFormat="1">
      <c r="A109" s="142"/>
      <c r="B109" s="143"/>
      <c r="C109" s="143"/>
      <c r="D109" s="143"/>
      <c r="E109" s="143"/>
      <c r="F109" s="84"/>
      <c r="G109" s="146"/>
      <c r="H109" s="221"/>
    </row>
    <row r="110" spans="1:8" s="212" customFormat="1">
      <c r="A110" s="123"/>
      <c r="B110" s="95"/>
      <c r="C110" s="95"/>
      <c r="D110" s="95"/>
      <c r="E110" s="95"/>
      <c r="G110" s="213"/>
      <c r="H110" s="73"/>
    </row>
    <row r="111" spans="1:8" s="212" customFormat="1">
      <c r="A111" s="123"/>
      <c r="B111" s="95"/>
      <c r="C111" s="95"/>
      <c r="D111" s="95"/>
      <c r="E111" s="95"/>
      <c r="G111" s="73"/>
      <c r="H111" s="225"/>
    </row>
    <row r="112" spans="1:8" s="212" customFormat="1">
      <c r="B112" s="97"/>
      <c r="C112" s="98"/>
      <c r="D112" s="98"/>
      <c r="E112" s="98"/>
      <c r="G112" s="220"/>
    </row>
    <row r="113" spans="1:9" s="212" customFormat="1">
      <c r="B113" s="97"/>
      <c r="C113" s="98"/>
      <c r="D113" s="98"/>
      <c r="E113" s="98"/>
      <c r="F113" s="220"/>
      <c r="G113" s="225"/>
      <c r="H113" s="226"/>
    </row>
    <row r="114" spans="1:9" s="212" customFormat="1">
      <c r="A114" s="633"/>
      <c r="B114" s="633"/>
      <c r="C114" s="633"/>
      <c r="D114" s="633"/>
      <c r="E114" s="633"/>
      <c r="F114" s="633"/>
      <c r="G114" s="633"/>
    </row>
    <row r="115" spans="1:9" s="212" customFormat="1">
      <c r="H115" s="227"/>
      <c r="I115" s="228"/>
    </row>
    <row r="116" spans="1:9" s="212" customFormat="1">
      <c r="A116" s="658"/>
      <c r="B116" s="227"/>
      <c r="C116" s="227"/>
      <c r="D116" s="227"/>
      <c r="E116" s="227"/>
      <c r="F116" s="227"/>
      <c r="G116" s="227"/>
      <c r="H116" s="227"/>
      <c r="I116" s="229"/>
    </row>
    <row r="117" spans="1:9" s="212" customFormat="1">
      <c r="A117" s="658"/>
      <c r="B117" s="227"/>
      <c r="C117" s="227"/>
      <c r="D117" s="227"/>
      <c r="E117" s="227"/>
      <c r="F117" s="227"/>
      <c r="G117" s="227"/>
    </row>
    <row r="118" spans="1:9" s="212" customFormat="1">
      <c r="A118" s="69"/>
      <c r="B118" s="69"/>
      <c r="C118" s="69"/>
      <c r="D118" s="69"/>
      <c r="E118" s="69"/>
    </row>
    <row r="119" spans="1:9" s="212" customFormat="1">
      <c r="A119" s="120"/>
      <c r="B119" s="73"/>
      <c r="C119" s="73"/>
      <c r="D119" s="73"/>
      <c r="E119" s="73"/>
      <c r="F119" s="73"/>
      <c r="G119" s="73"/>
      <c r="H119" s="73"/>
    </row>
    <row r="120" spans="1:9" s="212" customFormat="1">
      <c r="A120" s="220"/>
      <c r="B120" s="141"/>
      <c r="C120" s="141"/>
      <c r="D120" s="141"/>
      <c r="E120" s="141"/>
      <c r="F120" s="141"/>
      <c r="G120" s="141"/>
      <c r="H120" s="73"/>
    </row>
    <row r="121" spans="1:9" s="212" customFormat="1">
      <c r="A121" s="150"/>
      <c r="B121" s="83"/>
      <c r="C121" s="148"/>
      <c r="D121" s="84"/>
      <c r="E121" s="84"/>
      <c r="F121" s="84"/>
      <c r="G121" s="146"/>
      <c r="H121" s="221"/>
    </row>
    <row r="122" spans="1:9" s="212" customFormat="1">
      <c r="A122" s="84"/>
      <c r="B122" s="83"/>
      <c r="C122" s="84"/>
      <c r="D122" s="84"/>
      <c r="E122" s="84"/>
      <c r="G122" s="213"/>
      <c r="H122" s="222"/>
    </row>
    <row r="123" spans="1:9" s="212" customFormat="1">
      <c r="A123" s="120"/>
      <c r="B123" s="73"/>
      <c r="C123" s="73"/>
      <c r="D123" s="73"/>
      <c r="E123" s="73"/>
      <c r="G123" s="73"/>
      <c r="H123" s="222"/>
    </row>
    <row r="124" spans="1:9" s="212" customFormat="1">
      <c r="A124" s="220"/>
      <c r="B124" s="141"/>
      <c r="C124" s="141"/>
      <c r="D124" s="141"/>
      <c r="E124" s="141"/>
      <c r="F124" s="141"/>
      <c r="G124" s="141"/>
      <c r="H124" s="222"/>
    </row>
    <row r="125" spans="1:9" s="212" customFormat="1" ht="16.5">
      <c r="A125" s="150"/>
      <c r="B125" s="161"/>
      <c r="C125" s="148"/>
      <c r="D125" s="84"/>
      <c r="E125" s="84"/>
      <c r="F125" s="84"/>
      <c r="G125" s="146"/>
      <c r="H125" s="222"/>
    </row>
    <row r="126" spans="1:9" s="212" customFormat="1" ht="16.5">
      <c r="A126" s="150"/>
      <c r="B126" s="161"/>
      <c r="C126" s="148"/>
      <c r="D126" s="84"/>
      <c r="E126" s="84"/>
      <c r="F126" s="84"/>
      <c r="G126" s="146"/>
      <c r="H126" s="222"/>
    </row>
    <row r="127" spans="1:9" s="212" customFormat="1" ht="16.5">
      <c r="A127" s="150"/>
      <c r="B127" s="161"/>
      <c r="C127" s="148"/>
      <c r="D127" s="84"/>
      <c r="E127" s="84"/>
      <c r="F127" s="84"/>
      <c r="G127" s="146"/>
      <c r="H127" s="221"/>
    </row>
    <row r="128" spans="1:9" s="212" customFormat="1">
      <c r="A128" s="91"/>
      <c r="B128" s="91"/>
      <c r="C128" s="91"/>
      <c r="D128" s="91"/>
      <c r="E128" s="91"/>
      <c r="G128" s="213"/>
      <c r="H128" s="222"/>
    </row>
    <row r="129" spans="1:9" s="212" customFormat="1">
      <c r="A129" s="120"/>
      <c r="B129" s="73"/>
      <c r="C129" s="73"/>
      <c r="D129" s="73"/>
      <c r="E129" s="73"/>
      <c r="G129" s="73"/>
      <c r="H129" s="222"/>
    </row>
    <row r="130" spans="1:9" s="212" customFormat="1">
      <c r="A130" s="220"/>
      <c r="B130" s="141"/>
      <c r="C130" s="141"/>
      <c r="D130" s="141"/>
      <c r="E130" s="141"/>
      <c r="F130" s="141"/>
      <c r="G130" s="141"/>
      <c r="H130" s="222"/>
    </row>
    <row r="131" spans="1:9" s="212" customFormat="1">
      <c r="A131" s="146"/>
      <c r="B131" s="83"/>
      <c r="C131" s="148"/>
      <c r="D131" s="84"/>
      <c r="E131" s="84"/>
      <c r="F131" s="84"/>
      <c r="G131" s="146"/>
      <c r="H131" s="221"/>
    </row>
    <row r="132" spans="1:9" s="212" customFormat="1">
      <c r="A132" s="91"/>
      <c r="B132" s="91"/>
      <c r="C132" s="91"/>
      <c r="D132" s="91"/>
      <c r="E132" s="91"/>
      <c r="G132" s="213"/>
      <c r="H132" s="222"/>
    </row>
    <row r="133" spans="1:9" s="212" customFormat="1">
      <c r="A133" s="120"/>
      <c r="B133" s="73"/>
      <c r="C133" s="73"/>
      <c r="D133" s="73"/>
      <c r="E133" s="73"/>
      <c r="G133" s="73"/>
      <c r="H133" s="222"/>
    </row>
    <row r="134" spans="1:9" s="212" customFormat="1">
      <c r="A134" s="220"/>
      <c r="B134" s="141"/>
      <c r="C134" s="141"/>
      <c r="D134" s="141"/>
      <c r="E134" s="141"/>
      <c r="F134" s="141"/>
      <c r="G134" s="141"/>
      <c r="H134" s="222"/>
    </row>
    <row r="135" spans="1:9" s="212" customFormat="1">
      <c r="A135" s="142"/>
      <c r="B135" s="143"/>
      <c r="C135" s="143"/>
      <c r="D135" s="143"/>
      <c r="E135" s="143"/>
      <c r="F135" s="84"/>
      <c r="G135" s="146"/>
      <c r="H135" s="221"/>
    </row>
    <row r="136" spans="1:9" s="212" customFormat="1">
      <c r="A136" s="123"/>
      <c r="B136" s="95"/>
      <c r="C136" s="95"/>
      <c r="D136" s="95"/>
      <c r="E136" s="95"/>
      <c r="G136" s="213"/>
      <c r="H136" s="73"/>
    </row>
    <row r="137" spans="1:9" s="212" customFormat="1">
      <c r="A137" s="123"/>
      <c r="B137" s="95"/>
      <c r="C137" s="95"/>
      <c r="D137" s="95"/>
      <c r="E137" s="95"/>
      <c r="G137" s="73"/>
      <c r="H137" s="225"/>
    </row>
    <row r="138" spans="1:9" s="212" customFormat="1">
      <c r="B138" s="97"/>
      <c r="C138" s="98"/>
      <c r="D138" s="98"/>
      <c r="E138" s="98"/>
      <c r="G138" s="220"/>
    </row>
    <row r="139" spans="1:9" s="212" customFormat="1">
      <c r="B139" s="97"/>
      <c r="C139" s="98"/>
      <c r="D139" s="98"/>
      <c r="E139" s="98"/>
      <c r="F139" s="220"/>
      <c r="G139" s="225"/>
      <c r="H139" s="226"/>
    </row>
    <row r="140" spans="1:9" s="212" customFormat="1">
      <c r="A140" s="633"/>
      <c r="B140" s="633"/>
      <c r="C140" s="633"/>
      <c r="D140" s="633"/>
      <c r="E140" s="633"/>
      <c r="F140" s="633"/>
      <c r="G140" s="633"/>
    </row>
    <row r="141" spans="1:9" s="212" customFormat="1">
      <c r="H141" s="227"/>
      <c r="I141" s="228"/>
    </row>
    <row r="142" spans="1:9" s="212" customFormat="1">
      <c r="A142" s="658"/>
      <c r="B142" s="227"/>
      <c r="C142" s="227"/>
      <c r="D142" s="227"/>
      <c r="E142" s="227"/>
      <c r="F142" s="227"/>
      <c r="G142" s="227"/>
      <c r="H142" s="227"/>
      <c r="I142" s="229"/>
    </row>
    <row r="143" spans="1:9" s="212" customFormat="1">
      <c r="A143" s="658"/>
      <c r="B143" s="227"/>
      <c r="C143" s="227"/>
      <c r="D143" s="227"/>
      <c r="E143" s="227"/>
      <c r="F143" s="227"/>
      <c r="G143" s="227"/>
    </row>
    <row r="144" spans="1:9" s="212" customFormat="1">
      <c r="A144" s="69"/>
      <c r="B144" s="69"/>
      <c r="C144" s="69"/>
      <c r="D144" s="69"/>
      <c r="E144" s="69"/>
    </row>
    <row r="145" spans="1:8" s="212" customFormat="1">
      <c r="A145" s="120"/>
      <c r="B145" s="73"/>
      <c r="C145" s="73"/>
      <c r="D145" s="73"/>
      <c r="E145" s="73"/>
      <c r="F145" s="73"/>
      <c r="G145" s="73"/>
      <c r="H145" s="73"/>
    </row>
    <row r="146" spans="1:8" s="212" customFormat="1">
      <c r="A146" s="220"/>
      <c r="B146" s="141"/>
      <c r="C146" s="141"/>
      <c r="D146" s="141"/>
      <c r="E146" s="141"/>
      <c r="F146" s="141"/>
      <c r="G146" s="141"/>
      <c r="H146" s="73"/>
    </row>
    <row r="147" spans="1:8" s="212" customFormat="1">
      <c r="A147" s="150"/>
      <c r="B147" s="83"/>
      <c r="C147" s="148"/>
      <c r="D147" s="84"/>
      <c r="E147" s="84"/>
      <c r="F147" s="84"/>
      <c r="G147" s="146"/>
      <c r="H147" s="221"/>
    </row>
    <row r="148" spans="1:8" s="212" customFormat="1">
      <c r="A148" s="84"/>
      <c r="B148" s="83"/>
      <c r="C148" s="84"/>
      <c r="D148" s="84"/>
      <c r="E148" s="84"/>
      <c r="G148" s="213"/>
      <c r="H148" s="222"/>
    </row>
    <row r="149" spans="1:8" s="212" customFormat="1">
      <c r="A149" s="120"/>
      <c r="B149" s="73"/>
      <c r="C149" s="73"/>
      <c r="D149" s="73"/>
      <c r="E149" s="73"/>
      <c r="G149" s="73"/>
      <c r="H149" s="222"/>
    </row>
    <row r="150" spans="1:8" s="212" customFormat="1">
      <c r="A150" s="220"/>
      <c r="B150" s="141"/>
      <c r="C150" s="141"/>
      <c r="D150" s="141"/>
      <c r="E150" s="141"/>
      <c r="F150" s="141"/>
      <c r="G150" s="141"/>
      <c r="H150" s="222"/>
    </row>
    <row r="151" spans="1:8" s="212" customFormat="1" ht="16.5">
      <c r="A151" s="150"/>
      <c r="B151" s="161"/>
      <c r="C151" s="148"/>
      <c r="D151" s="84"/>
      <c r="E151" s="84"/>
      <c r="F151" s="84"/>
      <c r="G151" s="146"/>
      <c r="H151" s="222"/>
    </row>
    <row r="152" spans="1:8" s="212" customFormat="1" ht="16.5">
      <c r="A152" s="150"/>
      <c r="B152" s="161"/>
      <c r="C152" s="148"/>
      <c r="D152" s="84"/>
      <c r="E152" s="84"/>
      <c r="F152" s="84"/>
      <c r="G152" s="146"/>
      <c r="H152" s="222"/>
    </row>
    <row r="153" spans="1:8" s="212" customFormat="1" ht="16.5">
      <c r="A153" s="150"/>
      <c r="B153" s="161"/>
      <c r="C153" s="148"/>
      <c r="D153" s="84"/>
      <c r="E153" s="84"/>
      <c r="F153" s="84"/>
      <c r="G153" s="146"/>
      <c r="H153" s="221"/>
    </row>
    <row r="154" spans="1:8" s="212" customFormat="1">
      <c r="A154" s="91"/>
      <c r="B154" s="91"/>
      <c r="C154" s="91"/>
      <c r="D154" s="91"/>
      <c r="E154" s="91"/>
      <c r="G154" s="213"/>
      <c r="H154" s="222"/>
    </row>
    <row r="155" spans="1:8" s="212" customFormat="1">
      <c r="A155" s="120"/>
      <c r="B155" s="73"/>
      <c r="C155" s="73"/>
      <c r="D155" s="73"/>
      <c r="E155" s="73"/>
      <c r="G155" s="73"/>
      <c r="H155" s="222"/>
    </row>
    <row r="156" spans="1:8" s="212" customFormat="1">
      <c r="A156" s="220"/>
      <c r="B156" s="141"/>
      <c r="C156" s="141"/>
      <c r="D156" s="141"/>
      <c r="E156" s="141"/>
      <c r="F156" s="141"/>
      <c r="G156" s="141"/>
      <c r="H156" s="222"/>
    </row>
    <row r="157" spans="1:8" s="212" customFormat="1">
      <c r="A157" s="146"/>
      <c r="B157" s="83"/>
      <c r="C157" s="148"/>
      <c r="D157" s="84"/>
      <c r="E157" s="84"/>
      <c r="F157" s="84"/>
      <c r="G157" s="146"/>
      <c r="H157" s="221"/>
    </row>
    <row r="158" spans="1:8" s="212" customFormat="1">
      <c r="A158" s="91"/>
      <c r="B158" s="91"/>
      <c r="C158" s="91"/>
      <c r="D158" s="91"/>
      <c r="E158" s="91"/>
      <c r="G158" s="213"/>
      <c r="H158" s="222"/>
    </row>
    <row r="159" spans="1:8" s="212" customFormat="1">
      <c r="A159" s="120"/>
      <c r="B159" s="73"/>
      <c r="C159" s="73"/>
      <c r="D159" s="73"/>
      <c r="E159" s="73"/>
      <c r="G159" s="73"/>
      <c r="H159" s="222"/>
    </row>
    <row r="160" spans="1:8" s="212" customFormat="1">
      <c r="A160" s="220"/>
      <c r="B160" s="141"/>
      <c r="C160" s="141"/>
      <c r="D160" s="141"/>
      <c r="E160" s="141"/>
      <c r="F160" s="141"/>
      <c r="G160" s="141"/>
      <c r="H160" s="222"/>
    </row>
    <row r="161" spans="1:9" s="212" customFormat="1">
      <c r="A161" s="142"/>
      <c r="B161" s="143"/>
      <c r="C161" s="143"/>
      <c r="D161" s="143"/>
      <c r="E161" s="143"/>
      <c r="F161" s="84"/>
      <c r="G161" s="146"/>
      <c r="H161" s="221"/>
    </row>
    <row r="162" spans="1:9" s="212" customFormat="1">
      <c r="A162" s="123"/>
      <c r="B162" s="95"/>
      <c r="C162" s="95"/>
      <c r="D162" s="95"/>
      <c r="E162" s="95"/>
      <c r="G162" s="213"/>
      <c r="H162" s="73"/>
    </row>
    <row r="163" spans="1:9" s="212" customFormat="1">
      <c r="A163" s="123"/>
      <c r="B163" s="95"/>
      <c r="C163" s="95"/>
      <c r="D163" s="95"/>
      <c r="E163" s="95"/>
      <c r="G163" s="73"/>
      <c r="H163" s="225"/>
    </row>
    <row r="164" spans="1:9" s="212" customFormat="1">
      <c r="B164" s="97"/>
      <c r="C164" s="98"/>
      <c r="D164" s="98"/>
      <c r="E164" s="98"/>
      <c r="G164" s="220"/>
    </row>
    <row r="165" spans="1:9" s="212" customFormat="1">
      <c r="B165" s="97"/>
      <c r="C165" s="98"/>
      <c r="D165" s="98"/>
      <c r="E165" s="98"/>
      <c r="F165" s="220"/>
      <c r="G165" s="225"/>
      <c r="H165" s="226"/>
    </row>
    <row r="166" spans="1:9" s="212" customFormat="1">
      <c r="A166" s="633"/>
      <c r="B166" s="633"/>
      <c r="C166" s="633"/>
      <c r="D166" s="633"/>
      <c r="E166" s="633"/>
      <c r="F166" s="633"/>
      <c r="G166" s="633"/>
    </row>
    <row r="167" spans="1:9" s="212" customFormat="1">
      <c r="H167" s="227"/>
      <c r="I167" s="228"/>
    </row>
    <row r="168" spans="1:9" s="212" customFormat="1">
      <c r="A168" s="658"/>
      <c r="B168" s="227"/>
      <c r="C168" s="227"/>
      <c r="D168" s="227"/>
      <c r="E168" s="227"/>
      <c r="F168" s="227"/>
      <c r="G168" s="227"/>
      <c r="H168" s="227"/>
      <c r="I168" s="229"/>
    </row>
    <row r="169" spans="1:9" s="212" customFormat="1">
      <c r="A169" s="658"/>
      <c r="B169" s="227"/>
      <c r="C169" s="227"/>
      <c r="D169" s="227"/>
      <c r="E169" s="227"/>
      <c r="F169" s="227"/>
      <c r="G169" s="227"/>
    </row>
    <row r="170" spans="1:9" s="212" customFormat="1">
      <c r="A170" s="69"/>
      <c r="B170" s="69"/>
      <c r="C170" s="69"/>
      <c r="D170" s="69"/>
      <c r="E170" s="69"/>
    </row>
    <row r="171" spans="1:9" s="212" customFormat="1">
      <c r="A171" s="120"/>
      <c r="B171" s="73"/>
      <c r="C171" s="73"/>
      <c r="D171" s="73"/>
      <c r="E171" s="73"/>
      <c r="F171" s="73"/>
      <c r="G171" s="73"/>
      <c r="H171" s="73"/>
    </row>
    <row r="172" spans="1:9" s="212" customFormat="1">
      <c r="A172" s="220"/>
      <c r="B172" s="141"/>
      <c r="C172" s="141"/>
      <c r="D172" s="141"/>
      <c r="E172" s="141"/>
      <c r="F172" s="141"/>
      <c r="G172" s="141"/>
      <c r="H172" s="73"/>
    </row>
    <row r="173" spans="1:9" s="212" customFormat="1">
      <c r="A173" s="150"/>
      <c r="B173" s="83"/>
      <c r="C173" s="148"/>
      <c r="D173" s="84"/>
      <c r="E173" s="84"/>
      <c r="F173" s="84"/>
      <c r="G173" s="146"/>
      <c r="H173" s="73"/>
    </row>
    <row r="174" spans="1:9" s="212" customFormat="1">
      <c r="A174" s="150"/>
      <c r="B174" s="83"/>
      <c r="C174" s="148"/>
      <c r="D174" s="84"/>
      <c r="E174" s="84"/>
      <c r="F174" s="84"/>
      <c r="G174" s="146"/>
      <c r="H174" s="221"/>
    </row>
    <row r="175" spans="1:9" s="212" customFormat="1">
      <c r="A175" s="84"/>
      <c r="B175" s="83"/>
      <c r="C175" s="84"/>
      <c r="D175" s="84"/>
      <c r="E175" s="84"/>
      <c r="G175" s="213"/>
      <c r="H175" s="222"/>
    </row>
    <row r="176" spans="1:9" s="212" customFormat="1">
      <c r="A176" s="120"/>
      <c r="B176" s="73"/>
      <c r="C176" s="73"/>
      <c r="D176" s="73"/>
      <c r="E176" s="73"/>
      <c r="G176" s="73"/>
      <c r="H176" s="222"/>
    </row>
    <row r="177" spans="1:8" s="212" customFormat="1">
      <c r="A177" s="220"/>
      <c r="B177" s="141"/>
      <c r="C177" s="141"/>
      <c r="D177" s="141"/>
      <c r="E177" s="141"/>
      <c r="F177" s="141"/>
      <c r="G177" s="141"/>
      <c r="H177" s="222"/>
    </row>
    <row r="178" spans="1:8" s="212" customFormat="1" ht="16.5">
      <c r="A178" s="150"/>
      <c r="B178" s="161"/>
      <c r="C178" s="148"/>
      <c r="D178" s="84"/>
      <c r="E178" s="84"/>
      <c r="F178" s="84"/>
      <c r="G178" s="146"/>
      <c r="H178" s="222"/>
    </row>
    <row r="179" spans="1:8" s="212" customFormat="1" ht="16.5">
      <c r="A179" s="150"/>
      <c r="B179" s="161"/>
      <c r="C179" s="148"/>
      <c r="D179" s="84"/>
      <c r="E179" s="84"/>
      <c r="F179" s="84"/>
      <c r="G179" s="146"/>
      <c r="H179" s="222"/>
    </row>
    <row r="180" spans="1:8" s="212" customFormat="1" ht="16.5">
      <c r="A180" s="150"/>
      <c r="B180" s="161"/>
      <c r="C180" s="148"/>
      <c r="D180" s="84"/>
      <c r="E180" s="84"/>
      <c r="F180" s="84"/>
      <c r="G180" s="146"/>
      <c r="H180" s="221"/>
    </row>
    <row r="181" spans="1:8" s="212" customFormat="1">
      <c r="A181" s="91"/>
      <c r="B181" s="91"/>
      <c r="C181" s="91"/>
      <c r="D181" s="91"/>
      <c r="E181" s="91"/>
      <c r="G181" s="213"/>
      <c r="H181" s="222"/>
    </row>
    <row r="182" spans="1:8" s="212" customFormat="1">
      <c r="A182" s="120"/>
      <c r="B182" s="73"/>
      <c r="C182" s="73"/>
      <c r="D182" s="73"/>
      <c r="E182" s="73"/>
      <c r="G182" s="73"/>
      <c r="H182" s="222"/>
    </row>
    <row r="183" spans="1:8" s="212" customFormat="1">
      <c r="A183" s="220"/>
      <c r="B183" s="141"/>
      <c r="C183" s="141"/>
      <c r="D183" s="141"/>
      <c r="E183" s="141"/>
      <c r="F183" s="141"/>
      <c r="G183" s="141"/>
      <c r="H183" s="222"/>
    </row>
    <row r="184" spans="1:8" s="212" customFormat="1">
      <c r="A184" s="146"/>
      <c r="B184" s="83"/>
      <c r="C184" s="148"/>
      <c r="D184" s="84"/>
      <c r="E184" s="84"/>
      <c r="F184" s="84"/>
      <c r="G184" s="146"/>
      <c r="H184" s="221"/>
    </row>
    <row r="185" spans="1:8" s="212" customFormat="1">
      <c r="A185" s="91"/>
      <c r="B185" s="91"/>
      <c r="C185" s="91"/>
      <c r="D185" s="91"/>
      <c r="E185" s="91"/>
      <c r="G185" s="213"/>
      <c r="H185" s="222"/>
    </row>
    <row r="186" spans="1:8" s="212" customFormat="1">
      <c r="A186" s="120"/>
      <c r="B186" s="73"/>
      <c r="C186" s="73"/>
      <c r="D186" s="73"/>
      <c r="E186" s="73"/>
      <c r="G186" s="73"/>
      <c r="H186" s="222"/>
    </row>
    <row r="187" spans="1:8" s="212" customFormat="1">
      <c r="A187" s="220"/>
      <c r="B187" s="141"/>
      <c r="C187" s="141"/>
      <c r="D187" s="141"/>
      <c r="E187" s="141"/>
      <c r="F187" s="141"/>
      <c r="G187" s="141"/>
      <c r="H187" s="222"/>
    </row>
    <row r="188" spans="1:8" s="212" customFormat="1">
      <c r="A188" s="142"/>
      <c r="B188" s="143"/>
      <c r="C188" s="143"/>
      <c r="D188" s="143"/>
      <c r="E188" s="143"/>
      <c r="F188" s="84"/>
      <c r="G188" s="146"/>
      <c r="H188" s="221"/>
    </row>
    <row r="189" spans="1:8" s="212" customFormat="1">
      <c r="A189" s="123"/>
      <c r="B189" s="95"/>
      <c r="C189" s="95"/>
      <c r="D189" s="95"/>
      <c r="E189" s="95"/>
      <c r="G189" s="213"/>
      <c r="H189" s="73"/>
    </row>
    <row r="190" spans="1:8" s="212" customFormat="1">
      <c r="A190" s="123"/>
      <c r="B190" s="95"/>
      <c r="C190" s="95"/>
      <c r="D190" s="95"/>
      <c r="E190" s="95"/>
      <c r="G190" s="73"/>
      <c r="H190" s="225"/>
    </row>
    <row r="191" spans="1:8" s="212" customFormat="1">
      <c r="B191" s="97"/>
      <c r="C191" s="98"/>
      <c r="D191" s="98"/>
      <c r="E191" s="98"/>
      <c r="G191" s="220"/>
    </row>
    <row r="192" spans="1:8" s="212" customFormat="1">
      <c r="B192" s="97"/>
      <c r="C192" s="98"/>
      <c r="D192" s="98"/>
      <c r="E192" s="98"/>
      <c r="F192" s="220"/>
      <c r="G192" s="225"/>
      <c r="H192" s="226"/>
    </row>
    <row r="193" spans="1:9" s="212" customFormat="1">
      <c r="A193" s="633"/>
      <c r="B193" s="633"/>
      <c r="C193" s="633"/>
      <c r="D193" s="633"/>
      <c r="E193" s="633"/>
      <c r="F193" s="633"/>
      <c r="G193" s="633"/>
    </row>
    <row r="194" spans="1:9" s="212" customFormat="1">
      <c r="H194" s="227"/>
      <c r="I194" s="228"/>
    </row>
    <row r="195" spans="1:9" s="212" customFormat="1">
      <c r="A195" s="658"/>
      <c r="B195" s="227"/>
      <c r="C195" s="227"/>
      <c r="D195" s="227"/>
      <c r="E195" s="227"/>
      <c r="F195" s="227"/>
      <c r="G195" s="227"/>
      <c r="H195" s="227"/>
      <c r="I195" s="229"/>
    </row>
    <row r="196" spans="1:9" s="212" customFormat="1">
      <c r="A196" s="658"/>
      <c r="B196" s="227"/>
      <c r="C196" s="227"/>
      <c r="D196" s="227"/>
      <c r="E196" s="227"/>
      <c r="F196" s="227"/>
      <c r="G196" s="227"/>
    </row>
    <row r="197" spans="1:9" s="212" customFormat="1">
      <c r="A197" s="69"/>
      <c r="B197" s="69"/>
      <c r="C197" s="69"/>
      <c r="D197" s="69"/>
      <c r="E197" s="69"/>
    </row>
    <row r="198" spans="1:9" s="212" customFormat="1">
      <c r="A198" s="120"/>
      <c r="B198" s="73"/>
      <c r="C198" s="73"/>
      <c r="D198" s="73"/>
      <c r="E198" s="73"/>
      <c r="F198" s="73"/>
      <c r="G198" s="73"/>
      <c r="H198" s="73"/>
    </row>
    <row r="199" spans="1:9" s="212" customFormat="1">
      <c r="A199" s="220"/>
      <c r="B199" s="141"/>
      <c r="C199" s="141"/>
      <c r="D199" s="141"/>
      <c r="E199" s="141"/>
      <c r="F199" s="141"/>
      <c r="G199" s="141"/>
      <c r="H199" s="73"/>
    </row>
    <row r="200" spans="1:9" s="212" customFormat="1">
      <c r="A200" s="142"/>
      <c r="B200" s="143"/>
      <c r="C200" s="143"/>
      <c r="D200" s="143"/>
      <c r="E200" s="143"/>
      <c r="F200" s="84"/>
      <c r="G200" s="146"/>
      <c r="H200" s="221"/>
    </row>
    <row r="201" spans="1:9" s="212" customFormat="1">
      <c r="A201" s="84"/>
      <c r="B201" s="83"/>
      <c r="C201" s="84"/>
      <c r="D201" s="84"/>
      <c r="E201" s="84"/>
      <c r="G201" s="213"/>
      <c r="H201" s="222"/>
    </row>
    <row r="202" spans="1:9" s="212" customFormat="1">
      <c r="A202" s="120"/>
      <c r="B202" s="73"/>
      <c r="C202" s="73"/>
      <c r="D202" s="73"/>
      <c r="E202" s="73"/>
      <c r="G202" s="73"/>
      <c r="H202" s="222"/>
    </row>
    <row r="203" spans="1:9" s="212" customFormat="1">
      <c r="A203" s="220"/>
      <c r="B203" s="141"/>
      <c r="C203" s="141"/>
      <c r="D203" s="141"/>
      <c r="E203" s="141"/>
      <c r="F203" s="141"/>
      <c r="G203" s="141"/>
      <c r="H203" s="222"/>
    </row>
    <row r="204" spans="1:9" s="212" customFormat="1">
      <c r="A204" s="150"/>
      <c r="B204" s="83"/>
      <c r="C204" s="148"/>
      <c r="D204" s="84"/>
      <c r="E204" s="84"/>
      <c r="F204" s="84"/>
      <c r="G204" s="146"/>
      <c r="H204" s="222"/>
    </row>
    <row r="205" spans="1:9" s="212" customFormat="1">
      <c r="A205" s="150"/>
      <c r="B205" s="83"/>
      <c r="C205" s="148"/>
      <c r="D205" s="84"/>
      <c r="E205" s="84"/>
      <c r="F205" s="84"/>
      <c r="G205" s="146"/>
      <c r="H205" s="222"/>
    </row>
    <row r="206" spans="1:9" s="212" customFormat="1">
      <c r="A206" s="150"/>
      <c r="B206" s="83"/>
      <c r="C206" s="148"/>
      <c r="D206" s="84"/>
      <c r="E206" s="84"/>
      <c r="F206" s="84"/>
      <c r="G206" s="224"/>
      <c r="H206" s="221"/>
    </row>
    <row r="207" spans="1:9" s="212" customFormat="1">
      <c r="A207" s="91"/>
      <c r="B207" s="91"/>
      <c r="C207" s="91"/>
      <c r="D207" s="91"/>
      <c r="E207" s="91"/>
      <c r="G207" s="213"/>
      <c r="H207" s="222"/>
    </row>
    <row r="208" spans="1:9" s="212" customFormat="1">
      <c r="A208" s="120"/>
      <c r="B208" s="73"/>
      <c r="C208" s="73"/>
      <c r="D208" s="73"/>
      <c r="E208" s="73"/>
      <c r="G208" s="73"/>
      <c r="H208" s="222"/>
    </row>
    <row r="209" spans="1:9" s="212" customFormat="1">
      <c r="A209" s="220"/>
      <c r="B209" s="141"/>
      <c r="C209" s="141"/>
      <c r="D209" s="141"/>
      <c r="E209" s="141"/>
      <c r="F209" s="141"/>
      <c r="G209" s="141"/>
      <c r="H209" s="222"/>
    </row>
    <row r="210" spans="1:9" s="212" customFormat="1">
      <c r="A210" s="146"/>
      <c r="B210" s="83"/>
      <c r="C210" s="148"/>
      <c r="D210" s="84"/>
      <c r="E210" s="84"/>
      <c r="F210" s="84"/>
      <c r="G210" s="146"/>
      <c r="H210" s="221"/>
    </row>
    <row r="211" spans="1:9" s="212" customFormat="1">
      <c r="A211" s="91"/>
      <c r="B211" s="91"/>
      <c r="C211" s="91"/>
      <c r="D211" s="91"/>
      <c r="E211" s="91"/>
      <c r="G211" s="213"/>
      <c r="H211" s="222"/>
    </row>
    <row r="212" spans="1:9" s="212" customFormat="1">
      <c r="A212" s="120"/>
      <c r="B212" s="73"/>
      <c r="C212" s="73"/>
      <c r="D212" s="73"/>
      <c r="E212" s="73"/>
      <c r="G212" s="73"/>
      <c r="H212" s="222"/>
    </row>
    <row r="213" spans="1:9" s="212" customFormat="1" ht="71.25" customHeight="1">
      <c r="A213" s="220"/>
      <c r="B213" s="141"/>
      <c r="C213" s="141"/>
      <c r="D213" s="141"/>
      <c r="E213" s="141"/>
      <c r="F213" s="141"/>
      <c r="G213" s="141"/>
      <c r="H213" s="222"/>
    </row>
    <row r="214" spans="1:9" s="212" customFormat="1">
      <c r="A214" s="142"/>
      <c r="B214" s="143"/>
      <c r="C214" s="143"/>
      <c r="D214" s="143"/>
      <c r="E214" s="143"/>
      <c r="F214" s="84"/>
      <c r="G214" s="146"/>
      <c r="H214" s="221"/>
    </row>
    <row r="215" spans="1:9" s="212" customFormat="1">
      <c r="A215" s="123"/>
      <c r="B215" s="95"/>
      <c r="C215" s="95"/>
      <c r="D215" s="95"/>
      <c r="E215" s="95"/>
      <c r="G215" s="213"/>
      <c r="H215" s="73"/>
    </row>
    <row r="216" spans="1:9" s="212" customFormat="1">
      <c r="A216" s="123"/>
      <c r="B216" s="95"/>
      <c r="C216" s="95"/>
      <c r="D216" s="95"/>
      <c r="E216" s="95"/>
      <c r="G216" s="73"/>
      <c r="H216" s="225"/>
    </row>
    <row r="217" spans="1:9" s="212" customFormat="1">
      <c r="B217" s="97"/>
      <c r="C217" s="98"/>
      <c r="D217" s="98"/>
      <c r="E217" s="98"/>
      <c r="G217" s="220"/>
    </row>
    <row r="218" spans="1:9" s="212" customFormat="1">
      <c r="B218" s="97"/>
      <c r="C218" s="98"/>
      <c r="D218" s="98"/>
      <c r="E218" s="98"/>
      <c r="F218" s="220"/>
      <c r="G218" s="225"/>
      <c r="H218" s="226"/>
    </row>
    <row r="219" spans="1:9" s="212" customFormat="1">
      <c r="A219" s="633"/>
      <c r="B219" s="633"/>
      <c r="C219" s="633"/>
      <c r="D219" s="633"/>
      <c r="E219" s="633"/>
      <c r="F219" s="633"/>
      <c r="G219" s="633"/>
    </row>
    <row r="220" spans="1:9" s="212" customFormat="1">
      <c r="H220" s="227"/>
      <c r="I220" s="228"/>
    </row>
    <row r="221" spans="1:9" s="212" customFormat="1">
      <c r="A221" s="658"/>
      <c r="B221" s="227"/>
      <c r="C221" s="227"/>
      <c r="D221" s="227"/>
      <c r="E221" s="227"/>
      <c r="F221" s="227"/>
      <c r="G221" s="227"/>
      <c r="H221" s="227"/>
      <c r="I221" s="229"/>
    </row>
    <row r="222" spans="1:9" s="212" customFormat="1">
      <c r="A222" s="658"/>
      <c r="B222" s="227"/>
      <c r="C222" s="227"/>
      <c r="D222" s="227"/>
      <c r="E222" s="227"/>
      <c r="F222" s="227"/>
      <c r="G222" s="227"/>
    </row>
    <row r="223" spans="1:9" s="212" customFormat="1">
      <c r="A223" s="69"/>
      <c r="B223" s="69"/>
      <c r="C223" s="69"/>
      <c r="D223" s="69"/>
      <c r="E223" s="69"/>
    </row>
    <row r="224" spans="1:9" s="212" customFormat="1">
      <c r="A224" s="120"/>
      <c r="B224" s="73"/>
      <c r="C224" s="73"/>
      <c r="D224" s="73"/>
      <c r="E224" s="73"/>
      <c r="F224" s="73"/>
      <c r="G224" s="73"/>
      <c r="H224" s="73"/>
    </row>
    <row r="225" spans="1:8" s="212" customFormat="1">
      <c r="A225" s="220"/>
      <c r="B225" s="141"/>
      <c r="C225" s="141"/>
      <c r="D225" s="141"/>
      <c r="E225" s="141"/>
      <c r="F225" s="141"/>
      <c r="G225" s="141"/>
      <c r="H225" s="73"/>
    </row>
    <row r="226" spans="1:8" s="212" customFormat="1">
      <c r="A226" s="142"/>
      <c r="B226" s="167"/>
      <c r="C226" s="143"/>
      <c r="D226" s="84"/>
      <c r="E226" s="84"/>
      <c r="F226" s="84"/>
      <c r="G226" s="224"/>
      <c r="H226" s="221"/>
    </row>
    <row r="227" spans="1:8" s="212" customFormat="1">
      <c r="A227" s="84"/>
      <c r="B227" s="83"/>
      <c r="C227" s="84"/>
      <c r="D227" s="84"/>
      <c r="E227" s="84"/>
      <c r="G227" s="213"/>
      <c r="H227" s="222"/>
    </row>
    <row r="228" spans="1:8" s="212" customFormat="1">
      <c r="A228" s="120"/>
      <c r="B228" s="73"/>
      <c r="C228" s="73"/>
      <c r="D228" s="73"/>
      <c r="E228" s="73"/>
      <c r="G228" s="73"/>
      <c r="H228" s="222"/>
    </row>
    <row r="229" spans="1:8" s="212" customFormat="1">
      <c r="A229" s="220"/>
      <c r="B229" s="141"/>
      <c r="C229" s="141"/>
      <c r="D229" s="141"/>
      <c r="E229" s="141"/>
      <c r="F229" s="141"/>
      <c r="G229" s="141"/>
      <c r="H229" s="222"/>
    </row>
    <row r="230" spans="1:8" s="212" customFormat="1">
      <c r="A230" s="150"/>
      <c r="B230" s="83"/>
      <c r="C230" s="148"/>
      <c r="D230" s="84"/>
      <c r="E230" s="84"/>
      <c r="F230" s="84"/>
      <c r="G230" s="146"/>
      <c r="H230" s="222"/>
    </row>
    <row r="231" spans="1:8" s="212" customFormat="1">
      <c r="A231" s="150"/>
      <c r="B231" s="83"/>
      <c r="C231" s="148"/>
      <c r="D231" s="84"/>
      <c r="E231" s="84"/>
      <c r="F231" s="84"/>
      <c r="G231" s="146"/>
      <c r="H231" s="222"/>
    </row>
    <row r="232" spans="1:8" s="212" customFormat="1">
      <c r="A232" s="150"/>
      <c r="B232" s="83"/>
      <c r="C232" s="148"/>
      <c r="D232" s="84"/>
      <c r="E232" s="84"/>
      <c r="F232" s="84"/>
      <c r="G232" s="224"/>
      <c r="H232" s="221"/>
    </row>
    <row r="233" spans="1:8" s="212" customFormat="1">
      <c r="A233" s="91"/>
      <c r="B233" s="91"/>
      <c r="C233" s="91"/>
      <c r="D233" s="91"/>
      <c r="E233" s="91"/>
      <c r="G233" s="213"/>
      <c r="H233" s="222"/>
    </row>
    <row r="234" spans="1:8" s="212" customFormat="1">
      <c r="A234" s="120"/>
      <c r="B234" s="73"/>
      <c r="C234" s="73"/>
      <c r="D234" s="73"/>
      <c r="E234" s="73"/>
      <c r="G234" s="73"/>
      <c r="H234" s="222"/>
    </row>
    <row r="235" spans="1:8" s="212" customFormat="1">
      <c r="A235" s="220"/>
      <c r="B235" s="141"/>
      <c r="C235" s="141"/>
      <c r="D235" s="141"/>
      <c r="E235" s="141"/>
      <c r="F235" s="141"/>
      <c r="G235" s="141"/>
      <c r="H235" s="222"/>
    </row>
    <row r="236" spans="1:8" s="212" customFormat="1">
      <c r="A236" s="146"/>
      <c r="B236" s="83"/>
      <c r="C236" s="148"/>
      <c r="D236" s="84"/>
      <c r="E236" s="84"/>
      <c r="F236" s="84"/>
      <c r="G236" s="146"/>
      <c r="H236" s="221"/>
    </row>
    <row r="237" spans="1:8" s="212" customFormat="1">
      <c r="A237" s="91"/>
      <c r="B237" s="91"/>
      <c r="C237" s="91"/>
      <c r="D237" s="91"/>
      <c r="E237" s="91"/>
      <c r="G237" s="213"/>
      <c r="H237" s="222"/>
    </row>
    <row r="238" spans="1:8" s="212" customFormat="1">
      <c r="A238" s="120"/>
      <c r="B238" s="73"/>
      <c r="C238" s="73"/>
      <c r="D238" s="73"/>
      <c r="E238" s="73"/>
      <c r="G238" s="73"/>
      <c r="H238" s="222"/>
    </row>
    <row r="239" spans="1:8" s="212" customFormat="1">
      <c r="A239" s="220"/>
      <c r="B239" s="141"/>
      <c r="C239" s="141"/>
      <c r="D239" s="141"/>
      <c r="E239" s="141"/>
      <c r="F239" s="141"/>
      <c r="G239" s="141"/>
      <c r="H239" s="222"/>
    </row>
    <row r="240" spans="1:8" s="212" customFormat="1">
      <c r="A240" s="142"/>
      <c r="B240" s="143"/>
      <c r="C240" s="143"/>
      <c r="D240" s="143"/>
      <c r="E240" s="143"/>
      <c r="F240" s="84"/>
      <c r="G240" s="146"/>
      <c r="H240" s="221"/>
    </row>
    <row r="241" spans="1:9" s="212" customFormat="1">
      <c r="A241" s="123"/>
      <c r="B241" s="95"/>
      <c r="C241" s="95"/>
      <c r="D241" s="95"/>
      <c r="E241" s="95"/>
      <c r="G241" s="213"/>
      <c r="H241" s="73"/>
    </row>
    <row r="242" spans="1:9" s="212" customFormat="1">
      <c r="A242" s="123"/>
      <c r="B242" s="95"/>
      <c r="C242" s="95"/>
      <c r="D242" s="95"/>
      <c r="E242" s="95"/>
      <c r="G242" s="73"/>
      <c r="H242" s="225"/>
    </row>
    <row r="243" spans="1:9" s="212" customFormat="1">
      <c r="B243" s="97"/>
      <c r="C243" s="98"/>
      <c r="D243" s="98"/>
      <c r="E243" s="98"/>
      <c r="G243" s="220"/>
    </row>
    <row r="244" spans="1:9" s="212" customFormat="1">
      <c r="B244" s="97"/>
      <c r="C244" s="98"/>
      <c r="D244" s="98"/>
      <c r="E244" s="98"/>
      <c r="F244" s="220"/>
      <c r="G244" s="225"/>
      <c r="H244" s="226"/>
    </row>
    <row r="245" spans="1:9" s="212" customFormat="1">
      <c r="A245" s="633"/>
      <c r="B245" s="633"/>
      <c r="C245" s="633"/>
      <c r="D245" s="633"/>
      <c r="E245" s="633"/>
      <c r="F245" s="633"/>
      <c r="G245" s="633"/>
    </row>
    <row r="246" spans="1:9" s="212" customFormat="1">
      <c r="H246" s="227"/>
      <c r="I246" s="228"/>
    </row>
    <row r="247" spans="1:9" s="212" customFormat="1">
      <c r="A247" s="658"/>
      <c r="B247" s="227"/>
      <c r="C247" s="227"/>
      <c r="D247" s="227"/>
      <c r="E247" s="227"/>
      <c r="F247" s="227"/>
      <c r="G247" s="227"/>
      <c r="H247" s="227"/>
      <c r="I247" s="229"/>
    </row>
    <row r="248" spans="1:9" s="212" customFormat="1">
      <c r="A248" s="658"/>
      <c r="B248" s="227"/>
      <c r="C248" s="227"/>
      <c r="D248" s="227"/>
      <c r="E248" s="227"/>
      <c r="F248" s="227"/>
      <c r="G248" s="227"/>
    </row>
    <row r="249" spans="1:9" s="212" customFormat="1">
      <c r="A249" s="69"/>
      <c r="B249" s="69"/>
      <c r="C249" s="69"/>
      <c r="D249" s="69"/>
      <c r="E249" s="69"/>
    </row>
    <row r="250" spans="1:9" s="212" customFormat="1">
      <c r="A250" s="120"/>
      <c r="B250" s="73"/>
      <c r="C250" s="73"/>
      <c r="D250" s="73"/>
      <c r="E250" s="73"/>
      <c r="F250" s="73"/>
      <c r="G250" s="73"/>
      <c r="H250" s="73"/>
    </row>
    <row r="251" spans="1:9" s="212" customFormat="1">
      <c r="A251" s="220"/>
      <c r="B251" s="141"/>
      <c r="C251" s="141"/>
      <c r="D251" s="141"/>
      <c r="E251" s="141"/>
      <c r="F251" s="141"/>
      <c r="G251" s="141"/>
      <c r="H251" s="73"/>
    </row>
    <row r="252" spans="1:9" s="212" customFormat="1">
      <c r="A252" s="142"/>
      <c r="B252" s="167"/>
      <c r="C252" s="143"/>
      <c r="D252" s="84"/>
      <c r="E252" s="84"/>
      <c r="F252" s="84"/>
      <c r="G252" s="224"/>
      <c r="H252" s="221"/>
    </row>
    <row r="253" spans="1:9" s="212" customFormat="1">
      <c r="A253" s="84"/>
      <c r="B253" s="83"/>
      <c r="C253" s="84"/>
      <c r="D253" s="84"/>
      <c r="E253" s="84"/>
      <c r="G253" s="213"/>
      <c r="H253" s="222"/>
    </row>
    <row r="254" spans="1:9" s="212" customFormat="1">
      <c r="A254" s="120"/>
      <c r="B254" s="73"/>
      <c r="C254" s="73"/>
      <c r="D254" s="73"/>
      <c r="E254" s="73"/>
      <c r="G254" s="73"/>
      <c r="H254" s="222"/>
    </row>
    <row r="255" spans="1:9" s="212" customFormat="1">
      <c r="A255" s="220"/>
      <c r="B255" s="141"/>
      <c r="C255" s="141"/>
      <c r="D255" s="141"/>
      <c r="E255" s="141"/>
      <c r="F255" s="141"/>
      <c r="G255" s="141"/>
      <c r="H255" s="222"/>
    </row>
    <row r="256" spans="1:9" s="212" customFormat="1">
      <c r="A256" s="150"/>
      <c r="B256" s="83"/>
      <c r="C256" s="148"/>
      <c r="D256" s="84"/>
      <c r="E256" s="84"/>
      <c r="F256" s="84"/>
      <c r="G256" s="146"/>
      <c r="H256" s="222"/>
    </row>
    <row r="257" spans="1:9" s="212" customFormat="1">
      <c r="A257" s="150"/>
      <c r="B257" s="83"/>
      <c r="C257" s="148"/>
      <c r="D257" s="84"/>
      <c r="E257" s="84"/>
      <c r="F257" s="84"/>
      <c r="G257" s="146"/>
      <c r="H257" s="222"/>
    </row>
    <row r="258" spans="1:9" s="212" customFormat="1">
      <c r="A258" s="150"/>
      <c r="B258" s="83"/>
      <c r="C258" s="148"/>
      <c r="D258" s="84"/>
      <c r="E258" s="84"/>
      <c r="F258" s="84"/>
      <c r="G258" s="224"/>
      <c r="H258" s="221"/>
    </row>
    <row r="259" spans="1:9" s="212" customFormat="1">
      <c r="A259" s="91"/>
      <c r="B259" s="91"/>
      <c r="C259" s="91"/>
      <c r="D259" s="91"/>
      <c r="E259" s="91"/>
      <c r="G259" s="213"/>
      <c r="H259" s="222"/>
    </row>
    <row r="260" spans="1:9" s="212" customFormat="1">
      <c r="A260" s="120"/>
      <c r="B260" s="73"/>
      <c r="C260" s="73"/>
      <c r="D260" s="73"/>
      <c r="E260" s="73"/>
      <c r="G260" s="73"/>
      <c r="H260" s="222"/>
    </row>
    <row r="261" spans="1:9" s="212" customFormat="1">
      <c r="A261" s="220"/>
      <c r="B261" s="141"/>
      <c r="C261" s="141"/>
      <c r="D261" s="141"/>
      <c r="E261" s="141"/>
      <c r="F261" s="141"/>
      <c r="G261" s="141"/>
      <c r="H261" s="222"/>
    </row>
    <row r="262" spans="1:9" s="212" customFormat="1">
      <c r="A262" s="146"/>
      <c r="B262" s="83"/>
      <c r="C262" s="148"/>
      <c r="D262" s="84"/>
      <c r="E262" s="84"/>
      <c r="F262" s="84"/>
      <c r="G262" s="146"/>
      <c r="H262" s="221"/>
    </row>
    <row r="263" spans="1:9" s="212" customFormat="1">
      <c r="A263" s="91"/>
      <c r="B263" s="91"/>
      <c r="C263" s="91"/>
      <c r="D263" s="91"/>
      <c r="E263" s="91"/>
      <c r="G263" s="213"/>
      <c r="H263" s="222"/>
    </row>
    <row r="264" spans="1:9" s="212" customFormat="1">
      <c r="A264" s="120"/>
      <c r="B264" s="73"/>
      <c r="C264" s="73"/>
      <c r="D264" s="73"/>
      <c r="E264" s="73"/>
      <c r="G264" s="73"/>
      <c r="H264" s="222"/>
    </row>
    <row r="265" spans="1:9" s="212" customFormat="1">
      <c r="A265" s="220"/>
      <c r="B265" s="141"/>
      <c r="C265" s="141"/>
      <c r="D265" s="141"/>
      <c r="E265" s="141"/>
      <c r="F265" s="141"/>
      <c r="G265" s="141"/>
      <c r="H265" s="222"/>
    </row>
    <row r="266" spans="1:9" s="212" customFormat="1">
      <c r="A266" s="142"/>
      <c r="B266" s="143"/>
      <c r="C266" s="143"/>
      <c r="D266" s="143"/>
      <c r="E266" s="143"/>
      <c r="F266" s="84"/>
      <c r="G266" s="146"/>
      <c r="H266" s="221"/>
    </row>
    <row r="267" spans="1:9" s="212" customFormat="1">
      <c r="A267" s="123"/>
      <c r="B267" s="95"/>
      <c r="C267" s="95"/>
      <c r="D267" s="95"/>
      <c r="E267" s="95"/>
      <c r="G267" s="213"/>
      <c r="H267" s="73"/>
    </row>
    <row r="268" spans="1:9" s="212" customFormat="1">
      <c r="A268" s="123"/>
      <c r="B268" s="95"/>
      <c r="C268" s="95"/>
      <c r="D268" s="95"/>
      <c r="E268" s="95"/>
      <c r="G268" s="73"/>
      <c r="H268" s="225"/>
    </row>
    <row r="269" spans="1:9" s="212" customFormat="1">
      <c r="B269" s="97"/>
      <c r="C269" s="98"/>
      <c r="D269" s="98"/>
      <c r="E269" s="98"/>
      <c r="G269" s="220"/>
    </row>
    <row r="270" spans="1:9" s="212" customFormat="1">
      <c r="B270" s="97"/>
      <c r="C270" s="98"/>
      <c r="D270" s="98"/>
      <c r="E270" s="98"/>
      <c r="F270" s="220"/>
      <c r="G270" s="225"/>
      <c r="H270" s="226"/>
    </row>
    <row r="271" spans="1:9" s="212" customFormat="1">
      <c r="A271" s="633"/>
      <c r="B271" s="633"/>
      <c r="C271" s="633"/>
      <c r="D271" s="633"/>
      <c r="E271" s="633"/>
      <c r="F271" s="633"/>
      <c r="G271" s="633"/>
    </row>
    <row r="272" spans="1:9" s="212" customFormat="1">
      <c r="H272" s="227"/>
      <c r="I272" s="228"/>
    </row>
    <row r="273" spans="1:9" s="212" customFormat="1">
      <c r="A273" s="658"/>
      <c r="B273" s="227"/>
      <c r="C273" s="227"/>
      <c r="D273" s="227"/>
      <c r="E273" s="227"/>
      <c r="F273" s="227"/>
      <c r="G273" s="227"/>
      <c r="H273" s="227"/>
      <c r="I273" s="229"/>
    </row>
    <row r="274" spans="1:9" s="212" customFormat="1">
      <c r="A274" s="658"/>
      <c r="B274" s="227"/>
      <c r="C274" s="227"/>
      <c r="D274" s="227"/>
      <c r="E274" s="227"/>
      <c r="F274" s="227"/>
      <c r="G274" s="227"/>
    </row>
    <row r="275" spans="1:9" s="212" customFormat="1">
      <c r="A275" s="69"/>
      <c r="B275" s="69"/>
      <c r="C275" s="69"/>
      <c r="D275" s="69"/>
      <c r="E275" s="69"/>
    </row>
    <row r="276" spans="1:9" s="212" customFormat="1">
      <c r="A276" s="120"/>
      <c r="B276" s="73"/>
      <c r="C276" s="73"/>
      <c r="D276" s="73"/>
      <c r="E276" s="73"/>
      <c r="F276" s="73"/>
      <c r="G276" s="73"/>
      <c r="H276" s="73"/>
    </row>
    <row r="277" spans="1:9" s="212" customFormat="1">
      <c r="A277" s="220"/>
      <c r="B277" s="141"/>
      <c r="C277" s="141"/>
      <c r="D277" s="141"/>
      <c r="E277" s="141"/>
      <c r="F277" s="141"/>
      <c r="G277" s="141"/>
      <c r="H277" s="73"/>
    </row>
    <row r="278" spans="1:9" s="212" customFormat="1">
      <c r="A278" s="142"/>
      <c r="B278" s="167"/>
      <c r="C278" s="143"/>
      <c r="D278" s="84"/>
      <c r="E278" s="84"/>
      <c r="F278" s="84"/>
      <c r="G278" s="224"/>
      <c r="H278" s="221"/>
    </row>
    <row r="279" spans="1:9" s="212" customFormat="1">
      <c r="A279" s="84"/>
      <c r="B279" s="83"/>
      <c r="C279" s="84"/>
      <c r="D279" s="84"/>
      <c r="E279" s="84"/>
      <c r="G279" s="213"/>
      <c r="H279" s="222"/>
    </row>
    <row r="280" spans="1:9" s="212" customFormat="1">
      <c r="A280" s="120"/>
      <c r="B280" s="73"/>
      <c r="C280" s="73"/>
      <c r="D280" s="73"/>
      <c r="E280" s="73"/>
      <c r="G280" s="73"/>
      <c r="H280" s="222"/>
    </row>
    <row r="281" spans="1:9" s="212" customFormat="1">
      <c r="A281" s="220"/>
      <c r="B281" s="141"/>
      <c r="C281" s="141"/>
      <c r="D281" s="141"/>
      <c r="E281" s="141"/>
      <c r="F281" s="141"/>
      <c r="G281" s="141"/>
      <c r="H281" s="222"/>
    </row>
    <row r="282" spans="1:9" s="212" customFormat="1">
      <c r="A282" s="150"/>
      <c r="B282" s="83"/>
      <c r="C282" s="148"/>
      <c r="D282" s="84"/>
      <c r="E282" s="84"/>
      <c r="F282" s="84"/>
      <c r="G282" s="146"/>
      <c r="H282" s="222"/>
    </row>
    <row r="283" spans="1:9" s="212" customFormat="1">
      <c r="A283" s="150"/>
      <c r="B283" s="83"/>
      <c r="C283" s="148"/>
      <c r="D283" s="84"/>
      <c r="E283" s="84"/>
      <c r="F283" s="84"/>
      <c r="G283" s="146"/>
      <c r="H283" s="222"/>
    </row>
    <row r="284" spans="1:9" s="212" customFormat="1">
      <c r="A284" s="150"/>
      <c r="B284" s="83"/>
      <c r="C284" s="148"/>
      <c r="D284" s="84"/>
      <c r="E284" s="84"/>
      <c r="F284" s="84"/>
      <c r="G284" s="224"/>
      <c r="H284" s="221"/>
    </row>
    <row r="285" spans="1:9" s="212" customFormat="1">
      <c r="A285" s="91"/>
      <c r="B285" s="91"/>
      <c r="C285" s="91"/>
      <c r="D285" s="91"/>
      <c r="E285" s="91"/>
      <c r="G285" s="213"/>
      <c r="H285" s="222"/>
    </row>
    <row r="286" spans="1:9" s="212" customFormat="1">
      <c r="A286" s="120"/>
      <c r="B286" s="73"/>
      <c r="C286" s="73"/>
      <c r="D286" s="73"/>
      <c r="E286" s="73"/>
      <c r="G286" s="73"/>
      <c r="H286" s="222"/>
    </row>
    <row r="287" spans="1:9" s="212" customFormat="1">
      <c r="A287" s="220"/>
      <c r="B287" s="141"/>
      <c r="C287" s="141"/>
      <c r="D287" s="141"/>
      <c r="E287" s="141"/>
      <c r="F287" s="141"/>
      <c r="G287" s="141"/>
      <c r="H287" s="222"/>
    </row>
    <row r="288" spans="1:9" s="212" customFormat="1">
      <c r="A288" s="146"/>
      <c r="B288" s="83"/>
      <c r="C288" s="148"/>
      <c r="D288" s="84"/>
      <c r="E288" s="84"/>
      <c r="F288" s="84"/>
      <c r="G288" s="146"/>
      <c r="H288" s="221"/>
    </row>
    <row r="289" spans="1:9" s="212" customFormat="1">
      <c r="A289" s="91"/>
      <c r="B289" s="91"/>
      <c r="C289" s="91"/>
      <c r="D289" s="91"/>
      <c r="E289" s="91"/>
      <c r="G289" s="213"/>
      <c r="H289" s="222"/>
    </row>
    <row r="290" spans="1:9" s="212" customFormat="1">
      <c r="A290" s="120"/>
      <c r="B290" s="73"/>
      <c r="C290" s="73"/>
      <c r="D290" s="73"/>
      <c r="E290" s="73"/>
      <c r="G290" s="73"/>
      <c r="H290" s="222"/>
    </row>
    <row r="291" spans="1:9" s="212" customFormat="1">
      <c r="A291" s="220"/>
      <c r="B291" s="141"/>
      <c r="C291" s="141"/>
      <c r="D291" s="141"/>
      <c r="E291" s="141"/>
      <c r="F291" s="141"/>
      <c r="G291" s="141"/>
      <c r="H291" s="222"/>
    </row>
    <row r="292" spans="1:9" s="212" customFormat="1">
      <c r="A292" s="142"/>
      <c r="B292" s="143"/>
      <c r="C292" s="143"/>
      <c r="D292" s="143"/>
      <c r="E292" s="143"/>
      <c r="F292" s="84"/>
      <c r="G292" s="146"/>
      <c r="H292" s="221"/>
    </row>
    <row r="293" spans="1:9" s="212" customFormat="1">
      <c r="A293" s="123"/>
      <c r="B293" s="95"/>
      <c r="C293" s="95"/>
      <c r="D293" s="95"/>
      <c r="E293" s="95"/>
      <c r="G293" s="213"/>
      <c r="H293" s="73"/>
    </row>
    <row r="294" spans="1:9" s="212" customFormat="1">
      <c r="A294" s="123"/>
      <c r="B294" s="95"/>
      <c r="C294" s="95"/>
      <c r="D294" s="95"/>
      <c r="E294" s="95"/>
      <c r="G294" s="73"/>
      <c r="H294" s="225"/>
    </row>
    <row r="295" spans="1:9" s="212" customFormat="1">
      <c r="B295" s="97"/>
      <c r="C295" s="98"/>
      <c r="D295" s="98"/>
      <c r="E295" s="98"/>
      <c r="G295" s="220"/>
    </row>
    <row r="296" spans="1:9" s="212" customFormat="1">
      <c r="B296" s="97"/>
      <c r="C296" s="98"/>
      <c r="D296" s="98"/>
      <c r="E296" s="98"/>
      <c r="F296" s="220"/>
      <c r="G296" s="225"/>
      <c r="H296" s="226"/>
    </row>
    <row r="297" spans="1:9" s="212" customFormat="1">
      <c r="A297" s="633"/>
      <c r="B297" s="633"/>
      <c r="C297" s="633"/>
      <c r="D297" s="633"/>
      <c r="E297" s="633"/>
      <c r="F297" s="633"/>
      <c r="G297" s="633"/>
    </row>
    <row r="298" spans="1:9" s="212" customFormat="1">
      <c r="H298" s="227"/>
      <c r="I298" s="228"/>
    </row>
    <row r="299" spans="1:9" s="212" customFormat="1">
      <c r="A299" s="658"/>
      <c r="B299" s="227"/>
      <c r="C299" s="227"/>
      <c r="D299" s="227"/>
      <c r="E299" s="227"/>
      <c r="F299" s="227"/>
      <c r="G299" s="227"/>
      <c r="H299" s="227"/>
      <c r="I299" s="229"/>
    </row>
    <row r="300" spans="1:9" s="212" customFormat="1">
      <c r="A300" s="658"/>
      <c r="B300" s="227"/>
      <c r="C300" s="227"/>
      <c r="D300" s="227"/>
      <c r="E300" s="227"/>
      <c r="F300" s="227"/>
      <c r="G300" s="227"/>
    </row>
    <row r="301" spans="1:9" s="212" customFormat="1">
      <c r="A301" s="69"/>
      <c r="B301" s="69"/>
      <c r="C301" s="69"/>
      <c r="D301" s="69"/>
      <c r="E301" s="69"/>
    </row>
    <row r="302" spans="1:9" s="212" customFormat="1">
      <c r="A302" s="120"/>
      <c r="B302" s="73"/>
      <c r="C302" s="73"/>
      <c r="D302" s="73"/>
      <c r="E302" s="73"/>
      <c r="F302" s="73"/>
      <c r="G302" s="73"/>
      <c r="H302" s="73"/>
    </row>
    <row r="303" spans="1:9" s="212" customFormat="1">
      <c r="A303" s="220"/>
      <c r="B303" s="141"/>
      <c r="C303" s="141"/>
      <c r="D303" s="141"/>
      <c r="E303" s="141"/>
      <c r="F303" s="141"/>
      <c r="G303" s="141"/>
      <c r="H303" s="73"/>
    </row>
    <row r="304" spans="1:9" s="212" customFormat="1">
      <c r="A304" s="150"/>
      <c r="B304" s="84"/>
      <c r="C304" s="148"/>
      <c r="D304" s="84"/>
      <c r="E304" s="84"/>
      <c r="F304" s="84"/>
      <c r="G304" s="146"/>
      <c r="H304" s="221"/>
    </row>
    <row r="305" spans="1:8" s="212" customFormat="1">
      <c r="A305" s="84"/>
      <c r="B305" s="83"/>
      <c r="C305" s="84"/>
      <c r="D305" s="84"/>
      <c r="E305" s="84"/>
      <c r="G305" s="213"/>
      <c r="H305" s="222"/>
    </row>
    <row r="306" spans="1:8" s="212" customFormat="1">
      <c r="A306" s="120"/>
      <c r="B306" s="73"/>
      <c r="C306" s="73"/>
      <c r="D306" s="73"/>
      <c r="E306" s="73"/>
      <c r="G306" s="73"/>
      <c r="H306" s="222"/>
    </row>
    <row r="307" spans="1:8" s="212" customFormat="1">
      <c r="A307" s="220"/>
      <c r="B307" s="141"/>
      <c r="C307" s="141"/>
      <c r="D307" s="141"/>
      <c r="E307" s="141"/>
      <c r="F307" s="141"/>
      <c r="G307" s="141"/>
      <c r="H307" s="222"/>
    </row>
    <row r="308" spans="1:8" s="212" customFormat="1">
      <c r="A308" s="150"/>
      <c r="B308" s="83"/>
      <c r="C308" s="148"/>
      <c r="D308" s="160"/>
      <c r="E308" s="84"/>
      <c r="F308" s="84"/>
      <c r="G308" s="146"/>
      <c r="H308" s="221"/>
    </row>
    <row r="309" spans="1:8" s="212" customFormat="1">
      <c r="A309" s="91"/>
      <c r="B309" s="91"/>
      <c r="C309" s="91"/>
      <c r="D309" s="91"/>
      <c r="E309" s="91"/>
      <c r="G309" s="213"/>
      <c r="H309" s="222"/>
    </row>
    <row r="310" spans="1:8" s="212" customFormat="1">
      <c r="A310" s="120"/>
      <c r="B310" s="73"/>
      <c r="C310" s="73"/>
      <c r="D310" s="73"/>
      <c r="E310" s="73"/>
      <c r="G310" s="73"/>
      <c r="H310" s="222"/>
    </row>
    <row r="311" spans="1:8" s="212" customFormat="1">
      <c r="A311" s="220"/>
      <c r="B311" s="141"/>
      <c r="C311" s="141"/>
      <c r="D311" s="141"/>
      <c r="E311" s="141"/>
      <c r="F311" s="141"/>
      <c r="G311" s="141"/>
      <c r="H311" s="222"/>
    </row>
    <row r="312" spans="1:8" s="212" customFormat="1">
      <c r="A312" s="150"/>
      <c r="B312" s="84"/>
      <c r="C312" s="148"/>
      <c r="D312" s="84"/>
      <c r="E312" s="84"/>
      <c r="F312" s="84"/>
      <c r="G312" s="146"/>
      <c r="H312" s="221"/>
    </row>
    <row r="313" spans="1:8" s="212" customFormat="1">
      <c r="A313" s="91"/>
      <c r="B313" s="91"/>
      <c r="C313" s="91"/>
      <c r="D313" s="91"/>
      <c r="E313" s="91"/>
      <c r="G313" s="213"/>
      <c r="H313" s="222"/>
    </row>
    <row r="314" spans="1:8" s="212" customFormat="1">
      <c r="A314" s="120"/>
      <c r="B314" s="73"/>
      <c r="C314" s="73"/>
      <c r="D314" s="73"/>
      <c r="E314" s="73"/>
      <c r="G314" s="73"/>
      <c r="H314" s="222"/>
    </row>
    <row r="315" spans="1:8" s="212" customFormat="1">
      <c r="A315" s="220"/>
      <c r="B315" s="141"/>
      <c r="C315" s="141"/>
      <c r="D315" s="141"/>
      <c r="E315" s="141"/>
      <c r="F315" s="141"/>
      <c r="G315" s="141"/>
      <c r="H315" s="222"/>
    </row>
    <row r="316" spans="1:8" s="212" customFormat="1">
      <c r="A316" s="142"/>
      <c r="B316" s="143"/>
      <c r="C316" s="143"/>
      <c r="D316" s="143"/>
      <c r="E316" s="143"/>
      <c r="F316" s="84"/>
      <c r="G316" s="146"/>
      <c r="H316" s="221"/>
    </row>
    <row r="317" spans="1:8" s="212" customFormat="1">
      <c r="A317" s="123"/>
      <c r="B317" s="95"/>
      <c r="C317" s="95"/>
      <c r="D317" s="95"/>
      <c r="E317" s="95"/>
      <c r="G317" s="213"/>
      <c r="H317" s="73"/>
    </row>
    <row r="318" spans="1:8" s="212" customFormat="1">
      <c r="A318" s="123"/>
      <c r="B318" s="95"/>
      <c r="C318" s="95"/>
      <c r="D318" s="95"/>
      <c r="E318" s="95"/>
      <c r="G318" s="73"/>
      <c r="H318" s="225"/>
    </row>
    <row r="319" spans="1:8" s="212" customFormat="1">
      <c r="B319" s="97"/>
      <c r="C319" s="98"/>
      <c r="D319" s="98"/>
      <c r="E319" s="98"/>
      <c r="G319" s="220"/>
    </row>
    <row r="320" spans="1:8" s="212" customFormat="1">
      <c r="B320" s="97"/>
      <c r="C320" s="98"/>
      <c r="D320" s="98"/>
      <c r="E320" s="98"/>
      <c r="F320" s="220"/>
      <c r="G320" s="225"/>
      <c r="H320" s="226"/>
    </row>
    <row r="321" spans="1:9" s="212" customFormat="1">
      <c r="A321" s="633"/>
      <c r="B321" s="633"/>
      <c r="C321" s="633"/>
      <c r="D321" s="633"/>
      <c r="E321" s="633"/>
      <c r="F321" s="633"/>
      <c r="G321" s="633"/>
    </row>
    <row r="322" spans="1:9" s="212" customFormat="1">
      <c r="H322" s="227"/>
      <c r="I322" s="228"/>
    </row>
    <row r="323" spans="1:9" s="212" customFormat="1">
      <c r="A323" s="658"/>
      <c r="B323" s="227"/>
      <c r="C323" s="227"/>
      <c r="D323" s="227"/>
      <c r="E323" s="227"/>
      <c r="F323" s="227"/>
      <c r="G323" s="227"/>
      <c r="H323" s="227"/>
      <c r="I323" s="229"/>
    </row>
    <row r="324" spans="1:9" s="212" customFormat="1">
      <c r="A324" s="658"/>
      <c r="B324" s="227"/>
      <c r="C324" s="227"/>
      <c r="D324" s="227"/>
      <c r="E324" s="227"/>
      <c r="F324" s="227"/>
      <c r="G324" s="227"/>
    </row>
    <row r="325" spans="1:9" s="212" customFormat="1">
      <c r="A325" s="69"/>
      <c r="B325" s="69"/>
      <c r="C325" s="69"/>
      <c r="D325" s="69"/>
      <c r="E325" s="69"/>
    </row>
    <row r="326" spans="1:9" s="212" customFormat="1">
      <c r="A326" s="120"/>
      <c r="B326" s="73"/>
      <c r="C326" s="73"/>
      <c r="D326" s="73"/>
      <c r="E326" s="73"/>
      <c r="F326" s="73"/>
      <c r="G326" s="73"/>
      <c r="H326" s="73"/>
    </row>
    <row r="327" spans="1:9" s="212" customFormat="1">
      <c r="A327" s="220"/>
      <c r="B327" s="141"/>
      <c r="C327" s="141"/>
      <c r="D327" s="141"/>
      <c r="E327" s="141"/>
      <c r="F327" s="141"/>
      <c r="G327" s="141"/>
      <c r="H327" s="73"/>
    </row>
    <row r="328" spans="1:9" s="212" customFormat="1">
      <c r="A328" s="150"/>
      <c r="B328" s="84"/>
      <c r="C328" s="148"/>
      <c r="D328" s="84"/>
      <c r="E328" s="84"/>
      <c r="F328" s="84"/>
      <c r="G328" s="146"/>
      <c r="H328" s="221"/>
    </row>
    <row r="329" spans="1:9" s="212" customFormat="1">
      <c r="A329" s="84"/>
      <c r="B329" s="83"/>
      <c r="C329" s="84"/>
      <c r="D329" s="84"/>
      <c r="E329" s="84"/>
      <c r="G329" s="213"/>
      <c r="H329" s="222"/>
    </row>
    <row r="330" spans="1:9" s="212" customFormat="1">
      <c r="A330" s="120"/>
      <c r="B330" s="73"/>
      <c r="C330" s="73"/>
      <c r="D330" s="73"/>
      <c r="E330" s="73"/>
      <c r="G330" s="73"/>
      <c r="H330" s="222"/>
    </row>
    <row r="331" spans="1:9" s="212" customFormat="1">
      <c r="A331" s="220"/>
      <c r="B331" s="141"/>
      <c r="C331" s="141"/>
      <c r="D331" s="141"/>
      <c r="E331" s="141"/>
      <c r="F331" s="141"/>
      <c r="G331" s="141"/>
      <c r="H331" s="222"/>
    </row>
    <row r="332" spans="1:9" s="212" customFormat="1">
      <c r="A332" s="150"/>
      <c r="B332" s="83"/>
      <c r="C332" s="148"/>
      <c r="D332" s="160"/>
      <c r="E332" s="84"/>
      <c r="F332" s="84"/>
      <c r="G332" s="146"/>
      <c r="H332" s="221"/>
    </row>
    <row r="333" spans="1:9" s="212" customFormat="1">
      <c r="A333" s="91"/>
      <c r="B333" s="91"/>
      <c r="C333" s="91"/>
      <c r="D333" s="91"/>
      <c r="E333" s="91"/>
      <c r="G333" s="213"/>
      <c r="H333" s="222"/>
    </row>
    <row r="334" spans="1:9" s="212" customFormat="1">
      <c r="A334" s="120"/>
      <c r="B334" s="73"/>
      <c r="C334" s="73"/>
      <c r="D334" s="73"/>
      <c r="E334" s="73"/>
      <c r="G334" s="73"/>
      <c r="H334" s="222"/>
    </row>
    <row r="335" spans="1:9" s="212" customFormat="1">
      <c r="A335" s="220"/>
      <c r="B335" s="141"/>
      <c r="C335" s="141"/>
      <c r="D335" s="141"/>
      <c r="E335" s="141"/>
      <c r="F335" s="141"/>
      <c r="G335" s="141"/>
      <c r="H335" s="222"/>
    </row>
    <row r="336" spans="1:9" s="212" customFormat="1">
      <c r="A336" s="150"/>
      <c r="B336" s="84"/>
      <c r="C336" s="148"/>
      <c r="D336" s="84"/>
      <c r="E336" s="84"/>
      <c r="F336" s="84"/>
      <c r="G336" s="146"/>
      <c r="H336" s="221"/>
    </row>
    <row r="337" spans="1:9" s="212" customFormat="1">
      <c r="A337" s="91"/>
      <c r="B337" s="91"/>
      <c r="C337" s="91"/>
      <c r="D337" s="91"/>
      <c r="E337" s="91"/>
      <c r="G337" s="213"/>
      <c r="H337" s="222"/>
    </row>
    <row r="338" spans="1:9" s="212" customFormat="1">
      <c r="A338" s="120"/>
      <c r="B338" s="73"/>
      <c r="C338" s="73"/>
      <c r="D338" s="73"/>
      <c r="E338" s="73"/>
      <c r="G338" s="73"/>
      <c r="H338" s="222"/>
    </row>
    <row r="339" spans="1:9" s="212" customFormat="1">
      <c r="A339" s="220"/>
      <c r="B339" s="141"/>
      <c r="C339" s="141"/>
      <c r="D339" s="141"/>
      <c r="E339" s="141"/>
      <c r="F339" s="141"/>
      <c r="G339" s="141"/>
      <c r="H339" s="222"/>
    </row>
    <row r="340" spans="1:9" s="212" customFormat="1">
      <c r="A340" s="142"/>
      <c r="B340" s="143"/>
      <c r="C340" s="143"/>
      <c r="D340" s="143"/>
      <c r="E340" s="143"/>
      <c r="F340" s="84"/>
      <c r="G340" s="146"/>
      <c r="H340" s="221"/>
    </row>
    <row r="341" spans="1:9" s="212" customFormat="1">
      <c r="A341" s="123"/>
      <c r="B341" s="95"/>
      <c r="C341" s="95"/>
      <c r="D341" s="95"/>
      <c r="E341" s="95"/>
      <c r="G341" s="213"/>
      <c r="H341" s="73"/>
    </row>
    <row r="342" spans="1:9" s="212" customFormat="1">
      <c r="A342" s="123"/>
      <c r="B342" s="95"/>
      <c r="C342" s="95"/>
      <c r="D342" s="95"/>
      <c r="E342" s="95"/>
      <c r="G342" s="73"/>
      <c r="H342" s="225"/>
    </row>
    <row r="343" spans="1:9" s="212" customFormat="1">
      <c r="B343" s="97"/>
      <c r="C343" s="98"/>
      <c r="D343" s="98"/>
      <c r="E343" s="98"/>
      <c r="G343" s="220"/>
    </row>
    <row r="344" spans="1:9" s="212" customFormat="1">
      <c r="B344" s="97"/>
      <c r="C344" s="98"/>
      <c r="D344" s="98"/>
      <c r="E344" s="98"/>
      <c r="F344" s="220"/>
      <c r="G344" s="225"/>
      <c r="H344" s="226"/>
    </row>
    <row r="345" spans="1:9" s="212" customFormat="1">
      <c r="A345" s="633"/>
      <c r="B345" s="633"/>
      <c r="C345" s="633"/>
      <c r="D345" s="633"/>
      <c r="E345" s="633"/>
      <c r="F345" s="633"/>
      <c r="G345" s="633"/>
    </row>
    <row r="346" spans="1:9" s="212" customFormat="1">
      <c r="H346" s="227"/>
      <c r="I346" s="228"/>
    </row>
    <row r="347" spans="1:9" s="212" customFormat="1">
      <c r="A347" s="658"/>
      <c r="B347" s="227"/>
      <c r="C347" s="227"/>
      <c r="D347" s="227"/>
      <c r="E347" s="227"/>
      <c r="F347" s="227"/>
      <c r="G347" s="227"/>
      <c r="H347" s="227"/>
      <c r="I347" s="229"/>
    </row>
    <row r="348" spans="1:9" s="212" customFormat="1">
      <c r="A348" s="658"/>
      <c r="B348" s="227"/>
      <c r="C348" s="227"/>
      <c r="D348" s="227"/>
      <c r="E348" s="227"/>
      <c r="F348" s="227"/>
      <c r="G348" s="227"/>
    </row>
    <row r="349" spans="1:9" s="212" customFormat="1">
      <c r="A349" s="69"/>
      <c r="B349" s="69"/>
      <c r="C349" s="69"/>
      <c r="D349" s="69"/>
      <c r="E349" s="69"/>
    </row>
    <row r="350" spans="1:9" s="212" customFormat="1">
      <c r="A350" s="120"/>
      <c r="B350" s="73"/>
      <c r="C350" s="73"/>
      <c r="D350" s="73"/>
      <c r="E350" s="73"/>
      <c r="F350" s="73"/>
      <c r="G350" s="73"/>
      <c r="H350" s="73"/>
    </row>
    <row r="351" spans="1:9" s="212" customFormat="1">
      <c r="A351" s="220"/>
      <c r="B351" s="141"/>
      <c r="C351" s="141"/>
      <c r="D351" s="141"/>
      <c r="E351" s="141"/>
      <c r="F351" s="141"/>
      <c r="G351" s="141"/>
      <c r="H351" s="73"/>
    </row>
    <row r="352" spans="1:9" s="212" customFormat="1">
      <c r="A352" s="150"/>
      <c r="B352" s="84"/>
      <c r="C352" s="148"/>
      <c r="D352" s="84"/>
      <c r="E352" s="84"/>
      <c r="F352" s="84"/>
      <c r="G352" s="146"/>
      <c r="H352" s="221"/>
    </row>
    <row r="353" spans="1:8" s="212" customFormat="1">
      <c r="A353" s="84"/>
      <c r="B353" s="83"/>
      <c r="C353" s="84"/>
      <c r="D353" s="84"/>
      <c r="E353" s="84"/>
      <c r="G353" s="213"/>
      <c r="H353" s="222"/>
    </row>
    <row r="354" spans="1:8" s="212" customFormat="1">
      <c r="A354" s="120"/>
      <c r="B354" s="73"/>
      <c r="C354" s="73"/>
      <c r="D354" s="73"/>
      <c r="E354" s="73"/>
      <c r="G354" s="73"/>
      <c r="H354" s="222"/>
    </row>
    <row r="355" spans="1:8" s="212" customFormat="1">
      <c r="A355" s="220"/>
      <c r="B355" s="141"/>
      <c r="C355" s="141"/>
      <c r="D355" s="141"/>
      <c r="E355" s="141"/>
      <c r="F355" s="141"/>
      <c r="G355" s="141"/>
      <c r="H355" s="222"/>
    </row>
    <row r="356" spans="1:8" s="212" customFormat="1">
      <c r="A356" s="150"/>
      <c r="B356" s="83"/>
      <c r="C356" s="148"/>
      <c r="D356" s="160"/>
      <c r="E356" s="84"/>
      <c r="F356" s="84"/>
      <c r="G356" s="146"/>
      <c r="H356" s="221"/>
    </row>
    <row r="357" spans="1:8" s="212" customFormat="1">
      <c r="A357" s="91"/>
      <c r="B357" s="91"/>
      <c r="C357" s="91"/>
      <c r="D357" s="91"/>
      <c r="E357" s="91"/>
      <c r="G357" s="213"/>
      <c r="H357" s="222"/>
    </row>
    <row r="358" spans="1:8" s="212" customFormat="1">
      <c r="A358" s="120"/>
      <c r="B358" s="73"/>
      <c r="C358" s="73"/>
      <c r="D358" s="73"/>
      <c r="E358" s="73"/>
      <c r="G358" s="73"/>
      <c r="H358" s="222"/>
    </row>
    <row r="359" spans="1:8" s="212" customFormat="1">
      <c r="A359" s="220"/>
      <c r="B359" s="141"/>
      <c r="C359" s="141"/>
      <c r="D359" s="141"/>
      <c r="E359" s="141"/>
      <c r="F359" s="141"/>
      <c r="G359" s="141"/>
      <c r="H359" s="222"/>
    </row>
    <row r="360" spans="1:8" s="212" customFormat="1">
      <c r="A360" s="150"/>
      <c r="B360" s="84"/>
      <c r="C360" s="148"/>
      <c r="D360" s="84"/>
      <c r="E360" s="84"/>
      <c r="F360" s="84"/>
      <c r="G360" s="146"/>
      <c r="H360" s="221"/>
    </row>
    <row r="361" spans="1:8" s="212" customFormat="1">
      <c r="A361" s="91"/>
      <c r="B361" s="91"/>
      <c r="C361" s="91"/>
      <c r="D361" s="91"/>
      <c r="E361" s="91"/>
      <c r="G361" s="213"/>
      <c r="H361" s="222"/>
    </row>
    <row r="362" spans="1:8" s="212" customFormat="1">
      <c r="A362" s="120"/>
      <c r="B362" s="73"/>
      <c r="C362" s="73"/>
      <c r="D362" s="73"/>
      <c r="E362" s="73"/>
      <c r="G362" s="73"/>
      <c r="H362" s="222"/>
    </row>
    <row r="363" spans="1:8" s="212" customFormat="1">
      <c r="A363" s="220"/>
      <c r="B363" s="141"/>
      <c r="C363" s="141"/>
      <c r="D363" s="141"/>
      <c r="E363" s="141"/>
      <c r="F363" s="141"/>
      <c r="G363" s="141"/>
      <c r="H363" s="222"/>
    </row>
    <row r="364" spans="1:8" s="212" customFormat="1">
      <c r="A364" s="142"/>
      <c r="B364" s="143"/>
      <c r="C364" s="143"/>
      <c r="D364" s="143"/>
      <c r="E364" s="143"/>
      <c r="F364" s="84"/>
      <c r="G364" s="146"/>
      <c r="H364" s="221"/>
    </row>
    <row r="365" spans="1:8" s="212" customFormat="1">
      <c r="A365" s="123"/>
      <c r="B365" s="95"/>
      <c r="C365" s="95"/>
      <c r="D365" s="95"/>
      <c r="E365" s="95"/>
      <c r="G365" s="213"/>
      <c r="H365" s="73"/>
    </row>
    <row r="366" spans="1:8" s="212" customFormat="1">
      <c r="A366" s="123"/>
      <c r="B366" s="95"/>
      <c r="C366" s="95"/>
      <c r="D366" s="95"/>
      <c r="E366" s="95"/>
      <c r="G366" s="73"/>
      <c r="H366" s="225"/>
    </row>
    <row r="367" spans="1:8" s="212" customFormat="1">
      <c r="B367" s="97"/>
      <c r="C367" s="98"/>
      <c r="D367" s="98"/>
      <c r="E367" s="98"/>
      <c r="G367" s="220"/>
    </row>
    <row r="368" spans="1:8" s="212" customFormat="1">
      <c r="B368" s="97"/>
      <c r="C368" s="98"/>
      <c r="D368" s="98"/>
      <c r="E368" s="98"/>
      <c r="F368" s="220"/>
      <c r="G368" s="225"/>
      <c r="H368" s="226"/>
    </row>
    <row r="369" spans="1:9" s="212" customFormat="1">
      <c r="A369" s="633"/>
      <c r="B369" s="633"/>
      <c r="C369" s="633"/>
      <c r="D369" s="633"/>
      <c r="E369" s="633"/>
      <c r="F369" s="633"/>
      <c r="G369" s="633"/>
    </row>
    <row r="370" spans="1:9" s="212" customFormat="1">
      <c r="H370" s="227"/>
      <c r="I370" s="228"/>
    </row>
    <row r="371" spans="1:9" s="212" customFormat="1">
      <c r="A371" s="658"/>
      <c r="B371" s="227"/>
      <c r="C371" s="227"/>
      <c r="D371" s="227"/>
      <c r="E371" s="227"/>
      <c r="F371" s="227"/>
      <c r="G371" s="227"/>
      <c r="H371" s="227"/>
      <c r="I371" s="229"/>
    </row>
    <row r="372" spans="1:9" s="212" customFormat="1">
      <c r="A372" s="658"/>
      <c r="B372" s="227"/>
      <c r="C372" s="227"/>
      <c r="D372" s="227"/>
      <c r="E372" s="227"/>
      <c r="F372" s="227"/>
      <c r="G372" s="227"/>
    </row>
    <row r="373" spans="1:9" s="212" customFormat="1">
      <c r="A373" s="69"/>
      <c r="B373" s="69"/>
      <c r="C373" s="69"/>
      <c r="D373" s="69"/>
      <c r="E373" s="69"/>
    </row>
    <row r="374" spans="1:9" s="212" customFormat="1">
      <c r="A374" s="120"/>
      <c r="B374" s="73"/>
      <c r="C374" s="73"/>
      <c r="D374" s="73"/>
      <c r="E374" s="73"/>
      <c r="F374" s="73"/>
      <c r="G374" s="73"/>
      <c r="H374" s="73"/>
    </row>
    <row r="375" spans="1:9" s="212" customFormat="1">
      <c r="A375" s="220"/>
      <c r="B375" s="141"/>
      <c r="C375" s="141"/>
      <c r="D375" s="141"/>
      <c r="E375" s="141"/>
      <c r="F375" s="141"/>
      <c r="G375" s="141"/>
      <c r="H375" s="73"/>
    </row>
    <row r="376" spans="1:9" s="212" customFormat="1">
      <c r="A376" s="150"/>
      <c r="B376" s="84"/>
      <c r="C376" s="148"/>
      <c r="D376" s="84"/>
      <c r="E376" s="84"/>
      <c r="F376" s="84"/>
      <c r="G376" s="146"/>
      <c r="H376" s="221"/>
    </row>
    <row r="377" spans="1:9" s="212" customFormat="1">
      <c r="A377" s="84"/>
      <c r="B377" s="83"/>
      <c r="C377" s="84"/>
      <c r="D377" s="84"/>
      <c r="E377" s="84"/>
      <c r="G377" s="213"/>
      <c r="H377" s="222"/>
    </row>
    <row r="378" spans="1:9" s="212" customFormat="1">
      <c r="A378" s="120"/>
      <c r="B378" s="73"/>
      <c r="C378" s="73"/>
      <c r="D378" s="73"/>
      <c r="E378" s="73"/>
      <c r="G378" s="73"/>
      <c r="H378" s="222"/>
    </row>
    <row r="379" spans="1:9" s="212" customFormat="1">
      <c r="A379" s="220"/>
      <c r="B379" s="141"/>
      <c r="C379" s="141"/>
      <c r="D379" s="141"/>
      <c r="E379" s="141"/>
      <c r="F379" s="141"/>
      <c r="G379" s="141"/>
      <c r="H379" s="222"/>
    </row>
    <row r="380" spans="1:9" s="212" customFormat="1">
      <c r="A380" s="150"/>
      <c r="B380" s="83"/>
      <c r="C380" s="148"/>
      <c r="D380" s="160"/>
      <c r="E380" s="84"/>
      <c r="F380" s="84"/>
      <c r="G380" s="146"/>
      <c r="H380" s="221"/>
    </row>
    <row r="381" spans="1:9" s="212" customFormat="1">
      <c r="A381" s="91"/>
      <c r="B381" s="91"/>
      <c r="C381" s="91"/>
      <c r="D381" s="91"/>
      <c r="E381" s="91"/>
      <c r="G381" s="213"/>
      <c r="H381" s="222"/>
    </row>
    <row r="382" spans="1:9" s="212" customFormat="1">
      <c r="A382" s="120"/>
      <c r="B382" s="73"/>
      <c r="C382" s="73"/>
      <c r="D382" s="73"/>
      <c r="E382" s="73"/>
      <c r="G382" s="73"/>
      <c r="H382" s="222"/>
    </row>
    <row r="383" spans="1:9" s="212" customFormat="1">
      <c r="A383" s="220"/>
      <c r="B383" s="141"/>
      <c r="C383" s="141"/>
      <c r="D383" s="141"/>
      <c r="E383" s="141"/>
      <c r="F383" s="141"/>
      <c r="G383" s="141"/>
      <c r="H383" s="222"/>
    </row>
    <row r="384" spans="1:9" s="212" customFormat="1">
      <c r="A384" s="150"/>
      <c r="B384" s="84"/>
      <c r="C384" s="148"/>
      <c r="D384" s="84"/>
      <c r="E384" s="84"/>
      <c r="F384" s="84"/>
      <c r="G384" s="146"/>
      <c r="H384" s="221"/>
    </row>
    <row r="385" spans="1:9" s="212" customFormat="1">
      <c r="A385" s="91"/>
      <c r="B385" s="91"/>
      <c r="C385" s="91"/>
      <c r="D385" s="91"/>
      <c r="E385" s="91"/>
      <c r="G385" s="213"/>
      <c r="H385" s="222"/>
    </row>
    <row r="386" spans="1:9" s="212" customFormat="1">
      <c r="A386" s="120"/>
      <c r="B386" s="73"/>
      <c r="C386" s="73"/>
      <c r="D386" s="73"/>
      <c r="E386" s="73"/>
      <c r="G386" s="73"/>
      <c r="H386" s="222"/>
    </row>
    <row r="387" spans="1:9" s="212" customFormat="1">
      <c r="A387" s="220"/>
      <c r="B387" s="141"/>
      <c r="C387" s="141"/>
      <c r="D387" s="141"/>
      <c r="E387" s="141"/>
      <c r="F387" s="141"/>
      <c r="G387" s="141"/>
      <c r="H387" s="222"/>
    </row>
    <row r="388" spans="1:9" s="212" customFormat="1">
      <c r="A388" s="142"/>
      <c r="B388" s="143"/>
      <c r="C388" s="143"/>
      <c r="D388" s="143"/>
      <c r="E388" s="143"/>
      <c r="F388" s="84"/>
      <c r="G388" s="146"/>
      <c r="H388" s="221"/>
    </row>
    <row r="389" spans="1:9" s="212" customFormat="1">
      <c r="A389" s="123"/>
      <c r="B389" s="95"/>
      <c r="C389" s="95"/>
      <c r="D389" s="95"/>
      <c r="E389" s="95"/>
      <c r="G389" s="213"/>
      <c r="H389" s="73"/>
    </row>
    <row r="390" spans="1:9" s="212" customFormat="1">
      <c r="A390" s="123"/>
      <c r="B390" s="95"/>
      <c r="C390" s="95"/>
      <c r="D390" s="95"/>
      <c r="E390" s="95"/>
      <c r="G390" s="73"/>
      <c r="H390" s="225"/>
    </row>
    <row r="391" spans="1:9" s="212" customFormat="1">
      <c r="B391" s="97"/>
      <c r="C391" s="98"/>
      <c r="D391" s="98"/>
      <c r="E391" s="98"/>
      <c r="G391" s="220"/>
    </row>
    <row r="392" spans="1:9" s="212" customFormat="1">
      <c r="B392" s="97"/>
      <c r="C392" s="98"/>
      <c r="D392" s="98"/>
      <c r="E392" s="98"/>
      <c r="F392" s="220"/>
      <c r="G392" s="225"/>
      <c r="H392" s="226"/>
    </row>
    <row r="393" spans="1:9" s="212" customFormat="1">
      <c r="A393" s="633"/>
      <c r="B393" s="633"/>
      <c r="C393" s="633"/>
      <c r="D393" s="633"/>
      <c r="E393" s="633"/>
      <c r="F393" s="633"/>
      <c r="G393" s="633"/>
    </row>
    <row r="394" spans="1:9" s="212" customFormat="1">
      <c r="H394" s="227"/>
      <c r="I394" s="228"/>
    </row>
    <row r="395" spans="1:9" s="212" customFormat="1">
      <c r="A395" s="658"/>
      <c r="B395" s="227"/>
      <c r="C395" s="227"/>
      <c r="D395" s="227"/>
      <c r="E395" s="227"/>
      <c r="F395" s="227"/>
      <c r="G395" s="227"/>
      <c r="H395" s="227"/>
      <c r="I395" s="229"/>
    </row>
    <row r="396" spans="1:9" s="212" customFormat="1">
      <c r="A396" s="658"/>
      <c r="B396" s="227"/>
      <c r="C396" s="227"/>
      <c r="D396" s="227"/>
      <c r="E396" s="227"/>
      <c r="F396" s="227"/>
      <c r="G396" s="227"/>
    </row>
    <row r="397" spans="1:9" s="212" customFormat="1">
      <c r="A397" s="69"/>
      <c r="B397" s="69"/>
      <c r="C397" s="69"/>
      <c r="D397" s="69"/>
      <c r="E397" s="69"/>
    </row>
    <row r="398" spans="1:9" s="212" customFormat="1">
      <c r="A398" s="120"/>
      <c r="B398" s="73"/>
      <c r="C398" s="73"/>
      <c r="D398" s="73"/>
      <c r="E398" s="73"/>
      <c r="F398" s="73"/>
      <c r="G398" s="73"/>
      <c r="H398" s="73"/>
    </row>
    <row r="399" spans="1:9" s="212" customFormat="1">
      <c r="A399" s="220"/>
      <c r="B399" s="141"/>
      <c r="C399" s="141"/>
      <c r="D399" s="141"/>
      <c r="E399" s="141"/>
      <c r="F399" s="141"/>
      <c r="G399" s="141"/>
      <c r="H399" s="73"/>
    </row>
    <row r="400" spans="1:9" s="212" customFormat="1">
      <c r="A400" s="150"/>
      <c r="B400" s="84"/>
      <c r="C400" s="148"/>
      <c r="D400" s="84"/>
      <c r="E400" s="84"/>
      <c r="F400" s="84"/>
      <c r="G400" s="146"/>
      <c r="H400" s="221"/>
    </row>
    <row r="401" spans="1:8" s="212" customFormat="1">
      <c r="A401" s="84"/>
      <c r="B401" s="83"/>
      <c r="C401" s="84"/>
      <c r="D401" s="84"/>
      <c r="E401" s="84"/>
      <c r="G401" s="213"/>
      <c r="H401" s="222"/>
    </row>
    <row r="402" spans="1:8" s="212" customFormat="1">
      <c r="A402" s="120"/>
      <c r="B402" s="73"/>
      <c r="C402" s="73"/>
      <c r="D402" s="73"/>
      <c r="E402" s="73"/>
      <c r="G402" s="73"/>
      <c r="H402" s="222"/>
    </row>
    <row r="403" spans="1:8" s="212" customFormat="1">
      <c r="A403" s="220"/>
      <c r="B403" s="141"/>
      <c r="C403" s="141"/>
      <c r="D403" s="141"/>
      <c r="E403" s="141"/>
      <c r="F403" s="141"/>
      <c r="G403" s="141"/>
      <c r="H403" s="222"/>
    </row>
    <row r="404" spans="1:8" s="212" customFormat="1">
      <c r="A404" s="150"/>
      <c r="B404" s="83"/>
      <c r="C404" s="148"/>
      <c r="D404" s="160"/>
      <c r="E404" s="84"/>
      <c r="F404" s="84"/>
      <c r="G404" s="146"/>
      <c r="H404" s="221"/>
    </row>
    <row r="405" spans="1:8" s="212" customFormat="1">
      <c r="A405" s="91"/>
      <c r="B405" s="91"/>
      <c r="C405" s="91"/>
      <c r="D405" s="91"/>
      <c r="E405" s="91"/>
      <c r="G405" s="213"/>
      <c r="H405" s="222"/>
    </row>
    <row r="406" spans="1:8" s="212" customFormat="1">
      <c r="A406" s="120"/>
      <c r="B406" s="73"/>
      <c r="C406" s="73"/>
      <c r="D406" s="73"/>
      <c r="E406" s="73"/>
      <c r="G406" s="73"/>
      <c r="H406" s="222"/>
    </row>
    <row r="407" spans="1:8" s="212" customFormat="1">
      <c r="A407" s="220"/>
      <c r="B407" s="141"/>
      <c r="C407" s="141"/>
      <c r="D407" s="141"/>
      <c r="E407" s="141"/>
      <c r="F407" s="141"/>
      <c r="G407" s="141"/>
      <c r="H407" s="222"/>
    </row>
    <row r="408" spans="1:8" s="212" customFormat="1">
      <c r="A408" s="150"/>
      <c r="B408" s="84"/>
      <c r="C408" s="148"/>
      <c r="D408" s="84"/>
      <c r="E408" s="84"/>
      <c r="F408" s="84"/>
      <c r="G408" s="146"/>
      <c r="H408" s="221"/>
    </row>
    <row r="409" spans="1:8" s="212" customFormat="1">
      <c r="A409" s="91"/>
      <c r="B409" s="91"/>
      <c r="C409" s="91"/>
      <c r="D409" s="91"/>
      <c r="E409" s="91"/>
      <c r="G409" s="213"/>
      <c r="H409" s="222"/>
    </row>
    <row r="410" spans="1:8" s="212" customFormat="1">
      <c r="A410" s="120"/>
      <c r="B410" s="73"/>
      <c r="C410" s="73"/>
      <c r="D410" s="73"/>
      <c r="E410" s="73"/>
      <c r="G410" s="73"/>
      <c r="H410" s="222"/>
    </row>
    <row r="411" spans="1:8" s="212" customFormat="1">
      <c r="A411" s="220"/>
      <c r="B411" s="141"/>
      <c r="C411" s="141"/>
      <c r="D411" s="141"/>
      <c r="E411" s="141"/>
      <c r="F411" s="141"/>
      <c r="G411" s="141"/>
      <c r="H411" s="222"/>
    </row>
    <row r="412" spans="1:8" s="212" customFormat="1">
      <c r="A412" s="142"/>
      <c r="B412" s="143"/>
      <c r="C412" s="143"/>
      <c r="D412" s="143"/>
      <c r="E412" s="143"/>
      <c r="F412" s="84"/>
      <c r="G412" s="146"/>
      <c r="H412" s="221"/>
    </row>
    <row r="413" spans="1:8" s="212" customFormat="1">
      <c r="A413" s="123"/>
      <c r="B413" s="95"/>
      <c r="C413" s="95"/>
      <c r="D413" s="95"/>
      <c r="E413" s="95"/>
      <c r="G413" s="213"/>
      <c r="H413" s="73"/>
    </row>
    <row r="414" spans="1:8" s="212" customFormat="1">
      <c r="A414" s="123"/>
      <c r="B414" s="95"/>
      <c r="C414" s="95"/>
      <c r="D414" s="95"/>
      <c r="E414" s="95"/>
      <c r="G414" s="73"/>
      <c r="H414" s="225"/>
    </row>
    <row r="415" spans="1:8" s="212" customFormat="1">
      <c r="B415" s="97"/>
      <c r="C415" s="98"/>
      <c r="D415" s="98"/>
      <c r="E415" s="98"/>
      <c r="G415" s="220"/>
    </row>
    <row r="416" spans="1:8" s="212" customFormat="1">
      <c r="B416" s="97"/>
      <c r="C416" s="98"/>
      <c r="D416" s="98"/>
      <c r="E416" s="98"/>
      <c r="F416" s="220"/>
      <c r="G416" s="225"/>
      <c r="H416" s="226"/>
    </row>
    <row r="417" spans="1:9" s="212" customFormat="1">
      <c r="A417" s="633"/>
      <c r="B417" s="633"/>
      <c r="C417" s="633"/>
      <c r="D417" s="633"/>
      <c r="E417" s="633"/>
      <c r="F417" s="633"/>
      <c r="G417" s="633"/>
    </row>
    <row r="418" spans="1:9" s="212" customFormat="1"/>
    <row r="419" spans="1:9" s="212" customFormat="1">
      <c r="H419" s="227"/>
      <c r="I419" s="228"/>
    </row>
    <row r="420" spans="1:9" s="212" customFormat="1">
      <c r="A420" s="658"/>
      <c r="B420" s="227"/>
      <c r="C420" s="227"/>
      <c r="D420" s="227"/>
      <c r="E420" s="227"/>
      <c r="F420" s="227"/>
      <c r="G420" s="227"/>
      <c r="H420" s="227"/>
      <c r="I420" s="229"/>
    </row>
    <row r="421" spans="1:9" s="212" customFormat="1">
      <c r="A421" s="658"/>
      <c r="B421" s="227"/>
      <c r="C421" s="227"/>
      <c r="D421" s="227"/>
      <c r="E421" s="227"/>
      <c r="F421" s="227"/>
      <c r="G421" s="227"/>
    </row>
    <row r="422" spans="1:9" s="212" customFormat="1">
      <c r="A422" s="69"/>
      <c r="B422" s="69"/>
      <c r="C422" s="69"/>
      <c r="D422" s="69"/>
      <c r="E422" s="69"/>
    </row>
    <row r="423" spans="1:9" s="212" customFormat="1">
      <c r="A423" s="120"/>
      <c r="B423" s="73"/>
      <c r="C423" s="73"/>
      <c r="D423" s="73"/>
      <c r="E423" s="73"/>
      <c r="F423" s="73"/>
      <c r="G423" s="73"/>
      <c r="H423" s="73"/>
    </row>
    <row r="424" spans="1:9" s="212" customFormat="1">
      <c r="A424" s="220"/>
      <c r="B424" s="141"/>
      <c r="C424" s="141"/>
      <c r="D424" s="141"/>
      <c r="E424" s="141"/>
      <c r="F424" s="141"/>
      <c r="G424" s="141"/>
      <c r="H424" s="73"/>
    </row>
    <row r="425" spans="1:9" s="212" customFormat="1">
      <c r="A425" s="150"/>
      <c r="B425" s="84"/>
      <c r="C425" s="148"/>
      <c r="D425" s="84"/>
      <c r="E425" s="84"/>
      <c r="F425" s="84"/>
      <c r="G425" s="146"/>
      <c r="H425" s="221"/>
    </row>
    <row r="426" spans="1:9" s="212" customFormat="1">
      <c r="A426" s="84"/>
      <c r="B426" s="83"/>
      <c r="C426" s="84"/>
      <c r="D426" s="84"/>
      <c r="E426" s="84"/>
      <c r="G426" s="213"/>
      <c r="H426" s="222"/>
    </row>
    <row r="427" spans="1:9" s="212" customFormat="1">
      <c r="A427" s="120"/>
      <c r="B427" s="73"/>
      <c r="C427" s="73"/>
      <c r="D427" s="73"/>
      <c r="E427" s="73"/>
      <c r="G427" s="73"/>
      <c r="H427" s="222"/>
    </row>
    <row r="428" spans="1:9" s="212" customFormat="1">
      <c r="A428" s="220"/>
      <c r="B428" s="141"/>
      <c r="C428" s="141"/>
      <c r="D428" s="141"/>
      <c r="E428" s="141"/>
      <c r="F428" s="141"/>
      <c r="G428" s="141"/>
      <c r="H428" s="222"/>
    </row>
    <row r="429" spans="1:9" s="212" customFormat="1">
      <c r="A429" s="150"/>
      <c r="B429" s="83"/>
      <c r="C429" s="148"/>
      <c r="D429" s="160"/>
      <c r="E429" s="84"/>
      <c r="F429" s="84"/>
      <c r="G429" s="146"/>
      <c r="H429" s="221"/>
    </row>
    <row r="430" spans="1:9" s="212" customFormat="1">
      <c r="A430" s="91"/>
      <c r="B430" s="91"/>
      <c r="C430" s="91"/>
      <c r="D430" s="91"/>
      <c r="E430" s="91"/>
      <c r="G430" s="213"/>
      <c r="H430" s="222"/>
    </row>
    <row r="431" spans="1:9" s="212" customFormat="1">
      <c r="A431" s="120"/>
      <c r="B431" s="73"/>
      <c r="C431" s="73"/>
      <c r="D431" s="73"/>
      <c r="E431" s="73"/>
      <c r="G431" s="73"/>
      <c r="H431" s="222"/>
    </row>
    <row r="432" spans="1:9" s="212" customFormat="1">
      <c r="A432" s="220"/>
      <c r="B432" s="141"/>
      <c r="C432" s="141"/>
      <c r="D432" s="141"/>
      <c r="E432" s="141"/>
      <c r="F432" s="141"/>
      <c r="G432" s="141"/>
      <c r="H432" s="222"/>
    </row>
    <row r="433" spans="1:9" s="212" customFormat="1">
      <c r="A433" s="150"/>
      <c r="B433" s="84"/>
      <c r="C433" s="148"/>
      <c r="D433" s="84"/>
      <c r="E433" s="84"/>
      <c r="F433" s="84"/>
      <c r="G433" s="146"/>
      <c r="H433" s="221"/>
    </row>
    <row r="434" spans="1:9" s="212" customFormat="1">
      <c r="A434" s="91"/>
      <c r="B434" s="91"/>
      <c r="C434" s="91"/>
      <c r="D434" s="91"/>
      <c r="E434" s="91"/>
      <c r="G434" s="213"/>
      <c r="H434" s="222"/>
    </row>
    <row r="435" spans="1:9" s="212" customFormat="1">
      <c r="A435" s="120"/>
      <c r="B435" s="73"/>
      <c r="C435" s="73"/>
      <c r="D435" s="73"/>
      <c r="E435" s="73"/>
      <c r="G435" s="73"/>
      <c r="H435" s="222"/>
    </row>
    <row r="436" spans="1:9" s="212" customFormat="1">
      <c r="A436" s="220"/>
      <c r="B436" s="141"/>
      <c r="C436" s="141"/>
      <c r="D436" s="141"/>
      <c r="E436" s="141"/>
      <c r="F436" s="141"/>
      <c r="G436" s="141"/>
      <c r="H436" s="222"/>
    </row>
    <row r="437" spans="1:9" s="212" customFormat="1">
      <c r="A437" s="142"/>
      <c r="B437" s="143"/>
      <c r="C437" s="143"/>
      <c r="D437" s="143"/>
      <c r="E437" s="143"/>
      <c r="F437" s="84"/>
      <c r="G437" s="146"/>
      <c r="H437" s="221"/>
    </row>
    <row r="438" spans="1:9" s="212" customFormat="1">
      <c r="A438" s="123"/>
      <c r="B438" s="95"/>
      <c r="C438" s="95"/>
      <c r="D438" s="95"/>
      <c r="E438" s="95"/>
      <c r="G438" s="213"/>
      <c r="H438" s="73"/>
    </row>
    <row r="439" spans="1:9" s="212" customFormat="1">
      <c r="A439" s="123"/>
      <c r="B439" s="95"/>
      <c r="C439" s="95"/>
      <c r="D439" s="95"/>
      <c r="E439" s="95"/>
      <c r="G439" s="73"/>
      <c r="H439" s="225"/>
    </row>
    <row r="440" spans="1:9" s="212" customFormat="1">
      <c r="B440" s="97"/>
      <c r="C440" s="98"/>
      <c r="D440" s="98"/>
      <c r="E440" s="98"/>
      <c r="G440" s="220"/>
    </row>
    <row r="441" spans="1:9" s="212" customFormat="1">
      <c r="B441" s="97"/>
      <c r="C441" s="98"/>
      <c r="D441" s="98"/>
      <c r="E441" s="98"/>
      <c r="F441" s="220"/>
      <c r="G441" s="225"/>
      <c r="H441" s="226"/>
    </row>
    <row r="442" spans="1:9" s="212" customFormat="1">
      <c r="A442" s="633"/>
      <c r="B442" s="633"/>
      <c r="C442" s="633"/>
      <c r="D442" s="633"/>
      <c r="E442" s="633"/>
      <c r="F442" s="633"/>
      <c r="G442" s="633"/>
    </row>
    <row r="443" spans="1:9" s="212" customFormat="1">
      <c r="H443" s="227"/>
      <c r="I443" s="228"/>
    </row>
    <row r="444" spans="1:9" s="212" customFormat="1">
      <c r="A444" s="658"/>
      <c r="B444" s="227"/>
      <c r="C444" s="227"/>
      <c r="D444" s="227"/>
      <c r="E444" s="227"/>
      <c r="F444" s="227"/>
      <c r="G444" s="227"/>
      <c r="H444" s="227"/>
      <c r="I444" s="229"/>
    </row>
    <row r="445" spans="1:9" s="212" customFormat="1">
      <c r="A445" s="658"/>
      <c r="B445" s="227"/>
      <c r="C445" s="227"/>
      <c r="D445" s="227"/>
      <c r="E445" s="227"/>
      <c r="F445" s="227"/>
      <c r="G445" s="227"/>
    </row>
    <row r="446" spans="1:9" s="212" customFormat="1">
      <c r="A446" s="69"/>
      <c r="B446" s="69"/>
      <c r="C446" s="69"/>
      <c r="D446" s="69"/>
      <c r="E446" s="69"/>
    </row>
    <row r="447" spans="1:9" s="212" customFormat="1">
      <c r="A447" s="120"/>
      <c r="B447" s="73"/>
      <c r="C447" s="73"/>
      <c r="D447" s="73"/>
      <c r="E447" s="73"/>
      <c r="F447" s="73"/>
      <c r="G447" s="73"/>
      <c r="H447" s="73"/>
    </row>
    <row r="448" spans="1:9" s="212" customFormat="1">
      <c r="A448" s="220"/>
      <c r="B448" s="141"/>
      <c r="C448" s="141"/>
      <c r="D448" s="141"/>
      <c r="E448" s="141"/>
      <c r="F448" s="141"/>
      <c r="G448" s="141"/>
      <c r="H448" s="73"/>
    </row>
    <row r="449" spans="1:8" s="212" customFormat="1">
      <c r="A449" s="150"/>
      <c r="B449" s="84"/>
      <c r="C449" s="148"/>
      <c r="D449" s="84"/>
      <c r="E449" s="84"/>
      <c r="F449" s="84"/>
      <c r="G449" s="146"/>
      <c r="H449" s="221"/>
    </row>
    <row r="450" spans="1:8" s="212" customFormat="1">
      <c r="A450" s="84"/>
      <c r="B450" s="83"/>
      <c r="C450" s="84"/>
      <c r="D450" s="84"/>
      <c r="E450" s="84"/>
      <c r="G450" s="213"/>
      <c r="H450" s="222"/>
    </row>
    <row r="451" spans="1:8" s="212" customFormat="1">
      <c r="A451" s="120"/>
      <c r="B451" s="73"/>
      <c r="C451" s="73"/>
      <c r="D451" s="73"/>
      <c r="E451" s="73"/>
      <c r="G451" s="73"/>
      <c r="H451" s="222"/>
    </row>
    <row r="452" spans="1:8" s="212" customFormat="1">
      <c r="A452" s="220"/>
      <c r="B452" s="141"/>
      <c r="C452" s="141"/>
      <c r="D452" s="141"/>
      <c r="E452" s="141"/>
      <c r="F452" s="141"/>
      <c r="G452" s="141"/>
      <c r="H452" s="222"/>
    </row>
    <row r="453" spans="1:8" s="212" customFormat="1">
      <c r="A453" s="150"/>
      <c r="B453" s="83"/>
      <c r="C453" s="148"/>
      <c r="D453" s="160"/>
      <c r="E453" s="84"/>
      <c r="F453" s="84"/>
      <c r="G453" s="146"/>
      <c r="H453" s="221"/>
    </row>
    <row r="454" spans="1:8" s="212" customFormat="1">
      <c r="A454" s="91"/>
      <c r="B454" s="91"/>
      <c r="C454" s="91"/>
      <c r="D454" s="91"/>
      <c r="E454" s="91"/>
      <c r="G454" s="213"/>
      <c r="H454" s="222"/>
    </row>
    <row r="455" spans="1:8" s="212" customFormat="1">
      <c r="A455" s="120"/>
      <c r="B455" s="73"/>
      <c r="C455" s="73"/>
      <c r="D455" s="73"/>
      <c r="E455" s="73"/>
      <c r="G455" s="73"/>
      <c r="H455" s="222"/>
    </row>
    <row r="456" spans="1:8" s="212" customFormat="1">
      <c r="A456" s="220"/>
      <c r="B456" s="141"/>
      <c r="C456" s="141"/>
      <c r="D456" s="141"/>
      <c r="E456" s="141"/>
      <c r="F456" s="141"/>
      <c r="G456" s="141"/>
      <c r="H456" s="222"/>
    </row>
    <row r="457" spans="1:8" s="212" customFormat="1">
      <c r="A457" s="150"/>
      <c r="B457" s="84"/>
      <c r="C457" s="148"/>
      <c r="D457" s="84"/>
      <c r="E457" s="84"/>
      <c r="F457" s="84"/>
      <c r="G457" s="146"/>
      <c r="H457" s="221"/>
    </row>
    <row r="458" spans="1:8" s="212" customFormat="1">
      <c r="A458" s="91"/>
      <c r="B458" s="91"/>
      <c r="C458" s="91"/>
      <c r="D458" s="91"/>
      <c r="E458" s="91"/>
      <c r="G458" s="213"/>
      <c r="H458" s="222"/>
    </row>
    <row r="459" spans="1:8" s="212" customFormat="1">
      <c r="A459" s="120"/>
      <c r="B459" s="73"/>
      <c r="C459" s="73"/>
      <c r="D459" s="73"/>
      <c r="E459" s="73"/>
      <c r="G459" s="73"/>
      <c r="H459" s="222"/>
    </row>
    <row r="460" spans="1:8" s="212" customFormat="1">
      <c r="A460" s="220"/>
      <c r="B460" s="141"/>
      <c r="C460" s="141"/>
      <c r="D460" s="141"/>
      <c r="E460" s="141"/>
      <c r="F460" s="141"/>
      <c r="G460" s="141"/>
      <c r="H460" s="222"/>
    </row>
    <row r="461" spans="1:8" s="212" customFormat="1">
      <c r="A461" s="142"/>
      <c r="B461" s="143"/>
      <c r="C461" s="143"/>
      <c r="D461" s="143"/>
      <c r="E461" s="143"/>
      <c r="F461" s="84"/>
      <c r="G461" s="146"/>
      <c r="H461" s="221"/>
    </row>
    <row r="462" spans="1:8" s="212" customFormat="1">
      <c r="A462" s="123"/>
      <c r="B462" s="95"/>
      <c r="C462" s="95"/>
      <c r="D462" s="95"/>
      <c r="E462" s="95"/>
      <c r="G462" s="213"/>
      <c r="H462" s="73"/>
    </row>
    <row r="463" spans="1:8" s="212" customFormat="1">
      <c r="A463" s="123"/>
      <c r="B463" s="95"/>
      <c r="C463" s="95"/>
      <c r="D463" s="95"/>
      <c r="E463" s="95"/>
      <c r="G463" s="73"/>
      <c r="H463" s="225"/>
    </row>
    <row r="464" spans="1:8" s="212" customFormat="1">
      <c r="B464" s="97"/>
      <c r="C464" s="98"/>
      <c r="D464" s="98"/>
      <c r="E464" s="98"/>
      <c r="G464" s="220"/>
    </row>
    <row r="465" spans="1:9" s="212" customFormat="1">
      <c r="B465" s="97"/>
      <c r="C465" s="98"/>
      <c r="D465" s="98"/>
      <c r="E465" s="98"/>
      <c r="F465" s="220"/>
      <c r="G465" s="225"/>
      <c r="H465" s="226"/>
    </row>
    <row r="466" spans="1:9" s="212" customFormat="1">
      <c r="A466" s="633"/>
      <c r="B466" s="633"/>
      <c r="C466" s="633"/>
      <c r="D466" s="633"/>
      <c r="E466" s="633"/>
      <c r="F466" s="633"/>
      <c r="G466" s="633"/>
    </row>
    <row r="467" spans="1:9" s="212" customFormat="1">
      <c r="H467" s="227"/>
      <c r="I467" s="228"/>
    </row>
    <row r="468" spans="1:9" s="212" customFormat="1">
      <c r="A468" s="658"/>
      <c r="B468" s="227"/>
      <c r="C468" s="227"/>
      <c r="D468" s="227"/>
      <c r="E468" s="227"/>
      <c r="F468" s="227"/>
      <c r="G468" s="227"/>
      <c r="H468" s="227"/>
      <c r="I468" s="229"/>
    </row>
    <row r="469" spans="1:9" s="212" customFormat="1">
      <c r="A469" s="658"/>
      <c r="B469" s="227"/>
      <c r="C469" s="227"/>
      <c r="D469" s="227"/>
      <c r="E469" s="227"/>
      <c r="F469" s="227"/>
      <c r="G469" s="227"/>
    </row>
    <row r="470" spans="1:9" s="212" customFormat="1">
      <c r="A470" s="69"/>
      <c r="B470" s="69"/>
      <c r="C470" s="69"/>
      <c r="D470" s="69"/>
      <c r="E470" s="69"/>
    </row>
    <row r="471" spans="1:9" s="212" customFormat="1">
      <c r="A471" s="120"/>
      <c r="B471" s="73"/>
      <c r="C471" s="73"/>
      <c r="D471" s="73"/>
      <c r="E471" s="73"/>
      <c r="F471" s="73"/>
      <c r="G471" s="73"/>
      <c r="H471" s="73"/>
    </row>
    <row r="472" spans="1:9" s="212" customFormat="1">
      <c r="A472" s="220"/>
      <c r="B472" s="141"/>
      <c r="C472" s="141"/>
      <c r="D472" s="141"/>
      <c r="E472" s="141"/>
      <c r="F472" s="141"/>
      <c r="G472" s="141"/>
      <c r="H472" s="73"/>
    </row>
    <row r="473" spans="1:9" s="212" customFormat="1">
      <c r="A473" s="150"/>
      <c r="B473" s="84"/>
      <c r="C473" s="148"/>
      <c r="D473" s="84"/>
      <c r="E473" s="84"/>
      <c r="F473" s="84"/>
      <c r="G473" s="146"/>
      <c r="H473" s="221"/>
    </row>
    <row r="474" spans="1:9" s="212" customFormat="1">
      <c r="A474" s="84"/>
      <c r="B474" s="83"/>
      <c r="C474" s="84"/>
      <c r="D474" s="84"/>
      <c r="E474" s="84"/>
      <c r="G474" s="213"/>
      <c r="H474" s="222"/>
    </row>
    <row r="475" spans="1:9" s="212" customFormat="1">
      <c r="A475" s="120"/>
      <c r="B475" s="73"/>
      <c r="C475" s="73"/>
      <c r="D475" s="73"/>
      <c r="E475" s="73"/>
      <c r="G475" s="73"/>
      <c r="H475" s="222"/>
    </row>
    <row r="476" spans="1:9" s="212" customFormat="1">
      <c r="A476" s="220"/>
      <c r="B476" s="141"/>
      <c r="C476" s="141"/>
      <c r="D476" s="141"/>
      <c r="E476" s="141"/>
      <c r="F476" s="141"/>
      <c r="G476" s="141"/>
      <c r="H476" s="222"/>
    </row>
    <row r="477" spans="1:9" s="212" customFormat="1">
      <c r="A477" s="150"/>
      <c r="B477" s="83"/>
      <c r="C477" s="148"/>
      <c r="D477" s="165"/>
      <c r="E477" s="84"/>
      <c r="F477" s="84"/>
      <c r="G477" s="146"/>
      <c r="H477" s="221"/>
    </row>
    <row r="478" spans="1:9" s="212" customFormat="1">
      <c r="A478" s="91"/>
      <c r="B478" s="91"/>
      <c r="C478" s="91"/>
      <c r="D478" s="91"/>
      <c r="E478" s="91"/>
      <c r="G478" s="213"/>
      <c r="H478" s="222"/>
    </row>
    <row r="479" spans="1:9" s="212" customFormat="1">
      <c r="A479" s="120"/>
      <c r="B479" s="73"/>
      <c r="C479" s="73"/>
      <c r="D479" s="73"/>
      <c r="E479" s="73"/>
      <c r="G479" s="73"/>
      <c r="H479" s="222"/>
    </row>
    <row r="480" spans="1:9" s="212" customFormat="1">
      <c r="A480" s="220"/>
      <c r="B480" s="141"/>
      <c r="C480" s="141"/>
      <c r="D480" s="141"/>
      <c r="E480" s="141"/>
      <c r="F480" s="141"/>
      <c r="G480" s="141"/>
      <c r="H480" s="222"/>
    </row>
    <row r="481" spans="1:9" s="212" customFormat="1">
      <c r="A481" s="150"/>
      <c r="B481" s="84"/>
      <c r="C481" s="148"/>
      <c r="D481" s="84"/>
      <c r="E481" s="84"/>
      <c r="F481" s="84"/>
      <c r="G481" s="146"/>
      <c r="H481" s="221"/>
    </row>
    <row r="482" spans="1:9" s="212" customFormat="1">
      <c r="A482" s="91"/>
      <c r="B482" s="91"/>
      <c r="C482" s="91"/>
      <c r="D482" s="91"/>
      <c r="E482" s="91"/>
      <c r="G482" s="213"/>
      <c r="H482" s="222"/>
    </row>
    <row r="483" spans="1:9" s="212" customFormat="1">
      <c r="A483" s="120"/>
      <c r="B483" s="73"/>
      <c r="C483" s="73"/>
      <c r="D483" s="73"/>
      <c r="E483" s="73"/>
      <c r="G483" s="73"/>
      <c r="H483" s="222"/>
    </row>
    <row r="484" spans="1:9" s="212" customFormat="1">
      <c r="A484" s="220"/>
      <c r="B484" s="141"/>
      <c r="C484" s="141"/>
      <c r="D484" s="141"/>
      <c r="E484" s="141"/>
      <c r="F484" s="141"/>
      <c r="G484" s="141"/>
      <c r="H484" s="222"/>
    </row>
    <row r="485" spans="1:9" s="212" customFormat="1">
      <c r="A485" s="142"/>
      <c r="B485" s="143"/>
      <c r="C485" s="143"/>
      <c r="D485" s="143"/>
      <c r="E485" s="143"/>
      <c r="F485" s="84"/>
      <c r="G485" s="146"/>
      <c r="H485" s="221"/>
    </row>
    <row r="486" spans="1:9" s="212" customFormat="1">
      <c r="A486" s="123"/>
      <c r="B486" s="95"/>
      <c r="C486" s="95"/>
      <c r="D486" s="95"/>
      <c r="E486" s="95"/>
      <c r="G486" s="213"/>
      <c r="H486" s="73"/>
    </row>
    <row r="487" spans="1:9" s="212" customFormat="1">
      <c r="A487" s="123"/>
      <c r="B487" s="95"/>
      <c r="C487" s="95"/>
      <c r="D487" s="95"/>
      <c r="E487" s="95"/>
      <c r="G487" s="73"/>
      <c r="H487" s="225"/>
    </row>
    <row r="488" spans="1:9" s="212" customFormat="1">
      <c r="B488" s="97"/>
      <c r="C488" s="98"/>
      <c r="D488" s="98"/>
      <c r="E488" s="98"/>
      <c r="G488" s="220"/>
    </row>
    <row r="489" spans="1:9" s="212" customFormat="1">
      <c r="B489" s="97"/>
      <c r="C489" s="98"/>
      <c r="D489" s="98"/>
      <c r="E489" s="98"/>
      <c r="F489" s="220"/>
      <c r="G489" s="225"/>
      <c r="H489" s="226"/>
    </row>
    <row r="490" spans="1:9" s="212" customFormat="1">
      <c r="A490" s="633"/>
      <c r="B490" s="633"/>
      <c r="C490" s="633"/>
      <c r="D490" s="633"/>
      <c r="E490" s="633"/>
      <c r="F490" s="633"/>
      <c r="G490" s="633"/>
    </row>
    <row r="491" spans="1:9" s="212" customFormat="1">
      <c r="H491" s="227"/>
      <c r="I491" s="228"/>
    </row>
    <row r="492" spans="1:9" s="212" customFormat="1">
      <c r="A492" s="658"/>
      <c r="B492" s="227"/>
      <c r="C492" s="227"/>
      <c r="D492" s="227"/>
      <c r="E492" s="227"/>
      <c r="F492" s="227"/>
      <c r="G492" s="227"/>
      <c r="H492" s="227"/>
      <c r="I492" s="229"/>
    </row>
    <row r="493" spans="1:9" s="212" customFormat="1">
      <c r="A493" s="658"/>
      <c r="B493" s="227"/>
      <c r="C493" s="227"/>
      <c r="D493" s="227"/>
      <c r="E493" s="227"/>
      <c r="F493" s="227"/>
      <c r="G493" s="227"/>
    </row>
    <row r="494" spans="1:9" s="212" customFormat="1">
      <c r="A494" s="69"/>
      <c r="B494" s="69"/>
      <c r="C494" s="69"/>
      <c r="D494" s="69"/>
      <c r="E494" s="69"/>
    </row>
    <row r="495" spans="1:9" s="212" customFormat="1">
      <c r="A495" s="120"/>
      <c r="B495" s="73"/>
      <c r="C495" s="73"/>
      <c r="D495" s="73"/>
      <c r="E495" s="73"/>
      <c r="F495" s="73"/>
      <c r="G495" s="73"/>
      <c r="H495" s="73"/>
    </row>
    <row r="496" spans="1:9" s="212" customFormat="1">
      <c r="A496" s="220"/>
      <c r="B496" s="141"/>
      <c r="C496" s="141"/>
      <c r="D496" s="141"/>
      <c r="E496" s="141"/>
      <c r="F496" s="141"/>
      <c r="G496" s="141"/>
      <c r="H496" s="73"/>
    </row>
    <row r="497" spans="1:8" s="212" customFormat="1">
      <c r="A497" s="150"/>
      <c r="B497" s="84"/>
      <c r="C497" s="148"/>
      <c r="D497" s="84"/>
      <c r="E497" s="84"/>
      <c r="F497" s="84"/>
      <c r="G497" s="146"/>
      <c r="H497" s="221"/>
    </row>
    <row r="498" spans="1:8" s="212" customFormat="1">
      <c r="A498" s="84"/>
      <c r="B498" s="83"/>
      <c r="C498" s="84"/>
      <c r="D498" s="84"/>
      <c r="E498" s="84"/>
      <c r="G498" s="213"/>
      <c r="H498" s="222"/>
    </row>
    <row r="499" spans="1:8" s="212" customFormat="1">
      <c r="A499" s="120"/>
      <c r="B499" s="73"/>
      <c r="C499" s="73"/>
      <c r="D499" s="73"/>
      <c r="E499" s="73"/>
      <c r="G499" s="73"/>
      <c r="H499" s="222"/>
    </row>
    <row r="500" spans="1:8" s="212" customFormat="1">
      <c r="A500" s="220"/>
      <c r="B500" s="141"/>
      <c r="C500" s="141"/>
      <c r="D500" s="141"/>
      <c r="E500" s="141"/>
      <c r="F500" s="141"/>
      <c r="G500" s="141"/>
      <c r="H500" s="222"/>
    </row>
    <row r="501" spans="1:8" s="212" customFormat="1">
      <c r="A501" s="150"/>
      <c r="B501" s="83"/>
      <c r="C501" s="148"/>
      <c r="D501" s="165"/>
      <c r="E501" s="84"/>
      <c r="F501" s="84"/>
      <c r="G501" s="146"/>
      <c r="H501" s="221"/>
    </row>
    <row r="502" spans="1:8" s="212" customFormat="1">
      <c r="A502" s="91"/>
      <c r="B502" s="91"/>
      <c r="C502" s="91"/>
      <c r="D502" s="91"/>
      <c r="E502" s="91"/>
      <c r="G502" s="213"/>
      <c r="H502" s="222"/>
    </row>
    <row r="503" spans="1:8" s="212" customFormat="1">
      <c r="A503" s="120"/>
      <c r="B503" s="73"/>
      <c r="C503" s="73"/>
      <c r="D503" s="73"/>
      <c r="E503" s="73"/>
      <c r="G503" s="73"/>
      <c r="H503" s="222"/>
    </row>
    <row r="504" spans="1:8" s="212" customFormat="1">
      <c r="A504" s="220"/>
      <c r="B504" s="141"/>
      <c r="C504" s="141"/>
      <c r="D504" s="141"/>
      <c r="E504" s="141"/>
      <c r="F504" s="141"/>
      <c r="G504" s="141"/>
      <c r="H504" s="222"/>
    </row>
    <row r="505" spans="1:8" s="212" customFormat="1">
      <c r="A505" s="150"/>
      <c r="B505" s="84"/>
      <c r="C505" s="148"/>
      <c r="D505" s="84"/>
      <c r="E505" s="84"/>
      <c r="F505" s="84"/>
      <c r="G505" s="146"/>
      <c r="H505" s="221"/>
    </row>
    <row r="506" spans="1:8" s="212" customFormat="1">
      <c r="A506" s="91"/>
      <c r="B506" s="91"/>
      <c r="C506" s="91"/>
      <c r="D506" s="91"/>
      <c r="E506" s="91"/>
      <c r="G506" s="213"/>
      <c r="H506" s="222"/>
    </row>
    <row r="507" spans="1:8" s="212" customFormat="1">
      <c r="A507" s="120"/>
      <c r="B507" s="73"/>
      <c r="C507" s="73"/>
      <c r="D507" s="73"/>
      <c r="E507" s="73"/>
      <c r="G507" s="73"/>
      <c r="H507" s="222"/>
    </row>
    <row r="508" spans="1:8" s="212" customFormat="1">
      <c r="A508" s="220"/>
      <c r="B508" s="141"/>
      <c r="C508" s="141"/>
      <c r="D508" s="141"/>
      <c r="E508" s="141"/>
      <c r="F508" s="141"/>
      <c r="G508" s="141"/>
      <c r="H508" s="222"/>
    </row>
    <row r="509" spans="1:8" s="212" customFormat="1">
      <c r="A509" s="142"/>
      <c r="B509" s="143"/>
      <c r="C509" s="143"/>
      <c r="D509" s="143"/>
      <c r="E509" s="143"/>
      <c r="F509" s="84"/>
      <c r="G509" s="146"/>
      <c r="H509" s="221"/>
    </row>
    <row r="510" spans="1:8" s="212" customFormat="1">
      <c r="A510" s="123"/>
      <c r="B510" s="95"/>
      <c r="C510" s="95"/>
      <c r="D510" s="95"/>
      <c r="E510" s="95"/>
      <c r="G510" s="213"/>
      <c r="H510" s="73"/>
    </row>
    <row r="511" spans="1:8" s="212" customFormat="1">
      <c r="A511" s="123"/>
      <c r="B511" s="95"/>
      <c r="C511" s="95"/>
      <c r="D511" s="95"/>
      <c r="E511" s="95"/>
      <c r="G511" s="73"/>
      <c r="H511" s="225"/>
    </row>
    <row r="512" spans="1:8" s="212" customFormat="1">
      <c r="B512" s="97"/>
      <c r="C512" s="98"/>
      <c r="D512" s="98"/>
      <c r="E512" s="98"/>
      <c r="G512" s="220"/>
    </row>
    <row r="513" spans="1:9" s="212" customFormat="1">
      <c r="B513" s="97"/>
      <c r="C513" s="98"/>
      <c r="D513" s="98"/>
      <c r="E513" s="98"/>
      <c r="F513" s="220"/>
      <c r="G513" s="225"/>
      <c r="H513" s="226"/>
    </row>
    <row r="514" spans="1:9" s="212" customFormat="1">
      <c r="A514" s="633"/>
      <c r="B514" s="633"/>
      <c r="C514" s="633"/>
      <c r="D514" s="633"/>
      <c r="E514" s="633"/>
      <c r="F514" s="633"/>
      <c r="G514" s="633"/>
    </row>
    <row r="515" spans="1:9" s="212" customFormat="1">
      <c r="H515" s="227"/>
      <c r="I515" s="228"/>
    </row>
    <row r="516" spans="1:9" s="212" customFormat="1">
      <c r="A516" s="658"/>
      <c r="B516" s="227"/>
      <c r="C516" s="227"/>
      <c r="D516" s="227"/>
      <c r="E516" s="227"/>
      <c r="F516" s="227"/>
      <c r="G516" s="227"/>
      <c r="H516" s="227"/>
      <c r="I516" s="229"/>
    </row>
    <row r="517" spans="1:9" s="212" customFormat="1">
      <c r="A517" s="658"/>
      <c r="B517" s="227"/>
      <c r="C517" s="227"/>
      <c r="D517" s="227"/>
      <c r="E517" s="227"/>
      <c r="F517" s="227"/>
      <c r="G517" s="227"/>
    </row>
    <row r="518" spans="1:9" s="212" customFormat="1">
      <c r="A518" s="69"/>
      <c r="B518" s="69"/>
      <c r="C518" s="69"/>
      <c r="D518" s="69"/>
      <c r="E518" s="69"/>
    </row>
    <row r="519" spans="1:9" s="212" customFormat="1">
      <c r="A519" s="120"/>
      <c r="B519" s="73"/>
      <c r="C519" s="73"/>
      <c r="D519" s="73"/>
      <c r="E519" s="73"/>
      <c r="F519" s="73"/>
      <c r="G519" s="73"/>
      <c r="H519" s="73"/>
    </row>
    <row r="520" spans="1:9" s="212" customFormat="1">
      <c r="A520" s="220"/>
      <c r="B520" s="141"/>
      <c r="C520" s="141"/>
      <c r="D520" s="141"/>
      <c r="E520" s="141"/>
      <c r="F520" s="141"/>
      <c r="G520" s="141"/>
      <c r="H520" s="73"/>
    </row>
    <row r="521" spans="1:9" s="212" customFormat="1">
      <c r="A521" s="150"/>
      <c r="B521" s="84"/>
      <c r="C521" s="148"/>
      <c r="D521" s="84"/>
      <c r="E521" s="84"/>
      <c r="F521" s="84"/>
      <c r="G521" s="146"/>
      <c r="H521" s="221"/>
    </row>
    <row r="522" spans="1:9" s="212" customFormat="1">
      <c r="A522" s="84"/>
      <c r="B522" s="83"/>
      <c r="C522" s="84"/>
      <c r="D522" s="84"/>
      <c r="E522" s="84"/>
      <c r="G522" s="213"/>
      <c r="H522" s="222"/>
    </row>
    <row r="523" spans="1:9" s="212" customFormat="1">
      <c r="A523" s="120"/>
      <c r="B523" s="73"/>
      <c r="C523" s="73"/>
      <c r="D523" s="73"/>
      <c r="E523" s="73"/>
      <c r="G523" s="73"/>
      <c r="H523" s="222"/>
    </row>
    <row r="524" spans="1:9" s="212" customFormat="1">
      <c r="A524" s="220"/>
      <c r="B524" s="141"/>
      <c r="C524" s="141"/>
      <c r="D524" s="141"/>
      <c r="E524" s="141"/>
      <c r="F524" s="141"/>
      <c r="G524" s="141"/>
      <c r="H524" s="222"/>
    </row>
    <row r="525" spans="1:9" s="212" customFormat="1">
      <c r="A525" s="150"/>
      <c r="B525" s="83"/>
      <c r="C525" s="148"/>
      <c r="D525" s="165"/>
      <c r="E525" s="84"/>
      <c r="F525" s="84"/>
      <c r="G525" s="146"/>
      <c r="H525" s="221"/>
    </row>
    <row r="526" spans="1:9" s="212" customFormat="1">
      <c r="A526" s="91"/>
      <c r="B526" s="91"/>
      <c r="C526" s="91"/>
      <c r="D526" s="91"/>
      <c r="E526" s="91"/>
      <c r="G526" s="213"/>
      <c r="H526" s="222"/>
    </row>
    <row r="527" spans="1:9" s="212" customFormat="1">
      <c r="A527" s="120"/>
      <c r="B527" s="73"/>
      <c r="C527" s="73"/>
      <c r="D527" s="73"/>
      <c r="E527" s="73"/>
      <c r="G527" s="73"/>
      <c r="H527" s="222"/>
    </row>
    <row r="528" spans="1:9" s="212" customFormat="1">
      <c r="A528" s="220"/>
      <c r="B528" s="141"/>
      <c r="C528" s="141"/>
      <c r="D528" s="141"/>
      <c r="E528" s="141"/>
      <c r="F528" s="141"/>
      <c r="G528" s="141"/>
      <c r="H528" s="222"/>
    </row>
    <row r="529" spans="1:9" s="212" customFormat="1">
      <c r="A529" s="150"/>
      <c r="B529" s="84"/>
      <c r="C529" s="148"/>
      <c r="D529" s="84"/>
      <c r="E529" s="84"/>
      <c r="F529" s="84"/>
      <c r="G529" s="146"/>
      <c r="H529" s="221"/>
    </row>
    <row r="530" spans="1:9" s="212" customFormat="1">
      <c r="A530" s="91"/>
      <c r="B530" s="91"/>
      <c r="C530" s="91"/>
      <c r="D530" s="91"/>
      <c r="E530" s="91"/>
      <c r="G530" s="213"/>
      <c r="H530" s="222"/>
    </row>
    <row r="531" spans="1:9" s="212" customFormat="1">
      <c r="A531" s="120"/>
      <c r="B531" s="73"/>
      <c r="C531" s="73"/>
      <c r="D531" s="73"/>
      <c r="E531" s="73"/>
      <c r="G531" s="73"/>
      <c r="H531" s="222"/>
    </row>
    <row r="532" spans="1:9" s="212" customFormat="1">
      <c r="A532" s="220"/>
      <c r="B532" s="141"/>
      <c r="C532" s="141"/>
      <c r="D532" s="141"/>
      <c r="E532" s="141"/>
      <c r="F532" s="141"/>
      <c r="G532" s="141"/>
      <c r="H532" s="222"/>
    </row>
    <row r="533" spans="1:9" s="212" customFormat="1">
      <c r="A533" s="142"/>
      <c r="B533" s="143"/>
      <c r="C533" s="143"/>
      <c r="D533" s="143"/>
      <c r="E533" s="143"/>
      <c r="F533" s="84"/>
      <c r="G533" s="146"/>
      <c r="H533" s="221"/>
    </row>
    <row r="534" spans="1:9" s="212" customFormat="1">
      <c r="A534" s="123"/>
      <c r="B534" s="95"/>
      <c r="C534" s="95"/>
      <c r="D534" s="95"/>
      <c r="E534" s="95"/>
      <c r="G534" s="213"/>
      <c r="H534" s="73"/>
    </row>
    <row r="535" spans="1:9" s="212" customFormat="1">
      <c r="A535" s="123"/>
      <c r="B535" s="95"/>
      <c r="C535" s="95"/>
      <c r="D535" s="95"/>
      <c r="E535" s="95"/>
      <c r="G535" s="73"/>
      <c r="H535" s="225"/>
    </row>
    <row r="536" spans="1:9" s="212" customFormat="1">
      <c r="B536" s="97"/>
      <c r="C536" s="98"/>
      <c r="D536" s="98"/>
      <c r="E536" s="98"/>
      <c r="G536" s="220"/>
    </row>
    <row r="537" spans="1:9" s="212" customFormat="1">
      <c r="B537" s="97"/>
      <c r="C537" s="98"/>
      <c r="D537" s="98"/>
      <c r="E537" s="98"/>
      <c r="F537" s="220"/>
      <c r="G537" s="225"/>
      <c r="H537" s="226"/>
    </row>
    <row r="538" spans="1:9" s="212" customFormat="1">
      <c r="A538" s="633"/>
      <c r="B538" s="633"/>
      <c r="C538" s="633"/>
      <c r="D538" s="633"/>
      <c r="E538" s="633"/>
      <c r="F538" s="633"/>
      <c r="G538" s="633"/>
    </row>
    <row r="539" spans="1:9" s="212" customFormat="1">
      <c r="H539" s="227"/>
      <c r="I539" s="228"/>
    </row>
    <row r="540" spans="1:9" s="212" customFormat="1">
      <c r="A540" s="658"/>
      <c r="B540" s="227"/>
      <c r="C540" s="227"/>
      <c r="D540" s="227"/>
      <c r="E540" s="227"/>
      <c r="F540" s="227"/>
      <c r="G540" s="227"/>
      <c r="H540" s="227"/>
      <c r="I540" s="229"/>
    </row>
    <row r="541" spans="1:9" s="212" customFormat="1">
      <c r="A541" s="658"/>
      <c r="B541" s="227"/>
      <c r="C541" s="227"/>
      <c r="D541" s="227"/>
      <c r="E541" s="227"/>
      <c r="F541" s="227"/>
      <c r="G541" s="227"/>
    </row>
    <row r="542" spans="1:9" s="212" customFormat="1">
      <c r="A542" s="69"/>
      <c r="B542" s="69"/>
      <c r="C542" s="69"/>
      <c r="D542" s="69"/>
      <c r="E542" s="69"/>
    </row>
    <row r="543" spans="1:9" s="212" customFormat="1">
      <c r="A543" s="120"/>
      <c r="B543" s="73"/>
      <c r="C543" s="73"/>
      <c r="D543" s="73"/>
      <c r="E543" s="73"/>
      <c r="F543" s="73"/>
      <c r="G543" s="73"/>
      <c r="H543" s="73"/>
    </row>
    <row r="544" spans="1:9" s="212" customFormat="1">
      <c r="A544" s="220"/>
      <c r="B544" s="141"/>
      <c r="C544" s="141"/>
      <c r="D544" s="141"/>
      <c r="E544" s="141"/>
      <c r="F544" s="141"/>
      <c r="G544" s="141"/>
      <c r="H544" s="73"/>
    </row>
    <row r="545" spans="1:8" s="212" customFormat="1">
      <c r="A545" s="142"/>
      <c r="B545" s="143"/>
      <c r="C545" s="143"/>
      <c r="D545" s="143"/>
      <c r="E545" s="143"/>
      <c r="F545" s="84"/>
      <c r="G545" s="146"/>
      <c r="H545" s="221"/>
    </row>
    <row r="546" spans="1:8" s="212" customFormat="1">
      <c r="A546" s="84"/>
      <c r="B546" s="83"/>
      <c r="C546" s="84"/>
      <c r="D546" s="84"/>
      <c r="E546" s="84"/>
      <c r="G546" s="213"/>
      <c r="H546" s="222"/>
    </row>
    <row r="547" spans="1:8" s="212" customFormat="1">
      <c r="A547" s="120"/>
      <c r="B547" s="73"/>
      <c r="C547" s="73"/>
      <c r="D547" s="73"/>
      <c r="E547" s="73"/>
      <c r="G547" s="73"/>
      <c r="H547" s="222"/>
    </row>
    <row r="548" spans="1:8" s="212" customFormat="1">
      <c r="A548" s="220"/>
      <c r="B548" s="141"/>
      <c r="C548" s="141"/>
      <c r="D548" s="141"/>
      <c r="E548" s="141"/>
      <c r="F548" s="141"/>
      <c r="G548" s="141"/>
      <c r="H548" s="222"/>
    </row>
    <row r="549" spans="1:8" s="212" customFormat="1">
      <c r="A549" s="150"/>
      <c r="B549" s="83"/>
      <c r="C549" s="148"/>
      <c r="D549" s="160"/>
      <c r="E549" s="84"/>
      <c r="F549" s="84"/>
      <c r="G549" s="146"/>
      <c r="H549" s="221"/>
    </row>
    <row r="550" spans="1:8" s="212" customFormat="1">
      <c r="A550" s="91"/>
      <c r="B550" s="91"/>
      <c r="C550" s="91"/>
      <c r="D550" s="91"/>
      <c r="E550" s="91"/>
      <c r="G550" s="213"/>
      <c r="H550" s="222"/>
    </row>
    <row r="551" spans="1:8" s="212" customFormat="1">
      <c r="A551" s="120"/>
      <c r="B551" s="73"/>
      <c r="C551" s="73"/>
      <c r="D551" s="73"/>
      <c r="E551" s="73"/>
      <c r="G551" s="73"/>
      <c r="H551" s="222"/>
    </row>
    <row r="552" spans="1:8" s="212" customFormat="1">
      <c r="A552" s="220"/>
      <c r="B552" s="141"/>
      <c r="C552" s="141"/>
      <c r="D552" s="141"/>
      <c r="E552" s="141"/>
      <c r="F552" s="141"/>
      <c r="G552" s="141"/>
      <c r="H552" s="222"/>
    </row>
    <row r="553" spans="1:8" s="212" customFormat="1">
      <c r="A553" s="142"/>
      <c r="B553" s="143"/>
      <c r="C553" s="143"/>
      <c r="D553" s="143"/>
      <c r="E553" s="143"/>
      <c r="F553" s="84"/>
      <c r="G553" s="146"/>
      <c r="H553" s="221"/>
    </row>
    <row r="554" spans="1:8" s="212" customFormat="1">
      <c r="A554" s="91"/>
      <c r="B554" s="91"/>
      <c r="C554" s="91"/>
      <c r="D554" s="91"/>
      <c r="E554" s="91"/>
      <c r="G554" s="213"/>
      <c r="H554" s="222"/>
    </row>
    <row r="555" spans="1:8" s="212" customFormat="1">
      <c r="A555" s="120"/>
      <c r="B555" s="73"/>
      <c r="C555" s="73"/>
      <c r="D555" s="73"/>
      <c r="E555" s="73"/>
      <c r="G555" s="73"/>
      <c r="H555" s="222"/>
    </row>
    <row r="556" spans="1:8" s="212" customFormat="1">
      <c r="A556" s="220"/>
      <c r="B556" s="141"/>
      <c r="C556" s="141"/>
      <c r="D556" s="141"/>
      <c r="E556" s="141"/>
      <c r="F556" s="141"/>
      <c r="G556" s="141"/>
      <c r="H556" s="222"/>
    </row>
    <row r="557" spans="1:8" s="212" customFormat="1">
      <c r="A557" s="142"/>
      <c r="B557" s="143"/>
      <c r="C557" s="143"/>
      <c r="D557" s="143"/>
      <c r="E557" s="143"/>
      <c r="F557" s="84"/>
      <c r="G557" s="146"/>
      <c r="H557" s="221"/>
    </row>
    <row r="558" spans="1:8" s="212" customFormat="1">
      <c r="A558" s="123"/>
      <c r="B558" s="95"/>
      <c r="C558" s="95"/>
      <c r="D558" s="95"/>
      <c r="E558" s="95"/>
      <c r="G558" s="213"/>
      <c r="H558" s="73"/>
    </row>
    <row r="559" spans="1:8" s="212" customFormat="1">
      <c r="A559" s="123"/>
      <c r="B559" s="95"/>
      <c r="C559" s="95"/>
      <c r="D559" s="95"/>
      <c r="E559" s="95"/>
      <c r="G559" s="73"/>
      <c r="H559" s="225"/>
    </row>
    <row r="560" spans="1:8" s="212" customFormat="1">
      <c r="B560" s="97"/>
      <c r="C560" s="98"/>
      <c r="D560" s="98"/>
      <c r="E560" s="98"/>
      <c r="G560" s="220"/>
    </row>
    <row r="561" spans="1:9" s="212" customFormat="1">
      <c r="B561" s="97"/>
      <c r="C561" s="98"/>
      <c r="D561" s="98"/>
      <c r="E561" s="98"/>
      <c r="F561" s="220"/>
      <c r="G561" s="225"/>
      <c r="H561" s="226"/>
    </row>
    <row r="562" spans="1:9" s="212" customFormat="1">
      <c r="A562" s="633"/>
      <c r="B562" s="633"/>
      <c r="C562" s="633"/>
      <c r="D562" s="633"/>
      <c r="E562" s="633"/>
      <c r="F562" s="633"/>
      <c r="G562" s="633"/>
    </row>
    <row r="563" spans="1:9" s="212" customFormat="1">
      <c r="H563" s="227"/>
      <c r="I563" s="228"/>
    </row>
    <row r="564" spans="1:9" s="212" customFormat="1">
      <c r="A564" s="658"/>
      <c r="B564" s="227"/>
      <c r="C564" s="227"/>
      <c r="D564" s="227"/>
      <c r="E564" s="227"/>
      <c r="F564" s="227"/>
      <c r="G564" s="227"/>
      <c r="H564" s="227"/>
      <c r="I564" s="229"/>
    </row>
    <row r="565" spans="1:9" s="212" customFormat="1">
      <c r="A565" s="658"/>
      <c r="B565" s="227"/>
      <c r="C565" s="227"/>
      <c r="D565" s="227"/>
      <c r="E565" s="227"/>
      <c r="F565" s="227"/>
      <c r="G565" s="227"/>
    </row>
    <row r="566" spans="1:9" s="212" customFormat="1">
      <c r="A566" s="69"/>
      <c r="B566" s="69"/>
      <c r="C566" s="69"/>
      <c r="D566" s="69"/>
      <c r="E566" s="69"/>
    </row>
    <row r="567" spans="1:9" s="212" customFormat="1">
      <c r="A567" s="120"/>
      <c r="B567" s="73"/>
      <c r="C567" s="73"/>
      <c r="D567" s="73"/>
      <c r="E567" s="73"/>
      <c r="F567" s="73"/>
      <c r="G567" s="73"/>
      <c r="H567" s="73"/>
    </row>
    <row r="568" spans="1:9" s="212" customFormat="1">
      <c r="A568" s="220"/>
      <c r="B568" s="141"/>
      <c r="C568" s="141"/>
      <c r="D568" s="141"/>
      <c r="E568" s="141"/>
      <c r="F568" s="141"/>
      <c r="G568" s="141"/>
      <c r="H568" s="73"/>
    </row>
    <row r="569" spans="1:9" s="212" customFormat="1">
      <c r="A569" s="142"/>
      <c r="B569" s="143"/>
      <c r="C569" s="143"/>
      <c r="D569" s="143"/>
      <c r="E569" s="143"/>
      <c r="F569" s="84"/>
      <c r="G569" s="146"/>
      <c r="H569" s="221"/>
    </row>
    <row r="570" spans="1:9" s="212" customFormat="1">
      <c r="A570" s="84"/>
      <c r="B570" s="83"/>
      <c r="C570" s="84"/>
      <c r="D570" s="84"/>
      <c r="E570" s="84"/>
      <c r="G570" s="213"/>
      <c r="H570" s="222"/>
    </row>
    <row r="571" spans="1:9" s="212" customFormat="1">
      <c r="A571" s="120"/>
      <c r="B571" s="73"/>
      <c r="C571" s="73"/>
      <c r="D571" s="73"/>
      <c r="E571" s="73"/>
      <c r="G571" s="73"/>
      <c r="H571" s="222"/>
    </row>
    <row r="572" spans="1:9" s="212" customFormat="1">
      <c r="A572" s="220"/>
      <c r="B572" s="141"/>
      <c r="C572" s="141"/>
      <c r="D572" s="141"/>
      <c r="E572" s="141"/>
      <c r="F572" s="141"/>
      <c r="G572" s="141"/>
      <c r="H572" s="222"/>
    </row>
    <row r="573" spans="1:9" s="212" customFormat="1">
      <c r="A573" s="150"/>
      <c r="B573" s="83"/>
      <c r="C573" s="148"/>
      <c r="D573" s="160"/>
      <c r="E573" s="84"/>
      <c r="F573" s="84"/>
      <c r="G573" s="146"/>
      <c r="H573" s="221"/>
    </row>
    <row r="574" spans="1:9" s="212" customFormat="1">
      <c r="A574" s="91"/>
      <c r="B574" s="91"/>
      <c r="C574" s="91"/>
      <c r="D574" s="91"/>
      <c r="E574" s="91"/>
      <c r="G574" s="213"/>
      <c r="H574" s="222"/>
    </row>
    <row r="575" spans="1:9" s="212" customFormat="1">
      <c r="A575" s="120"/>
      <c r="B575" s="73"/>
      <c r="C575" s="73"/>
      <c r="D575" s="73"/>
      <c r="E575" s="73"/>
      <c r="G575" s="73"/>
      <c r="H575" s="222"/>
    </row>
    <row r="576" spans="1:9" s="212" customFormat="1">
      <c r="A576" s="220"/>
      <c r="B576" s="141"/>
      <c r="C576" s="141"/>
      <c r="D576" s="141"/>
      <c r="E576" s="141"/>
      <c r="F576" s="141"/>
      <c r="G576" s="141"/>
      <c r="H576" s="222"/>
    </row>
    <row r="577" spans="1:9" s="212" customFormat="1">
      <c r="A577" s="142"/>
      <c r="B577" s="143"/>
      <c r="C577" s="143"/>
      <c r="D577" s="143"/>
      <c r="E577" s="143"/>
      <c r="F577" s="84"/>
      <c r="G577" s="146"/>
      <c r="H577" s="221"/>
    </row>
    <row r="578" spans="1:9" s="212" customFormat="1">
      <c r="A578" s="91"/>
      <c r="B578" s="91"/>
      <c r="C578" s="91"/>
      <c r="D578" s="91"/>
      <c r="E578" s="91"/>
      <c r="G578" s="213"/>
      <c r="H578" s="222"/>
    </row>
    <row r="579" spans="1:9" s="212" customFormat="1">
      <c r="A579" s="120"/>
      <c r="B579" s="73"/>
      <c r="C579" s="73"/>
      <c r="D579" s="73"/>
      <c r="E579" s="73"/>
      <c r="G579" s="73"/>
      <c r="H579" s="222"/>
    </row>
    <row r="580" spans="1:9" s="212" customFormat="1">
      <c r="A580" s="220"/>
      <c r="B580" s="141"/>
      <c r="C580" s="141"/>
      <c r="D580" s="141"/>
      <c r="E580" s="141"/>
      <c r="F580" s="141"/>
      <c r="G580" s="141"/>
      <c r="H580" s="222"/>
    </row>
    <row r="581" spans="1:9" s="212" customFormat="1">
      <c r="A581" s="142"/>
      <c r="B581" s="143"/>
      <c r="C581" s="143"/>
      <c r="D581" s="143"/>
      <c r="E581" s="143"/>
      <c r="F581" s="84"/>
      <c r="G581" s="146"/>
      <c r="H581" s="221"/>
    </row>
    <row r="582" spans="1:9" s="212" customFormat="1">
      <c r="A582" s="123"/>
      <c r="B582" s="95"/>
      <c r="C582" s="95"/>
      <c r="D582" s="95"/>
      <c r="E582" s="95"/>
      <c r="G582" s="213"/>
      <c r="H582" s="73"/>
    </row>
    <row r="583" spans="1:9" s="212" customFormat="1">
      <c r="A583" s="123"/>
      <c r="B583" s="95"/>
      <c r="C583" s="95"/>
      <c r="D583" s="95"/>
      <c r="E583" s="95"/>
      <c r="G583" s="73"/>
      <c r="H583" s="225"/>
    </row>
    <row r="584" spans="1:9" s="212" customFormat="1">
      <c r="B584" s="97"/>
      <c r="C584" s="98"/>
      <c r="D584" s="98"/>
      <c r="E584" s="98"/>
      <c r="G584" s="220"/>
    </row>
    <row r="585" spans="1:9" s="212" customFormat="1">
      <c r="B585" s="97"/>
      <c r="C585" s="98"/>
      <c r="D585" s="98"/>
      <c r="E585" s="98"/>
      <c r="F585" s="220"/>
      <c r="G585" s="225"/>
      <c r="H585" s="226"/>
    </row>
    <row r="586" spans="1:9" s="212" customFormat="1">
      <c r="A586" s="633"/>
      <c r="B586" s="633"/>
      <c r="C586" s="633"/>
      <c r="D586" s="633"/>
      <c r="E586" s="633"/>
      <c r="F586" s="633"/>
      <c r="G586" s="633"/>
    </row>
    <row r="587" spans="1:9" s="212" customFormat="1">
      <c r="H587" s="227"/>
      <c r="I587" s="228"/>
    </row>
    <row r="588" spans="1:9" s="212" customFormat="1">
      <c r="A588" s="658"/>
      <c r="B588" s="227"/>
      <c r="C588" s="227"/>
      <c r="D588" s="227"/>
      <c r="E588" s="227"/>
      <c r="F588" s="227"/>
      <c r="G588" s="227"/>
      <c r="H588" s="227"/>
      <c r="I588" s="229"/>
    </row>
    <row r="589" spans="1:9" s="212" customFormat="1">
      <c r="A589" s="658"/>
      <c r="B589" s="227"/>
      <c r="C589" s="227"/>
      <c r="D589" s="227"/>
      <c r="E589" s="227"/>
      <c r="F589" s="227"/>
      <c r="G589" s="227"/>
    </row>
    <row r="590" spans="1:9" s="212" customFormat="1">
      <c r="A590" s="69"/>
      <c r="B590" s="69"/>
      <c r="C590" s="69"/>
      <c r="D590" s="69"/>
      <c r="E590" s="69"/>
    </row>
    <row r="591" spans="1:9" s="212" customFormat="1">
      <c r="A591" s="120"/>
      <c r="B591" s="73"/>
      <c r="C591" s="73"/>
      <c r="D591" s="73"/>
      <c r="E591" s="73"/>
      <c r="F591" s="73"/>
      <c r="G591" s="73"/>
      <c r="H591" s="73"/>
    </row>
    <row r="592" spans="1:9" s="212" customFormat="1">
      <c r="A592" s="220"/>
      <c r="B592" s="141"/>
      <c r="C592" s="141"/>
      <c r="D592" s="141"/>
      <c r="E592" s="141"/>
      <c r="F592" s="141"/>
      <c r="G592" s="141"/>
      <c r="H592" s="73"/>
    </row>
    <row r="593" spans="1:8" s="212" customFormat="1">
      <c r="A593" s="142"/>
      <c r="B593" s="143"/>
      <c r="C593" s="143"/>
      <c r="D593" s="143"/>
      <c r="E593" s="143"/>
      <c r="F593" s="84"/>
      <c r="G593" s="146"/>
      <c r="H593" s="221"/>
    </row>
    <row r="594" spans="1:8" s="212" customFormat="1">
      <c r="A594" s="84"/>
      <c r="B594" s="83"/>
      <c r="C594" s="84"/>
      <c r="D594" s="84"/>
      <c r="E594" s="84"/>
      <c r="G594" s="213"/>
      <c r="H594" s="222"/>
    </row>
    <row r="595" spans="1:8" s="212" customFormat="1">
      <c r="A595" s="120"/>
      <c r="B595" s="73"/>
      <c r="C595" s="73"/>
      <c r="D595" s="73"/>
      <c r="E595" s="73"/>
      <c r="G595" s="73"/>
      <c r="H595" s="222"/>
    </row>
    <row r="596" spans="1:8" s="212" customFormat="1">
      <c r="A596" s="220"/>
      <c r="B596" s="141"/>
      <c r="C596" s="141"/>
      <c r="D596" s="141"/>
      <c r="E596" s="141"/>
      <c r="F596" s="141"/>
      <c r="G596" s="141"/>
      <c r="H596" s="222"/>
    </row>
    <row r="597" spans="1:8" s="212" customFormat="1">
      <c r="A597" s="150"/>
      <c r="B597" s="83"/>
      <c r="C597" s="148"/>
      <c r="D597" s="160"/>
      <c r="E597" s="84"/>
      <c r="F597" s="84"/>
      <c r="G597" s="146"/>
      <c r="H597" s="221"/>
    </row>
    <row r="598" spans="1:8" s="212" customFormat="1">
      <c r="A598" s="91"/>
      <c r="B598" s="91"/>
      <c r="C598" s="91"/>
      <c r="D598" s="91"/>
      <c r="E598" s="91"/>
      <c r="G598" s="213"/>
      <c r="H598" s="222"/>
    </row>
    <row r="599" spans="1:8" s="212" customFormat="1">
      <c r="A599" s="120"/>
      <c r="B599" s="73"/>
      <c r="C599" s="73"/>
      <c r="D599" s="73"/>
      <c r="E599" s="73"/>
      <c r="G599" s="73"/>
      <c r="H599" s="222"/>
    </row>
    <row r="600" spans="1:8" s="212" customFormat="1">
      <c r="A600" s="220"/>
      <c r="B600" s="141"/>
      <c r="C600" s="141"/>
      <c r="D600" s="141"/>
      <c r="E600" s="141"/>
      <c r="F600" s="141"/>
      <c r="G600" s="141"/>
      <c r="H600" s="222"/>
    </row>
    <row r="601" spans="1:8" s="212" customFormat="1">
      <c r="A601" s="142"/>
      <c r="B601" s="143"/>
      <c r="C601" s="143"/>
      <c r="D601" s="143"/>
      <c r="E601" s="143"/>
      <c r="F601" s="84"/>
      <c r="G601" s="146"/>
      <c r="H601" s="221"/>
    </row>
    <row r="602" spans="1:8" s="212" customFormat="1">
      <c r="A602" s="91"/>
      <c r="B602" s="91"/>
      <c r="C602" s="91"/>
      <c r="D602" s="91"/>
      <c r="E602" s="91"/>
      <c r="G602" s="213"/>
      <c r="H602" s="222"/>
    </row>
    <row r="603" spans="1:8" s="212" customFormat="1">
      <c r="A603" s="120"/>
      <c r="B603" s="73"/>
      <c r="C603" s="73"/>
      <c r="D603" s="73"/>
      <c r="E603" s="73"/>
      <c r="G603" s="73"/>
      <c r="H603" s="222"/>
    </row>
    <row r="604" spans="1:8" s="212" customFormat="1">
      <c r="A604" s="220"/>
      <c r="B604" s="141"/>
      <c r="C604" s="141"/>
      <c r="D604" s="141"/>
      <c r="E604" s="141"/>
      <c r="F604" s="141"/>
      <c r="G604" s="141"/>
      <c r="H604" s="222"/>
    </row>
    <row r="605" spans="1:8" s="212" customFormat="1">
      <c r="A605" s="142"/>
      <c r="B605" s="143"/>
      <c r="C605" s="143"/>
      <c r="D605" s="143"/>
      <c r="E605" s="143"/>
      <c r="F605" s="84"/>
      <c r="G605" s="146"/>
      <c r="H605" s="221"/>
    </row>
    <row r="606" spans="1:8" s="212" customFormat="1">
      <c r="A606" s="123"/>
      <c r="B606" s="95"/>
      <c r="C606" s="95"/>
      <c r="D606" s="95"/>
      <c r="E606" s="95"/>
      <c r="G606" s="213"/>
      <c r="H606" s="73"/>
    </row>
    <row r="607" spans="1:8" s="212" customFormat="1">
      <c r="A607" s="123"/>
      <c r="B607" s="95"/>
      <c r="C607" s="95"/>
      <c r="D607" s="95"/>
      <c r="E607" s="95"/>
      <c r="G607" s="73"/>
      <c r="H607" s="225"/>
    </row>
    <row r="608" spans="1:8" s="212" customFormat="1">
      <c r="B608" s="97"/>
      <c r="C608" s="98"/>
      <c r="D608" s="98"/>
      <c r="E608" s="98"/>
      <c r="G608" s="220"/>
    </row>
    <row r="609" spans="1:9" s="212" customFormat="1">
      <c r="B609" s="97"/>
      <c r="C609" s="98"/>
      <c r="D609" s="98"/>
      <c r="E609" s="98"/>
      <c r="F609" s="220"/>
      <c r="G609" s="225"/>
      <c r="H609" s="226"/>
    </row>
    <row r="610" spans="1:9" s="212" customFormat="1">
      <c r="A610" s="633"/>
      <c r="B610" s="633"/>
      <c r="C610" s="633"/>
      <c r="D610" s="633"/>
      <c r="E610" s="633"/>
      <c r="F610" s="633"/>
      <c r="G610" s="633"/>
    </row>
    <row r="611" spans="1:9" s="212" customFormat="1">
      <c r="H611" s="227"/>
      <c r="I611" s="228"/>
    </row>
    <row r="612" spans="1:9" s="212" customFormat="1">
      <c r="A612" s="658"/>
      <c r="B612" s="227"/>
      <c r="C612" s="227"/>
      <c r="D612" s="227"/>
      <c r="E612" s="227"/>
      <c r="F612" s="227"/>
      <c r="G612" s="227"/>
      <c r="H612" s="227"/>
      <c r="I612" s="229"/>
    </row>
    <row r="613" spans="1:9" s="212" customFormat="1">
      <c r="A613" s="658"/>
      <c r="B613" s="227"/>
      <c r="C613" s="227"/>
      <c r="D613" s="227"/>
      <c r="E613" s="227"/>
      <c r="F613" s="227"/>
      <c r="G613" s="227"/>
    </row>
    <row r="614" spans="1:9" s="212" customFormat="1">
      <c r="A614" s="69"/>
      <c r="B614" s="69"/>
      <c r="C614" s="69"/>
      <c r="D614" s="69"/>
      <c r="E614" s="69"/>
    </row>
    <row r="615" spans="1:9" s="212" customFormat="1">
      <c r="A615" s="120"/>
      <c r="B615" s="73"/>
      <c r="C615" s="73"/>
      <c r="D615" s="73"/>
      <c r="E615" s="73"/>
      <c r="F615" s="73"/>
      <c r="G615" s="73"/>
      <c r="H615" s="73"/>
    </row>
    <row r="616" spans="1:9" s="212" customFormat="1">
      <c r="A616" s="220"/>
      <c r="B616" s="141"/>
      <c r="C616" s="141"/>
      <c r="D616" s="141"/>
      <c r="E616" s="141"/>
      <c r="F616" s="141"/>
      <c r="G616" s="141"/>
      <c r="H616" s="73"/>
    </row>
    <row r="617" spans="1:9" s="212" customFormat="1">
      <c r="A617" s="150"/>
      <c r="B617" s="83"/>
      <c r="C617" s="148"/>
      <c r="D617" s="84"/>
      <c r="E617" s="84"/>
      <c r="F617" s="84"/>
      <c r="G617" s="146"/>
      <c r="H617" s="221"/>
    </row>
    <row r="618" spans="1:9" s="212" customFormat="1">
      <c r="A618" s="84"/>
      <c r="B618" s="83"/>
      <c r="C618" s="84"/>
      <c r="D618" s="84"/>
      <c r="E618" s="84"/>
      <c r="G618" s="213"/>
      <c r="H618" s="222"/>
    </row>
    <row r="619" spans="1:9" s="212" customFormat="1">
      <c r="A619" s="120"/>
      <c r="B619" s="73"/>
      <c r="C619" s="73"/>
      <c r="D619" s="73"/>
      <c r="E619" s="73"/>
      <c r="G619" s="73"/>
      <c r="H619" s="222"/>
    </row>
    <row r="620" spans="1:9" s="212" customFormat="1">
      <c r="A620" s="220"/>
      <c r="B620" s="141"/>
      <c r="C620" s="141"/>
      <c r="D620" s="141"/>
      <c r="E620" s="141"/>
      <c r="F620" s="141"/>
      <c r="G620" s="141"/>
      <c r="H620" s="222"/>
    </row>
    <row r="621" spans="1:9" s="212" customFormat="1" ht="16.5">
      <c r="A621" s="150"/>
      <c r="B621" s="161"/>
      <c r="C621" s="148"/>
      <c r="D621" s="84"/>
      <c r="E621" s="84"/>
      <c r="F621" s="84"/>
      <c r="G621" s="146"/>
      <c r="H621" s="222"/>
    </row>
    <row r="622" spans="1:9" s="212" customFormat="1" ht="16.5">
      <c r="A622" s="150"/>
      <c r="B622" s="161"/>
      <c r="C622" s="148"/>
      <c r="D622" s="84"/>
      <c r="E622" s="84"/>
      <c r="F622" s="84"/>
      <c r="G622" s="146"/>
      <c r="H622" s="222"/>
    </row>
    <row r="623" spans="1:9" s="212" customFormat="1" ht="16.5">
      <c r="A623" s="150"/>
      <c r="B623" s="161"/>
      <c r="C623" s="148"/>
      <c r="D623" s="84"/>
      <c r="E623" s="84"/>
      <c r="F623" s="84"/>
      <c r="G623" s="146"/>
      <c r="H623" s="221"/>
    </row>
    <row r="624" spans="1:9" s="212" customFormat="1">
      <c r="A624" s="91"/>
      <c r="B624" s="91"/>
      <c r="C624" s="91"/>
      <c r="D624" s="91"/>
      <c r="E624" s="91"/>
      <c r="G624" s="213"/>
      <c r="H624" s="222"/>
    </row>
    <row r="625" spans="1:9" s="212" customFormat="1">
      <c r="A625" s="120"/>
      <c r="B625" s="73"/>
      <c r="C625" s="73"/>
      <c r="D625" s="73"/>
      <c r="E625" s="73"/>
      <c r="G625" s="73"/>
      <c r="H625" s="222"/>
    </row>
    <row r="626" spans="1:9" s="212" customFormat="1">
      <c r="A626" s="220"/>
      <c r="B626" s="141"/>
      <c r="C626" s="141"/>
      <c r="D626" s="141"/>
      <c r="E626" s="141"/>
      <c r="F626" s="141"/>
      <c r="G626" s="141"/>
      <c r="H626" s="222"/>
    </row>
    <row r="627" spans="1:9" s="212" customFormat="1">
      <c r="A627" s="146"/>
      <c r="B627" s="83"/>
      <c r="C627" s="148"/>
      <c r="D627" s="84"/>
      <c r="E627" s="84"/>
      <c r="F627" s="84"/>
      <c r="G627" s="146"/>
      <c r="H627" s="221"/>
    </row>
    <row r="628" spans="1:9" s="212" customFormat="1">
      <c r="A628" s="91"/>
      <c r="B628" s="91"/>
      <c r="C628" s="91"/>
      <c r="D628" s="91"/>
      <c r="E628" s="91"/>
      <c r="G628" s="213"/>
      <c r="H628" s="222"/>
    </row>
    <row r="629" spans="1:9" s="212" customFormat="1">
      <c r="A629" s="120"/>
      <c r="B629" s="73"/>
      <c r="C629" s="73"/>
      <c r="D629" s="73"/>
      <c r="E629" s="73"/>
      <c r="G629" s="73"/>
      <c r="H629" s="222"/>
    </row>
    <row r="630" spans="1:9" s="212" customFormat="1">
      <c r="A630" s="220"/>
      <c r="B630" s="141"/>
      <c r="C630" s="141"/>
      <c r="D630" s="141"/>
      <c r="E630" s="141"/>
      <c r="F630" s="141"/>
      <c r="G630" s="141"/>
      <c r="H630" s="222"/>
    </row>
    <row r="631" spans="1:9" s="212" customFormat="1">
      <c r="A631" s="142"/>
      <c r="B631" s="143"/>
      <c r="C631" s="143"/>
      <c r="D631" s="143"/>
      <c r="E631" s="143"/>
      <c r="F631" s="84"/>
      <c r="G631" s="146"/>
      <c r="H631" s="221"/>
    </row>
    <row r="632" spans="1:9" s="212" customFormat="1">
      <c r="A632" s="123"/>
      <c r="B632" s="95"/>
      <c r="C632" s="95"/>
      <c r="D632" s="95"/>
      <c r="E632" s="95"/>
      <c r="G632" s="213"/>
      <c r="H632" s="73"/>
    </row>
    <row r="633" spans="1:9" s="212" customFormat="1">
      <c r="A633" s="123"/>
      <c r="B633" s="95"/>
      <c r="C633" s="95"/>
      <c r="D633" s="95"/>
      <c r="E633" s="95"/>
      <c r="G633" s="73"/>
      <c r="H633" s="225"/>
    </row>
    <row r="634" spans="1:9" s="212" customFormat="1">
      <c r="B634" s="97"/>
      <c r="C634" s="98"/>
      <c r="D634" s="98"/>
      <c r="E634" s="98"/>
      <c r="G634" s="220"/>
    </row>
    <row r="635" spans="1:9" s="212" customFormat="1">
      <c r="B635" s="97"/>
      <c r="C635" s="98"/>
      <c r="D635" s="98"/>
      <c r="E635" s="98"/>
      <c r="F635" s="220"/>
      <c r="G635" s="225"/>
      <c r="H635" s="226"/>
    </row>
    <row r="636" spans="1:9" s="212" customFormat="1">
      <c r="A636" s="633"/>
      <c r="B636" s="633"/>
      <c r="C636" s="633"/>
      <c r="D636" s="633"/>
      <c r="E636" s="633"/>
      <c r="F636" s="633"/>
      <c r="G636" s="633"/>
    </row>
    <row r="637" spans="1:9" s="212" customFormat="1">
      <c r="H637" s="227"/>
      <c r="I637" s="228"/>
    </row>
    <row r="638" spans="1:9" s="212" customFormat="1">
      <c r="A638" s="658"/>
      <c r="B638" s="227"/>
      <c r="C638" s="227"/>
      <c r="D638" s="227"/>
      <c r="E638" s="227"/>
      <c r="F638" s="227"/>
      <c r="G638" s="227"/>
      <c r="H638" s="227"/>
      <c r="I638" s="229"/>
    </row>
    <row r="639" spans="1:9" s="212" customFormat="1">
      <c r="A639" s="658"/>
      <c r="B639" s="227"/>
      <c r="C639" s="227"/>
      <c r="D639" s="227"/>
      <c r="E639" s="227"/>
      <c r="F639" s="227"/>
      <c r="G639" s="227"/>
    </row>
    <row r="640" spans="1:9" s="212" customFormat="1">
      <c r="A640" s="69"/>
      <c r="B640" s="69"/>
      <c r="C640" s="69"/>
      <c r="D640" s="69"/>
      <c r="E640" s="69"/>
    </row>
    <row r="641" spans="1:8" s="212" customFormat="1">
      <c r="A641" s="120"/>
      <c r="B641" s="73"/>
      <c r="C641" s="73"/>
      <c r="D641" s="73"/>
      <c r="E641" s="73"/>
      <c r="F641" s="73"/>
      <c r="G641" s="73"/>
      <c r="H641" s="73"/>
    </row>
    <row r="642" spans="1:8" s="212" customFormat="1">
      <c r="A642" s="220"/>
      <c r="B642" s="141"/>
      <c r="C642" s="141"/>
      <c r="D642" s="141"/>
      <c r="E642" s="141"/>
      <c r="F642" s="141"/>
      <c r="G642" s="141"/>
      <c r="H642" s="73"/>
    </row>
    <row r="643" spans="1:8" s="212" customFormat="1">
      <c r="A643" s="150"/>
      <c r="B643" s="83"/>
      <c r="C643" s="148"/>
      <c r="D643" s="84"/>
      <c r="E643" s="84"/>
      <c r="F643" s="84"/>
      <c r="G643" s="146"/>
      <c r="H643" s="221"/>
    </row>
    <row r="644" spans="1:8" s="212" customFormat="1">
      <c r="A644" s="84"/>
      <c r="B644" s="83"/>
      <c r="C644" s="84"/>
      <c r="D644" s="84"/>
      <c r="E644" s="84"/>
      <c r="G644" s="213"/>
      <c r="H644" s="222"/>
    </row>
    <row r="645" spans="1:8" s="212" customFormat="1">
      <c r="A645" s="120"/>
      <c r="B645" s="73"/>
      <c r="C645" s="73"/>
      <c r="D645" s="73"/>
      <c r="E645" s="73"/>
      <c r="G645" s="73"/>
      <c r="H645" s="222"/>
    </row>
    <row r="646" spans="1:8" s="212" customFormat="1">
      <c r="A646" s="220"/>
      <c r="B646" s="141"/>
      <c r="C646" s="141"/>
      <c r="D646" s="141"/>
      <c r="E646" s="141"/>
      <c r="F646" s="141"/>
      <c r="G646" s="141"/>
      <c r="H646" s="222"/>
    </row>
    <row r="647" spans="1:8" s="212" customFormat="1" ht="16.5">
      <c r="A647" s="150"/>
      <c r="B647" s="161"/>
      <c r="C647" s="148"/>
      <c r="D647" s="84"/>
      <c r="E647" s="84"/>
      <c r="F647" s="84"/>
      <c r="G647" s="146"/>
      <c r="H647" s="222"/>
    </row>
    <row r="648" spans="1:8" s="212" customFormat="1" ht="16.5">
      <c r="A648" s="150"/>
      <c r="B648" s="161"/>
      <c r="C648" s="148"/>
      <c r="D648" s="84"/>
      <c r="E648" s="84"/>
      <c r="F648" s="84"/>
      <c r="G648" s="146"/>
      <c r="H648" s="222"/>
    </row>
    <row r="649" spans="1:8" s="212" customFormat="1" ht="16.5">
      <c r="A649" s="150"/>
      <c r="B649" s="161"/>
      <c r="C649" s="148"/>
      <c r="D649" s="84"/>
      <c r="E649" s="84"/>
      <c r="F649" s="84"/>
      <c r="G649" s="146"/>
      <c r="H649" s="221"/>
    </row>
    <row r="650" spans="1:8" s="212" customFormat="1">
      <c r="A650" s="91"/>
      <c r="B650" s="91"/>
      <c r="C650" s="91"/>
      <c r="D650" s="91"/>
      <c r="E650" s="91"/>
      <c r="G650" s="213"/>
      <c r="H650" s="222"/>
    </row>
    <row r="651" spans="1:8" s="212" customFormat="1">
      <c r="A651" s="120"/>
      <c r="B651" s="73"/>
      <c r="C651" s="73"/>
      <c r="D651" s="73"/>
      <c r="E651" s="73"/>
      <c r="G651" s="73"/>
      <c r="H651" s="222"/>
    </row>
    <row r="652" spans="1:8" s="212" customFormat="1">
      <c r="A652" s="220"/>
      <c r="B652" s="141"/>
      <c r="C652" s="141"/>
      <c r="D652" s="141"/>
      <c r="E652" s="141"/>
      <c r="F652" s="141"/>
      <c r="G652" s="141"/>
      <c r="H652" s="222"/>
    </row>
    <row r="653" spans="1:8" s="212" customFormat="1">
      <c r="A653" s="146"/>
      <c r="B653" s="83"/>
      <c r="C653" s="148"/>
      <c r="D653" s="84"/>
      <c r="E653" s="84"/>
      <c r="F653" s="84"/>
      <c r="G653" s="146"/>
      <c r="H653" s="221"/>
    </row>
    <row r="654" spans="1:8" s="212" customFormat="1">
      <c r="A654" s="91"/>
      <c r="B654" s="91"/>
      <c r="C654" s="91"/>
      <c r="D654" s="91"/>
      <c r="E654" s="91"/>
      <c r="G654" s="213"/>
      <c r="H654" s="222"/>
    </row>
    <row r="655" spans="1:8" s="212" customFormat="1">
      <c r="A655" s="120"/>
      <c r="B655" s="73"/>
      <c r="C655" s="73"/>
      <c r="D655" s="73"/>
      <c r="E655" s="73"/>
      <c r="G655" s="73"/>
      <c r="H655" s="222"/>
    </row>
    <row r="656" spans="1:8" s="212" customFormat="1">
      <c r="A656" s="220"/>
      <c r="B656" s="141"/>
      <c r="C656" s="141"/>
      <c r="D656" s="141"/>
      <c r="E656" s="141"/>
      <c r="F656" s="141"/>
      <c r="G656" s="141"/>
      <c r="H656" s="222"/>
    </row>
    <row r="657" spans="1:9" s="212" customFormat="1">
      <c r="A657" s="142"/>
      <c r="B657" s="143"/>
      <c r="C657" s="143"/>
      <c r="D657" s="143"/>
      <c r="E657" s="143"/>
      <c r="F657" s="84"/>
      <c r="G657" s="146"/>
      <c r="H657" s="221"/>
    </row>
    <row r="658" spans="1:9" s="212" customFormat="1">
      <c r="A658" s="123"/>
      <c r="B658" s="95"/>
      <c r="C658" s="95"/>
      <c r="D658" s="95"/>
      <c r="E658" s="95"/>
      <c r="G658" s="213"/>
      <c r="H658" s="73"/>
    </row>
    <row r="659" spans="1:9" s="212" customFormat="1">
      <c r="A659" s="123"/>
      <c r="B659" s="95"/>
      <c r="C659" s="95"/>
      <c r="D659" s="95"/>
      <c r="E659" s="95"/>
      <c r="G659" s="73"/>
      <c r="H659" s="225"/>
    </row>
    <row r="660" spans="1:9" s="212" customFormat="1">
      <c r="B660" s="97"/>
      <c r="C660" s="98"/>
      <c r="D660" s="98"/>
      <c r="E660" s="98"/>
      <c r="G660" s="220"/>
    </row>
    <row r="661" spans="1:9" s="212" customFormat="1">
      <c r="B661" s="97"/>
      <c r="C661" s="98"/>
      <c r="D661" s="98"/>
      <c r="E661" s="98"/>
      <c r="F661" s="220"/>
      <c r="G661" s="225"/>
      <c r="H661" s="226"/>
    </row>
    <row r="662" spans="1:9" s="212" customFormat="1">
      <c r="A662" s="633"/>
      <c r="B662" s="633"/>
      <c r="C662" s="633"/>
      <c r="D662" s="633"/>
      <c r="E662" s="633"/>
      <c r="F662" s="633"/>
      <c r="G662" s="633"/>
    </row>
    <row r="663" spans="1:9" s="212" customFormat="1">
      <c r="H663" s="227"/>
      <c r="I663" s="228"/>
    </row>
    <row r="664" spans="1:9" s="212" customFormat="1">
      <c r="A664" s="658"/>
      <c r="B664" s="227"/>
      <c r="C664" s="227"/>
      <c r="D664" s="227"/>
      <c r="E664" s="227"/>
      <c r="F664" s="227"/>
      <c r="G664" s="227"/>
      <c r="H664" s="227"/>
      <c r="I664" s="229"/>
    </row>
    <row r="665" spans="1:9" s="212" customFormat="1">
      <c r="A665" s="658"/>
      <c r="B665" s="227"/>
      <c r="C665" s="227"/>
      <c r="D665" s="227"/>
      <c r="E665" s="227"/>
      <c r="F665" s="227"/>
      <c r="G665" s="227"/>
    </row>
    <row r="666" spans="1:9" s="212" customFormat="1">
      <c r="A666" s="69"/>
      <c r="B666" s="69"/>
      <c r="C666" s="69"/>
      <c r="D666" s="69"/>
      <c r="E666" s="69"/>
    </row>
    <row r="667" spans="1:9" s="212" customFormat="1">
      <c r="A667" s="120"/>
      <c r="B667" s="73"/>
      <c r="C667" s="73"/>
      <c r="D667" s="73"/>
      <c r="E667" s="73"/>
      <c r="F667" s="73"/>
      <c r="G667" s="73"/>
      <c r="H667" s="73"/>
    </row>
    <row r="668" spans="1:9" s="212" customFormat="1">
      <c r="A668" s="220"/>
      <c r="B668" s="141"/>
      <c r="C668" s="141"/>
      <c r="D668" s="141"/>
      <c r="E668" s="141"/>
      <c r="F668" s="141"/>
      <c r="G668" s="141"/>
      <c r="H668" s="73"/>
    </row>
    <row r="669" spans="1:9" s="212" customFormat="1">
      <c r="A669" s="150"/>
      <c r="B669" s="83"/>
      <c r="C669" s="148"/>
      <c r="D669" s="84"/>
      <c r="E669" s="84"/>
      <c r="F669" s="84"/>
      <c r="G669" s="146"/>
      <c r="H669" s="221"/>
    </row>
    <row r="670" spans="1:9" s="212" customFormat="1">
      <c r="A670" s="84"/>
      <c r="B670" s="83"/>
      <c r="C670" s="84"/>
      <c r="D670" s="84"/>
      <c r="E670" s="84"/>
      <c r="G670" s="213"/>
      <c r="H670" s="222"/>
    </row>
    <row r="671" spans="1:9" s="212" customFormat="1">
      <c r="A671" s="120"/>
      <c r="B671" s="73"/>
      <c r="C671" s="73"/>
      <c r="D671" s="73"/>
      <c r="E671" s="73"/>
      <c r="G671" s="73"/>
      <c r="H671" s="222"/>
    </row>
    <row r="672" spans="1:9" s="212" customFormat="1">
      <c r="A672" s="220"/>
      <c r="B672" s="141"/>
      <c r="C672" s="141"/>
      <c r="D672" s="141"/>
      <c r="E672" s="141"/>
      <c r="F672" s="141"/>
      <c r="G672" s="141"/>
      <c r="H672" s="222"/>
    </row>
    <row r="673" spans="1:8" s="212" customFormat="1" ht="16.5">
      <c r="A673" s="150"/>
      <c r="B673" s="161"/>
      <c r="C673" s="148"/>
      <c r="D673" s="84"/>
      <c r="E673" s="84"/>
      <c r="F673" s="84"/>
      <c r="G673" s="146"/>
      <c r="H673" s="222"/>
    </row>
    <row r="674" spans="1:8" s="212" customFormat="1" ht="16.5">
      <c r="A674" s="150"/>
      <c r="B674" s="161"/>
      <c r="C674" s="148"/>
      <c r="D674" s="84"/>
      <c r="E674" s="84"/>
      <c r="F674" s="84"/>
      <c r="G674" s="146"/>
      <c r="H674" s="222"/>
    </row>
    <row r="675" spans="1:8" s="212" customFormat="1" ht="16.5">
      <c r="A675" s="150"/>
      <c r="B675" s="161"/>
      <c r="C675" s="148"/>
      <c r="D675" s="84"/>
      <c r="E675" s="84"/>
      <c r="F675" s="84"/>
      <c r="G675" s="146"/>
      <c r="H675" s="221"/>
    </row>
    <row r="676" spans="1:8" s="212" customFormat="1">
      <c r="A676" s="91"/>
      <c r="B676" s="91"/>
      <c r="C676" s="91"/>
      <c r="D676" s="91"/>
      <c r="E676" s="91"/>
      <c r="G676" s="213"/>
      <c r="H676" s="222"/>
    </row>
    <row r="677" spans="1:8" s="212" customFormat="1">
      <c r="A677" s="120"/>
      <c r="B677" s="73"/>
      <c r="C677" s="73"/>
      <c r="D677" s="73"/>
      <c r="E677" s="73"/>
      <c r="G677" s="73"/>
      <c r="H677" s="222"/>
    </row>
    <row r="678" spans="1:8" s="212" customFormat="1">
      <c r="A678" s="220"/>
      <c r="B678" s="141"/>
      <c r="C678" s="141"/>
      <c r="D678" s="141"/>
      <c r="E678" s="141"/>
      <c r="F678" s="141"/>
      <c r="G678" s="141"/>
      <c r="H678" s="222"/>
    </row>
    <row r="679" spans="1:8" s="212" customFormat="1">
      <c r="A679" s="146"/>
      <c r="B679" s="83"/>
      <c r="C679" s="148"/>
      <c r="D679" s="84"/>
      <c r="E679" s="84"/>
      <c r="F679" s="84"/>
      <c r="G679" s="146"/>
      <c r="H679" s="221"/>
    </row>
    <row r="680" spans="1:8" s="212" customFormat="1">
      <c r="A680" s="91"/>
      <c r="B680" s="91"/>
      <c r="C680" s="91"/>
      <c r="D680" s="91"/>
      <c r="E680" s="91"/>
      <c r="G680" s="213"/>
      <c r="H680" s="222"/>
    </row>
    <row r="681" spans="1:8" s="212" customFormat="1">
      <c r="A681" s="120"/>
      <c r="B681" s="73"/>
      <c r="C681" s="73"/>
      <c r="D681" s="73"/>
      <c r="E681" s="73"/>
      <c r="G681" s="73"/>
      <c r="H681" s="222"/>
    </row>
    <row r="682" spans="1:8" s="212" customFormat="1">
      <c r="A682" s="220"/>
      <c r="B682" s="141"/>
      <c r="C682" s="141"/>
      <c r="D682" s="141"/>
      <c r="E682" s="141"/>
      <c r="F682" s="141"/>
      <c r="G682" s="141"/>
      <c r="H682" s="222"/>
    </row>
    <row r="683" spans="1:8" s="212" customFormat="1">
      <c r="A683" s="142"/>
      <c r="B683" s="143"/>
      <c r="C683" s="143"/>
      <c r="D683" s="143"/>
      <c r="E683" s="143"/>
      <c r="F683" s="84"/>
      <c r="G683" s="146"/>
      <c r="H683" s="221"/>
    </row>
    <row r="684" spans="1:8" s="212" customFormat="1">
      <c r="A684" s="123"/>
      <c r="B684" s="95"/>
      <c r="C684" s="95"/>
      <c r="D684" s="95"/>
      <c r="E684" s="95"/>
      <c r="G684" s="213"/>
      <c r="H684" s="73"/>
    </row>
    <row r="685" spans="1:8" s="212" customFormat="1">
      <c r="A685" s="123"/>
      <c r="B685" s="95"/>
      <c r="C685" s="95"/>
      <c r="D685" s="95"/>
      <c r="E685" s="95"/>
      <c r="G685" s="73"/>
      <c r="H685" s="225"/>
    </row>
    <row r="686" spans="1:8" s="212" customFormat="1">
      <c r="B686" s="97"/>
      <c r="C686" s="98"/>
      <c r="D686" s="98"/>
      <c r="E686" s="98"/>
      <c r="G686" s="220"/>
    </row>
    <row r="687" spans="1:8" s="212" customFormat="1">
      <c r="B687" s="97"/>
      <c r="C687" s="98"/>
      <c r="D687" s="98"/>
      <c r="E687" s="98"/>
      <c r="F687" s="220"/>
      <c r="G687" s="225"/>
      <c r="H687" s="226"/>
    </row>
    <row r="688" spans="1:8" s="212" customFormat="1">
      <c r="A688" s="633"/>
      <c r="B688" s="633"/>
      <c r="C688" s="633"/>
      <c r="D688" s="633"/>
      <c r="E688" s="633"/>
      <c r="F688" s="633"/>
      <c r="G688" s="633"/>
    </row>
    <row r="689" spans="1:9" s="212" customFormat="1">
      <c r="H689" s="227"/>
      <c r="I689" s="228"/>
    </row>
    <row r="690" spans="1:9" s="212" customFormat="1">
      <c r="A690" s="658"/>
      <c r="B690" s="227"/>
      <c r="C690" s="227"/>
      <c r="D690" s="227"/>
      <c r="E690" s="227"/>
      <c r="F690" s="227"/>
      <c r="G690" s="227"/>
      <c r="H690" s="227"/>
      <c r="I690" s="229"/>
    </row>
    <row r="691" spans="1:9" s="212" customFormat="1">
      <c r="A691" s="658"/>
      <c r="B691" s="227"/>
      <c r="C691" s="227"/>
      <c r="D691" s="227"/>
      <c r="E691" s="227"/>
      <c r="F691" s="227"/>
      <c r="G691" s="227"/>
    </row>
    <row r="692" spans="1:9" s="212" customFormat="1">
      <c r="A692" s="69"/>
      <c r="B692" s="69"/>
      <c r="C692" s="69"/>
      <c r="D692" s="69"/>
      <c r="E692" s="69"/>
    </row>
    <row r="693" spans="1:9" s="212" customFormat="1">
      <c r="A693" s="120"/>
      <c r="B693" s="73"/>
      <c r="C693" s="73"/>
      <c r="D693" s="73"/>
      <c r="E693" s="73"/>
      <c r="F693" s="73"/>
      <c r="G693" s="73"/>
      <c r="H693" s="73"/>
    </row>
    <row r="694" spans="1:9" s="212" customFormat="1">
      <c r="A694" s="220"/>
      <c r="B694" s="141"/>
      <c r="C694" s="141"/>
      <c r="D694" s="141"/>
      <c r="E694" s="141"/>
      <c r="F694" s="141"/>
      <c r="G694" s="141"/>
      <c r="H694" s="73"/>
    </row>
    <row r="695" spans="1:9" s="212" customFormat="1">
      <c r="A695" s="150"/>
      <c r="B695" s="83"/>
      <c r="C695" s="148"/>
      <c r="D695" s="84"/>
      <c r="E695" s="84"/>
      <c r="F695" s="84"/>
      <c r="G695" s="146"/>
      <c r="H695" s="221"/>
    </row>
    <row r="696" spans="1:9" s="212" customFormat="1">
      <c r="A696" s="84"/>
      <c r="B696" s="83"/>
      <c r="C696" s="84"/>
      <c r="D696" s="84"/>
      <c r="E696" s="84"/>
      <c r="G696" s="213"/>
      <c r="H696" s="222"/>
    </row>
    <row r="697" spans="1:9" s="212" customFormat="1">
      <c r="A697" s="120"/>
      <c r="B697" s="73"/>
      <c r="C697" s="73"/>
      <c r="D697" s="73"/>
      <c r="E697" s="73"/>
      <c r="G697" s="73"/>
      <c r="H697" s="222"/>
    </row>
    <row r="698" spans="1:9" s="212" customFormat="1">
      <c r="A698" s="220"/>
      <c r="B698" s="141"/>
      <c r="C698" s="141"/>
      <c r="D698" s="141"/>
      <c r="E698" s="141"/>
      <c r="F698" s="141"/>
      <c r="G698" s="141"/>
      <c r="H698" s="222"/>
    </row>
    <row r="699" spans="1:9" s="212" customFormat="1" ht="16.5">
      <c r="A699" s="150"/>
      <c r="B699" s="161"/>
      <c r="C699" s="148"/>
      <c r="D699" s="84"/>
      <c r="E699" s="84"/>
      <c r="F699" s="84"/>
      <c r="G699" s="146"/>
      <c r="H699" s="222"/>
    </row>
    <row r="700" spans="1:9" s="212" customFormat="1" ht="16.5">
      <c r="A700" s="150"/>
      <c r="B700" s="161"/>
      <c r="C700" s="148"/>
      <c r="D700" s="84"/>
      <c r="E700" s="84"/>
      <c r="F700" s="84"/>
      <c r="G700" s="146"/>
      <c r="H700" s="222"/>
    </row>
    <row r="701" spans="1:9" s="212" customFormat="1" ht="16.5">
      <c r="A701" s="150"/>
      <c r="B701" s="161"/>
      <c r="C701" s="148"/>
      <c r="D701" s="84"/>
      <c r="E701" s="84"/>
      <c r="F701" s="84"/>
      <c r="G701" s="146"/>
      <c r="H701" s="221"/>
    </row>
    <row r="702" spans="1:9" s="212" customFormat="1">
      <c r="A702" s="91"/>
      <c r="B702" s="91"/>
      <c r="C702" s="91"/>
      <c r="D702" s="91"/>
      <c r="E702" s="91"/>
      <c r="G702" s="213"/>
      <c r="H702" s="222"/>
    </row>
    <row r="703" spans="1:9" s="212" customFormat="1">
      <c r="A703" s="120"/>
      <c r="B703" s="73"/>
      <c r="C703" s="73"/>
      <c r="D703" s="73"/>
      <c r="E703" s="73"/>
      <c r="G703" s="73"/>
      <c r="H703" s="222"/>
    </row>
    <row r="704" spans="1:9" s="212" customFormat="1">
      <c r="A704" s="220"/>
      <c r="B704" s="141"/>
      <c r="C704" s="141"/>
      <c r="D704" s="141"/>
      <c r="E704" s="141"/>
      <c r="F704" s="141"/>
      <c r="G704" s="141"/>
      <c r="H704" s="222"/>
    </row>
    <row r="705" spans="1:9" s="212" customFormat="1">
      <c r="A705" s="146"/>
      <c r="B705" s="83"/>
      <c r="C705" s="148"/>
      <c r="D705" s="84"/>
      <c r="E705" s="84"/>
      <c r="F705" s="84"/>
      <c r="G705" s="146"/>
      <c r="H705" s="221"/>
    </row>
    <row r="706" spans="1:9" s="212" customFormat="1">
      <c r="A706" s="91"/>
      <c r="B706" s="91"/>
      <c r="C706" s="91"/>
      <c r="D706" s="91"/>
      <c r="E706" s="91"/>
      <c r="G706" s="213"/>
      <c r="H706" s="222"/>
    </row>
    <row r="707" spans="1:9" s="212" customFormat="1">
      <c r="A707" s="120"/>
      <c r="B707" s="73"/>
      <c r="C707" s="73"/>
      <c r="D707" s="73"/>
      <c r="E707" s="73"/>
      <c r="G707" s="73"/>
      <c r="H707" s="222"/>
    </row>
    <row r="708" spans="1:9" s="212" customFormat="1">
      <c r="A708" s="220"/>
      <c r="B708" s="141"/>
      <c r="C708" s="141"/>
      <c r="D708" s="141"/>
      <c r="E708" s="141"/>
      <c r="F708" s="141"/>
      <c r="G708" s="141"/>
      <c r="H708" s="222"/>
    </row>
    <row r="709" spans="1:9" s="212" customFormat="1">
      <c r="A709" s="142"/>
      <c r="B709" s="143"/>
      <c r="C709" s="143"/>
      <c r="D709" s="143"/>
      <c r="E709" s="143"/>
      <c r="F709" s="84"/>
      <c r="G709" s="146"/>
      <c r="H709" s="221"/>
    </row>
    <row r="710" spans="1:9" s="212" customFormat="1">
      <c r="A710" s="123"/>
      <c r="B710" s="95"/>
      <c r="C710" s="95"/>
      <c r="D710" s="95"/>
      <c r="E710" s="95"/>
      <c r="G710" s="213"/>
      <c r="H710" s="73"/>
    </row>
    <row r="711" spans="1:9" s="212" customFormat="1">
      <c r="A711" s="123"/>
      <c r="B711" s="95"/>
      <c r="C711" s="95"/>
      <c r="D711" s="95"/>
      <c r="E711" s="95"/>
      <c r="G711" s="73"/>
      <c r="H711" s="225"/>
    </row>
    <row r="712" spans="1:9" s="212" customFormat="1">
      <c r="B712" s="97"/>
      <c r="C712" s="98"/>
      <c r="D712" s="98"/>
      <c r="E712" s="98"/>
      <c r="G712" s="220"/>
    </row>
    <row r="713" spans="1:9" s="212" customFormat="1">
      <c r="B713" s="97"/>
      <c r="C713" s="98"/>
      <c r="D713" s="98"/>
      <c r="E713" s="98"/>
      <c r="F713" s="220"/>
      <c r="G713" s="225"/>
      <c r="H713" s="226"/>
    </row>
    <row r="714" spans="1:9" s="212" customFormat="1">
      <c r="A714" s="633"/>
      <c r="B714" s="633"/>
      <c r="C714" s="633"/>
      <c r="D714" s="633"/>
      <c r="E714" s="633"/>
      <c r="F714" s="633"/>
      <c r="G714" s="633"/>
    </row>
    <row r="715" spans="1:9" s="212" customFormat="1">
      <c r="H715" s="227"/>
      <c r="I715" s="228"/>
    </row>
    <row r="716" spans="1:9" s="212" customFormat="1">
      <c r="A716" s="658"/>
      <c r="B716" s="227"/>
      <c r="C716" s="227"/>
      <c r="D716" s="227"/>
      <c r="E716" s="227"/>
      <c r="F716" s="227"/>
      <c r="G716" s="227"/>
      <c r="H716" s="227"/>
      <c r="I716" s="229"/>
    </row>
    <row r="717" spans="1:9" s="212" customFormat="1">
      <c r="A717" s="658"/>
      <c r="B717" s="227"/>
      <c r="C717" s="227"/>
      <c r="D717" s="227"/>
      <c r="E717" s="227"/>
      <c r="F717" s="227"/>
      <c r="G717" s="227"/>
    </row>
    <row r="718" spans="1:9" s="212" customFormat="1">
      <c r="A718" s="69"/>
      <c r="B718" s="69"/>
      <c r="C718" s="69"/>
      <c r="D718" s="69"/>
      <c r="E718" s="69"/>
    </row>
    <row r="719" spans="1:9" s="212" customFormat="1">
      <c r="A719" s="120"/>
      <c r="B719" s="73"/>
      <c r="C719" s="73"/>
      <c r="D719" s="73"/>
      <c r="E719" s="73"/>
      <c r="F719" s="73"/>
      <c r="G719" s="73"/>
      <c r="H719" s="73"/>
    </row>
    <row r="720" spans="1:9" s="212" customFormat="1">
      <c r="A720" s="220"/>
      <c r="B720" s="141"/>
      <c r="C720" s="141"/>
      <c r="D720" s="141"/>
      <c r="E720" s="141"/>
      <c r="F720" s="141"/>
      <c r="G720" s="141"/>
      <c r="H720" s="73"/>
    </row>
    <row r="721" spans="1:8" s="212" customFormat="1">
      <c r="A721" s="150"/>
      <c r="B721" s="83"/>
      <c r="C721" s="148"/>
      <c r="D721" s="84"/>
      <c r="E721" s="84"/>
      <c r="F721" s="84"/>
      <c r="G721" s="146"/>
      <c r="H721" s="221"/>
    </row>
    <row r="722" spans="1:8" s="212" customFormat="1">
      <c r="A722" s="84"/>
      <c r="B722" s="83"/>
      <c r="C722" s="84"/>
      <c r="D722" s="84"/>
      <c r="E722" s="84"/>
      <c r="G722" s="213"/>
      <c r="H722" s="222"/>
    </row>
    <row r="723" spans="1:8" s="212" customFormat="1">
      <c r="A723" s="120"/>
      <c r="B723" s="73"/>
      <c r="C723" s="73"/>
      <c r="D723" s="73"/>
      <c r="E723" s="73"/>
      <c r="G723" s="73"/>
      <c r="H723" s="222"/>
    </row>
    <row r="724" spans="1:8" s="212" customFormat="1">
      <c r="A724" s="220"/>
      <c r="B724" s="141"/>
      <c r="C724" s="141"/>
      <c r="D724" s="141"/>
      <c r="E724" s="141"/>
      <c r="F724" s="141"/>
      <c r="G724" s="141"/>
      <c r="H724" s="222"/>
    </row>
    <row r="725" spans="1:8" s="212" customFormat="1" ht="16.5">
      <c r="A725" s="150"/>
      <c r="B725" s="161"/>
      <c r="C725" s="148"/>
      <c r="D725" s="168"/>
      <c r="E725" s="84"/>
      <c r="F725" s="84"/>
      <c r="G725" s="146"/>
      <c r="H725" s="221"/>
    </row>
    <row r="726" spans="1:8" s="212" customFormat="1">
      <c r="A726" s="91"/>
      <c r="B726" s="91"/>
      <c r="C726" s="91"/>
      <c r="D726" s="91"/>
      <c r="E726" s="91"/>
      <c r="G726" s="213"/>
      <c r="H726" s="222"/>
    </row>
    <row r="727" spans="1:8" s="212" customFormat="1">
      <c r="A727" s="120"/>
      <c r="B727" s="73"/>
      <c r="C727" s="73"/>
      <c r="D727" s="73"/>
      <c r="E727" s="73"/>
      <c r="G727" s="73"/>
      <c r="H727" s="222"/>
    </row>
    <row r="728" spans="1:8" s="212" customFormat="1">
      <c r="A728" s="220"/>
      <c r="B728" s="141"/>
      <c r="C728" s="141"/>
      <c r="D728" s="141"/>
      <c r="E728" s="141"/>
      <c r="F728" s="141"/>
      <c r="G728" s="141"/>
      <c r="H728" s="222"/>
    </row>
    <row r="729" spans="1:8" s="212" customFormat="1">
      <c r="A729" s="146"/>
      <c r="B729" s="83"/>
      <c r="C729" s="148"/>
      <c r="D729" s="84"/>
      <c r="E729" s="84"/>
      <c r="F729" s="84"/>
      <c r="G729" s="146"/>
      <c r="H729" s="221"/>
    </row>
    <row r="730" spans="1:8" s="212" customFormat="1">
      <c r="A730" s="91"/>
      <c r="B730" s="91"/>
      <c r="C730" s="91"/>
      <c r="D730" s="91"/>
      <c r="E730" s="91"/>
      <c r="G730" s="213"/>
      <c r="H730" s="222"/>
    </row>
    <row r="731" spans="1:8" s="212" customFormat="1">
      <c r="A731" s="120"/>
      <c r="B731" s="73"/>
      <c r="C731" s="73"/>
      <c r="D731" s="73"/>
      <c r="E731" s="73"/>
      <c r="G731" s="73"/>
      <c r="H731" s="222"/>
    </row>
    <row r="732" spans="1:8" s="212" customFormat="1">
      <c r="A732" s="220"/>
      <c r="B732" s="141"/>
      <c r="C732" s="141"/>
      <c r="D732" s="141"/>
      <c r="E732" s="141"/>
      <c r="F732" s="141"/>
      <c r="G732" s="141"/>
      <c r="H732" s="222"/>
    </row>
    <row r="733" spans="1:8" s="212" customFormat="1">
      <c r="A733" s="142"/>
      <c r="B733" s="143"/>
      <c r="C733" s="143"/>
      <c r="D733" s="143"/>
      <c r="E733" s="143"/>
      <c r="F733" s="84"/>
      <c r="G733" s="146"/>
      <c r="H733" s="221"/>
    </row>
    <row r="734" spans="1:8" s="212" customFormat="1">
      <c r="A734" s="123"/>
      <c r="B734" s="95"/>
      <c r="C734" s="95"/>
      <c r="D734" s="95"/>
      <c r="E734" s="95"/>
      <c r="G734" s="213"/>
      <c r="H734" s="73"/>
    </row>
    <row r="735" spans="1:8" s="212" customFormat="1">
      <c r="A735" s="123"/>
      <c r="B735" s="95"/>
      <c r="C735" s="95"/>
      <c r="D735" s="95"/>
      <c r="E735" s="95"/>
      <c r="G735" s="73"/>
      <c r="H735" s="225"/>
    </row>
    <row r="736" spans="1:8" s="212" customFormat="1">
      <c r="B736" s="97"/>
      <c r="C736" s="98"/>
      <c r="D736" s="98"/>
      <c r="E736" s="98"/>
      <c r="G736" s="220"/>
    </row>
    <row r="737" spans="1:9" s="212" customFormat="1">
      <c r="B737" s="97"/>
      <c r="C737" s="98"/>
      <c r="D737" s="98"/>
      <c r="E737" s="98"/>
      <c r="F737" s="220"/>
      <c r="G737" s="225"/>
      <c r="H737" s="226"/>
    </row>
    <row r="738" spans="1:9" s="212" customFormat="1">
      <c r="A738" s="633"/>
      <c r="B738" s="633"/>
      <c r="C738" s="633"/>
      <c r="D738" s="633"/>
      <c r="E738" s="633"/>
      <c r="F738" s="633"/>
      <c r="G738" s="633"/>
    </row>
    <row r="739" spans="1:9" s="212" customFormat="1">
      <c r="H739" s="227"/>
      <c r="I739" s="228"/>
    </row>
    <row r="740" spans="1:9" s="212" customFormat="1">
      <c r="A740" s="658"/>
      <c r="B740" s="227"/>
      <c r="C740" s="227"/>
      <c r="D740" s="227"/>
      <c r="E740" s="227"/>
      <c r="F740" s="227"/>
      <c r="G740" s="227"/>
      <c r="H740" s="227"/>
      <c r="I740" s="229"/>
    </row>
    <row r="741" spans="1:9" s="212" customFormat="1">
      <c r="A741" s="658"/>
      <c r="B741" s="227"/>
      <c r="C741" s="227"/>
      <c r="D741" s="227"/>
      <c r="E741" s="227"/>
      <c r="F741" s="227"/>
      <c r="G741" s="227"/>
    </row>
    <row r="742" spans="1:9" s="212" customFormat="1">
      <c r="A742" s="69"/>
      <c r="B742" s="69"/>
      <c r="C742" s="69"/>
      <c r="D742" s="69"/>
      <c r="E742" s="69"/>
    </row>
    <row r="743" spans="1:9" s="212" customFormat="1">
      <c r="A743" s="120"/>
      <c r="B743" s="73"/>
      <c r="C743" s="73"/>
      <c r="D743" s="73"/>
      <c r="E743" s="73"/>
      <c r="F743" s="73"/>
      <c r="G743" s="73"/>
      <c r="H743" s="73"/>
    </row>
    <row r="744" spans="1:9" s="212" customFormat="1">
      <c r="A744" s="220"/>
      <c r="B744" s="141"/>
      <c r="C744" s="141"/>
      <c r="D744" s="141"/>
      <c r="E744" s="141"/>
      <c r="F744" s="141"/>
      <c r="G744" s="141"/>
      <c r="H744" s="73"/>
    </row>
    <row r="745" spans="1:9" s="212" customFormat="1">
      <c r="A745" s="150"/>
      <c r="B745" s="84"/>
      <c r="C745" s="148"/>
      <c r="D745" s="84"/>
      <c r="E745" s="84"/>
      <c r="F745" s="84"/>
      <c r="G745" s="146"/>
      <c r="H745" s="221"/>
    </row>
    <row r="746" spans="1:9" s="212" customFormat="1">
      <c r="A746" s="84"/>
      <c r="B746" s="83"/>
      <c r="C746" s="84"/>
      <c r="D746" s="84"/>
      <c r="E746" s="84"/>
      <c r="G746" s="213"/>
      <c r="H746" s="222"/>
    </row>
    <row r="747" spans="1:9" s="212" customFormat="1">
      <c r="A747" s="120"/>
      <c r="B747" s="73"/>
      <c r="C747" s="73"/>
      <c r="D747" s="73"/>
      <c r="E747" s="73"/>
      <c r="G747" s="73"/>
      <c r="H747" s="222"/>
    </row>
    <row r="748" spans="1:9" s="212" customFormat="1">
      <c r="A748" s="220"/>
      <c r="B748" s="141"/>
      <c r="C748" s="141"/>
      <c r="D748" s="141"/>
      <c r="E748" s="141"/>
      <c r="F748" s="141"/>
      <c r="G748" s="141"/>
      <c r="H748" s="222"/>
    </row>
    <row r="749" spans="1:9" s="212" customFormat="1">
      <c r="A749" s="150"/>
      <c r="B749" s="83"/>
      <c r="C749" s="148"/>
      <c r="D749" s="168"/>
      <c r="E749" s="84"/>
      <c r="F749" s="84"/>
      <c r="G749" s="146"/>
      <c r="H749" s="221"/>
    </row>
    <row r="750" spans="1:9" s="212" customFormat="1">
      <c r="A750" s="91"/>
      <c r="B750" s="91"/>
      <c r="C750" s="91"/>
      <c r="D750" s="91"/>
      <c r="E750" s="91"/>
      <c r="G750" s="213"/>
      <c r="H750" s="222"/>
    </row>
    <row r="751" spans="1:9" s="212" customFormat="1">
      <c r="A751" s="120"/>
      <c r="B751" s="73"/>
      <c r="C751" s="73"/>
      <c r="D751" s="73"/>
      <c r="E751" s="73"/>
      <c r="G751" s="73"/>
      <c r="H751" s="222"/>
    </row>
    <row r="752" spans="1:9" s="212" customFormat="1">
      <c r="A752" s="220"/>
      <c r="B752" s="141"/>
      <c r="C752" s="141"/>
      <c r="D752" s="141"/>
      <c r="E752" s="141"/>
      <c r="F752" s="141"/>
      <c r="G752" s="141"/>
      <c r="H752" s="222"/>
    </row>
    <row r="753" spans="1:9" s="212" customFormat="1">
      <c r="A753" s="146"/>
      <c r="B753" s="83"/>
      <c r="C753" s="148"/>
      <c r="D753" s="84"/>
      <c r="E753" s="84"/>
      <c r="F753" s="84"/>
      <c r="G753" s="146"/>
      <c r="H753" s="221"/>
    </row>
    <row r="754" spans="1:9" s="212" customFormat="1">
      <c r="A754" s="91"/>
      <c r="B754" s="91"/>
      <c r="C754" s="91"/>
      <c r="D754" s="91"/>
      <c r="E754" s="91"/>
      <c r="G754" s="213"/>
      <c r="H754" s="222"/>
    </row>
    <row r="755" spans="1:9" s="212" customFormat="1">
      <c r="A755" s="120"/>
      <c r="B755" s="73"/>
      <c r="C755" s="73"/>
      <c r="D755" s="73"/>
      <c r="E755" s="73"/>
      <c r="G755" s="73"/>
      <c r="H755" s="222"/>
    </row>
    <row r="756" spans="1:9" s="212" customFormat="1">
      <c r="A756" s="220"/>
      <c r="B756" s="141"/>
      <c r="C756" s="141"/>
      <c r="D756" s="141"/>
      <c r="E756" s="141"/>
      <c r="F756" s="141"/>
      <c r="G756" s="141"/>
      <c r="H756" s="222"/>
    </row>
    <row r="757" spans="1:9" s="212" customFormat="1">
      <c r="A757" s="142"/>
      <c r="B757" s="143"/>
      <c r="C757" s="143"/>
      <c r="D757" s="143"/>
      <c r="E757" s="143"/>
      <c r="F757" s="84"/>
      <c r="G757" s="146"/>
      <c r="H757" s="221"/>
    </row>
    <row r="758" spans="1:9" s="212" customFormat="1">
      <c r="A758" s="123"/>
      <c r="B758" s="95"/>
      <c r="C758" s="95"/>
      <c r="D758" s="95"/>
      <c r="E758" s="95"/>
      <c r="G758" s="213"/>
      <c r="H758" s="73"/>
    </row>
    <row r="759" spans="1:9" s="212" customFormat="1">
      <c r="A759" s="123"/>
      <c r="B759" s="95"/>
      <c r="C759" s="95"/>
      <c r="D759" s="95"/>
      <c r="E759" s="95"/>
      <c r="G759" s="73"/>
      <c r="H759" s="225"/>
    </row>
    <row r="760" spans="1:9" s="212" customFormat="1">
      <c r="B760" s="97"/>
      <c r="C760" s="98"/>
      <c r="D760" s="98"/>
      <c r="E760" s="98"/>
      <c r="G760" s="220"/>
    </row>
    <row r="761" spans="1:9" s="212" customFormat="1">
      <c r="B761" s="97"/>
      <c r="C761" s="98"/>
      <c r="D761" s="98"/>
      <c r="E761" s="98"/>
      <c r="F761" s="220"/>
      <c r="G761" s="225"/>
      <c r="H761" s="226"/>
    </row>
    <row r="762" spans="1:9" s="212" customFormat="1">
      <c r="A762" s="633"/>
      <c r="B762" s="633"/>
      <c r="C762" s="633"/>
      <c r="D762" s="633"/>
      <c r="E762" s="633"/>
      <c r="F762" s="633"/>
      <c r="G762" s="633"/>
    </row>
    <row r="763" spans="1:9" s="212" customFormat="1">
      <c r="H763" s="227"/>
      <c r="I763" s="228"/>
    </row>
    <row r="764" spans="1:9" s="212" customFormat="1">
      <c r="A764" s="658"/>
      <c r="B764" s="227"/>
      <c r="C764" s="227"/>
      <c r="D764" s="227"/>
      <c r="E764" s="227"/>
      <c r="F764" s="227"/>
      <c r="G764" s="227"/>
      <c r="H764" s="227"/>
      <c r="I764" s="229"/>
    </row>
    <row r="765" spans="1:9" s="212" customFormat="1">
      <c r="A765" s="658"/>
      <c r="B765" s="227"/>
      <c r="C765" s="227"/>
      <c r="D765" s="227"/>
      <c r="E765" s="227"/>
      <c r="F765" s="227"/>
      <c r="G765" s="227"/>
    </row>
    <row r="766" spans="1:9" s="212" customFormat="1">
      <c r="A766" s="69"/>
      <c r="B766" s="69"/>
      <c r="C766" s="69"/>
      <c r="D766" s="69"/>
      <c r="E766" s="69"/>
    </row>
    <row r="767" spans="1:9" s="212" customFormat="1">
      <c r="A767" s="120"/>
      <c r="B767" s="73"/>
      <c r="C767" s="73"/>
      <c r="D767" s="73"/>
      <c r="E767" s="73"/>
      <c r="F767" s="73"/>
      <c r="G767" s="73"/>
      <c r="H767" s="73"/>
    </row>
    <row r="768" spans="1:9" s="212" customFormat="1">
      <c r="A768" s="220"/>
      <c r="B768" s="141"/>
      <c r="C768" s="141"/>
      <c r="D768" s="141"/>
      <c r="E768" s="141"/>
      <c r="F768" s="141"/>
      <c r="G768" s="141"/>
      <c r="H768" s="73"/>
    </row>
    <row r="769" spans="1:8" s="212" customFormat="1">
      <c r="A769" s="150"/>
      <c r="B769" s="84"/>
      <c r="C769" s="148"/>
      <c r="D769" s="84"/>
      <c r="E769" s="84"/>
      <c r="F769" s="84"/>
      <c r="G769" s="146"/>
      <c r="H769" s="221"/>
    </row>
    <row r="770" spans="1:8" s="212" customFormat="1">
      <c r="A770" s="84"/>
      <c r="B770" s="83"/>
      <c r="C770" s="84"/>
      <c r="D770" s="84"/>
      <c r="E770" s="84"/>
      <c r="G770" s="213"/>
      <c r="H770" s="222"/>
    </row>
    <row r="771" spans="1:8" s="212" customFormat="1">
      <c r="A771" s="120"/>
      <c r="B771" s="73"/>
      <c r="C771" s="73"/>
      <c r="D771" s="73"/>
      <c r="E771" s="73"/>
      <c r="G771" s="73"/>
      <c r="H771" s="222"/>
    </row>
    <row r="772" spans="1:8" s="212" customFormat="1">
      <c r="A772" s="220"/>
      <c r="B772" s="141"/>
      <c r="C772" s="141"/>
      <c r="D772" s="141"/>
      <c r="E772" s="141"/>
      <c r="F772" s="141"/>
      <c r="G772" s="141"/>
      <c r="H772" s="222"/>
    </row>
    <row r="773" spans="1:8" s="212" customFormat="1">
      <c r="A773" s="150"/>
      <c r="B773" s="83"/>
      <c r="C773" s="148"/>
      <c r="D773" s="168"/>
      <c r="E773" s="84"/>
      <c r="F773" s="84"/>
      <c r="G773" s="146"/>
      <c r="H773" s="221"/>
    </row>
    <row r="774" spans="1:8" s="212" customFormat="1">
      <c r="A774" s="91"/>
      <c r="B774" s="91"/>
      <c r="C774" s="91"/>
      <c r="D774" s="91"/>
      <c r="E774" s="91"/>
      <c r="G774" s="213"/>
      <c r="H774" s="222"/>
    </row>
    <row r="775" spans="1:8" s="212" customFormat="1">
      <c r="A775" s="120"/>
      <c r="B775" s="73"/>
      <c r="C775" s="73"/>
      <c r="D775" s="73"/>
      <c r="E775" s="73"/>
      <c r="G775" s="73"/>
      <c r="H775" s="222"/>
    </row>
    <row r="776" spans="1:8" s="212" customFormat="1">
      <c r="A776" s="220"/>
      <c r="B776" s="141"/>
      <c r="C776" s="141"/>
      <c r="D776" s="141"/>
      <c r="E776" s="141"/>
      <c r="F776" s="141"/>
      <c r="G776" s="141"/>
      <c r="H776" s="222"/>
    </row>
    <row r="777" spans="1:8" s="212" customFormat="1">
      <c r="A777" s="142"/>
      <c r="B777" s="143"/>
      <c r="C777" s="143"/>
      <c r="D777" s="143"/>
      <c r="E777" s="143"/>
      <c r="F777" s="84"/>
      <c r="G777" s="146"/>
      <c r="H777" s="221"/>
    </row>
    <row r="778" spans="1:8" s="212" customFormat="1">
      <c r="A778" s="91"/>
      <c r="B778" s="91"/>
      <c r="C778" s="91"/>
      <c r="D778" s="91"/>
      <c r="E778" s="91"/>
      <c r="G778" s="213"/>
      <c r="H778" s="222"/>
    </row>
    <row r="779" spans="1:8" s="212" customFormat="1">
      <c r="A779" s="120"/>
      <c r="B779" s="73"/>
      <c r="C779" s="73"/>
      <c r="D779" s="73"/>
      <c r="E779" s="73"/>
      <c r="G779" s="73"/>
      <c r="H779" s="222"/>
    </row>
    <row r="780" spans="1:8" s="212" customFormat="1">
      <c r="A780" s="220"/>
      <c r="B780" s="141"/>
      <c r="C780" s="141"/>
      <c r="D780" s="141"/>
      <c r="E780" s="141"/>
      <c r="F780" s="141"/>
      <c r="G780" s="141"/>
      <c r="H780" s="222"/>
    </row>
    <row r="781" spans="1:8" s="212" customFormat="1">
      <c r="A781" s="142"/>
      <c r="B781" s="143"/>
      <c r="C781" s="143"/>
      <c r="D781" s="143"/>
      <c r="E781" s="143"/>
      <c r="F781" s="84"/>
      <c r="G781" s="146"/>
      <c r="H781" s="221"/>
    </row>
    <row r="782" spans="1:8" s="212" customFormat="1">
      <c r="A782" s="123"/>
      <c r="B782" s="95"/>
      <c r="C782" s="95"/>
      <c r="D782" s="95"/>
      <c r="E782" s="95"/>
      <c r="G782" s="213"/>
      <c r="H782" s="73"/>
    </row>
    <row r="783" spans="1:8" s="212" customFormat="1">
      <c r="A783" s="123"/>
      <c r="B783" s="95"/>
      <c r="C783" s="95"/>
      <c r="D783" s="95"/>
      <c r="E783" s="95"/>
      <c r="G783" s="73"/>
      <c r="H783" s="225"/>
    </row>
    <row r="784" spans="1:8" s="212" customFormat="1">
      <c r="B784" s="97"/>
      <c r="C784" s="98"/>
      <c r="D784" s="98"/>
      <c r="E784" s="98"/>
      <c r="G784" s="220"/>
    </row>
    <row r="785" spans="1:9" s="212" customFormat="1">
      <c r="B785" s="97"/>
      <c r="C785" s="98"/>
      <c r="D785" s="98"/>
      <c r="E785" s="98"/>
      <c r="F785" s="220"/>
      <c r="G785" s="225"/>
      <c r="H785" s="226"/>
    </row>
    <row r="786" spans="1:9" s="212" customFormat="1">
      <c r="A786" s="633"/>
      <c r="B786" s="633"/>
      <c r="C786" s="633"/>
      <c r="D786" s="633"/>
      <c r="E786" s="633"/>
      <c r="F786" s="633"/>
      <c r="G786" s="633"/>
    </row>
    <row r="787" spans="1:9" s="212" customFormat="1">
      <c r="H787" s="227"/>
      <c r="I787" s="228"/>
    </row>
    <row r="788" spans="1:9" s="212" customFormat="1">
      <c r="A788" s="658"/>
      <c r="B788" s="227"/>
      <c r="C788" s="227"/>
      <c r="D788" s="227"/>
      <c r="E788" s="227"/>
      <c r="F788" s="227"/>
      <c r="G788" s="227"/>
      <c r="H788" s="227"/>
      <c r="I788" s="229"/>
    </row>
    <row r="789" spans="1:9" s="212" customFormat="1">
      <c r="A789" s="658"/>
      <c r="B789" s="227"/>
      <c r="C789" s="227"/>
      <c r="D789" s="227"/>
      <c r="E789" s="227"/>
      <c r="F789" s="227"/>
      <c r="G789" s="227"/>
    </row>
    <row r="790" spans="1:9" s="212" customFormat="1">
      <c r="A790" s="69"/>
      <c r="B790" s="69"/>
      <c r="C790" s="69"/>
      <c r="D790" s="69"/>
      <c r="E790" s="69"/>
    </row>
    <row r="791" spans="1:9" s="212" customFormat="1">
      <c r="A791" s="120"/>
      <c r="B791" s="73"/>
      <c r="C791" s="73"/>
      <c r="D791" s="73"/>
      <c r="E791" s="73"/>
      <c r="F791" s="73"/>
      <c r="G791" s="73"/>
      <c r="H791" s="73"/>
    </row>
    <row r="792" spans="1:9" s="212" customFormat="1">
      <c r="A792" s="220"/>
      <c r="B792" s="141"/>
      <c r="C792" s="141"/>
      <c r="D792" s="141"/>
      <c r="E792" s="141"/>
      <c r="F792" s="141"/>
      <c r="G792" s="141"/>
      <c r="H792" s="73"/>
    </row>
    <row r="793" spans="1:9" s="212" customFormat="1">
      <c r="A793" s="150"/>
      <c r="B793" s="84"/>
      <c r="C793" s="148"/>
      <c r="D793" s="84"/>
      <c r="E793" s="84"/>
      <c r="F793" s="84"/>
      <c r="G793" s="146"/>
      <c r="H793" s="221"/>
    </row>
    <row r="794" spans="1:9" s="212" customFormat="1">
      <c r="A794" s="84"/>
      <c r="B794" s="83"/>
      <c r="C794" s="84"/>
      <c r="D794" s="84"/>
      <c r="E794" s="84"/>
      <c r="G794" s="213"/>
      <c r="H794" s="222"/>
    </row>
    <row r="795" spans="1:9" s="212" customFormat="1">
      <c r="A795" s="120"/>
      <c r="B795" s="73"/>
      <c r="C795" s="73"/>
      <c r="D795" s="73"/>
      <c r="E795" s="73"/>
      <c r="G795" s="73"/>
      <c r="H795" s="222"/>
    </row>
    <row r="796" spans="1:9" s="212" customFormat="1">
      <c r="A796" s="220"/>
      <c r="B796" s="141"/>
      <c r="C796" s="141"/>
      <c r="D796" s="141"/>
      <c r="E796" s="141"/>
      <c r="F796" s="141"/>
      <c r="G796" s="141"/>
      <c r="H796" s="222"/>
    </row>
    <row r="797" spans="1:9" s="212" customFormat="1">
      <c r="A797" s="150"/>
      <c r="B797" s="83"/>
      <c r="C797" s="148"/>
      <c r="D797" s="168"/>
      <c r="E797" s="84"/>
      <c r="F797" s="84"/>
      <c r="G797" s="146"/>
      <c r="H797" s="221"/>
    </row>
    <row r="798" spans="1:9" s="212" customFormat="1">
      <c r="A798" s="91"/>
      <c r="B798" s="91"/>
      <c r="C798" s="91"/>
      <c r="D798" s="91"/>
      <c r="E798" s="91"/>
      <c r="G798" s="213"/>
      <c r="H798" s="222"/>
    </row>
    <row r="799" spans="1:9" s="212" customFormat="1">
      <c r="A799" s="120"/>
      <c r="B799" s="73"/>
      <c r="C799" s="73"/>
      <c r="D799" s="73"/>
      <c r="E799" s="73"/>
      <c r="G799" s="73"/>
      <c r="H799" s="222"/>
    </row>
    <row r="800" spans="1:9" s="212" customFormat="1">
      <c r="A800" s="220"/>
      <c r="B800" s="141"/>
      <c r="C800" s="141"/>
      <c r="D800" s="141"/>
      <c r="E800" s="141"/>
      <c r="F800" s="141"/>
      <c r="G800" s="141"/>
      <c r="H800" s="222"/>
    </row>
    <row r="801" spans="1:9" s="212" customFormat="1">
      <c r="A801" s="142"/>
      <c r="B801" s="143"/>
      <c r="C801" s="143"/>
      <c r="D801" s="143"/>
      <c r="E801" s="143"/>
      <c r="F801" s="84"/>
      <c r="G801" s="146"/>
      <c r="H801" s="221"/>
    </row>
    <row r="802" spans="1:9" s="212" customFormat="1">
      <c r="A802" s="91"/>
      <c r="B802" s="91"/>
      <c r="C802" s="91"/>
      <c r="D802" s="91"/>
      <c r="E802" s="91"/>
      <c r="G802" s="213"/>
      <c r="H802" s="222"/>
    </row>
    <row r="803" spans="1:9" s="212" customFormat="1">
      <c r="A803" s="120"/>
      <c r="B803" s="73"/>
      <c r="C803" s="73"/>
      <c r="D803" s="73"/>
      <c r="E803" s="73"/>
      <c r="G803" s="73"/>
      <c r="H803" s="222"/>
    </row>
    <row r="804" spans="1:9" s="212" customFormat="1">
      <c r="A804" s="220"/>
      <c r="B804" s="141"/>
      <c r="C804" s="141"/>
      <c r="D804" s="141"/>
      <c r="E804" s="141"/>
      <c r="F804" s="141"/>
      <c r="G804" s="141"/>
      <c r="H804" s="222"/>
    </row>
    <row r="805" spans="1:9" s="212" customFormat="1">
      <c r="A805" s="142"/>
      <c r="B805" s="143"/>
      <c r="C805" s="143"/>
      <c r="D805" s="143"/>
      <c r="E805" s="143"/>
      <c r="F805" s="84"/>
      <c r="G805" s="146"/>
      <c r="H805" s="221"/>
    </row>
    <row r="806" spans="1:9" s="212" customFormat="1">
      <c r="A806" s="123"/>
      <c r="B806" s="95"/>
      <c r="C806" s="95"/>
      <c r="D806" s="95"/>
      <c r="E806" s="95"/>
      <c r="G806" s="213"/>
      <c r="H806" s="73"/>
    </row>
    <row r="807" spans="1:9" s="212" customFormat="1">
      <c r="A807" s="123"/>
      <c r="B807" s="95"/>
      <c r="C807" s="95"/>
      <c r="D807" s="95"/>
      <c r="E807" s="95"/>
      <c r="G807" s="73"/>
      <c r="H807" s="225"/>
    </row>
    <row r="808" spans="1:9" s="212" customFormat="1">
      <c r="B808" s="97"/>
      <c r="C808" s="98"/>
      <c r="D808" s="98"/>
      <c r="E808" s="98"/>
      <c r="G808" s="220"/>
    </row>
    <row r="809" spans="1:9" s="212" customFormat="1">
      <c r="B809" s="97"/>
      <c r="C809" s="98"/>
      <c r="D809" s="98"/>
      <c r="E809" s="98"/>
      <c r="F809" s="220"/>
      <c r="G809" s="225"/>
      <c r="H809" s="226"/>
    </row>
    <row r="810" spans="1:9" s="212" customFormat="1">
      <c r="A810" s="633"/>
      <c r="B810" s="633"/>
      <c r="C810" s="633"/>
      <c r="D810" s="633"/>
      <c r="E810" s="633"/>
      <c r="F810" s="633"/>
      <c r="G810" s="633"/>
    </row>
    <row r="811" spans="1:9" s="212" customFormat="1">
      <c r="H811" s="227"/>
      <c r="I811" s="228"/>
    </row>
    <row r="812" spans="1:9" s="212" customFormat="1">
      <c r="A812" s="658"/>
      <c r="B812" s="227"/>
      <c r="C812" s="227"/>
      <c r="D812" s="227"/>
      <c r="E812" s="227"/>
      <c r="F812" s="227"/>
      <c r="G812" s="227"/>
      <c r="H812" s="227"/>
      <c r="I812" s="229"/>
    </row>
    <row r="813" spans="1:9" s="212" customFormat="1">
      <c r="A813" s="658"/>
      <c r="B813" s="227"/>
      <c r="C813" s="227"/>
      <c r="D813" s="227"/>
      <c r="E813" s="227"/>
      <c r="F813" s="227"/>
      <c r="G813" s="227"/>
    </row>
    <row r="814" spans="1:9" s="212" customFormat="1">
      <c r="A814" s="69"/>
      <c r="B814" s="69"/>
      <c r="C814" s="69"/>
      <c r="D814" s="69"/>
      <c r="E814" s="69"/>
    </row>
    <row r="815" spans="1:9" s="212" customFormat="1">
      <c r="A815" s="120"/>
      <c r="B815" s="73"/>
      <c r="C815" s="73"/>
      <c r="D815" s="73"/>
      <c r="E815" s="73"/>
      <c r="F815" s="73"/>
      <c r="G815" s="73"/>
      <c r="H815" s="73"/>
    </row>
    <row r="816" spans="1:9" s="212" customFormat="1">
      <c r="A816" s="220"/>
      <c r="B816" s="141"/>
      <c r="C816" s="141"/>
      <c r="D816" s="141"/>
      <c r="E816" s="141"/>
      <c r="F816" s="141"/>
      <c r="G816" s="141"/>
      <c r="H816" s="73"/>
    </row>
    <row r="817" spans="1:8" s="212" customFormat="1">
      <c r="A817" s="150"/>
      <c r="B817" s="84"/>
      <c r="C817" s="148"/>
      <c r="D817" s="84"/>
      <c r="E817" s="84"/>
      <c r="F817" s="84"/>
      <c r="G817" s="146"/>
      <c r="H817" s="221"/>
    </row>
    <row r="818" spans="1:8" s="212" customFormat="1">
      <c r="A818" s="84"/>
      <c r="B818" s="83"/>
      <c r="C818" s="84"/>
      <c r="D818" s="84"/>
      <c r="E818" s="84"/>
      <c r="G818" s="213"/>
      <c r="H818" s="222"/>
    </row>
    <row r="819" spans="1:8" s="212" customFormat="1">
      <c r="A819" s="120"/>
      <c r="B819" s="73"/>
      <c r="C819" s="73"/>
      <c r="D819" s="73"/>
      <c r="E819" s="73"/>
      <c r="G819" s="73"/>
      <c r="H819" s="222"/>
    </row>
    <row r="820" spans="1:8" s="212" customFormat="1">
      <c r="A820" s="220"/>
      <c r="B820" s="141"/>
      <c r="C820" s="141"/>
      <c r="D820" s="141"/>
      <c r="E820" s="141"/>
      <c r="F820" s="141"/>
      <c r="G820" s="141"/>
      <c r="H820" s="222"/>
    </row>
    <row r="821" spans="1:8" s="212" customFormat="1">
      <c r="A821" s="150"/>
      <c r="B821" s="83"/>
      <c r="C821" s="148"/>
      <c r="D821" s="168"/>
      <c r="E821" s="84"/>
      <c r="F821" s="84"/>
      <c r="G821" s="146"/>
      <c r="H821" s="221"/>
    </row>
    <row r="822" spans="1:8" s="212" customFormat="1">
      <c r="A822" s="91"/>
      <c r="B822" s="91"/>
      <c r="C822" s="91"/>
      <c r="D822" s="91"/>
      <c r="E822" s="91"/>
      <c r="G822" s="213"/>
      <c r="H822" s="222"/>
    </row>
    <row r="823" spans="1:8" s="212" customFormat="1">
      <c r="A823" s="120"/>
      <c r="B823" s="73"/>
      <c r="C823" s="73"/>
      <c r="D823" s="73"/>
      <c r="E823" s="73"/>
      <c r="G823" s="73"/>
      <c r="H823" s="222"/>
    </row>
    <row r="824" spans="1:8" s="212" customFormat="1">
      <c r="A824" s="220"/>
      <c r="B824" s="141"/>
      <c r="C824" s="141"/>
      <c r="D824" s="141"/>
      <c r="E824" s="141"/>
      <c r="F824" s="141"/>
      <c r="G824" s="141"/>
      <c r="H824" s="222"/>
    </row>
    <row r="825" spans="1:8" s="212" customFormat="1">
      <c r="A825" s="142"/>
      <c r="B825" s="143"/>
      <c r="C825" s="143"/>
      <c r="D825" s="143"/>
      <c r="E825" s="143"/>
      <c r="F825" s="84"/>
      <c r="G825" s="146"/>
      <c r="H825" s="221"/>
    </row>
    <row r="826" spans="1:8" s="212" customFormat="1">
      <c r="A826" s="91"/>
      <c r="B826" s="91"/>
      <c r="C826" s="91"/>
      <c r="D826" s="91"/>
      <c r="E826" s="91"/>
      <c r="G826" s="213"/>
      <c r="H826" s="222"/>
    </row>
    <row r="827" spans="1:8" s="212" customFormat="1">
      <c r="A827" s="120"/>
      <c r="B827" s="73"/>
      <c r="C827" s="73"/>
      <c r="D827" s="73"/>
      <c r="E827" s="73"/>
      <c r="G827" s="73"/>
      <c r="H827" s="222"/>
    </row>
    <row r="828" spans="1:8" s="212" customFormat="1">
      <c r="A828" s="220"/>
      <c r="B828" s="141"/>
      <c r="C828" s="141"/>
      <c r="D828" s="141"/>
      <c r="E828" s="141"/>
      <c r="F828" s="141"/>
      <c r="G828" s="141"/>
      <c r="H828" s="222"/>
    </row>
    <row r="829" spans="1:8" s="212" customFormat="1">
      <c r="A829" s="142"/>
      <c r="B829" s="143"/>
      <c r="C829" s="143"/>
      <c r="D829" s="143"/>
      <c r="E829" s="143"/>
      <c r="F829" s="84"/>
      <c r="G829" s="146"/>
      <c r="H829" s="221"/>
    </row>
    <row r="830" spans="1:8" s="212" customFormat="1">
      <c r="A830" s="123"/>
      <c r="B830" s="95"/>
      <c r="C830" s="95"/>
      <c r="D830" s="95"/>
      <c r="E830" s="95"/>
      <c r="G830" s="213"/>
      <c r="H830" s="73"/>
    </row>
    <row r="831" spans="1:8" s="212" customFormat="1">
      <c r="A831" s="123"/>
      <c r="B831" s="95"/>
      <c r="C831" s="95"/>
      <c r="D831" s="95"/>
      <c r="E831" s="95"/>
      <c r="G831" s="73"/>
      <c r="H831" s="225"/>
    </row>
    <row r="832" spans="1:8" s="212" customFormat="1">
      <c r="B832" s="97"/>
      <c r="C832" s="98"/>
      <c r="D832" s="98"/>
      <c r="E832" s="98"/>
      <c r="G832" s="220"/>
    </row>
    <row r="833" spans="1:9" s="212" customFormat="1">
      <c r="B833" s="97"/>
      <c r="C833" s="98"/>
      <c r="D833" s="98"/>
      <c r="E833" s="98"/>
      <c r="F833" s="220"/>
      <c r="G833" s="225"/>
      <c r="H833" s="226"/>
    </row>
    <row r="834" spans="1:9" s="212" customFormat="1">
      <c r="A834" s="633"/>
      <c r="B834" s="633"/>
      <c r="C834" s="633"/>
      <c r="D834" s="633"/>
      <c r="E834" s="633"/>
      <c r="F834" s="633"/>
      <c r="G834" s="633"/>
    </row>
    <row r="835" spans="1:9" s="212" customFormat="1">
      <c r="H835" s="227"/>
      <c r="I835" s="228"/>
    </row>
    <row r="836" spans="1:9" s="212" customFormat="1">
      <c r="A836" s="658"/>
      <c r="B836" s="227"/>
      <c r="C836" s="227"/>
      <c r="D836" s="227"/>
      <c r="E836" s="227"/>
      <c r="F836" s="227"/>
      <c r="G836" s="227"/>
      <c r="H836" s="227"/>
      <c r="I836" s="229"/>
    </row>
    <row r="837" spans="1:9" s="212" customFormat="1">
      <c r="A837" s="658"/>
      <c r="B837" s="227"/>
      <c r="C837" s="227"/>
      <c r="D837" s="227"/>
      <c r="E837" s="227"/>
      <c r="F837" s="227"/>
      <c r="G837" s="227"/>
    </row>
    <row r="838" spans="1:9" s="212" customFormat="1">
      <c r="A838" s="69"/>
      <c r="B838" s="69"/>
      <c r="C838" s="69"/>
      <c r="D838" s="69"/>
      <c r="E838" s="69"/>
    </row>
    <row r="839" spans="1:9" s="212" customFormat="1">
      <c r="A839" s="120"/>
      <c r="B839" s="73"/>
      <c r="C839" s="73"/>
      <c r="D839" s="73"/>
      <c r="E839" s="73"/>
      <c r="F839" s="73"/>
      <c r="G839" s="73"/>
      <c r="H839" s="73"/>
    </row>
    <row r="840" spans="1:9" s="212" customFormat="1">
      <c r="A840" s="220"/>
      <c r="B840" s="141"/>
      <c r="C840" s="141"/>
      <c r="D840" s="141"/>
      <c r="E840" s="141"/>
      <c r="F840" s="141"/>
      <c r="G840" s="141"/>
      <c r="H840" s="73"/>
    </row>
    <row r="841" spans="1:9" s="212" customFormat="1">
      <c r="A841" s="150"/>
      <c r="B841" s="84"/>
      <c r="C841" s="148"/>
      <c r="D841" s="84"/>
      <c r="E841" s="84"/>
      <c r="F841" s="84"/>
      <c r="G841" s="146"/>
      <c r="H841" s="221"/>
    </row>
    <row r="842" spans="1:9" s="212" customFormat="1">
      <c r="A842" s="84"/>
      <c r="B842" s="83"/>
      <c r="C842" s="84"/>
      <c r="D842" s="84"/>
      <c r="E842" s="84"/>
      <c r="G842" s="213"/>
      <c r="H842" s="222"/>
    </row>
    <row r="843" spans="1:9" s="212" customFormat="1">
      <c r="A843" s="120"/>
      <c r="B843" s="73"/>
      <c r="C843" s="73"/>
      <c r="D843" s="73"/>
      <c r="E843" s="73"/>
      <c r="G843" s="73"/>
      <c r="H843" s="222"/>
    </row>
    <row r="844" spans="1:9" s="212" customFormat="1">
      <c r="A844" s="220"/>
      <c r="B844" s="141"/>
      <c r="C844" s="141"/>
      <c r="D844" s="141"/>
      <c r="E844" s="141"/>
      <c r="F844" s="141"/>
      <c r="G844" s="141"/>
      <c r="H844" s="222"/>
    </row>
    <row r="845" spans="1:9" s="212" customFormat="1">
      <c r="A845" s="150"/>
      <c r="B845" s="83"/>
      <c r="C845" s="148"/>
      <c r="D845" s="168"/>
      <c r="E845" s="84"/>
      <c r="F845" s="84"/>
      <c r="G845" s="146"/>
      <c r="H845" s="221"/>
    </row>
    <row r="846" spans="1:9" s="212" customFormat="1">
      <c r="A846" s="91"/>
      <c r="B846" s="91"/>
      <c r="C846" s="91"/>
      <c r="D846" s="91"/>
      <c r="E846" s="91"/>
      <c r="G846" s="213"/>
      <c r="H846" s="222"/>
    </row>
    <row r="847" spans="1:9" s="212" customFormat="1">
      <c r="A847" s="120"/>
      <c r="B847" s="73"/>
      <c r="C847" s="73"/>
      <c r="D847" s="73"/>
      <c r="E847" s="73"/>
      <c r="G847" s="73"/>
      <c r="H847" s="222"/>
    </row>
    <row r="848" spans="1:9" s="212" customFormat="1">
      <c r="A848" s="220"/>
      <c r="B848" s="141"/>
      <c r="C848" s="141"/>
      <c r="D848" s="141"/>
      <c r="E848" s="141"/>
      <c r="F848" s="141"/>
      <c r="G848" s="141"/>
      <c r="H848" s="222"/>
    </row>
    <row r="849" spans="1:9" s="212" customFormat="1">
      <c r="A849" s="142"/>
      <c r="B849" s="143"/>
      <c r="C849" s="143"/>
      <c r="D849" s="143"/>
      <c r="E849" s="143"/>
      <c r="F849" s="84"/>
      <c r="G849" s="146"/>
      <c r="H849" s="221"/>
    </row>
    <row r="850" spans="1:9" s="212" customFormat="1">
      <c r="A850" s="91"/>
      <c r="B850" s="91"/>
      <c r="C850" s="91"/>
      <c r="D850" s="91"/>
      <c r="E850" s="91"/>
      <c r="G850" s="213"/>
      <c r="H850" s="222"/>
    </row>
    <row r="851" spans="1:9" s="212" customFormat="1">
      <c r="A851" s="120"/>
      <c r="B851" s="73"/>
      <c r="C851" s="73"/>
      <c r="D851" s="73"/>
      <c r="E851" s="73"/>
      <c r="G851" s="73"/>
      <c r="H851" s="222"/>
    </row>
    <row r="852" spans="1:9" s="212" customFormat="1">
      <c r="A852" s="220"/>
      <c r="B852" s="141"/>
      <c r="C852" s="141"/>
      <c r="D852" s="141"/>
      <c r="E852" s="141"/>
      <c r="F852" s="141"/>
      <c r="G852" s="141"/>
      <c r="H852" s="222"/>
    </row>
    <row r="853" spans="1:9" s="212" customFormat="1">
      <c r="A853" s="142"/>
      <c r="B853" s="143"/>
      <c r="C853" s="143"/>
      <c r="D853" s="143"/>
      <c r="E853" s="143"/>
      <c r="F853" s="84"/>
      <c r="G853" s="146"/>
      <c r="H853" s="221"/>
    </row>
    <row r="854" spans="1:9" s="212" customFormat="1">
      <c r="A854" s="123"/>
      <c r="B854" s="95"/>
      <c r="C854" s="95"/>
      <c r="D854" s="95"/>
      <c r="E854" s="95"/>
      <c r="G854" s="213"/>
      <c r="H854" s="73"/>
    </row>
    <row r="855" spans="1:9" s="212" customFormat="1">
      <c r="A855" s="123"/>
      <c r="B855" s="95"/>
      <c r="C855" s="95"/>
      <c r="D855" s="95"/>
      <c r="E855" s="95"/>
      <c r="G855" s="73"/>
      <c r="H855" s="225"/>
    </row>
    <row r="856" spans="1:9" s="212" customFormat="1">
      <c r="B856" s="97"/>
      <c r="C856" s="98"/>
      <c r="D856" s="98"/>
      <c r="E856" s="98"/>
      <c r="G856" s="220"/>
    </row>
    <row r="857" spans="1:9" s="212" customFormat="1">
      <c r="B857" s="97"/>
      <c r="C857" s="98"/>
      <c r="D857" s="98"/>
      <c r="E857" s="98"/>
      <c r="F857" s="220"/>
      <c r="G857" s="225"/>
      <c r="H857" s="226"/>
    </row>
    <row r="858" spans="1:9" s="212" customFormat="1">
      <c r="A858" s="633"/>
      <c r="B858" s="633"/>
      <c r="C858" s="633"/>
      <c r="D858" s="633"/>
      <c r="E858" s="633"/>
      <c r="F858" s="633"/>
      <c r="G858" s="633"/>
    </row>
    <row r="859" spans="1:9" s="212" customFormat="1">
      <c r="H859" s="227"/>
      <c r="I859" s="228"/>
    </row>
    <row r="860" spans="1:9" s="212" customFormat="1">
      <c r="A860" s="658"/>
      <c r="B860" s="227"/>
      <c r="C860" s="227"/>
      <c r="D860" s="227"/>
      <c r="E860" s="227"/>
      <c r="F860" s="227"/>
      <c r="G860" s="227"/>
      <c r="H860" s="227"/>
      <c r="I860" s="229"/>
    </row>
    <row r="861" spans="1:9" s="212" customFormat="1">
      <c r="A861" s="658"/>
      <c r="B861" s="227"/>
      <c r="C861" s="227"/>
      <c r="D861" s="227"/>
      <c r="E861" s="227"/>
      <c r="F861" s="227"/>
      <c r="G861" s="227"/>
    </row>
    <row r="862" spans="1:9" s="212" customFormat="1">
      <c r="A862" s="69"/>
      <c r="B862" s="69"/>
      <c r="C862" s="69"/>
      <c r="D862" s="69"/>
      <c r="E862" s="69"/>
    </row>
    <row r="863" spans="1:9" s="212" customFormat="1">
      <c r="A863" s="120"/>
      <c r="B863" s="73"/>
      <c r="C863" s="73"/>
      <c r="D863" s="73"/>
      <c r="E863" s="73"/>
      <c r="F863" s="73"/>
      <c r="G863" s="73"/>
      <c r="H863" s="73"/>
    </row>
    <row r="864" spans="1:9" s="212" customFormat="1">
      <c r="A864" s="220"/>
      <c r="B864" s="141"/>
      <c r="C864" s="141"/>
      <c r="D864" s="141"/>
      <c r="E864" s="141"/>
      <c r="F864" s="141"/>
      <c r="G864" s="141"/>
      <c r="H864" s="73"/>
    </row>
    <row r="865" spans="1:8" s="212" customFormat="1">
      <c r="A865" s="150"/>
      <c r="B865" s="84"/>
      <c r="C865" s="148"/>
      <c r="D865" s="84"/>
      <c r="E865" s="84"/>
      <c r="F865" s="84"/>
      <c r="G865" s="146"/>
      <c r="H865" s="221"/>
    </row>
    <row r="866" spans="1:8" s="212" customFormat="1">
      <c r="A866" s="84"/>
      <c r="B866" s="83"/>
      <c r="C866" s="84"/>
      <c r="D866" s="84"/>
      <c r="E866" s="84"/>
      <c r="G866" s="213"/>
      <c r="H866" s="222"/>
    </row>
    <row r="867" spans="1:8" s="212" customFormat="1">
      <c r="A867" s="120"/>
      <c r="B867" s="73"/>
      <c r="C867" s="73"/>
      <c r="D867" s="73"/>
      <c r="E867" s="73"/>
      <c r="G867" s="73"/>
      <c r="H867" s="222"/>
    </row>
    <row r="868" spans="1:8" s="212" customFormat="1">
      <c r="A868" s="220"/>
      <c r="B868" s="141"/>
      <c r="C868" s="141"/>
      <c r="D868" s="141"/>
      <c r="E868" s="141"/>
      <c r="F868" s="141"/>
      <c r="G868" s="141"/>
      <c r="H868" s="222"/>
    </row>
    <row r="869" spans="1:8" s="212" customFormat="1">
      <c r="A869" s="150"/>
      <c r="B869" s="83"/>
      <c r="C869" s="148"/>
      <c r="D869" s="168"/>
      <c r="E869" s="84"/>
      <c r="F869" s="84"/>
      <c r="G869" s="146"/>
      <c r="H869" s="221"/>
    </row>
    <row r="870" spans="1:8" s="212" customFormat="1">
      <c r="A870" s="91"/>
      <c r="B870" s="91"/>
      <c r="C870" s="91"/>
      <c r="D870" s="91"/>
      <c r="E870" s="91"/>
      <c r="G870" s="213"/>
      <c r="H870" s="222"/>
    </row>
    <row r="871" spans="1:8" s="212" customFormat="1" ht="21" customHeight="1">
      <c r="A871" s="120"/>
      <c r="B871" s="73"/>
      <c r="C871" s="73"/>
      <c r="D871" s="73"/>
      <c r="E871" s="73"/>
      <c r="G871" s="73"/>
      <c r="H871" s="222"/>
    </row>
    <row r="872" spans="1:8" s="212" customFormat="1">
      <c r="A872" s="220"/>
      <c r="B872" s="141"/>
      <c r="C872" s="141"/>
      <c r="D872" s="141"/>
      <c r="E872" s="141"/>
      <c r="F872" s="141"/>
      <c r="G872" s="141"/>
      <c r="H872" s="222"/>
    </row>
    <row r="873" spans="1:8" s="212" customFormat="1">
      <c r="A873" s="142"/>
      <c r="B873" s="143"/>
      <c r="C873" s="143"/>
      <c r="D873" s="143"/>
      <c r="E873" s="143"/>
      <c r="F873" s="84"/>
      <c r="G873" s="146"/>
      <c r="H873" s="221"/>
    </row>
    <row r="874" spans="1:8" s="212" customFormat="1">
      <c r="A874" s="91"/>
      <c r="B874" s="91"/>
      <c r="C874" s="91"/>
      <c r="D874" s="91"/>
      <c r="E874" s="91"/>
      <c r="G874" s="213"/>
      <c r="H874" s="222"/>
    </row>
    <row r="875" spans="1:8" s="212" customFormat="1">
      <c r="A875" s="120"/>
      <c r="B875" s="73"/>
      <c r="C875" s="73"/>
      <c r="D875" s="73"/>
      <c r="E875" s="73"/>
      <c r="G875" s="73"/>
      <c r="H875" s="222"/>
    </row>
    <row r="876" spans="1:8" s="212" customFormat="1">
      <c r="A876" s="220"/>
      <c r="B876" s="141"/>
      <c r="C876" s="141"/>
      <c r="D876" s="141"/>
      <c r="E876" s="141"/>
      <c r="F876" s="141"/>
      <c r="G876" s="141"/>
      <c r="H876" s="222"/>
    </row>
    <row r="877" spans="1:8" s="212" customFormat="1">
      <c r="A877" s="142"/>
      <c r="B877" s="143"/>
      <c r="C877" s="143"/>
      <c r="D877" s="143"/>
      <c r="E877" s="143"/>
      <c r="F877" s="84"/>
      <c r="G877" s="146"/>
      <c r="H877" s="221"/>
    </row>
    <row r="878" spans="1:8" s="212" customFormat="1">
      <c r="A878" s="123"/>
      <c r="B878" s="95"/>
      <c r="C878" s="95"/>
      <c r="D878" s="95"/>
      <c r="E878" s="95"/>
      <c r="G878" s="213"/>
      <c r="H878" s="73"/>
    </row>
    <row r="879" spans="1:8" s="212" customFormat="1">
      <c r="A879" s="123"/>
      <c r="B879" s="95"/>
      <c r="C879" s="95"/>
      <c r="D879" s="95"/>
      <c r="E879" s="95"/>
      <c r="G879" s="73"/>
      <c r="H879" s="225"/>
    </row>
    <row r="880" spans="1:8" s="212" customFormat="1">
      <c r="B880" s="97"/>
      <c r="C880" s="98"/>
      <c r="D880" s="98"/>
      <c r="E880" s="98"/>
      <c r="G880" s="220"/>
    </row>
    <row r="881" spans="1:9" s="212" customFormat="1">
      <c r="B881" s="97"/>
      <c r="C881" s="98"/>
      <c r="D881" s="98"/>
      <c r="E881" s="98"/>
      <c r="F881" s="220"/>
      <c r="G881" s="225"/>
      <c r="H881" s="226"/>
    </row>
    <row r="882" spans="1:9" s="212" customFormat="1">
      <c r="A882" s="633"/>
      <c r="B882" s="633"/>
      <c r="C882" s="633"/>
      <c r="D882" s="633"/>
      <c r="E882" s="633"/>
      <c r="F882" s="633"/>
      <c r="G882" s="633"/>
    </row>
    <row r="883" spans="1:9" s="212" customFormat="1">
      <c r="H883" s="227"/>
      <c r="I883" s="228"/>
    </row>
    <row r="884" spans="1:9" s="212" customFormat="1">
      <c r="A884" s="658"/>
      <c r="B884" s="227"/>
      <c r="C884" s="227"/>
      <c r="D884" s="227"/>
      <c r="E884" s="227"/>
      <c r="F884" s="227"/>
      <c r="G884" s="227"/>
      <c r="H884" s="227"/>
      <c r="I884" s="229"/>
    </row>
    <row r="885" spans="1:9" s="212" customFormat="1">
      <c r="A885" s="658"/>
      <c r="B885" s="227"/>
      <c r="C885" s="227"/>
      <c r="D885" s="227"/>
      <c r="E885" s="227"/>
      <c r="F885" s="227"/>
      <c r="G885" s="227"/>
    </row>
    <row r="886" spans="1:9" s="212" customFormat="1">
      <c r="A886" s="69"/>
      <c r="B886" s="69"/>
      <c r="C886" s="69"/>
      <c r="D886" s="69"/>
      <c r="E886" s="69"/>
    </row>
    <row r="887" spans="1:9" s="212" customFormat="1">
      <c r="A887" s="120"/>
      <c r="B887" s="73"/>
      <c r="C887" s="73"/>
      <c r="D887" s="73"/>
      <c r="E887" s="73"/>
      <c r="F887" s="73"/>
      <c r="G887" s="73"/>
      <c r="H887" s="73"/>
    </row>
    <row r="888" spans="1:9" s="212" customFormat="1">
      <c r="A888" s="220"/>
      <c r="B888" s="141"/>
      <c r="C888" s="141"/>
      <c r="D888" s="141"/>
      <c r="E888" s="141"/>
      <c r="F888" s="141"/>
      <c r="G888" s="141"/>
      <c r="H888" s="73"/>
    </row>
    <row r="889" spans="1:9" s="212" customFormat="1">
      <c r="A889" s="150"/>
      <c r="B889" s="84"/>
      <c r="C889" s="148"/>
      <c r="D889" s="84"/>
      <c r="E889" s="84"/>
      <c r="F889" s="84"/>
      <c r="G889" s="146"/>
      <c r="H889" s="221"/>
    </row>
    <row r="890" spans="1:9" s="212" customFormat="1">
      <c r="A890" s="84"/>
      <c r="B890" s="83"/>
      <c r="C890" s="84"/>
      <c r="D890" s="84"/>
      <c r="E890" s="84"/>
      <c r="G890" s="213"/>
      <c r="H890" s="222"/>
    </row>
    <row r="891" spans="1:9" s="212" customFormat="1">
      <c r="A891" s="120"/>
      <c r="B891" s="73"/>
      <c r="C891" s="73"/>
      <c r="D891" s="73"/>
      <c r="E891" s="73"/>
      <c r="G891" s="73"/>
      <c r="H891" s="222"/>
    </row>
    <row r="892" spans="1:9" s="212" customFormat="1">
      <c r="A892" s="220"/>
      <c r="B892" s="141"/>
      <c r="C892" s="141"/>
      <c r="D892" s="141"/>
      <c r="E892" s="141"/>
      <c r="F892" s="141"/>
      <c r="G892" s="141"/>
      <c r="H892" s="222"/>
    </row>
    <row r="893" spans="1:9" s="212" customFormat="1">
      <c r="A893" s="150"/>
      <c r="B893" s="83"/>
      <c r="C893" s="148"/>
      <c r="D893" s="168"/>
      <c r="E893" s="84"/>
      <c r="F893" s="84"/>
      <c r="G893" s="146"/>
      <c r="H893" s="221"/>
    </row>
    <row r="894" spans="1:9" s="212" customFormat="1">
      <c r="A894" s="91"/>
      <c r="B894" s="91"/>
      <c r="C894" s="91"/>
      <c r="D894" s="91"/>
      <c r="E894" s="91"/>
      <c r="G894" s="213"/>
      <c r="H894" s="222"/>
    </row>
    <row r="895" spans="1:9" s="212" customFormat="1">
      <c r="A895" s="120"/>
      <c r="B895" s="73"/>
      <c r="C895" s="73"/>
      <c r="D895" s="73"/>
      <c r="E895" s="73"/>
      <c r="G895" s="73"/>
      <c r="H895" s="222"/>
    </row>
    <row r="896" spans="1:9" s="212" customFormat="1">
      <c r="A896" s="220"/>
      <c r="B896" s="141"/>
      <c r="C896" s="141"/>
      <c r="D896" s="141"/>
      <c r="E896" s="141"/>
      <c r="F896" s="141"/>
      <c r="G896" s="141"/>
      <c r="H896" s="222"/>
    </row>
    <row r="897" spans="1:9" s="212" customFormat="1">
      <c r="A897" s="142"/>
      <c r="B897" s="143"/>
      <c r="C897" s="143"/>
      <c r="D897" s="143"/>
      <c r="E897" s="143"/>
      <c r="F897" s="84"/>
      <c r="G897" s="146"/>
      <c r="H897" s="221"/>
    </row>
    <row r="898" spans="1:9" s="212" customFormat="1">
      <c r="A898" s="91"/>
      <c r="B898" s="91"/>
      <c r="C898" s="91"/>
      <c r="D898" s="91"/>
      <c r="E898" s="91"/>
      <c r="G898" s="213"/>
      <c r="H898" s="222"/>
    </row>
    <row r="899" spans="1:9" s="212" customFormat="1">
      <c r="A899" s="120"/>
      <c r="B899" s="73"/>
      <c r="C899" s="73"/>
      <c r="D899" s="73"/>
      <c r="E899" s="73"/>
      <c r="G899" s="73"/>
      <c r="H899" s="222"/>
    </row>
    <row r="900" spans="1:9" s="212" customFormat="1">
      <c r="A900" s="220"/>
      <c r="B900" s="141"/>
      <c r="C900" s="141"/>
      <c r="D900" s="141"/>
      <c r="E900" s="141"/>
      <c r="F900" s="141"/>
      <c r="G900" s="141"/>
      <c r="H900" s="222"/>
    </row>
    <row r="901" spans="1:9" s="212" customFormat="1">
      <c r="A901" s="142"/>
      <c r="B901" s="143"/>
      <c r="C901" s="143"/>
      <c r="D901" s="143"/>
      <c r="E901" s="143"/>
      <c r="F901" s="84"/>
      <c r="G901" s="146"/>
      <c r="H901" s="221"/>
    </row>
    <row r="902" spans="1:9" s="212" customFormat="1">
      <c r="A902" s="123"/>
      <c r="B902" s="95"/>
      <c r="C902" s="95"/>
      <c r="D902" s="95"/>
      <c r="E902" s="95"/>
      <c r="G902" s="213"/>
      <c r="H902" s="73"/>
    </row>
    <row r="903" spans="1:9" s="212" customFormat="1">
      <c r="A903" s="123"/>
      <c r="B903" s="95"/>
      <c r="C903" s="95"/>
      <c r="D903" s="95"/>
      <c r="E903" s="95"/>
      <c r="G903" s="73"/>
      <c r="H903" s="225"/>
    </row>
    <row r="904" spans="1:9" s="212" customFormat="1" ht="21" customHeight="1">
      <c r="B904" s="97"/>
      <c r="C904" s="98"/>
      <c r="D904" s="98"/>
      <c r="E904" s="98"/>
      <c r="G904" s="220"/>
    </row>
    <row r="905" spans="1:9" s="212" customFormat="1">
      <c r="B905" s="97"/>
      <c r="C905" s="98"/>
      <c r="D905" s="98"/>
      <c r="E905" s="98"/>
      <c r="F905" s="220"/>
      <c r="G905" s="225"/>
      <c r="H905" s="226"/>
    </row>
    <row r="906" spans="1:9" s="212" customFormat="1">
      <c r="A906" s="633"/>
      <c r="B906" s="633"/>
      <c r="C906" s="633"/>
      <c r="D906" s="633"/>
      <c r="E906" s="633"/>
      <c r="F906" s="633"/>
      <c r="G906" s="633"/>
    </row>
    <row r="907" spans="1:9" s="212" customFormat="1">
      <c r="H907" s="227"/>
      <c r="I907" s="228"/>
    </row>
    <row r="908" spans="1:9" s="212" customFormat="1">
      <c r="A908" s="658"/>
      <c r="B908" s="227"/>
      <c r="C908" s="227"/>
      <c r="D908" s="227"/>
      <c r="E908" s="227"/>
      <c r="F908" s="227"/>
      <c r="G908" s="227"/>
      <c r="H908" s="227"/>
      <c r="I908" s="229"/>
    </row>
    <row r="909" spans="1:9" s="212" customFormat="1">
      <c r="A909" s="658"/>
      <c r="B909" s="227"/>
      <c r="C909" s="227"/>
      <c r="D909" s="227"/>
      <c r="E909" s="227"/>
      <c r="F909" s="227"/>
      <c r="G909" s="227"/>
    </row>
    <row r="910" spans="1:9" s="212" customFormat="1">
      <c r="A910" s="69"/>
      <c r="B910" s="69"/>
      <c r="C910" s="69"/>
      <c r="D910" s="69"/>
      <c r="E910" s="69"/>
    </row>
    <row r="911" spans="1:9" s="212" customFormat="1">
      <c r="A911" s="120"/>
      <c r="B911" s="73"/>
      <c r="C911" s="73"/>
      <c r="D911" s="73"/>
      <c r="E911" s="73"/>
      <c r="F911" s="73"/>
      <c r="G911" s="73"/>
      <c r="H911" s="73"/>
    </row>
    <row r="912" spans="1:9" s="212" customFormat="1">
      <c r="A912" s="220"/>
      <c r="B912" s="141"/>
      <c r="C912" s="141"/>
      <c r="D912" s="141"/>
      <c r="E912" s="141"/>
      <c r="F912" s="141"/>
      <c r="G912" s="141"/>
      <c r="H912" s="73"/>
    </row>
    <row r="913" spans="1:8" s="212" customFormat="1">
      <c r="A913" s="150"/>
      <c r="B913" s="84"/>
      <c r="C913" s="148"/>
      <c r="D913" s="84"/>
      <c r="E913" s="84"/>
      <c r="F913" s="84"/>
      <c r="G913" s="146"/>
      <c r="H913" s="221"/>
    </row>
    <row r="914" spans="1:8" s="212" customFormat="1">
      <c r="A914" s="84"/>
      <c r="B914" s="83"/>
      <c r="C914" s="84"/>
      <c r="D914" s="84"/>
      <c r="E914" s="84"/>
      <c r="G914" s="213"/>
      <c r="H914" s="222"/>
    </row>
    <row r="915" spans="1:8" s="212" customFormat="1">
      <c r="A915" s="120"/>
      <c r="B915" s="73"/>
      <c r="C915" s="73"/>
      <c r="D915" s="73"/>
      <c r="E915" s="73"/>
      <c r="G915" s="73"/>
      <c r="H915" s="222"/>
    </row>
    <row r="916" spans="1:8" s="212" customFormat="1">
      <c r="A916" s="220"/>
      <c r="B916" s="141"/>
      <c r="C916" s="141"/>
      <c r="D916" s="141"/>
      <c r="E916" s="141"/>
      <c r="F916" s="141"/>
      <c r="G916" s="141"/>
      <c r="H916" s="222"/>
    </row>
    <row r="917" spans="1:8" s="212" customFormat="1">
      <c r="A917" s="150"/>
      <c r="B917" s="83"/>
      <c r="C917" s="148"/>
      <c r="D917" s="168"/>
      <c r="E917" s="84"/>
      <c r="F917" s="84"/>
      <c r="G917" s="146"/>
      <c r="H917" s="221"/>
    </row>
    <row r="918" spans="1:8" s="212" customFormat="1">
      <c r="A918" s="91"/>
      <c r="B918" s="91"/>
      <c r="C918" s="91"/>
      <c r="D918" s="91"/>
      <c r="E918" s="91"/>
      <c r="G918" s="213"/>
      <c r="H918" s="222"/>
    </row>
    <row r="919" spans="1:8" s="212" customFormat="1">
      <c r="A919" s="120"/>
      <c r="B919" s="73"/>
      <c r="C919" s="73"/>
      <c r="D919" s="73"/>
      <c r="E919" s="73"/>
      <c r="G919" s="73"/>
      <c r="H919" s="222"/>
    </row>
    <row r="920" spans="1:8" s="212" customFormat="1">
      <c r="A920" s="220"/>
      <c r="B920" s="141"/>
      <c r="C920" s="141"/>
      <c r="D920" s="141"/>
      <c r="E920" s="141"/>
      <c r="F920" s="141"/>
      <c r="G920" s="141"/>
      <c r="H920" s="222"/>
    </row>
    <row r="921" spans="1:8" s="212" customFormat="1">
      <c r="A921" s="142"/>
      <c r="B921" s="143"/>
      <c r="C921" s="143"/>
      <c r="D921" s="143"/>
      <c r="E921" s="143"/>
      <c r="F921" s="84"/>
      <c r="G921" s="146"/>
      <c r="H921" s="221"/>
    </row>
    <row r="922" spans="1:8" s="212" customFormat="1">
      <c r="A922" s="91"/>
      <c r="B922" s="91"/>
      <c r="C922" s="91"/>
      <c r="D922" s="91"/>
      <c r="E922" s="91"/>
      <c r="G922" s="213"/>
      <c r="H922" s="222"/>
    </row>
    <row r="923" spans="1:8" s="212" customFormat="1">
      <c r="A923" s="120"/>
      <c r="B923" s="73"/>
      <c r="C923" s="73"/>
      <c r="D923" s="73"/>
      <c r="E923" s="73"/>
      <c r="G923" s="73"/>
      <c r="H923" s="222"/>
    </row>
    <row r="924" spans="1:8" s="212" customFormat="1">
      <c r="A924" s="220"/>
      <c r="B924" s="141"/>
      <c r="C924" s="141"/>
      <c r="D924" s="141"/>
      <c r="E924" s="141"/>
      <c r="F924" s="141"/>
      <c r="G924" s="141"/>
      <c r="H924" s="222"/>
    </row>
    <row r="925" spans="1:8" s="212" customFormat="1">
      <c r="A925" s="142"/>
      <c r="B925" s="143"/>
      <c r="C925" s="143"/>
      <c r="D925" s="143"/>
      <c r="E925" s="143"/>
      <c r="F925" s="84"/>
      <c r="G925" s="146"/>
      <c r="H925" s="221"/>
    </row>
    <row r="926" spans="1:8" s="212" customFormat="1">
      <c r="A926" s="123"/>
      <c r="B926" s="95"/>
      <c r="C926" s="95"/>
      <c r="D926" s="95"/>
      <c r="E926" s="95"/>
      <c r="G926" s="213"/>
      <c r="H926" s="73"/>
    </row>
    <row r="927" spans="1:8" s="212" customFormat="1">
      <c r="A927" s="123"/>
      <c r="B927" s="95"/>
      <c r="C927" s="95"/>
      <c r="D927" s="95"/>
      <c r="E927" s="95"/>
      <c r="G927" s="73"/>
      <c r="H927" s="225"/>
    </row>
    <row r="928" spans="1:8" s="212" customFormat="1">
      <c r="B928" s="97"/>
      <c r="C928" s="98"/>
      <c r="D928" s="98"/>
      <c r="E928" s="98"/>
      <c r="G928" s="220"/>
    </row>
    <row r="929" spans="1:9" s="212" customFormat="1">
      <c r="B929" s="97"/>
      <c r="C929" s="98"/>
      <c r="D929" s="98"/>
      <c r="E929" s="98"/>
      <c r="F929" s="220"/>
      <c r="G929" s="225"/>
      <c r="H929" s="226"/>
    </row>
    <row r="930" spans="1:9" s="212" customFormat="1">
      <c r="A930" s="633"/>
      <c r="B930" s="633"/>
      <c r="C930" s="633"/>
      <c r="D930" s="633"/>
      <c r="E930" s="633"/>
      <c r="F930" s="633"/>
      <c r="G930" s="633"/>
    </row>
    <row r="931" spans="1:9" s="212" customFormat="1">
      <c r="H931" s="227"/>
      <c r="I931" s="228"/>
    </row>
    <row r="932" spans="1:9" s="212" customFormat="1">
      <c r="A932" s="658"/>
      <c r="B932" s="227"/>
      <c r="C932" s="227"/>
      <c r="D932" s="227"/>
      <c r="E932" s="227"/>
      <c r="F932" s="227"/>
      <c r="G932" s="227"/>
      <c r="H932" s="227"/>
      <c r="I932" s="229"/>
    </row>
    <row r="933" spans="1:9" s="212" customFormat="1">
      <c r="A933" s="658"/>
      <c r="B933" s="227"/>
      <c r="C933" s="227"/>
      <c r="D933" s="227"/>
      <c r="E933" s="227"/>
      <c r="F933" s="227"/>
      <c r="G933" s="227"/>
    </row>
    <row r="934" spans="1:9" s="212" customFormat="1">
      <c r="A934" s="69"/>
      <c r="B934" s="69"/>
      <c r="C934" s="69"/>
      <c r="D934" s="69"/>
      <c r="E934" s="69"/>
    </row>
    <row r="935" spans="1:9" s="212" customFormat="1">
      <c r="A935" s="120"/>
      <c r="B935" s="73"/>
      <c r="C935" s="73"/>
      <c r="D935" s="73"/>
      <c r="E935" s="73"/>
      <c r="F935" s="73"/>
      <c r="G935" s="73"/>
      <c r="H935" s="73"/>
    </row>
    <row r="936" spans="1:9" s="212" customFormat="1">
      <c r="A936" s="220"/>
      <c r="B936" s="141"/>
      <c r="C936" s="141"/>
      <c r="D936" s="141"/>
      <c r="E936" s="141"/>
      <c r="F936" s="141"/>
      <c r="G936" s="141"/>
      <c r="H936" s="73"/>
    </row>
    <row r="937" spans="1:9" s="212" customFormat="1">
      <c r="A937" s="150"/>
      <c r="B937" s="84"/>
      <c r="C937" s="148"/>
      <c r="D937" s="84"/>
      <c r="E937" s="84"/>
      <c r="F937" s="84"/>
      <c r="G937" s="146"/>
      <c r="H937" s="221"/>
    </row>
    <row r="938" spans="1:9" s="212" customFormat="1">
      <c r="A938" s="84"/>
      <c r="B938" s="83"/>
      <c r="C938" s="84"/>
      <c r="D938" s="84"/>
      <c r="E938" s="84"/>
      <c r="G938" s="213"/>
      <c r="H938" s="222"/>
    </row>
    <row r="939" spans="1:9" s="212" customFormat="1">
      <c r="A939" s="120"/>
      <c r="B939" s="73"/>
      <c r="C939" s="73"/>
      <c r="D939" s="73"/>
      <c r="E939" s="73"/>
      <c r="G939" s="73"/>
      <c r="H939" s="222"/>
    </row>
    <row r="940" spans="1:9" s="212" customFormat="1">
      <c r="A940" s="220"/>
      <c r="B940" s="141"/>
      <c r="C940" s="141"/>
      <c r="D940" s="141"/>
      <c r="E940" s="141"/>
      <c r="F940" s="141"/>
      <c r="G940" s="141"/>
      <c r="H940" s="222"/>
    </row>
    <row r="941" spans="1:9" s="212" customFormat="1">
      <c r="A941" s="150"/>
      <c r="B941" s="83"/>
      <c r="C941" s="148"/>
      <c r="D941" s="168"/>
      <c r="E941" s="84"/>
      <c r="F941" s="84"/>
      <c r="G941" s="146"/>
      <c r="H941" s="221"/>
    </row>
    <row r="942" spans="1:9" s="212" customFormat="1">
      <c r="A942" s="91"/>
      <c r="B942" s="91"/>
      <c r="C942" s="91"/>
      <c r="D942" s="91"/>
      <c r="E942" s="91"/>
      <c r="G942" s="213"/>
      <c r="H942" s="222"/>
    </row>
    <row r="943" spans="1:9" s="212" customFormat="1">
      <c r="A943" s="120"/>
      <c r="B943" s="73"/>
      <c r="C943" s="73"/>
      <c r="D943" s="73"/>
      <c r="E943" s="73"/>
      <c r="G943" s="73"/>
      <c r="H943" s="222"/>
    </row>
    <row r="944" spans="1:9" s="212" customFormat="1">
      <c r="A944" s="220"/>
      <c r="B944" s="141"/>
      <c r="C944" s="141"/>
      <c r="D944" s="141"/>
      <c r="E944" s="141"/>
      <c r="F944" s="141"/>
      <c r="G944" s="141"/>
      <c r="H944" s="222"/>
    </row>
    <row r="945" spans="1:9" s="212" customFormat="1">
      <c r="A945" s="142"/>
      <c r="B945" s="143"/>
      <c r="C945" s="143"/>
      <c r="D945" s="143"/>
      <c r="E945" s="143"/>
      <c r="F945" s="84"/>
      <c r="G945" s="146"/>
      <c r="H945" s="221"/>
    </row>
    <row r="946" spans="1:9" s="212" customFormat="1">
      <c r="A946" s="91"/>
      <c r="B946" s="91"/>
      <c r="C946" s="91"/>
      <c r="D946" s="91"/>
      <c r="E946" s="91"/>
      <c r="G946" s="213"/>
      <c r="H946" s="222"/>
    </row>
    <row r="947" spans="1:9" s="212" customFormat="1">
      <c r="A947" s="120"/>
      <c r="B947" s="73"/>
      <c r="C947" s="73"/>
      <c r="D947" s="73"/>
      <c r="E947" s="73"/>
      <c r="G947" s="73"/>
      <c r="H947" s="222"/>
    </row>
    <row r="948" spans="1:9" s="212" customFormat="1">
      <c r="A948" s="220"/>
      <c r="B948" s="141"/>
      <c r="C948" s="141"/>
      <c r="D948" s="141"/>
      <c r="E948" s="141"/>
      <c r="F948" s="141"/>
      <c r="G948" s="141"/>
      <c r="H948" s="222"/>
    </row>
    <row r="949" spans="1:9" s="212" customFormat="1">
      <c r="A949" s="142"/>
      <c r="B949" s="143"/>
      <c r="C949" s="143"/>
      <c r="D949" s="143"/>
      <c r="E949" s="143"/>
      <c r="F949" s="84"/>
      <c r="G949" s="146"/>
      <c r="H949" s="221"/>
    </row>
    <row r="950" spans="1:9" s="212" customFormat="1">
      <c r="A950" s="123"/>
      <c r="B950" s="95"/>
      <c r="C950" s="95"/>
      <c r="D950" s="95"/>
      <c r="E950" s="95"/>
      <c r="G950" s="213"/>
      <c r="H950" s="73"/>
    </row>
    <row r="951" spans="1:9" s="212" customFormat="1">
      <c r="A951" s="123"/>
      <c r="B951" s="95"/>
      <c r="C951" s="95"/>
      <c r="D951" s="95"/>
      <c r="E951" s="95"/>
      <c r="G951" s="73"/>
      <c r="H951" s="225"/>
    </row>
    <row r="952" spans="1:9" s="212" customFormat="1">
      <c r="B952" s="97"/>
      <c r="C952" s="98"/>
      <c r="D952" s="98"/>
      <c r="E952" s="98"/>
      <c r="G952" s="220"/>
    </row>
    <row r="953" spans="1:9" s="212" customFormat="1">
      <c r="B953" s="97"/>
      <c r="C953" s="98"/>
      <c r="D953" s="98"/>
      <c r="E953" s="98"/>
      <c r="F953" s="220"/>
      <c r="G953" s="225"/>
      <c r="H953" s="226"/>
    </row>
    <row r="954" spans="1:9" s="212" customFormat="1">
      <c r="A954" s="633"/>
      <c r="B954" s="633"/>
      <c r="C954" s="633"/>
      <c r="D954" s="633"/>
      <c r="E954" s="633"/>
      <c r="F954" s="633"/>
      <c r="G954" s="633"/>
    </row>
    <row r="955" spans="1:9" s="212" customFormat="1">
      <c r="H955" s="227"/>
      <c r="I955" s="228"/>
    </row>
    <row r="956" spans="1:9" s="212" customFormat="1">
      <c r="A956" s="658"/>
      <c r="B956" s="227"/>
      <c r="C956" s="227"/>
      <c r="D956" s="227"/>
      <c r="E956" s="227"/>
      <c r="F956" s="227"/>
      <c r="G956" s="227"/>
      <c r="H956" s="227"/>
      <c r="I956" s="229"/>
    </row>
    <row r="957" spans="1:9" s="212" customFormat="1">
      <c r="A957" s="658"/>
      <c r="B957" s="227"/>
      <c r="C957" s="227"/>
      <c r="D957" s="227"/>
      <c r="E957" s="227"/>
      <c r="F957" s="227"/>
      <c r="G957" s="227"/>
    </row>
    <row r="958" spans="1:9" s="212" customFormat="1">
      <c r="A958" s="69"/>
      <c r="B958" s="69"/>
      <c r="C958" s="69"/>
      <c r="D958" s="69"/>
      <c r="E958" s="69"/>
    </row>
    <row r="959" spans="1:9" s="212" customFormat="1">
      <c r="A959" s="120"/>
      <c r="B959" s="73"/>
      <c r="C959" s="73"/>
      <c r="D959" s="73"/>
      <c r="E959" s="73"/>
      <c r="F959" s="73"/>
      <c r="G959" s="73"/>
      <c r="H959" s="73"/>
    </row>
    <row r="960" spans="1:9" s="212" customFormat="1">
      <c r="A960" s="220"/>
      <c r="B960" s="141"/>
      <c r="C960" s="141"/>
      <c r="D960" s="141"/>
      <c r="E960" s="141"/>
      <c r="F960" s="141"/>
      <c r="G960" s="141"/>
      <c r="H960" s="73"/>
    </row>
    <row r="961" spans="1:8" s="212" customFormat="1">
      <c r="A961" s="150"/>
      <c r="B961" s="84"/>
      <c r="C961" s="148"/>
      <c r="D961" s="84"/>
      <c r="E961" s="84"/>
      <c r="F961" s="84"/>
      <c r="G961" s="146"/>
      <c r="H961" s="221"/>
    </row>
    <row r="962" spans="1:8" s="212" customFormat="1" ht="18" customHeight="1">
      <c r="A962" s="84"/>
      <c r="B962" s="83"/>
      <c r="C962" s="84"/>
      <c r="D962" s="84"/>
      <c r="E962" s="84"/>
      <c r="G962" s="213"/>
      <c r="H962" s="222"/>
    </row>
    <row r="963" spans="1:8" s="212" customFormat="1">
      <c r="A963" s="120"/>
      <c r="B963" s="73"/>
      <c r="C963" s="73"/>
      <c r="D963" s="73"/>
      <c r="E963" s="73"/>
      <c r="G963" s="73"/>
      <c r="H963" s="222"/>
    </row>
    <row r="964" spans="1:8" s="212" customFormat="1">
      <c r="A964" s="220"/>
      <c r="B964" s="141"/>
      <c r="C964" s="141"/>
      <c r="D964" s="141"/>
      <c r="E964" s="141"/>
      <c r="F964" s="141"/>
      <c r="G964" s="141"/>
      <c r="H964" s="222"/>
    </row>
    <row r="965" spans="1:8" s="212" customFormat="1">
      <c r="A965" s="150"/>
      <c r="B965" s="83"/>
      <c r="C965" s="148"/>
      <c r="D965" s="168"/>
      <c r="E965" s="84"/>
      <c r="F965" s="84"/>
      <c r="G965" s="146"/>
      <c r="H965" s="221"/>
    </row>
    <row r="966" spans="1:8" s="212" customFormat="1">
      <c r="A966" s="91"/>
      <c r="B966" s="91"/>
      <c r="C966" s="91"/>
      <c r="D966" s="91"/>
      <c r="E966" s="91"/>
      <c r="G966" s="213"/>
      <c r="H966" s="222"/>
    </row>
    <row r="967" spans="1:8" s="212" customFormat="1">
      <c r="A967" s="120"/>
      <c r="B967" s="73"/>
      <c r="C967" s="73"/>
      <c r="D967" s="73"/>
      <c r="E967" s="73"/>
      <c r="G967" s="73"/>
      <c r="H967" s="222"/>
    </row>
    <row r="968" spans="1:8" s="212" customFormat="1">
      <c r="A968" s="220"/>
      <c r="B968" s="141"/>
      <c r="C968" s="141"/>
      <c r="D968" s="141"/>
      <c r="E968" s="141"/>
      <c r="F968" s="141"/>
      <c r="G968" s="141"/>
      <c r="H968" s="222"/>
    </row>
    <row r="969" spans="1:8" s="212" customFormat="1">
      <c r="A969" s="142"/>
      <c r="B969" s="143"/>
      <c r="C969" s="143"/>
      <c r="D969" s="143"/>
      <c r="E969" s="143"/>
      <c r="F969" s="84"/>
      <c r="G969" s="146"/>
      <c r="H969" s="221"/>
    </row>
    <row r="970" spans="1:8" s="212" customFormat="1">
      <c r="A970" s="91"/>
      <c r="B970" s="91"/>
      <c r="C970" s="91"/>
      <c r="D970" s="91"/>
      <c r="E970" s="91"/>
      <c r="G970" s="213"/>
      <c r="H970" s="222"/>
    </row>
    <row r="971" spans="1:8" s="212" customFormat="1">
      <c r="A971" s="120"/>
      <c r="B971" s="73"/>
      <c r="C971" s="73"/>
      <c r="D971" s="73"/>
      <c r="E971" s="73"/>
      <c r="G971" s="73"/>
      <c r="H971" s="222"/>
    </row>
    <row r="972" spans="1:8" s="212" customFormat="1">
      <c r="A972" s="220"/>
      <c r="B972" s="141"/>
      <c r="C972" s="141"/>
      <c r="D972" s="141"/>
      <c r="E972" s="141"/>
      <c r="F972" s="141"/>
      <c r="G972" s="141"/>
      <c r="H972" s="222"/>
    </row>
    <row r="973" spans="1:8" s="212" customFormat="1">
      <c r="A973" s="142"/>
      <c r="B973" s="143"/>
      <c r="C973" s="143"/>
      <c r="D973" s="143"/>
      <c r="E973" s="143"/>
      <c r="F973" s="84"/>
      <c r="G973" s="146"/>
      <c r="H973" s="221"/>
    </row>
    <row r="974" spans="1:8" s="212" customFormat="1">
      <c r="A974" s="123"/>
      <c r="B974" s="95"/>
      <c r="C974" s="95"/>
      <c r="D974" s="95"/>
      <c r="E974" s="95"/>
      <c r="G974" s="213"/>
      <c r="H974" s="73"/>
    </row>
    <row r="975" spans="1:8" s="212" customFormat="1">
      <c r="A975" s="123"/>
      <c r="B975" s="95"/>
      <c r="C975" s="95"/>
      <c r="D975" s="95"/>
      <c r="E975" s="95"/>
      <c r="G975" s="73"/>
      <c r="H975" s="225"/>
    </row>
    <row r="976" spans="1:8" s="212" customFormat="1">
      <c r="B976" s="97"/>
      <c r="C976" s="98"/>
      <c r="D976" s="98"/>
      <c r="E976" s="98"/>
      <c r="G976" s="220"/>
    </row>
    <row r="977" spans="1:9" s="212" customFormat="1">
      <c r="B977" s="97"/>
      <c r="C977" s="98"/>
      <c r="D977" s="98"/>
      <c r="E977" s="98"/>
      <c r="F977" s="220"/>
      <c r="G977" s="225"/>
      <c r="H977" s="226"/>
    </row>
    <row r="978" spans="1:9" s="212" customFormat="1">
      <c r="A978" s="633"/>
      <c r="B978" s="633"/>
      <c r="C978" s="633"/>
      <c r="D978" s="633"/>
      <c r="E978" s="633"/>
      <c r="F978" s="633"/>
      <c r="G978" s="633"/>
    </row>
    <row r="979" spans="1:9" s="212" customFormat="1">
      <c r="H979" s="227"/>
      <c r="I979" s="228"/>
    </row>
    <row r="980" spans="1:9" s="212" customFormat="1">
      <c r="A980" s="658"/>
      <c r="B980" s="227"/>
      <c r="C980" s="227"/>
      <c r="D980" s="227"/>
      <c r="E980" s="227"/>
      <c r="F980" s="227"/>
      <c r="G980" s="227"/>
      <c r="H980" s="227"/>
      <c r="I980" s="229"/>
    </row>
    <row r="981" spans="1:9" s="212" customFormat="1">
      <c r="A981" s="658"/>
      <c r="B981" s="227"/>
      <c r="C981" s="227"/>
      <c r="D981" s="227"/>
      <c r="E981" s="227"/>
      <c r="F981" s="227"/>
      <c r="G981" s="227"/>
    </row>
    <row r="982" spans="1:9" s="212" customFormat="1">
      <c r="A982" s="69"/>
      <c r="B982" s="69"/>
      <c r="C982" s="69"/>
      <c r="D982" s="69"/>
      <c r="E982" s="69"/>
    </row>
    <row r="983" spans="1:9" s="212" customFormat="1">
      <c r="A983" s="120"/>
      <c r="B983" s="73"/>
      <c r="C983" s="73"/>
      <c r="D983" s="73"/>
      <c r="E983" s="73"/>
      <c r="F983" s="73"/>
      <c r="G983" s="73"/>
      <c r="H983" s="73"/>
    </row>
    <row r="984" spans="1:9" s="212" customFormat="1">
      <c r="A984" s="220"/>
      <c r="B984" s="141"/>
      <c r="C984" s="141"/>
      <c r="D984" s="141"/>
      <c r="E984" s="141"/>
      <c r="F984" s="141"/>
      <c r="G984" s="141"/>
      <c r="H984" s="73"/>
    </row>
    <row r="985" spans="1:9" s="212" customFormat="1">
      <c r="A985" s="150"/>
      <c r="B985" s="84"/>
      <c r="C985" s="148"/>
      <c r="D985" s="84"/>
      <c r="E985" s="84"/>
      <c r="F985" s="84"/>
      <c r="G985" s="146"/>
      <c r="H985" s="221"/>
    </row>
    <row r="986" spans="1:9" s="212" customFormat="1">
      <c r="A986" s="84"/>
      <c r="B986" s="83"/>
      <c r="C986" s="84"/>
      <c r="D986" s="84"/>
      <c r="E986" s="84"/>
      <c r="G986" s="213"/>
      <c r="H986" s="222"/>
    </row>
    <row r="987" spans="1:9" s="212" customFormat="1">
      <c r="A987" s="120"/>
      <c r="B987" s="73"/>
      <c r="C987" s="73"/>
      <c r="D987" s="73"/>
      <c r="E987" s="73"/>
      <c r="G987" s="73"/>
      <c r="H987" s="222"/>
    </row>
    <row r="988" spans="1:9" s="212" customFormat="1">
      <c r="A988" s="220"/>
      <c r="B988" s="141"/>
      <c r="C988" s="141"/>
      <c r="D988" s="141"/>
      <c r="E988" s="141"/>
      <c r="F988" s="141"/>
      <c r="G988" s="141"/>
      <c r="H988" s="222"/>
    </row>
    <row r="989" spans="1:9" s="212" customFormat="1">
      <c r="A989" s="150"/>
      <c r="B989" s="83"/>
      <c r="C989" s="148"/>
      <c r="D989" s="165"/>
      <c r="E989" s="84"/>
      <c r="F989" s="84"/>
      <c r="G989" s="146"/>
      <c r="H989" s="221"/>
    </row>
    <row r="990" spans="1:9" s="212" customFormat="1">
      <c r="A990" s="91"/>
      <c r="B990" s="91"/>
      <c r="C990" s="91"/>
      <c r="D990" s="91"/>
      <c r="E990" s="91"/>
      <c r="G990" s="213"/>
      <c r="H990" s="222"/>
    </row>
    <row r="991" spans="1:9" s="212" customFormat="1">
      <c r="A991" s="120"/>
      <c r="B991" s="73"/>
      <c r="C991" s="73"/>
      <c r="D991" s="73"/>
      <c r="E991" s="73"/>
      <c r="G991" s="73"/>
      <c r="H991" s="222"/>
    </row>
    <row r="992" spans="1:9" s="212" customFormat="1" ht="15.75" customHeight="1">
      <c r="A992" s="220"/>
      <c r="B992" s="141"/>
      <c r="C992" s="141"/>
      <c r="D992" s="141"/>
      <c r="E992" s="141"/>
      <c r="F992" s="141"/>
      <c r="G992" s="141"/>
      <c r="H992" s="222"/>
    </row>
    <row r="993" spans="1:9" s="212" customFormat="1">
      <c r="A993" s="150"/>
      <c r="B993" s="84"/>
      <c r="C993" s="148"/>
      <c r="D993" s="84"/>
      <c r="E993" s="84"/>
      <c r="F993" s="84"/>
      <c r="G993" s="146"/>
      <c r="H993" s="221"/>
    </row>
    <row r="994" spans="1:9" s="212" customFormat="1">
      <c r="A994" s="91"/>
      <c r="B994" s="91"/>
      <c r="C994" s="91"/>
      <c r="D994" s="91"/>
      <c r="E994" s="91"/>
      <c r="G994" s="213"/>
      <c r="H994" s="222"/>
    </row>
    <row r="995" spans="1:9" s="212" customFormat="1">
      <c r="A995" s="120"/>
      <c r="B995" s="73"/>
      <c r="C995" s="73"/>
      <c r="D995" s="73"/>
      <c r="E995" s="73"/>
      <c r="G995" s="73"/>
      <c r="H995" s="222"/>
    </row>
    <row r="996" spans="1:9" s="212" customFormat="1">
      <c r="A996" s="220"/>
      <c r="B996" s="141"/>
      <c r="C996" s="141"/>
      <c r="D996" s="141"/>
      <c r="E996" s="141"/>
      <c r="F996" s="141"/>
      <c r="G996" s="141"/>
      <c r="H996" s="222"/>
    </row>
    <row r="997" spans="1:9" s="212" customFormat="1">
      <c r="A997" s="142"/>
      <c r="B997" s="143"/>
      <c r="C997" s="143"/>
      <c r="D997" s="143"/>
      <c r="E997" s="143"/>
      <c r="F997" s="84"/>
      <c r="G997" s="146"/>
      <c r="H997" s="221"/>
    </row>
    <row r="998" spans="1:9" s="212" customFormat="1">
      <c r="A998" s="123"/>
      <c r="B998" s="95"/>
      <c r="C998" s="95"/>
      <c r="D998" s="95"/>
      <c r="E998" s="95"/>
      <c r="G998" s="213"/>
      <c r="H998" s="73"/>
    </row>
    <row r="999" spans="1:9" s="212" customFormat="1">
      <c r="A999" s="123"/>
      <c r="B999" s="95"/>
      <c r="C999" s="95"/>
      <c r="D999" s="95"/>
      <c r="E999" s="95"/>
      <c r="G999" s="73"/>
      <c r="H999" s="225"/>
    </row>
    <row r="1000" spans="1:9" s="212" customFormat="1">
      <c r="B1000" s="97"/>
      <c r="C1000" s="98"/>
      <c r="D1000" s="98"/>
      <c r="E1000" s="98"/>
      <c r="G1000" s="220"/>
    </row>
    <row r="1001" spans="1:9" s="212" customFormat="1">
      <c r="B1001" s="97"/>
      <c r="C1001" s="98"/>
      <c r="D1001" s="98"/>
      <c r="E1001" s="98"/>
      <c r="F1001" s="220"/>
      <c r="G1001" s="225"/>
      <c r="H1001" s="226"/>
    </row>
    <row r="1002" spans="1:9" s="212" customFormat="1">
      <c r="A1002" s="633"/>
      <c r="B1002" s="633"/>
      <c r="C1002" s="633"/>
      <c r="D1002" s="633"/>
      <c r="E1002" s="633"/>
      <c r="F1002" s="633"/>
      <c r="G1002" s="633"/>
    </row>
    <row r="1003" spans="1:9" s="212" customFormat="1">
      <c r="H1003" s="227"/>
      <c r="I1003" s="228"/>
    </row>
    <row r="1004" spans="1:9" s="212" customFormat="1">
      <c r="A1004" s="658"/>
      <c r="B1004" s="227"/>
      <c r="C1004" s="227"/>
      <c r="D1004" s="227"/>
      <c r="E1004" s="227"/>
      <c r="F1004" s="227"/>
      <c r="G1004" s="227"/>
      <c r="H1004" s="227"/>
      <c r="I1004" s="229"/>
    </row>
    <row r="1005" spans="1:9" s="212" customFormat="1">
      <c r="A1005" s="658"/>
      <c r="B1005" s="227"/>
      <c r="C1005" s="227"/>
      <c r="D1005" s="227"/>
      <c r="E1005" s="227"/>
      <c r="F1005" s="227"/>
      <c r="G1005" s="227"/>
    </row>
    <row r="1006" spans="1:9" s="212" customFormat="1">
      <c r="A1006" s="69"/>
      <c r="B1006" s="69"/>
      <c r="C1006" s="69"/>
      <c r="D1006" s="69"/>
      <c r="E1006" s="69"/>
    </row>
    <row r="1007" spans="1:9" s="212" customFormat="1">
      <c r="A1007" s="120"/>
      <c r="B1007" s="73"/>
      <c r="C1007" s="73"/>
      <c r="D1007" s="73"/>
      <c r="E1007" s="73"/>
      <c r="F1007" s="73"/>
      <c r="G1007" s="73"/>
      <c r="H1007" s="73"/>
    </row>
    <row r="1008" spans="1:9" s="212" customFormat="1">
      <c r="A1008" s="220"/>
      <c r="B1008" s="141"/>
      <c r="C1008" s="141"/>
      <c r="D1008" s="141"/>
      <c r="E1008" s="141"/>
      <c r="F1008" s="141"/>
      <c r="G1008" s="141"/>
      <c r="H1008" s="73"/>
    </row>
    <row r="1009" spans="1:8" s="212" customFormat="1">
      <c r="A1009" s="150"/>
      <c r="B1009" s="84"/>
      <c r="C1009" s="148"/>
      <c r="D1009" s="84"/>
      <c r="E1009" s="84"/>
      <c r="F1009" s="84"/>
      <c r="G1009" s="146"/>
      <c r="H1009" s="221"/>
    </row>
    <row r="1010" spans="1:8" s="212" customFormat="1">
      <c r="A1010" s="84"/>
      <c r="B1010" s="83"/>
      <c r="C1010" s="84"/>
      <c r="D1010" s="84"/>
      <c r="E1010" s="84"/>
      <c r="G1010" s="213"/>
      <c r="H1010" s="222"/>
    </row>
    <row r="1011" spans="1:8" s="212" customFormat="1">
      <c r="A1011" s="120"/>
      <c r="B1011" s="73"/>
      <c r="C1011" s="73"/>
      <c r="D1011" s="73"/>
      <c r="E1011" s="73"/>
      <c r="G1011" s="73"/>
      <c r="H1011" s="222"/>
    </row>
    <row r="1012" spans="1:8" s="212" customFormat="1">
      <c r="A1012" s="220"/>
      <c r="B1012" s="141"/>
      <c r="C1012" s="141"/>
      <c r="D1012" s="141"/>
      <c r="E1012" s="141"/>
      <c r="F1012" s="141"/>
      <c r="G1012" s="141"/>
      <c r="H1012" s="222"/>
    </row>
    <row r="1013" spans="1:8" s="212" customFormat="1">
      <c r="A1013" s="150"/>
      <c r="B1013" s="83"/>
      <c r="C1013" s="148"/>
      <c r="D1013" s="165"/>
      <c r="E1013" s="84"/>
      <c r="F1013" s="84"/>
      <c r="G1013" s="146"/>
      <c r="H1013" s="221"/>
    </row>
    <row r="1014" spans="1:8" s="212" customFormat="1">
      <c r="A1014" s="91"/>
      <c r="B1014" s="91"/>
      <c r="C1014" s="91"/>
      <c r="D1014" s="91"/>
      <c r="E1014" s="91"/>
      <c r="G1014" s="213"/>
      <c r="H1014" s="222"/>
    </row>
    <row r="1015" spans="1:8" s="212" customFormat="1">
      <c r="A1015" s="120"/>
      <c r="B1015" s="73"/>
      <c r="C1015" s="73"/>
      <c r="D1015" s="73"/>
      <c r="E1015" s="73"/>
      <c r="G1015" s="73"/>
      <c r="H1015" s="222"/>
    </row>
    <row r="1016" spans="1:8" s="212" customFormat="1">
      <c r="A1016" s="220"/>
      <c r="B1016" s="141"/>
      <c r="C1016" s="141"/>
      <c r="D1016" s="141"/>
      <c r="E1016" s="141"/>
      <c r="F1016" s="141"/>
      <c r="G1016" s="141"/>
      <c r="H1016" s="222"/>
    </row>
    <row r="1017" spans="1:8" s="212" customFormat="1">
      <c r="A1017" s="150"/>
      <c r="B1017" s="84"/>
      <c r="C1017" s="148"/>
      <c r="D1017" s="84"/>
      <c r="E1017" s="84"/>
      <c r="F1017" s="84"/>
      <c r="G1017" s="146"/>
      <c r="H1017" s="221"/>
    </row>
    <row r="1018" spans="1:8" s="212" customFormat="1">
      <c r="A1018" s="91"/>
      <c r="B1018" s="91"/>
      <c r="C1018" s="91"/>
      <c r="D1018" s="91"/>
      <c r="E1018" s="91"/>
      <c r="G1018" s="213"/>
      <c r="H1018" s="222"/>
    </row>
    <row r="1019" spans="1:8" s="212" customFormat="1">
      <c r="A1019" s="120"/>
      <c r="B1019" s="73"/>
      <c r="C1019" s="73"/>
      <c r="D1019" s="73"/>
      <c r="E1019" s="73"/>
      <c r="G1019" s="73"/>
      <c r="H1019" s="222"/>
    </row>
    <row r="1020" spans="1:8" s="212" customFormat="1">
      <c r="A1020" s="220"/>
      <c r="B1020" s="141"/>
      <c r="C1020" s="141"/>
      <c r="D1020" s="141"/>
      <c r="E1020" s="141"/>
      <c r="F1020" s="141"/>
      <c r="G1020" s="141"/>
      <c r="H1020" s="222"/>
    </row>
    <row r="1021" spans="1:8" s="212" customFormat="1" ht="15.75" customHeight="1">
      <c r="A1021" s="142"/>
      <c r="B1021" s="143"/>
      <c r="C1021" s="143"/>
      <c r="D1021" s="143"/>
      <c r="E1021" s="143"/>
      <c r="F1021" s="84"/>
      <c r="G1021" s="146"/>
      <c r="H1021" s="221"/>
    </row>
    <row r="1022" spans="1:8" s="212" customFormat="1">
      <c r="A1022" s="123"/>
      <c r="B1022" s="95"/>
      <c r="C1022" s="95"/>
      <c r="D1022" s="95"/>
      <c r="E1022" s="95"/>
      <c r="G1022" s="213"/>
      <c r="H1022" s="73"/>
    </row>
    <row r="1023" spans="1:8" s="212" customFormat="1">
      <c r="A1023" s="123"/>
      <c r="B1023" s="95"/>
      <c r="C1023" s="95"/>
      <c r="D1023" s="95"/>
      <c r="E1023" s="95"/>
      <c r="G1023" s="73"/>
      <c r="H1023" s="225"/>
    </row>
    <row r="1024" spans="1:8" s="212" customFormat="1">
      <c r="B1024" s="97"/>
      <c r="C1024" s="98"/>
      <c r="D1024" s="98"/>
      <c r="E1024" s="98"/>
      <c r="G1024" s="220"/>
    </row>
    <row r="1025" spans="1:9" s="212" customFormat="1">
      <c r="B1025" s="97"/>
      <c r="C1025" s="98"/>
      <c r="D1025" s="98"/>
      <c r="E1025" s="98"/>
      <c r="F1025" s="220"/>
      <c r="G1025" s="225"/>
      <c r="H1025" s="226"/>
    </row>
    <row r="1026" spans="1:9" s="212" customFormat="1">
      <c r="A1026" s="633"/>
      <c r="B1026" s="633"/>
      <c r="C1026" s="633"/>
      <c r="D1026" s="633"/>
      <c r="E1026" s="633"/>
      <c r="F1026" s="633"/>
      <c r="G1026" s="633"/>
    </row>
    <row r="1027" spans="1:9" s="212" customFormat="1">
      <c r="H1027" s="227"/>
      <c r="I1027" s="228"/>
    </row>
    <row r="1028" spans="1:9" s="212" customFormat="1">
      <c r="A1028" s="658"/>
      <c r="B1028" s="227"/>
      <c r="C1028" s="227"/>
      <c r="D1028" s="227"/>
      <c r="E1028" s="227"/>
      <c r="F1028" s="227"/>
      <c r="G1028" s="227"/>
      <c r="H1028" s="227"/>
      <c r="I1028" s="229"/>
    </row>
    <row r="1029" spans="1:9" s="212" customFormat="1">
      <c r="A1029" s="658"/>
      <c r="B1029" s="227"/>
      <c r="C1029" s="227"/>
      <c r="D1029" s="227"/>
      <c r="E1029" s="227"/>
      <c r="F1029" s="227"/>
      <c r="G1029" s="227"/>
    </row>
    <row r="1030" spans="1:9" s="212" customFormat="1">
      <c r="A1030" s="69"/>
      <c r="B1030" s="69"/>
      <c r="C1030" s="69"/>
      <c r="D1030" s="69"/>
      <c r="E1030" s="69"/>
    </row>
    <row r="1031" spans="1:9" s="212" customFormat="1">
      <c r="A1031" s="120"/>
      <c r="B1031" s="73"/>
      <c r="C1031" s="73"/>
      <c r="D1031" s="73"/>
      <c r="E1031" s="73"/>
      <c r="F1031" s="73"/>
      <c r="G1031" s="73"/>
      <c r="H1031" s="73"/>
    </row>
    <row r="1032" spans="1:9" s="212" customFormat="1">
      <c r="A1032" s="220"/>
      <c r="B1032" s="141"/>
      <c r="C1032" s="141"/>
      <c r="D1032" s="141"/>
      <c r="E1032" s="141"/>
      <c r="F1032" s="141"/>
      <c r="G1032" s="141"/>
      <c r="H1032" s="73"/>
    </row>
    <row r="1033" spans="1:9" s="212" customFormat="1">
      <c r="A1033" s="150"/>
      <c r="B1033" s="84"/>
      <c r="C1033" s="148"/>
      <c r="D1033" s="84"/>
      <c r="E1033" s="84"/>
      <c r="F1033" s="84"/>
      <c r="G1033" s="146"/>
      <c r="H1033" s="73"/>
    </row>
    <row r="1034" spans="1:9" s="212" customFormat="1">
      <c r="A1034" s="150"/>
      <c r="B1034" s="84"/>
      <c r="C1034" s="148"/>
      <c r="D1034" s="84"/>
      <c r="E1034" s="84"/>
      <c r="F1034" s="84"/>
      <c r="G1034" s="146"/>
      <c r="H1034" s="73"/>
    </row>
    <row r="1035" spans="1:9" s="212" customFormat="1">
      <c r="A1035" s="150"/>
      <c r="B1035" s="84"/>
      <c r="C1035" s="148"/>
      <c r="D1035" s="84"/>
      <c r="E1035" s="84"/>
      <c r="F1035" s="84"/>
      <c r="G1035" s="146"/>
      <c r="H1035" s="221"/>
    </row>
    <row r="1036" spans="1:9" s="212" customFormat="1">
      <c r="A1036" s="84"/>
      <c r="B1036" s="83"/>
      <c r="C1036" s="84"/>
      <c r="D1036" s="84"/>
      <c r="E1036" s="84"/>
      <c r="G1036" s="213"/>
      <c r="H1036" s="222"/>
    </row>
    <row r="1037" spans="1:9" s="212" customFormat="1">
      <c r="A1037" s="120"/>
      <c r="B1037" s="73"/>
      <c r="C1037" s="73"/>
      <c r="D1037" s="73"/>
      <c r="E1037" s="73"/>
      <c r="G1037" s="73"/>
      <c r="H1037" s="222"/>
    </row>
    <row r="1038" spans="1:9" s="212" customFormat="1">
      <c r="A1038" s="220"/>
      <c r="B1038" s="141"/>
      <c r="C1038" s="141"/>
      <c r="D1038" s="141"/>
      <c r="E1038" s="141"/>
      <c r="F1038" s="141"/>
      <c r="G1038" s="141"/>
      <c r="H1038" s="222"/>
    </row>
    <row r="1039" spans="1:9" s="212" customFormat="1">
      <c r="A1039" s="150"/>
      <c r="B1039" s="83"/>
      <c r="C1039" s="148"/>
      <c r="D1039" s="165"/>
      <c r="E1039" s="84"/>
      <c r="F1039" s="84"/>
      <c r="G1039" s="146"/>
      <c r="H1039" s="222"/>
    </row>
    <row r="1040" spans="1:9" s="212" customFormat="1">
      <c r="A1040" s="150"/>
      <c r="B1040" s="83"/>
      <c r="C1040" s="148"/>
      <c r="D1040" s="165"/>
      <c r="E1040" s="84"/>
      <c r="F1040" s="84"/>
      <c r="G1040" s="146"/>
      <c r="H1040" s="222"/>
    </row>
    <row r="1041" spans="1:9" s="212" customFormat="1">
      <c r="A1041" s="150"/>
      <c r="B1041" s="83"/>
      <c r="C1041" s="148"/>
      <c r="D1041" s="165"/>
      <c r="E1041" s="84"/>
      <c r="F1041" s="84"/>
      <c r="G1041" s="146"/>
      <c r="H1041" s="221"/>
    </row>
    <row r="1042" spans="1:9" s="212" customFormat="1">
      <c r="A1042" s="91"/>
      <c r="B1042" s="91"/>
      <c r="C1042" s="91"/>
      <c r="D1042" s="91"/>
      <c r="E1042" s="91"/>
      <c r="G1042" s="213"/>
      <c r="H1042" s="222"/>
    </row>
    <row r="1043" spans="1:9" s="212" customFormat="1">
      <c r="A1043" s="120"/>
      <c r="B1043" s="73"/>
      <c r="C1043" s="73"/>
      <c r="D1043" s="73"/>
      <c r="E1043" s="73"/>
      <c r="G1043" s="73"/>
      <c r="H1043" s="222"/>
    </row>
    <row r="1044" spans="1:9" s="212" customFormat="1">
      <c r="A1044" s="220"/>
      <c r="B1044" s="141"/>
      <c r="C1044" s="141"/>
      <c r="D1044" s="141"/>
      <c r="E1044" s="141"/>
      <c r="F1044" s="141"/>
      <c r="G1044" s="141"/>
      <c r="H1044" s="222"/>
    </row>
    <row r="1045" spans="1:9" s="212" customFormat="1">
      <c r="A1045" s="150"/>
      <c r="B1045" s="83"/>
      <c r="C1045" s="148"/>
      <c r="D1045" s="84"/>
      <c r="E1045" s="84"/>
      <c r="F1045" s="84"/>
      <c r="G1045" s="146"/>
      <c r="H1045" s="221"/>
    </row>
    <row r="1046" spans="1:9" s="212" customFormat="1">
      <c r="A1046" s="91"/>
      <c r="B1046" s="91"/>
      <c r="C1046" s="91"/>
      <c r="D1046" s="91"/>
      <c r="E1046" s="91"/>
      <c r="G1046" s="213"/>
      <c r="H1046" s="222"/>
    </row>
    <row r="1047" spans="1:9" s="212" customFormat="1">
      <c r="A1047" s="120"/>
      <c r="B1047" s="73"/>
      <c r="C1047" s="73"/>
      <c r="D1047" s="73"/>
      <c r="E1047" s="73"/>
      <c r="G1047" s="73"/>
      <c r="H1047" s="222"/>
    </row>
    <row r="1048" spans="1:9" s="212" customFormat="1">
      <c r="A1048" s="220"/>
      <c r="B1048" s="141"/>
      <c r="C1048" s="141"/>
      <c r="D1048" s="141"/>
      <c r="E1048" s="141"/>
      <c r="F1048" s="141"/>
      <c r="G1048" s="141"/>
      <c r="H1048" s="222"/>
    </row>
    <row r="1049" spans="1:9" s="212" customFormat="1">
      <c r="A1049" s="142"/>
      <c r="B1049" s="143"/>
      <c r="C1049" s="143"/>
      <c r="D1049" s="143"/>
      <c r="E1049" s="143"/>
      <c r="F1049" s="84"/>
      <c r="G1049" s="146"/>
      <c r="H1049" s="221"/>
    </row>
    <row r="1050" spans="1:9" s="212" customFormat="1">
      <c r="A1050" s="123"/>
      <c r="B1050" s="95"/>
      <c r="C1050" s="95"/>
      <c r="D1050" s="95"/>
      <c r="E1050" s="95"/>
      <c r="G1050" s="213"/>
      <c r="H1050" s="73"/>
    </row>
    <row r="1051" spans="1:9" s="212" customFormat="1">
      <c r="A1051" s="123"/>
      <c r="B1051" s="95"/>
      <c r="C1051" s="95"/>
      <c r="D1051" s="95"/>
      <c r="E1051" s="95"/>
      <c r="G1051" s="73"/>
      <c r="H1051" s="225"/>
    </row>
    <row r="1052" spans="1:9" s="212" customFormat="1">
      <c r="B1052" s="97"/>
      <c r="C1052" s="98"/>
      <c r="D1052" s="98"/>
      <c r="E1052" s="98"/>
      <c r="G1052" s="220"/>
    </row>
    <row r="1053" spans="1:9" s="212" customFormat="1">
      <c r="B1053" s="97"/>
      <c r="C1053" s="98"/>
      <c r="D1053" s="98"/>
      <c r="E1053" s="98"/>
      <c r="F1053" s="220"/>
      <c r="G1053" s="225"/>
      <c r="H1053" s="226"/>
    </row>
    <row r="1054" spans="1:9" s="212" customFormat="1">
      <c r="A1054" s="633"/>
      <c r="B1054" s="633"/>
      <c r="C1054" s="633"/>
      <c r="D1054" s="633"/>
      <c r="E1054" s="633"/>
      <c r="F1054" s="633"/>
      <c r="G1054" s="633"/>
    </row>
    <row r="1055" spans="1:9" s="212" customFormat="1">
      <c r="H1055" s="227"/>
      <c r="I1055" s="228"/>
    </row>
    <row r="1056" spans="1:9" s="212" customFormat="1">
      <c r="A1056" s="658"/>
      <c r="B1056" s="227"/>
      <c r="C1056" s="227"/>
      <c r="D1056" s="227"/>
      <c r="E1056" s="227"/>
      <c r="F1056" s="227"/>
      <c r="G1056" s="227"/>
      <c r="H1056" s="227"/>
      <c r="I1056" s="229"/>
    </row>
    <row r="1057" spans="1:8" s="212" customFormat="1">
      <c r="A1057" s="658"/>
      <c r="B1057" s="227"/>
      <c r="C1057" s="227"/>
      <c r="D1057" s="227"/>
      <c r="E1057" s="227"/>
      <c r="F1057" s="227"/>
      <c r="G1057" s="227"/>
    </row>
    <row r="1058" spans="1:8" s="212" customFormat="1">
      <c r="A1058" s="69"/>
      <c r="B1058" s="69"/>
      <c r="C1058" s="69"/>
      <c r="D1058" s="69"/>
      <c r="E1058" s="69"/>
    </row>
    <row r="1059" spans="1:8" s="212" customFormat="1">
      <c r="A1059" s="120"/>
      <c r="B1059" s="73"/>
      <c r="C1059" s="73"/>
      <c r="D1059" s="73"/>
      <c r="E1059" s="73"/>
      <c r="F1059" s="73"/>
      <c r="G1059" s="73"/>
      <c r="H1059" s="73"/>
    </row>
    <row r="1060" spans="1:8" s="212" customFormat="1">
      <c r="A1060" s="220"/>
      <c r="B1060" s="141"/>
      <c r="C1060" s="141"/>
      <c r="D1060" s="141"/>
      <c r="E1060" s="141"/>
      <c r="F1060" s="141"/>
      <c r="G1060" s="141"/>
      <c r="H1060" s="73"/>
    </row>
    <row r="1061" spans="1:8" s="212" customFormat="1">
      <c r="A1061" s="150"/>
      <c r="B1061" s="84"/>
      <c r="C1061" s="148"/>
      <c r="D1061" s="84"/>
      <c r="E1061" s="84"/>
      <c r="F1061" s="84"/>
      <c r="G1061" s="146"/>
      <c r="H1061" s="221"/>
    </row>
    <row r="1062" spans="1:8" s="212" customFormat="1">
      <c r="A1062" s="84"/>
      <c r="B1062" s="83"/>
      <c r="C1062" s="84"/>
      <c r="D1062" s="84"/>
      <c r="E1062" s="84"/>
      <c r="G1062" s="213"/>
      <c r="H1062" s="222"/>
    </row>
    <row r="1063" spans="1:8" s="212" customFormat="1">
      <c r="A1063" s="120"/>
      <c r="B1063" s="73"/>
      <c r="C1063" s="73"/>
      <c r="D1063" s="73"/>
      <c r="E1063" s="73"/>
      <c r="G1063" s="73"/>
      <c r="H1063" s="222"/>
    </row>
    <row r="1064" spans="1:8" s="212" customFormat="1">
      <c r="A1064" s="220"/>
      <c r="B1064" s="141"/>
      <c r="C1064" s="141"/>
      <c r="D1064" s="141"/>
      <c r="E1064" s="141"/>
      <c r="F1064" s="141"/>
      <c r="G1064" s="141"/>
      <c r="H1064" s="222"/>
    </row>
    <row r="1065" spans="1:8" s="212" customFormat="1">
      <c r="A1065" s="150"/>
      <c r="B1065" s="83"/>
      <c r="C1065" s="148"/>
      <c r="D1065" s="165"/>
      <c r="E1065" s="84"/>
      <c r="F1065" s="84"/>
      <c r="G1065" s="146"/>
      <c r="H1065" s="222"/>
    </row>
    <row r="1066" spans="1:8" s="212" customFormat="1">
      <c r="A1066" s="150"/>
      <c r="B1066" s="83"/>
      <c r="C1066" s="148"/>
      <c r="D1066" s="165"/>
      <c r="E1066" s="84"/>
      <c r="F1066" s="84"/>
      <c r="G1066" s="146"/>
      <c r="H1066" s="221"/>
    </row>
    <row r="1067" spans="1:8" s="212" customFormat="1">
      <c r="A1067" s="91"/>
      <c r="B1067" s="91"/>
      <c r="C1067" s="91"/>
      <c r="D1067" s="91"/>
      <c r="E1067" s="91"/>
      <c r="G1067" s="213"/>
      <c r="H1067" s="222"/>
    </row>
    <row r="1068" spans="1:8" s="212" customFormat="1">
      <c r="A1068" s="120"/>
      <c r="B1068" s="73"/>
      <c r="C1068" s="73"/>
      <c r="D1068" s="73"/>
      <c r="E1068" s="73"/>
      <c r="G1068" s="73"/>
      <c r="H1068" s="222"/>
    </row>
    <row r="1069" spans="1:8" s="212" customFormat="1">
      <c r="A1069" s="220"/>
      <c r="B1069" s="141"/>
      <c r="C1069" s="141"/>
      <c r="D1069" s="141"/>
      <c r="E1069" s="141"/>
      <c r="F1069" s="141"/>
      <c r="G1069" s="141"/>
      <c r="H1069" s="222"/>
    </row>
    <row r="1070" spans="1:8" s="212" customFormat="1">
      <c r="A1070" s="150"/>
      <c r="B1070" s="83"/>
      <c r="C1070" s="148"/>
      <c r="D1070" s="84"/>
      <c r="E1070" s="84"/>
      <c r="F1070" s="84"/>
      <c r="G1070" s="146"/>
      <c r="H1070" s="221"/>
    </row>
    <row r="1071" spans="1:8" s="212" customFormat="1">
      <c r="A1071" s="91"/>
      <c r="B1071" s="91"/>
      <c r="C1071" s="91"/>
      <c r="D1071" s="91"/>
      <c r="E1071" s="91"/>
      <c r="G1071" s="213"/>
      <c r="H1071" s="222"/>
    </row>
    <row r="1072" spans="1:8" s="212" customFormat="1">
      <c r="A1072" s="120"/>
      <c r="B1072" s="73"/>
      <c r="C1072" s="73"/>
      <c r="D1072" s="73"/>
      <c r="E1072" s="73"/>
      <c r="G1072" s="73"/>
      <c r="H1072" s="222"/>
    </row>
    <row r="1073" spans="1:9" s="212" customFormat="1">
      <c r="A1073" s="220"/>
      <c r="B1073" s="141"/>
      <c r="C1073" s="141"/>
      <c r="D1073" s="141"/>
      <c r="E1073" s="141"/>
      <c r="F1073" s="141"/>
      <c r="G1073" s="141"/>
      <c r="H1073" s="222"/>
    </row>
    <row r="1074" spans="1:9" s="212" customFormat="1">
      <c r="A1074" s="142"/>
      <c r="B1074" s="143"/>
      <c r="C1074" s="143"/>
      <c r="D1074" s="143"/>
      <c r="E1074" s="143"/>
      <c r="F1074" s="84"/>
      <c r="G1074" s="146"/>
      <c r="H1074" s="221"/>
    </row>
    <row r="1075" spans="1:9" s="212" customFormat="1">
      <c r="A1075" s="123"/>
      <c r="B1075" s="95"/>
      <c r="C1075" s="95"/>
      <c r="D1075" s="95"/>
      <c r="E1075" s="95"/>
      <c r="G1075" s="213"/>
      <c r="H1075" s="73"/>
    </row>
    <row r="1076" spans="1:9" s="212" customFormat="1">
      <c r="A1076" s="123"/>
      <c r="B1076" s="95"/>
      <c r="C1076" s="95"/>
      <c r="D1076" s="95"/>
      <c r="E1076" s="95"/>
      <c r="G1076" s="73"/>
      <c r="H1076" s="225"/>
    </row>
    <row r="1077" spans="1:9" s="212" customFormat="1">
      <c r="B1077" s="97"/>
      <c r="C1077" s="98"/>
      <c r="D1077" s="98"/>
      <c r="E1077" s="98"/>
      <c r="G1077" s="220"/>
    </row>
    <row r="1078" spans="1:9" s="212" customFormat="1">
      <c r="B1078" s="97"/>
      <c r="C1078" s="98"/>
      <c r="D1078" s="98"/>
      <c r="E1078" s="98"/>
      <c r="F1078" s="220"/>
      <c r="G1078" s="225"/>
      <c r="H1078" s="226"/>
    </row>
    <row r="1079" spans="1:9" s="212" customFormat="1">
      <c r="A1079" s="633"/>
      <c r="B1079" s="633"/>
      <c r="C1079" s="633"/>
      <c r="D1079" s="633"/>
      <c r="E1079" s="633"/>
      <c r="F1079" s="633"/>
      <c r="G1079" s="633"/>
    </row>
    <row r="1080" spans="1:9" s="212" customFormat="1">
      <c r="H1080" s="227"/>
      <c r="I1080" s="228"/>
    </row>
    <row r="1081" spans="1:9" s="212" customFormat="1">
      <c r="A1081" s="658"/>
      <c r="B1081" s="227"/>
      <c r="C1081" s="227"/>
      <c r="D1081" s="227"/>
      <c r="E1081" s="227"/>
      <c r="F1081" s="227"/>
      <c r="G1081" s="227"/>
      <c r="H1081" s="227"/>
      <c r="I1081" s="229"/>
    </row>
    <row r="1082" spans="1:9" s="212" customFormat="1">
      <c r="A1082" s="658"/>
      <c r="B1082" s="227"/>
      <c r="C1082" s="227"/>
      <c r="D1082" s="227"/>
      <c r="E1082" s="227"/>
      <c r="F1082" s="227"/>
      <c r="G1082" s="227"/>
    </row>
    <row r="1083" spans="1:9" s="212" customFormat="1">
      <c r="A1083" s="69"/>
      <c r="B1083" s="69"/>
      <c r="C1083" s="69"/>
      <c r="D1083" s="69"/>
      <c r="E1083" s="69"/>
    </row>
    <row r="1084" spans="1:9" s="212" customFormat="1">
      <c r="A1084" s="120"/>
      <c r="B1084" s="73"/>
      <c r="C1084" s="73"/>
      <c r="D1084" s="73"/>
      <c r="E1084" s="73"/>
      <c r="F1084" s="73"/>
      <c r="G1084" s="73"/>
      <c r="H1084" s="73"/>
    </row>
    <row r="1085" spans="1:9" s="212" customFormat="1">
      <c r="A1085" s="220"/>
      <c r="B1085" s="141"/>
      <c r="C1085" s="141"/>
      <c r="D1085" s="141"/>
      <c r="E1085" s="141"/>
      <c r="F1085" s="141"/>
      <c r="G1085" s="141"/>
      <c r="H1085" s="73"/>
    </row>
    <row r="1086" spans="1:9" s="212" customFormat="1">
      <c r="A1086" s="150"/>
      <c r="B1086" s="83"/>
      <c r="C1086" s="148"/>
      <c r="D1086" s="84"/>
      <c r="E1086" s="84"/>
      <c r="F1086" s="84"/>
      <c r="G1086" s="146"/>
      <c r="H1086" s="73"/>
    </row>
    <row r="1087" spans="1:9" s="212" customFormat="1">
      <c r="A1087" s="150"/>
      <c r="B1087" s="83"/>
      <c r="C1087" s="148"/>
      <c r="D1087" s="84"/>
      <c r="E1087" s="84"/>
      <c r="F1087" s="84"/>
      <c r="G1087" s="146"/>
      <c r="H1087" s="73"/>
    </row>
    <row r="1088" spans="1:9" s="212" customFormat="1">
      <c r="A1088" s="150"/>
      <c r="B1088" s="83"/>
      <c r="C1088" s="148"/>
      <c r="D1088" s="84"/>
      <c r="E1088" s="84"/>
      <c r="F1088" s="84"/>
      <c r="G1088" s="146"/>
      <c r="H1088" s="221"/>
    </row>
    <row r="1089" spans="1:8" s="212" customFormat="1">
      <c r="A1089" s="84"/>
      <c r="B1089" s="83"/>
      <c r="C1089" s="84"/>
      <c r="D1089" s="84"/>
      <c r="E1089" s="84"/>
      <c r="G1089" s="213"/>
      <c r="H1089" s="222"/>
    </row>
    <row r="1090" spans="1:8" s="212" customFormat="1">
      <c r="A1090" s="120"/>
      <c r="B1090" s="73"/>
      <c r="C1090" s="73"/>
      <c r="D1090" s="73"/>
      <c r="E1090" s="73"/>
      <c r="G1090" s="73"/>
      <c r="H1090" s="222"/>
    </row>
    <row r="1091" spans="1:8" s="212" customFormat="1">
      <c r="A1091" s="220"/>
      <c r="B1091" s="141"/>
      <c r="C1091" s="141"/>
      <c r="D1091" s="141"/>
      <c r="E1091" s="141"/>
      <c r="F1091" s="141"/>
      <c r="G1091" s="141"/>
      <c r="H1091" s="222"/>
    </row>
    <row r="1092" spans="1:8" s="212" customFormat="1">
      <c r="A1092" s="150"/>
      <c r="B1092" s="83"/>
      <c r="C1092" s="148"/>
      <c r="D1092" s="165"/>
      <c r="E1092" s="84"/>
      <c r="F1092" s="84"/>
      <c r="G1092" s="146"/>
      <c r="H1092" s="222"/>
    </row>
    <row r="1093" spans="1:8" s="212" customFormat="1">
      <c r="A1093" s="150"/>
      <c r="B1093" s="83"/>
      <c r="C1093" s="148"/>
      <c r="D1093" s="165"/>
      <c r="E1093" s="84"/>
      <c r="F1093" s="84"/>
      <c r="G1093" s="146"/>
      <c r="H1093" s="222"/>
    </row>
    <row r="1094" spans="1:8" s="212" customFormat="1">
      <c r="A1094" s="150"/>
      <c r="B1094" s="83"/>
      <c r="C1094" s="148"/>
      <c r="D1094" s="165"/>
      <c r="E1094" s="84"/>
      <c r="F1094" s="84"/>
      <c r="G1094" s="146"/>
      <c r="H1094" s="221"/>
    </row>
    <row r="1095" spans="1:8" s="212" customFormat="1">
      <c r="A1095" s="91"/>
      <c r="B1095" s="91"/>
      <c r="C1095" s="91"/>
      <c r="D1095" s="91"/>
      <c r="E1095" s="91"/>
      <c r="G1095" s="213"/>
      <c r="H1095" s="222"/>
    </row>
    <row r="1096" spans="1:8" s="212" customFormat="1">
      <c r="A1096" s="120"/>
      <c r="B1096" s="73"/>
      <c r="C1096" s="73"/>
      <c r="D1096" s="73"/>
      <c r="E1096" s="73"/>
      <c r="G1096" s="73"/>
      <c r="H1096" s="222"/>
    </row>
    <row r="1097" spans="1:8" s="212" customFormat="1">
      <c r="A1097" s="220"/>
      <c r="B1097" s="141"/>
      <c r="C1097" s="141"/>
      <c r="D1097" s="141"/>
      <c r="E1097" s="141"/>
      <c r="F1097" s="141"/>
      <c r="G1097" s="141"/>
      <c r="H1097" s="222"/>
    </row>
    <row r="1098" spans="1:8" s="212" customFormat="1">
      <c r="A1098" s="150"/>
      <c r="B1098" s="83"/>
      <c r="C1098" s="148"/>
      <c r="D1098" s="84"/>
      <c r="E1098" s="84"/>
      <c r="F1098" s="84"/>
      <c r="G1098" s="146"/>
      <c r="H1098" s="222"/>
    </row>
    <row r="1099" spans="1:8" s="212" customFormat="1">
      <c r="A1099" s="150"/>
      <c r="B1099" s="83"/>
      <c r="C1099" s="148"/>
      <c r="D1099" s="84"/>
      <c r="E1099" s="84"/>
      <c r="F1099" s="84"/>
      <c r="G1099" s="146"/>
      <c r="H1099" s="221"/>
    </row>
    <row r="1100" spans="1:8" s="212" customFormat="1">
      <c r="A1100" s="91"/>
      <c r="B1100" s="91"/>
      <c r="C1100" s="91"/>
      <c r="D1100" s="91"/>
      <c r="E1100" s="91"/>
      <c r="G1100" s="213"/>
      <c r="H1100" s="222"/>
    </row>
    <row r="1101" spans="1:8" s="212" customFormat="1">
      <c r="A1101" s="120"/>
      <c r="B1101" s="73"/>
      <c r="C1101" s="73"/>
      <c r="D1101" s="73"/>
      <c r="E1101" s="73"/>
      <c r="G1101" s="73"/>
      <c r="H1101" s="222"/>
    </row>
    <row r="1102" spans="1:8" s="212" customFormat="1">
      <c r="A1102" s="220"/>
      <c r="B1102" s="141"/>
      <c r="C1102" s="141"/>
      <c r="D1102" s="141"/>
      <c r="E1102" s="141"/>
      <c r="F1102" s="141"/>
      <c r="G1102" s="141"/>
      <c r="H1102" s="222"/>
    </row>
    <row r="1103" spans="1:8" s="212" customFormat="1">
      <c r="A1103" s="142"/>
      <c r="B1103" s="143"/>
      <c r="C1103" s="143"/>
      <c r="D1103" s="143"/>
      <c r="E1103" s="143"/>
      <c r="F1103" s="84"/>
      <c r="G1103" s="146"/>
      <c r="H1103" s="221"/>
    </row>
    <row r="1104" spans="1:8" s="212" customFormat="1">
      <c r="A1104" s="123"/>
      <c r="B1104" s="95"/>
      <c r="C1104" s="95"/>
      <c r="D1104" s="95"/>
      <c r="E1104" s="95"/>
      <c r="G1104" s="213"/>
      <c r="H1104" s="73"/>
    </row>
    <row r="1105" spans="1:9" s="212" customFormat="1">
      <c r="A1105" s="123"/>
      <c r="B1105" s="95"/>
      <c r="C1105" s="95"/>
      <c r="D1105" s="95"/>
      <c r="E1105" s="95"/>
      <c r="G1105" s="73"/>
      <c r="H1105" s="225"/>
    </row>
    <row r="1106" spans="1:9" s="212" customFormat="1">
      <c r="B1106" s="97"/>
      <c r="C1106" s="98"/>
      <c r="D1106" s="98"/>
      <c r="E1106" s="98"/>
      <c r="G1106" s="220"/>
    </row>
    <row r="1107" spans="1:9" s="212" customFormat="1">
      <c r="B1107" s="97"/>
      <c r="C1107" s="98"/>
      <c r="D1107" s="98"/>
      <c r="E1107" s="98"/>
      <c r="F1107" s="220"/>
      <c r="G1107" s="225"/>
      <c r="H1107" s="226"/>
    </row>
    <row r="1108" spans="1:9" s="212" customFormat="1">
      <c r="A1108" s="633"/>
      <c r="B1108" s="633"/>
      <c r="C1108" s="633"/>
      <c r="D1108" s="633"/>
      <c r="E1108" s="633"/>
      <c r="F1108" s="633"/>
      <c r="G1108" s="633"/>
    </row>
    <row r="1109" spans="1:9" s="212" customFormat="1">
      <c r="H1109" s="227"/>
      <c r="I1109" s="228"/>
    </row>
    <row r="1110" spans="1:9" s="212" customFormat="1">
      <c r="A1110" s="658"/>
      <c r="B1110" s="227"/>
      <c r="C1110" s="227"/>
      <c r="D1110" s="227"/>
      <c r="E1110" s="227"/>
      <c r="F1110" s="227"/>
      <c r="G1110" s="227"/>
      <c r="H1110" s="227"/>
      <c r="I1110" s="229"/>
    </row>
    <row r="1111" spans="1:9" s="212" customFormat="1">
      <c r="A1111" s="658"/>
      <c r="B1111" s="227"/>
      <c r="C1111" s="227"/>
      <c r="D1111" s="227"/>
      <c r="E1111" s="227"/>
      <c r="F1111" s="227"/>
      <c r="G1111" s="227"/>
    </row>
    <row r="1112" spans="1:9" s="212" customFormat="1">
      <c r="A1112" s="69"/>
      <c r="B1112" s="69"/>
      <c r="C1112" s="69"/>
      <c r="D1112" s="69"/>
      <c r="E1112" s="69"/>
    </row>
    <row r="1113" spans="1:9" s="212" customFormat="1">
      <c r="A1113" s="120"/>
      <c r="B1113" s="73"/>
      <c r="C1113" s="73"/>
      <c r="D1113" s="73"/>
      <c r="E1113" s="73"/>
      <c r="F1113" s="73"/>
      <c r="G1113" s="73"/>
      <c r="H1113" s="73"/>
    </row>
    <row r="1114" spans="1:9" s="212" customFormat="1">
      <c r="A1114" s="220"/>
      <c r="B1114" s="141"/>
      <c r="C1114" s="141"/>
      <c r="D1114" s="141"/>
      <c r="E1114" s="141"/>
      <c r="F1114" s="141"/>
      <c r="G1114" s="141"/>
      <c r="H1114" s="73"/>
    </row>
    <row r="1115" spans="1:9" s="212" customFormat="1">
      <c r="A1115" s="150"/>
      <c r="B1115" s="83"/>
      <c r="C1115" s="148"/>
      <c r="D1115" s="84"/>
      <c r="E1115" s="84"/>
      <c r="F1115" s="84"/>
      <c r="G1115" s="146"/>
      <c r="H1115" s="73"/>
    </row>
    <row r="1116" spans="1:9" s="212" customFormat="1">
      <c r="A1116" s="150"/>
      <c r="B1116" s="83"/>
      <c r="C1116" s="148"/>
      <c r="D1116" s="84"/>
      <c r="E1116" s="84"/>
      <c r="F1116" s="84"/>
      <c r="G1116" s="146"/>
      <c r="H1116" s="73"/>
    </row>
    <row r="1117" spans="1:9" s="212" customFormat="1">
      <c r="A1117" s="150"/>
      <c r="B1117" s="83"/>
      <c r="C1117" s="148"/>
      <c r="D1117" s="84"/>
      <c r="E1117" s="84"/>
      <c r="F1117" s="84"/>
      <c r="G1117" s="146"/>
      <c r="H1117" s="221"/>
    </row>
    <row r="1118" spans="1:9" s="212" customFormat="1">
      <c r="A1118" s="84"/>
      <c r="B1118" s="83"/>
      <c r="C1118" s="84"/>
      <c r="D1118" s="84"/>
      <c r="E1118" s="84"/>
      <c r="G1118" s="213"/>
      <c r="H1118" s="222"/>
    </row>
    <row r="1119" spans="1:9" s="212" customFormat="1">
      <c r="A1119" s="120"/>
      <c r="B1119" s="73"/>
      <c r="C1119" s="73"/>
      <c r="D1119" s="73"/>
      <c r="E1119" s="73"/>
      <c r="G1119" s="73"/>
      <c r="H1119" s="222"/>
    </row>
    <row r="1120" spans="1:9" s="212" customFormat="1">
      <c r="A1120" s="220"/>
      <c r="B1120" s="141"/>
      <c r="C1120" s="141"/>
      <c r="D1120" s="141"/>
      <c r="E1120" s="141"/>
      <c r="F1120" s="141"/>
      <c r="G1120" s="141"/>
      <c r="H1120" s="222"/>
    </row>
    <row r="1121" spans="1:8" s="212" customFormat="1">
      <c r="A1121" s="150"/>
      <c r="B1121" s="83"/>
      <c r="C1121" s="148"/>
      <c r="D1121" s="165"/>
      <c r="E1121" s="84"/>
      <c r="F1121" s="84"/>
      <c r="G1121" s="146"/>
      <c r="H1121" s="222"/>
    </row>
    <row r="1122" spans="1:8" s="212" customFormat="1">
      <c r="A1122" s="150"/>
      <c r="B1122" s="83"/>
      <c r="C1122" s="148"/>
      <c r="D1122" s="165"/>
      <c r="E1122" s="84"/>
      <c r="F1122" s="84"/>
      <c r="G1122" s="146"/>
      <c r="H1122" s="222"/>
    </row>
    <row r="1123" spans="1:8" s="212" customFormat="1">
      <c r="A1123" s="150"/>
      <c r="B1123" s="83"/>
      <c r="C1123" s="148"/>
      <c r="D1123" s="165"/>
      <c r="E1123" s="84"/>
      <c r="F1123" s="84"/>
      <c r="G1123" s="146"/>
      <c r="H1123" s="221"/>
    </row>
    <row r="1124" spans="1:8" s="212" customFormat="1">
      <c r="A1124" s="91"/>
      <c r="B1124" s="91"/>
      <c r="C1124" s="91"/>
      <c r="D1124" s="91"/>
      <c r="E1124" s="91"/>
      <c r="G1124" s="213"/>
      <c r="H1124" s="222"/>
    </row>
    <row r="1125" spans="1:8" s="212" customFormat="1">
      <c r="A1125" s="120"/>
      <c r="B1125" s="73"/>
      <c r="C1125" s="73"/>
      <c r="D1125" s="73"/>
      <c r="E1125" s="73"/>
      <c r="G1125" s="73"/>
      <c r="H1125" s="222"/>
    </row>
    <row r="1126" spans="1:8" s="212" customFormat="1">
      <c r="A1126" s="220"/>
      <c r="B1126" s="141"/>
      <c r="C1126" s="141"/>
      <c r="D1126" s="141"/>
      <c r="E1126" s="141"/>
      <c r="F1126" s="141"/>
      <c r="G1126" s="141"/>
      <c r="H1126" s="222"/>
    </row>
    <row r="1127" spans="1:8" s="212" customFormat="1">
      <c r="A1127" s="150"/>
      <c r="B1127" s="83"/>
      <c r="C1127" s="148"/>
      <c r="D1127" s="84"/>
      <c r="E1127" s="84"/>
      <c r="F1127" s="84"/>
      <c r="G1127" s="146"/>
      <c r="H1127" s="221"/>
    </row>
    <row r="1128" spans="1:8" s="212" customFormat="1">
      <c r="A1128" s="91"/>
      <c r="B1128" s="91"/>
      <c r="C1128" s="91"/>
      <c r="D1128" s="91"/>
      <c r="E1128" s="91"/>
      <c r="G1128" s="213"/>
      <c r="H1128" s="222"/>
    </row>
    <row r="1129" spans="1:8" s="212" customFormat="1">
      <c r="A1129" s="120"/>
      <c r="B1129" s="73"/>
      <c r="C1129" s="73"/>
      <c r="D1129" s="73"/>
      <c r="E1129" s="73"/>
      <c r="G1129" s="73"/>
      <c r="H1129" s="222"/>
    </row>
    <row r="1130" spans="1:8" s="212" customFormat="1">
      <c r="A1130" s="220"/>
      <c r="B1130" s="141"/>
      <c r="C1130" s="141"/>
      <c r="D1130" s="141"/>
      <c r="E1130" s="141"/>
      <c r="F1130" s="141"/>
      <c r="G1130" s="141"/>
      <c r="H1130" s="222"/>
    </row>
    <row r="1131" spans="1:8" s="212" customFormat="1">
      <c r="A1131" s="142"/>
      <c r="B1131" s="143"/>
      <c r="C1131" s="143"/>
      <c r="D1131" s="143"/>
      <c r="E1131" s="143"/>
      <c r="F1131" s="84"/>
      <c r="G1131" s="146"/>
      <c r="H1131" s="221"/>
    </row>
    <row r="1132" spans="1:8" s="212" customFormat="1">
      <c r="A1132" s="123"/>
      <c r="B1132" s="95"/>
      <c r="C1132" s="95"/>
      <c r="D1132" s="95"/>
      <c r="E1132" s="95"/>
      <c r="G1132" s="213"/>
      <c r="H1132" s="73"/>
    </row>
    <row r="1133" spans="1:8" s="212" customFormat="1">
      <c r="A1133" s="123"/>
      <c r="B1133" s="95"/>
      <c r="C1133" s="95"/>
      <c r="D1133" s="95"/>
      <c r="E1133" s="95"/>
      <c r="G1133" s="73"/>
      <c r="H1133" s="225"/>
    </row>
    <row r="1134" spans="1:8" s="212" customFormat="1">
      <c r="B1134" s="97"/>
      <c r="C1134" s="98"/>
      <c r="D1134" s="98"/>
      <c r="E1134" s="98"/>
      <c r="G1134" s="220"/>
    </row>
    <row r="1135" spans="1:8" s="212" customFormat="1">
      <c r="B1135" s="97"/>
      <c r="C1135" s="98"/>
      <c r="D1135" s="98"/>
      <c r="E1135" s="98"/>
      <c r="F1135" s="220"/>
      <c r="G1135" s="225"/>
      <c r="H1135" s="226"/>
    </row>
    <row r="1136" spans="1:8" s="212" customFormat="1">
      <c r="A1136" s="633"/>
      <c r="B1136" s="633"/>
      <c r="C1136" s="633"/>
      <c r="D1136" s="633"/>
      <c r="E1136" s="633"/>
      <c r="F1136" s="633"/>
      <c r="G1136" s="633"/>
    </row>
    <row r="1137" spans="1:9" s="212" customFormat="1">
      <c r="H1137" s="227"/>
      <c r="I1137" s="228"/>
    </row>
    <row r="1138" spans="1:9" s="212" customFormat="1">
      <c r="A1138" s="658"/>
      <c r="B1138" s="227"/>
      <c r="C1138" s="227"/>
      <c r="D1138" s="227"/>
      <c r="E1138" s="227"/>
      <c r="F1138" s="227"/>
      <c r="G1138" s="227"/>
      <c r="H1138" s="227"/>
      <c r="I1138" s="229"/>
    </row>
    <row r="1139" spans="1:9" s="212" customFormat="1">
      <c r="A1139" s="658"/>
      <c r="B1139" s="227"/>
      <c r="C1139" s="227"/>
      <c r="D1139" s="227"/>
      <c r="E1139" s="227"/>
      <c r="F1139" s="227"/>
      <c r="G1139" s="227"/>
    </row>
    <row r="1140" spans="1:9" s="212" customFormat="1">
      <c r="A1140" s="69"/>
      <c r="B1140" s="69"/>
      <c r="C1140" s="69"/>
      <c r="D1140" s="69"/>
      <c r="E1140" s="69"/>
    </row>
    <row r="1141" spans="1:9" s="212" customFormat="1">
      <c r="A1141" s="120"/>
      <c r="B1141" s="73"/>
      <c r="C1141" s="73"/>
      <c r="D1141" s="73"/>
      <c r="E1141" s="73"/>
      <c r="F1141" s="73"/>
      <c r="G1141" s="73"/>
      <c r="H1141" s="73"/>
    </row>
    <row r="1142" spans="1:9" s="212" customFormat="1">
      <c r="A1142" s="220"/>
      <c r="B1142" s="141"/>
      <c r="C1142" s="141"/>
      <c r="D1142" s="141"/>
      <c r="E1142" s="141"/>
      <c r="F1142" s="141"/>
      <c r="G1142" s="141"/>
      <c r="H1142" s="73"/>
    </row>
    <row r="1143" spans="1:9" s="212" customFormat="1">
      <c r="A1143" s="150"/>
      <c r="B1143" s="83"/>
      <c r="C1143" s="148"/>
      <c r="D1143" s="84"/>
      <c r="E1143" s="84"/>
      <c r="F1143" s="84"/>
      <c r="G1143" s="146"/>
      <c r="H1143" s="73"/>
    </row>
    <row r="1144" spans="1:9" s="212" customFormat="1">
      <c r="A1144" s="150"/>
      <c r="B1144" s="83"/>
      <c r="C1144" s="148"/>
      <c r="D1144" s="84"/>
      <c r="E1144" s="84"/>
      <c r="F1144" s="84"/>
      <c r="G1144" s="146"/>
      <c r="H1144" s="73"/>
    </row>
    <row r="1145" spans="1:9" s="212" customFormat="1">
      <c r="A1145" s="150"/>
      <c r="B1145" s="83"/>
      <c r="C1145" s="148"/>
      <c r="D1145" s="84"/>
      <c r="E1145" s="84"/>
      <c r="F1145" s="84"/>
      <c r="G1145" s="146"/>
      <c r="H1145" s="221"/>
    </row>
    <row r="1146" spans="1:9" s="212" customFormat="1">
      <c r="A1146" s="84"/>
      <c r="B1146" s="83"/>
      <c r="C1146" s="84"/>
      <c r="D1146" s="84"/>
      <c r="E1146" s="84"/>
      <c r="G1146" s="213"/>
      <c r="H1146" s="222"/>
    </row>
    <row r="1147" spans="1:9" s="212" customFormat="1">
      <c r="A1147" s="120"/>
      <c r="B1147" s="73"/>
      <c r="C1147" s="73"/>
      <c r="D1147" s="73"/>
      <c r="E1147" s="73"/>
      <c r="G1147" s="73"/>
      <c r="H1147" s="222"/>
    </row>
    <row r="1148" spans="1:9" s="212" customFormat="1">
      <c r="A1148" s="220"/>
      <c r="B1148" s="141"/>
      <c r="C1148" s="141"/>
      <c r="D1148" s="141"/>
      <c r="E1148" s="141"/>
      <c r="F1148" s="141"/>
      <c r="G1148" s="141"/>
      <c r="H1148" s="222"/>
    </row>
    <row r="1149" spans="1:9" s="212" customFormat="1">
      <c r="A1149" s="150"/>
      <c r="B1149" s="83"/>
      <c r="C1149" s="148"/>
      <c r="D1149" s="165"/>
      <c r="E1149" s="84"/>
      <c r="F1149" s="84"/>
      <c r="G1149" s="146"/>
      <c r="H1149" s="222"/>
    </row>
    <row r="1150" spans="1:9" s="212" customFormat="1">
      <c r="A1150" s="150"/>
      <c r="B1150" s="83"/>
      <c r="C1150" s="148"/>
      <c r="D1150" s="165"/>
      <c r="E1150" s="84"/>
      <c r="F1150" s="84"/>
      <c r="G1150" s="146"/>
      <c r="H1150" s="222"/>
    </row>
    <row r="1151" spans="1:9" s="212" customFormat="1">
      <c r="A1151" s="150"/>
      <c r="B1151" s="83"/>
      <c r="C1151" s="148"/>
      <c r="D1151" s="165"/>
      <c r="E1151" s="84"/>
      <c r="F1151" s="84"/>
      <c r="G1151" s="146"/>
      <c r="H1151" s="221"/>
    </row>
    <row r="1152" spans="1:9" s="212" customFormat="1">
      <c r="A1152" s="91"/>
      <c r="B1152" s="91"/>
      <c r="C1152" s="91"/>
      <c r="D1152" s="91"/>
      <c r="E1152" s="91"/>
      <c r="G1152" s="213"/>
      <c r="H1152" s="222"/>
    </row>
    <row r="1153" spans="1:9" s="212" customFormat="1">
      <c r="A1153" s="120"/>
      <c r="B1153" s="73"/>
      <c r="C1153" s="73"/>
      <c r="D1153" s="73"/>
      <c r="E1153" s="73"/>
      <c r="G1153" s="73"/>
      <c r="H1153" s="222"/>
    </row>
    <row r="1154" spans="1:9" s="212" customFormat="1">
      <c r="A1154" s="220"/>
      <c r="B1154" s="141"/>
      <c r="C1154" s="141"/>
      <c r="D1154" s="141"/>
      <c r="E1154" s="141"/>
      <c r="F1154" s="141"/>
      <c r="G1154" s="141"/>
      <c r="H1154" s="222"/>
    </row>
    <row r="1155" spans="1:9" s="212" customFormat="1">
      <c r="A1155" s="150"/>
      <c r="B1155" s="83"/>
      <c r="C1155" s="148"/>
      <c r="D1155" s="84"/>
      <c r="E1155" s="84"/>
      <c r="F1155" s="84"/>
      <c r="G1155" s="146"/>
      <c r="H1155" s="222"/>
    </row>
    <row r="1156" spans="1:9" s="212" customFormat="1">
      <c r="A1156" s="150"/>
      <c r="B1156" s="83"/>
      <c r="C1156" s="148"/>
      <c r="D1156" s="84"/>
      <c r="E1156" s="84"/>
      <c r="F1156" s="84"/>
      <c r="G1156" s="146"/>
      <c r="H1156" s="222"/>
    </row>
    <row r="1157" spans="1:9" s="212" customFormat="1">
      <c r="A1157" s="150"/>
      <c r="B1157" s="83"/>
      <c r="C1157" s="148"/>
      <c r="D1157" s="84"/>
      <c r="E1157" s="84"/>
      <c r="F1157" s="84"/>
      <c r="G1157" s="146"/>
      <c r="H1157" s="221"/>
    </row>
    <row r="1158" spans="1:9" s="212" customFormat="1">
      <c r="A1158" s="91"/>
      <c r="B1158" s="91"/>
      <c r="C1158" s="91"/>
      <c r="D1158" s="91"/>
      <c r="E1158" s="91"/>
      <c r="G1158" s="213"/>
      <c r="H1158" s="222"/>
    </row>
    <row r="1159" spans="1:9" s="212" customFormat="1">
      <c r="A1159" s="120"/>
      <c r="B1159" s="73"/>
      <c r="C1159" s="73"/>
      <c r="D1159" s="73"/>
      <c r="E1159" s="73"/>
      <c r="G1159" s="73"/>
      <c r="H1159" s="222"/>
    </row>
    <row r="1160" spans="1:9" s="212" customFormat="1">
      <c r="A1160" s="220"/>
      <c r="B1160" s="141"/>
      <c r="C1160" s="141"/>
      <c r="D1160" s="141"/>
      <c r="E1160" s="141"/>
      <c r="F1160" s="141"/>
      <c r="G1160" s="141"/>
      <c r="H1160" s="222"/>
    </row>
    <row r="1161" spans="1:9" s="212" customFormat="1">
      <c r="A1161" s="142"/>
      <c r="B1161" s="143"/>
      <c r="C1161" s="143"/>
      <c r="D1161" s="143"/>
      <c r="E1161" s="143"/>
      <c r="F1161" s="84"/>
      <c r="G1161" s="146"/>
      <c r="H1161" s="221"/>
    </row>
    <row r="1162" spans="1:9" s="212" customFormat="1">
      <c r="A1162" s="123"/>
      <c r="B1162" s="95"/>
      <c r="C1162" s="95"/>
      <c r="D1162" s="95"/>
      <c r="E1162" s="95"/>
      <c r="G1162" s="213"/>
      <c r="H1162" s="73"/>
    </row>
    <row r="1163" spans="1:9" s="212" customFormat="1">
      <c r="A1163" s="123"/>
      <c r="B1163" s="95"/>
      <c r="C1163" s="95"/>
      <c r="D1163" s="95"/>
      <c r="E1163" s="95"/>
      <c r="G1163" s="73"/>
      <c r="H1163" s="225"/>
    </row>
    <row r="1164" spans="1:9" s="212" customFormat="1">
      <c r="B1164" s="97"/>
      <c r="C1164" s="98"/>
      <c r="D1164" s="98"/>
      <c r="E1164" s="98"/>
      <c r="G1164" s="220"/>
    </row>
    <row r="1165" spans="1:9" s="212" customFormat="1">
      <c r="B1165" s="97"/>
      <c r="C1165" s="98"/>
      <c r="D1165" s="98"/>
      <c r="E1165" s="98"/>
      <c r="F1165" s="220"/>
      <c r="G1165" s="225"/>
      <c r="H1165" s="226"/>
    </row>
    <row r="1166" spans="1:9" s="212" customFormat="1">
      <c r="A1166" s="633"/>
      <c r="B1166" s="633"/>
      <c r="C1166" s="633"/>
      <c r="D1166" s="633"/>
      <c r="E1166" s="633"/>
      <c r="F1166" s="633"/>
      <c r="G1166" s="633"/>
    </row>
    <row r="1167" spans="1:9" s="212" customFormat="1">
      <c r="H1167" s="227"/>
      <c r="I1167" s="228"/>
    </row>
    <row r="1168" spans="1:9" s="212" customFormat="1">
      <c r="A1168" s="658"/>
      <c r="B1168" s="227"/>
      <c r="C1168" s="227"/>
      <c r="D1168" s="227"/>
      <c r="E1168" s="227"/>
      <c r="F1168" s="227"/>
      <c r="G1168" s="227"/>
      <c r="H1168" s="227"/>
      <c r="I1168" s="229"/>
    </row>
    <row r="1169" spans="1:8" s="212" customFormat="1">
      <c r="A1169" s="658"/>
      <c r="B1169" s="227"/>
      <c r="C1169" s="227"/>
      <c r="D1169" s="227"/>
      <c r="E1169" s="227"/>
      <c r="F1169" s="227"/>
      <c r="G1169" s="227"/>
    </row>
    <row r="1170" spans="1:8" s="212" customFormat="1">
      <c r="A1170" s="69"/>
      <c r="B1170" s="69"/>
      <c r="C1170" s="69"/>
      <c r="D1170" s="69"/>
      <c r="E1170" s="69"/>
    </row>
    <row r="1171" spans="1:8" s="212" customFormat="1">
      <c r="A1171" s="120"/>
      <c r="B1171" s="73"/>
      <c r="C1171" s="73"/>
      <c r="D1171" s="73"/>
      <c r="E1171" s="73"/>
      <c r="F1171" s="73"/>
      <c r="G1171" s="73"/>
      <c r="H1171" s="73"/>
    </row>
    <row r="1172" spans="1:8" s="212" customFormat="1">
      <c r="A1172" s="220"/>
      <c r="B1172" s="141"/>
      <c r="C1172" s="141"/>
      <c r="D1172" s="141"/>
      <c r="E1172" s="141"/>
      <c r="F1172" s="141"/>
      <c r="G1172" s="141"/>
      <c r="H1172" s="73"/>
    </row>
    <row r="1173" spans="1:8" s="212" customFormat="1">
      <c r="A1173" s="150"/>
      <c r="B1173" s="83"/>
      <c r="C1173" s="148"/>
      <c r="D1173" s="84"/>
      <c r="E1173" s="84"/>
      <c r="F1173" s="84"/>
      <c r="G1173" s="146"/>
      <c r="H1173" s="221"/>
    </row>
    <row r="1174" spans="1:8" s="212" customFormat="1">
      <c r="A1174" s="84"/>
      <c r="B1174" s="83"/>
      <c r="C1174" s="84"/>
      <c r="D1174" s="84"/>
      <c r="E1174" s="84"/>
      <c r="G1174" s="213"/>
      <c r="H1174" s="222"/>
    </row>
    <row r="1175" spans="1:8" s="212" customFormat="1">
      <c r="A1175" s="120"/>
      <c r="B1175" s="73"/>
      <c r="C1175" s="73"/>
      <c r="D1175" s="73"/>
      <c r="E1175" s="73"/>
      <c r="G1175" s="73"/>
      <c r="H1175" s="222"/>
    </row>
    <row r="1176" spans="1:8" s="212" customFormat="1">
      <c r="A1176" s="220"/>
      <c r="B1176" s="141"/>
      <c r="C1176" s="141"/>
      <c r="D1176" s="141"/>
      <c r="E1176" s="141"/>
      <c r="F1176" s="141"/>
      <c r="G1176" s="141"/>
      <c r="H1176" s="222"/>
    </row>
    <row r="1177" spans="1:8" s="212" customFormat="1">
      <c r="A1177" s="150"/>
      <c r="B1177" s="83"/>
      <c r="C1177" s="148"/>
      <c r="D1177" s="165"/>
      <c r="E1177" s="84"/>
      <c r="F1177" s="84"/>
      <c r="G1177" s="146"/>
      <c r="H1177" s="221"/>
    </row>
    <row r="1178" spans="1:8" s="212" customFormat="1">
      <c r="A1178" s="91"/>
      <c r="B1178" s="91"/>
      <c r="C1178" s="91"/>
      <c r="D1178" s="91"/>
      <c r="E1178" s="91"/>
      <c r="G1178" s="213"/>
      <c r="H1178" s="222"/>
    </row>
    <row r="1179" spans="1:8" s="212" customFormat="1">
      <c r="A1179" s="120"/>
      <c r="B1179" s="73"/>
      <c r="C1179" s="73"/>
      <c r="D1179" s="73"/>
      <c r="E1179" s="73"/>
      <c r="G1179" s="73"/>
      <c r="H1179" s="222"/>
    </row>
    <row r="1180" spans="1:8" s="212" customFormat="1">
      <c r="A1180" s="220"/>
      <c r="B1180" s="141"/>
      <c r="C1180" s="141"/>
      <c r="D1180" s="141"/>
      <c r="E1180" s="141"/>
      <c r="F1180" s="141"/>
      <c r="G1180" s="141"/>
      <c r="H1180" s="222"/>
    </row>
    <row r="1181" spans="1:8" s="212" customFormat="1">
      <c r="A1181" s="150"/>
      <c r="B1181" s="84"/>
      <c r="C1181" s="148"/>
      <c r="D1181" s="84"/>
      <c r="E1181" s="84"/>
      <c r="F1181" s="84"/>
      <c r="G1181" s="146"/>
      <c r="H1181" s="221"/>
    </row>
    <row r="1182" spans="1:8" s="212" customFormat="1">
      <c r="A1182" s="91"/>
      <c r="B1182" s="91"/>
      <c r="C1182" s="91"/>
      <c r="D1182" s="91"/>
      <c r="E1182" s="91"/>
      <c r="G1182" s="213"/>
      <c r="H1182" s="222"/>
    </row>
    <row r="1183" spans="1:8" s="212" customFormat="1">
      <c r="A1183" s="120"/>
      <c r="B1183" s="73"/>
      <c r="C1183" s="73"/>
      <c r="D1183" s="73"/>
      <c r="E1183" s="73"/>
      <c r="G1183" s="73"/>
      <c r="H1183" s="222"/>
    </row>
    <row r="1184" spans="1:8" s="212" customFormat="1">
      <c r="A1184" s="220"/>
      <c r="B1184" s="141"/>
      <c r="C1184" s="141"/>
      <c r="D1184" s="141"/>
      <c r="E1184" s="141"/>
      <c r="F1184" s="141"/>
      <c r="G1184" s="141"/>
      <c r="H1184" s="222"/>
    </row>
    <row r="1185" spans="1:9" s="212" customFormat="1">
      <c r="A1185" s="142"/>
      <c r="B1185" s="143"/>
      <c r="C1185" s="143"/>
      <c r="D1185" s="143"/>
      <c r="E1185" s="143"/>
      <c r="F1185" s="84"/>
      <c r="G1185" s="146"/>
      <c r="H1185" s="221"/>
    </row>
    <row r="1186" spans="1:9" s="212" customFormat="1">
      <c r="A1186" s="123"/>
      <c r="B1186" s="95"/>
      <c r="C1186" s="95"/>
      <c r="D1186" s="95"/>
      <c r="E1186" s="95"/>
      <c r="G1186" s="213"/>
      <c r="H1186" s="73"/>
    </row>
    <row r="1187" spans="1:9" s="212" customFormat="1">
      <c r="A1187" s="123"/>
      <c r="B1187" s="95"/>
      <c r="C1187" s="95"/>
      <c r="D1187" s="95"/>
      <c r="E1187" s="95"/>
      <c r="G1187" s="73"/>
      <c r="H1187" s="225"/>
    </row>
    <row r="1188" spans="1:9" s="212" customFormat="1">
      <c r="B1188" s="97"/>
      <c r="C1188" s="98"/>
      <c r="D1188" s="98"/>
      <c r="E1188" s="98"/>
      <c r="G1188" s="220"/>
    </row>
    <row r="1189" spans="1:9" s="212" customFormat="1">
      <c r="B1189" s="97"/>
      <c r="C1189" s="98"/>
      <c r="D1189" s="98"/>
      <c r="E1189" s="98"/>
      <c r="F1189" s="220"/>
      <c r="G1189" s="225"/>
      <c r="H1189" s="226"/>
    </row>
    <row r="1190" spans="1:9" s="212" customFormat="1">
      <c r="A1190" s="633"/>
      <c r="B1190" s="633"/>
      <c r="C1190" s="633"/>
      <c r="D1190" s="633"/>
      <c r="E1190" s="633"/>
      <c r="F1190" s="633"/>
      <c r="G1190" s="633"/>
    </row>
    <row r="1191" spans="1:9" s="212" customFormat="1">
      <c r="H1191" s="227"/>
      <c r="I1191" s="228"/>
    </row>
    <row r="1192" spans="1:9" s="212" customFormat="1">
      <c r="A1192" s="658"/>
      <c r="B1192" s="227"/>
      <c r="C1192" s="227"/>
      <c r="D1192" s="227"/>
      <c r="E1192" s="227"/>
      <c r="F1192" s="227"/>
      <c r="G1192" s="227"/>
      <c r="H1192" s="227"/>
      <c r="I1192" s="229"/>
    </row>
    <row r="1193" spans="1:9" s="212" customFormat="1">
      <c r="A1193" s="658"/>
      <c r="B1193" s="227"/>
      <c r="C1193" s="227"/>
      <c r="D1193" s="227"/>
      <c r="E1193" s="227"/>
      <c r="F1193" s="227"/>
      <c r="G1193" s="227"/>
    </row>
    <row r="1194" spans="1:9" s="212" customFormat="1">
      <c r="A1194" s="69"/>
      <c r="B1194" s="69"/>
      <c r="C1194" s="69"/>
      <c r="D1194" s="69"/>
      <c r="E1194" s="69"/>
    </row>
    <row r="1195" spans="1:9" s="212" customFormat="1">
      <c r="A1195" s="120"/>
      <c r="B1195" s="73"/>
      <c r="C1195" s="73"/>
      <c r="D1195" s="73"/>
      <c r="E1195" s="73"/>
      <c r="F1195" s="73"/>
      <c r="G1195" s="73"/>
      <c r="H1195" s="73"/>
    </row>
    <row r="1196" spans="1:9" s="212" customFormat="1">
      <c r="A1196" s="220"/>
      <c r="B1196" s="141"/>
      <c r="C1196" s="141"/>
      <c r="D1196" s="141"/>
      <c r="E1196" s="141"/>
      <c r="F1196" s="141"/>
      <c r="G1196" s="141"/>
      <c r="H1196" s="73"/>
    </row>
    <row r="1197" spans="1:9" s="212" customFormat="1">
      <c r="A1197" s="150"/>
      <c r="B1197" s="83"/>
      <c r="C1197" s="148"/>
      <c r="D1197" s="84"/>
      <c r="E1197" s="84"/>
      <c r="F1197" s="84"/>
      <c r="G1197" s="146"/>
      <c r="H1197" s="73"/>
    </row>
    <row r="1198" spans="1:9" s="212" customFormat="1">
      <c r="A1198" s="150"/>
      <c r="B1198" s="83"/>
      <c r="C1198" s="148"/>
      <c r="D1198" s="84"/>
      <c r="E1198" s="84"/>
      <c r="F1198" s="84"/>
      <c r="G1198" s="146"/>
      <c r="H1198" s="221"/>
    </row>
    <row r="1199" spans="1:9" s="212" customFormat="1">
      <c r="A1199" s="84"/>
      <c r="B1199" s="83"/>
      <c r="C1199" s="84"/>
      <c r="D1199" s="84"/>
      <c r="E1199" s="84"/>
      <c r="G1199" s="213"/>
      <c r="H1199" s="222"/>
    </row>
    <row r="1200" spans="1:9" s="212" customFormat="1">
      <c r="A1200" s="120"/>
      <c r="B1200" s="73"/>
      <c r="C1200" s="73"/>
      <c r="D1200" s="73"/>
      <c r="E1200" s="73"/>
      <c r="G1200" s="73"/>
      <c r="H1200" s="222"/>
    </row>
    <row r="1201" spans="1:9" s="212" customFormat="1">
      <c r="A1201" s="220"/>
      <c r="B1201" s="141"/>
      <c r="C1201" s="141"/>
      <c r="D1201" s="141"/>
      <c r="E1201" s="141"/>
      <c r="F1201" s="141"/>
      <c r="G1201" s="141"/>
      <c r="H1201" s="222"/>
    </row>
    <row r="1202" spans="1:9" s="212" customFormat="1" ht="16.5">
      <c r="A1202" s="150"/>
      <c r="B1202" s="161"/>
      <c r="C1202" s="148"/>
      <c r="D1202" s="165"/>
      <c r="E1202" s="84"/>
      <c r="F1202" s="84"/>
      <c r="G1202" s="146"/>
      <c r="H1202" s="221"/>
    </row>
    <row r="1203" spans="1:9" s="212" customFormat="1">
      <c r="A1203" s="91"/>
      <c r="B1203" s="91"/>
      <c r="C1203" s="91"/>
      <c r="D1203" s="91"/>
      <c r="E1203" s="91"/>
      <c r="G1203" s="213"/>
      <c r="H1203" s="222"/>
    </row>
    <row r="1204" spans="1:9" s="212" customFormat="1">
      <c r="A1204" s="120"/>
      <c r="B1204" s="73"/>
      <c r="C1204" s="73"/>
      <c r="D1204" s="73"/>
      <c r="E1204" s="73"/>
      <c r="G1204" s="73"/>
      <c r="H1204" s="222"/>
    </row>
    <row r="1205" spans="1:9" s="212" customFormat="1">
      <c r="A1205" s="220"/>
      <c r="B1205" s="141"/>
      <c r="C1205" s="141"/>
      <c r="D1205" s="141"/>
      <c r="E1205" s="141"/>
      <c r="F1205" s="141"/>
      <c r="G1205" s="141"/>
      <c r="H1205" s="222"/>
    </row>
    <row r="1206" spans="1:9" s="212" customFormat="1">
      <c r="A1206" s="150"/>
      <c r="B1206" s="84"/>
      <c r="C1206" s="148"/>
      <c r="D1206" s="84"/>
      <c r="E1206" s="84"/>
      <c r="F1206" s="84"/>
      <c r="G1206" s="146"/>
      <c r="H1206" s="221"/>
    </row>
    <row r="1207" spans="1:9" s="212" customFormat="1">
      <c r="A1207" s="91"/>
      <c r="B1207" s="91"/>
      <c r="C1207" s="91"/>
      <c r="D1207" s="91"/>
      <c r="E1207" s="91"/>
      <c r="G1207" s="213"/>
      <c r="H1207" s="222"/>
    </row>
    <row r="1208" spans="1:9" s="212" customFormat="1">
      <c r="A1208" s="120"/>
      <c r="B1208" s="73"/>
      <c r="C1208" s="73"/>
      <c r="D1208" s="73"/>
      <c r="E1208" s="73"/>
      <c r="G1208" s="73"/>
      <c r="H1208" s="222"/>
    </row>
    <row r="1209" spans="1:9" s="212" customFormat="1">
      <c r="A1209" s="220"/>
      <c r="B1209" s="141"/>
      <c r="C1209" s="141"/>
      <c r="D1209" s="141"/>
      <c r="E1209" s="141"/>
      <c r="F1209" s="141"/>
      <c r="G1209" s="141"/>
      <c r="H1209" s="222"/>
    </row>
    <row r="1210" spans="1:9" s="212" customFormat="1">
      <c r="A1210" s="142"/>
      <c r="B1210" s="143"/>
      <c r="C1210" s="143"/>
      <c r="D1210" s="143"/>
      <c r="E1210" s="143"/>
      <c r="F1210" s="84"/>
      <c r="G1210" s="146"/>
      <c r="H1210" s="221"/>
    </row>
    <row r="1211" spans="1:9" s="212" customFormat="1">
      <c r="A1211" s="123"/>
      <c r="B1211" s="95"/>
      <c r="C1211" s="95"/>
      <c r="D1211" s="95"/>
      <c r="E1211" s="95"/>
      <c r="G1211" s="213"/>
      <c r="H1211" s="73"/>
    </row>
    <row r="1212" spans="1:9" s="212" customFormat="1">
      <c r="A1212" s="123"/>
      <c r="B1212" s="95"/>
      <c r="C1212" s="95"/>
      <c r="D1212" s="95"/>
      <c r="E1212" s="95"/>
      <c r="G1212" s="73"/>
      <c r="H1212" s="225"/>
    </row>
    <row r="1213" spans="1:9" s="212" customFormat="1">
      <c r="B1213" s="97"/>
      <c r="C1213" s="98"/>
      <c r="D1213" s="98"/>
      <c r="E1213" s="98"/>
      <c r="G1213" s="220"/>
    </row>
    <row r="1214" spans="1:9" s="212" customFormat="1">
      <c r="B1214" s="97"/>
      <c r="C1214" s="98"/>
      <c r="D1214" s="98"/>
      <c r="E1214" s="98"/>
      <c r="F1214" s="220"/>
      <c r="G1214" s="225"/>
      <c r="H1214" s="226"/>
    </row>
    <row r="1215" spans="1:9" s="212" customFormat="1">
      <c r="A1215" s="633"/>
      <c r="B1215" s="633"/>
      <c r="C1215" s="633"/>
      <c r="D1215" s="633"/>
      <c r="E1215" s="633"/>
      <c r="F1215" s="633"/>
      <c r="G1215" s="633"/>
    </row>
    <row r="1216" spans="1:9" s="212" customFormat="1">
      <c r="H1216" s="227"/>
      <c r="I1216" s="228"/>
    </row>
    <row r="1217" spans="1:9" s="212" customFormat="1">
      <c r="A1217" s="658"/>
      <c r="B1217" s="227"/>
      <c r="C1217" s="227"/>
      <c r="D1217" s="227"/>
      <c r="E1217" s="227"/>
      <c r="F1217" s="227"/>
      <c r="G1217" s="227"/>
      <c r="H1217" s="227"/>
      <c r="I1217" s="229"/>
    </row>
    <row r="1218" spans="1:9" s="212" customFormat="1">
      <c r="A1218" s="658"/>
      <c r="B1218" s="227"/>
      <c r="C1218" s="227"/>
      <c r="D1218" s="227"/>
      <c r="E1218" s="227"/>
      <c r="F1218" s="227"/>
      <c r="G1218" s="227"/>
    </row>
    <row r="1219" spans="1:9" s="212" customFormat="1">
      <c r="A1219" s="69"/>
      <c r="B1219" s="69"/>
      <c r="C1219" s="69"/>
      <c r="D1219" s="69"/>
      <c r="E1219" s="69"/>
    </row>
    <row r="1220" spans="1:9" s="212" customFormat="1">
      <c r="A1220" s="120"/>
      <c r="B1220" s="73"/>
      <c r="C1220" s="73"/>
      <c r="D1220" s="73"/>
      <c r="E1220" s="73"/>
      <c r="F1220" s="73"/>
      <c r="G1220" s="73"/>
      <c r="H1220" s="73"/>
    </row>
    <row r="1221" spans="1:9" s="212" customFormat="1">
      <c r="A1221" s="220"/>
      <c r="B1221" s="141"/>
      <c r="C1221" s="141"/>
      <c r="D1221" s="141"/>
      <c r="E1221" s="141"/>
      <c r="F1221" s="141"/>
      <c r="G1221" s="141"/>
      <c r="H1221" s="73"/>
    </row>
    <row r="1222" spans="1:9" s="212" customFormat="1">
      <c r="A1222" s="150"/>
      <c r="B1222" s="84"/>
      <c r="C1222" s="148"/>
      <c r="D1222" s="84"/>
      <c r="E1222" s="84"/>
      <c r="F1222" s="84"/>
      <c r="G1222" s="146"/>
      <c r="H1222" s="221"/>
    </row>
    <row r="1223" spans="1:9" s="212" customFormat="1">
      <c r="A1223" s="84"/>
      <c r="B1223" s="83"/>
      <c r="C1223" s="84"/>
      <c r="D1223" s="84"/>
      <c r="E1223" s="84"/>
      <c r="G1223" s="213"/>
      <c r="H1223" s="222"/>
    </row>
    <row r="1224" spans="1:9" s="212" customFormat="1">
      <c r="A1224" s="120"/>
      <c r="B1224" s="73"/>
      <c r="C1224" s="73"/>
      <c r="D1224" s="73"/>
      <c r="E1224" s="73"/>
      <c r="G1224" s="73"/>
      <c r="H1224" s="222"/>
    </row>
    <row r="1225" spans="1:9" s="212" customFormat="1">
      <c r="A1225" s="220"/>
      <c r="B1225" s="141"/>
      <c r="C1225" s="141"/>
      <c r="D1225" s="141"/>
      <c r="E1225" s="141"/>
      <c r="F1225" s="141"/>
      <c r="G1225" s="141"/>
      <c r="H1225" s="222"/>
    </row>
    <row r="1226" spans="1:9" s="212" customFormat="1" ht="16.5">
      <c r="A1226" s="150"/>
      <c r="B1226" s="161"/>
      <c r="C1226" s="148"/>
      <c r="D1226" s="84"/>
      <c r="E1226" s="84"/>
      <c r="F1226" s="84"/>
      <c r="G1226" s="224"/>
      <c r="H1226" s="222"/>
    </row>
    <row r="1227" spans="1:9" s="212" customFormat="1" ht="16.5">
      <c r="A1227" s="150"/>
      <c r="B1227" s="161"/>
      <c r="C1227" s="148"/>
      <c r="D1227" s="84"/>
      <c r="E1227" s="84"/>
      <c r="F1227" s="84"/>
      <c r="G1227" s="224"/>
      <c r="H1227" s="222"/>
    </row>
    <row r="1228" spans="1:9" s="212" customFormat="1" ht="16.5">
      <c r="A1228" s="150"/>
      <c r="B1228" s="161"/>
      <c r="C1228" s="148"/>
      <c r="D1228" s="84"/>
      <c r="E1228" s="84"/>
      <c r="F1228" s="84"/>
      <c r="G1228" s="224"/>
      <c r="H1228" s="221"/>
    </row>
    <row r="1229" spans="1:9" s="212" customFormat="1">
      <c r="A1229" s="91"/>
      <c r="B1229" s="91"/>
      <c r="C1229" s="91"/>
      <c r="D1229" s="91"/>
      <c r="E1229" s="91"/>
      <c r="G1229" s="213"/>
      <c r="H1229" s="222"/>
    </row>
    <row r="1230" spans="1:9" s="212" customFormat="1">
      <c r="A1230" s="120"/>
      <c r="B1230" s="73"/>
      <c r="C1230" s="73"/>
      <c r="D1230" s="73"/>
      <c r="E1230" s="73"/>
      <c r="G1230" s="73"/>
      <c r="H1230" s="222"/>
    </row>
    <row r="1231" spans="1:9" s="212" customFormat="1">
      <c r="A1231" s="220"/>
      <c r="B1231" s="141"/>
      <c r="C1231" s="141"/>
      <c r="D1231" s="141"/>
      <c r="E1231" s="141"/>
      <c r="F1231" s="141"/>
      <c r="G1231" s="141"/>
      <c r="H1231" s="222"/>
    </row>
    <row r="1232" spans="1:9" s="212" customFormat="1">
      <c r="A1232" s="146"/>
      <c r="B1232" s="83"/>
      <c r="C1232" s="148"/>
      <c r="D1232" s="84"/>
      <c r="E1232" s="84"/>
      <c r="F1232" s="84"/>
      <c r="G1232" s="146"/>
      <c r="H1232" s="221"/>
    </row>
    <row r="1233" spans="1:9" s="212" customFormat="1">
      <c r="A1233" s="91"/>
      <c r="B1233" s="91"/>
      <c r="C1233" s="91"/>
      <c r="D1233" s="91"/>
      <c r="E1233" s="91"/>
      <c r="G1233" s="213"/>
      <c r="H1233" s="222"/>
    </row>
    <row r="1234" spans="1:9" s="212" customFormat="1">
      <c r="A1234" s="120"/>
      <c r="B1234" s="73"/>
      <c r="C1234" s="73"/>
      <c r="D1234" s="73"/>
      <c r="E1234" s="73"/>
      <c r="G1234" s="73"/>
      <c r="H1234" s="222"/>
    </row>
    <row r="1235" spans="1:9" s="212" customFormat="1">
      <c r="A1235" s="220"/>
      <c r="B1235" s="141"/>
      <c r="C1235" s="141"/>
      <c r="D1235" s="141"/>
      <c r="E1235" s="141"/>
      <c r="F1235" s="141"/>
      <c r="G1235" s="141"/>
      <c r="H1235" s="222"/>
    </row>
    <row r="1236" spans="1:9" s="212" customFormat="1">
      <c r="A1236" s="142"/>
      <c r="B1236" s="143"/>
      <c r="C1236" s="143"/>
      <c r="D1236" s="143"/>
      <c r="E1236" s="143"/>
      <c r="F1236" s="84"/>
      <c r="G1236" s="146"/>
      <c r="H1236" s="221"/>
    </row>
    <row r="1237" spans="1:9" s="212" customFormat="1">
      <c r="A1237" s="123"/>
      <c r="B1237" s="95"/>
      <c r="C1237" s="95"/>
      <c r="D1237" s="95"/>
      <c r="E1237" s="95"/>
      <c r="G1237" s="213"/>
      <c r="H1237" s="73"/>
    </row>
    <row r="1238" spans="1:9" s="212" customFormat="1">
      <c r="A1238" s="123"/>
      <c r="B1238" s="95"/>
      <c r="C1238" s="95"/>
      <c r="D1238" s="95"/>
      <c r="E1238" s="95"/>
      <c r="G1238" s="73"/>
      <c r="H1238" s="225"/>
    </row>
    <row r="1239" spans="1:9" s="212" customFormat="1">
      <c r="B1239" s="97"/>
      <c r="C1239" s="98"/>
      <c r="D1239" s="98"/>
      <c r="E1239" s="98"/>
      <c r="G1239" s="220"/>
    </row>
    <row r="1240" spans="1:9" s="212" customFormat="1">
      <c r="B1240" s="97"/>
      <c r="C1240" s="98"/>
      <c r="D1240" s="98"/>
      <c r="E1240" s="98"/>
      <c r="F1240" s="220"/>
      <c r="G1240" s="225"/>
      <c r="H1240" s="226"/>
    </row>
    <row r="1241" spans="1:9" s="212" customFormat="1">
      <c r="A1241" s="633"/>
      <c r="B1241" s="633"/>
      <c r="C1241" s="633"/>
      <c r="D1241" s="633"/>
      <c r="E1241" s="633"/>
      <c r="F1241" s="633"/>
      <c r="G1241" s="633"/>
    </row>
    <row r="1242" spans="1:9" s="212" customFormat="1">
      <c r="H1242" s="227"/>
      <c r="I1242" s="228"/>
    </row>
    <row r="1243" spans="1:9" s="212" customFormat="1">
      <c r="A1243" s="658"/>
      <c r="B1243" s="227"/>
      <c r="C1243" s="227"/>
      <c r="D1243" s="227"/>
      <c r="E1243" s="227"/>
      <c r="F1243" s="227"/>
      <c r="G1243" s="227"/>
      <c r="H1243" s="227"/>
      <c r="I1243" s="229"/>
    </row>
    <row r="1244" spans="1:9" s="212" customFormat="1">
      <c r="A1244" s="658"/>
      <c r="B1244" s="227"/>
      <c r="C1244" s="227"/>
      <c r="D1244" s="227"/>
      <c r="E1244" s="227"/>
      <c r="F1244" s="227"/>
      <c r="G1244" s="227"/>
    </row>
    <row r="1245" spans="1:9" s="212" customFormat="1">
      <c r="A1245" s="69"/>
      <c r="B1245" s="69"/>
      <c r="C1245" s="69"/>
      <c r="D1245" s="69"/>
      <c r="E1245" s="69"/>
    </row>
    <row r="1246" spans="1:9" s="212" customFormat="1">
      <c r="A1246" s="120"/>
      <c r="B1246" s="73"/>
      <c r="C1246" s="73"/>
      <c r="D1246" s="73"/>
      <c r="E1246" s="73"/>
      <c r="F1246" s="73"/>
      <c r="G1246" s="73"/>
      <c r="H1246" s="73"/>
    </row>
    <row r="1247" spans="1:9" s="212" customFormat="1">
      <c r="A1247" s="220"/>
      <c r="B1247" s="141"/>
      <c r="C1247" s="141"/>
      <c r="D1247" s="141"/>
      <c r="E1247" s="141"/>
      <c r="F1247" s="141"/>
      <c r="G1247" s="141"/>
      <c r="H1247" s="73"/>
    </row>
    <row r="1248" spans="1:9" s="212" customFormat="1">
      <c r="A1248" s="150"/>
      <c r="B1248" s="84"/>
      <c r="C1248" s="148"/>
      <c r="D1248" s="84"/>
      <c r="E1248" s="84"/>
      <c r="F1248" s="84"/>
      <c r="G1248" s="146"/>
      <c r="H1248" s="221"/>
    </row>
    <row r="1249" spans="1:8" s="212" customFormat="1">
      <c r="A1249" s="84"/>
      <c r="B1249" s="83"/>
      <c r="C1249" s="84"/>
      <c r="D1249" s="84"/>
      <c r="E1249" s="84"/>
      <c r="G1249" s="213"/>
      <c r="H1249" s="222"/>
    </row>
    <row r="1250" spans="1:8" s="212" customFormat="1">
      <c r="A1250" s="120"/>
      <c r="B1250" s="73"/>
      <c r="C1250" s="73"/>
      <c r="D1250" s="73"/>
      <c r="E1250" s="73"/>
      <c r="G1250" s="73"/>
      <c r="H1250" s="222"/>
    </row>
    <row r="1251" spans="1:8" s="212" customFormat="1">
      <c r="A1251" s="220"/>
      <c r="B1251" s="141"/>
      <c r="C1251" s="141"/>
      <c r="D1251" s="141"/>
      <c r="E1251" s="141"/>
      <c r="F1251" s="141"/>
      <c r="G1251" s="141"/>
      <c r="H1251" s="222"/>
    </row>
    <row r="1252" spans="1:8" s="212" customFormat="1" ht="16.5">
      <c r="A1252" s="150"/>
      <c r="B1252" s="161"/>
      <c r="C1252" s="148"/>
      <c r="D1252" s="84"/>
      <c r="E1252" s="84"/>
      <c r="F1252" s="84"/>
      <c r="G1252" s="224"/>
      <c r="H1252" s="222"/>
    </row>
    <row r="1253" spans="1:8" s="212" customFormat="1" ht="16.5">
      <c r="A1253" s="150"/>
      <c r="B1253" s="161"/>
      <c r="C1253" s="148"/>
      <c r="D1253" s="84"/>
      <c r="E1253" s="84"/>
      <c r="F1253" s="84"/>
      <c r="G1253" s="224"/>
      <c r="H1253" s="222"/>
    </row>
    <row r="1254" spans="1:8" s="212" customFormat="1" ht="16.5">
      <c r="A1254" s="150"/>
      <c r="B1254" s="161"/>
      <c r="C1254" s="148"/>
      <c r="D1254" s="84"/>
      <c r="E1254" s="84"/>
      <c r="F1254" s="84"/>
      <c r="G1254" s="224"/>
      <c r="H1254" s="221"/>
    </row>
    <row r="1255" spans="1:8" s="212" customFormat="1">
      <c r="A1255" s="91"/>
      <c r="B1255" s="91"/>
      <c r="C1255" s="91"/>
      <c r="D1255" s="91"/>
      <c r="E1255" s="91"/>
      <c r="G1255" s="213"/>
      <c r="H1255" s="222"/>
    </row>
    <row r="1256" spans="1:8" s="212" customFormat="1">
      <c r="A1256" s="120"/>
      <c r="B1256" s="73"/>
      <c r="C1256" s="73"/>
      <c r="D1256" s="73"/>
      <c r="E1256" s="73"/>
      <c r="G1256" s="73"/>
      <c r="H1256" s="222"/>
    </row>
    <row r="1257" spans="1:8" s="212" customFormat="1">
      <c r="A1257" s="220"/>
      <c r="B1257" s="141"/>
      <c r="C1257" s="141"/>
      <c r="D1257" s="141"/>
      <c r="E1257" s="141"/>
      <c r="F1257" s="141"/>
      <c r="G1257" s="141"/>
      <c r="H1257" s="222"/>
    </row>
    <row r="1258" spans="1:8" s="212" customFormat="1">
      <c r="A1258" s="146"/>
      <c r="B1258" s="83"/>
      <c r="C1258" s="148"/>
      <c r="D1258" s="84"/>
      <c r="E1258" s="84"/>
      <c r="F1258" s="84"/>
      <c r="G1258" s="146"/>
      <c r="H1258" s="221"/>
    </row>
    <row r="1259" spans="1:8" s="212" customFormat="1">
      <c r="A1259" s="91"/>
      <c r="B1259" s="91"/>
      <c r="C1259" s="91"/>
      <c r="D1259" s="91"/>
      <c r="E1259" s="91"/>
      <c r="G1259" s="213"/>
      <c r="H1259" s="222"/>
    </row>
    <row r="1260" spans="1:8" s="212" customFormat="1">
      <c r="A1260" s="120"/>
      <c r="B1260" s="73"/>
      <c r="C1260" s="73"/>
      <c r="D1260" s="73"/>
      <c r="E1260" s="73"/>
      <c r="G1260" s="73"/>
      <c r="H1260" s="222"/>
    </row>
    <row r="1261" spans="1:8" s="212" customFormat="1">
      <c r="A1261" s="220"/>
      <c r="B1261" s="141"/>
      <c r="C1261" s="141"/>
      <c r="D1261" s="141"/>
      <c r="E1261" s="141"/>
      <c r="F1261" s="141"/>
      <c r="G1261" s="141"/>
      <c r="H1261" s="222"/>
    </row>
    <row r="1262" spans="1:8" s="212" customFormat="1">
      <c r="A1262" s="142"/>
      <c r="B1262" s="143"/>
      <c r="C1262" s="143"/>
      <c r="D1262" s="143"/>
      <c r="E1262" s="143"/>
      <c r="F1262" s="84"/>
      <c r="G1262" s="146"/>
      <c r="H1262" s="221"/>
    </row>
    <row r="1263" spans="1:8" s="212" customFormat="1">
      <c r="A1263" s="123"/>
      <c r="B1263" s="95"/>
      <c r="C1263" s="95"/>
      <c r="D1263" s="95"/>
      <c r="E1263" s="95"/>
      <c r="G1263" s="213"/>
      <c r="H1263" s="73"/>
    </row>
    <row r="1264" spans="1:8" s="212" customFormat="1">
      <c r="A1264" s="123"/>
      <c r="B1264" s="95"/>
      <c r="C1264" s="95"/>
      <c r="D1264" s="95"/>
      <c r="E1264" s="95"/>
      <c r="G1264" s="73"/>
      <c r="H1264" s="225"/>
    </row>
    <row r="1265" spans="1:9" s="212" customFormat="1">
      <c r="B1265" s="97"/>
      <c r="C1265" s="98"/>
      <c r="D1265" s="98"/>
      <c r="E1265" s="98"/>
      <c r="G1265" s="220"/>
    </row>
    <row r="1266" spans="1:9" s="212" customFormat="1">
      <c r="B1266" s="97"/>
      <c r="C1266" s="98"/>
      <c r="D1266" s="98"/>
      <c r="E1266" s="98"/>
      <c r="F1266" s="220"/>
      <c r="G1266" s="225"/>
      <c r="H1266" s="226"/>
    </row>
    <row r="1267" spans="1:9" s="212" customFormat="1">
      <c r="A1267" s="633"/>
      <c r="B1267" s="633"/>
      <c r="C1267" s="633"/>
      <c r="D1267" s="633"/>
      <c r="E1267" s="633"/>
      <c r="F1267" s="633"/>
      <c r="G1267" s="633"/>
    </row>
    <row r="1268" spans="1:9" s="212" customFormat="1">
      <c r="H1268" s="227"/>
      <c r="I1268" s="228"/>
    </row>
    <row r="1269" spans="1:9" s="212" customFormat="1">
      <c r="A1269" s="658"/>
      <c r="B1269" s="227"/>
      <c r="C1269" s="227"/>
      <c r="D1269" s="227"/>
      <c r="E1269" s="227"/>
      <c r="F1269" s="227"/>
      <c r="G1269" s="227"/>
      <c r="H1269" s="227"/>
      <c r="I1269" s="229"/>
    </row>
    <row r="1270" spans="1:9" s="212" customFormat="1">
      <c r="A1270" s="658"/>
      <c r="B1270" s="227"/>
      <c r="C1270" s="227"/>
      <c r="D1270" s="227"/>
      <c r="E1270" s="227"/>
      <c r="F1270" s="227"/>
      <c r="G1270" s="227"/>
    </row>
    <row r="1271" spans="1:9" s="212" customFormat="1">
      <c r="A1271" s="69"/>
      <c r="B1271" s="69"/>
      <c r="C1271" s="69"/>
      <c r="D1271" s="69"/>
      <c r="E1271" s="69"/>
    </row>
    <row r="1272" spans="1:9" s="212" customFormat="1">
      <c r="A1272" s="120"/>
      <c r="B1272" s="73"/>
      <c r="C1272" s="73"/>
      <c r="D1272" s="73"/>
      <c r="E1272" s="73"/>
      <c r="F1272" s="73"/>
      <c r="G1272" s="73"/>
      <c r="H1272" s="73"/>
    </row>
    <row r="1273" spans="1:9" s="212" customFormat="1">
      <c r="A1273" s="220"/>
      <c r="B1273" s="141"/>
      <c r="C1273" s="141"/>
      <c r="D1273" s="141"/>
      <c r="E1273" s="141"/>
      <c r="F1273" s="141"/>
      <c r="G1273" s="141"/>
      <c r="H1273" s="73"/>
    </row>
    <row r="1274" spans="1:9" s="212" customFormat="1" ht="16.5">
      <c r="A1274" s="150"/>
      <c r="B1274" s="161"/>
      <c r="C1274" s="148"/>
      <c r="D1274" s="84"/>
      <c r="E1274" s="84"/>
      <c r="F1274" s="84"/>
      <c r="G1274" s="224"/>
      <c r="H1274" s="73"/>
    </row>
    <row r="1275" spans="1:9" s="212" customFormat="1" ht="16.5">
      <c r="A1275" s="150"/>
      <c r="B1275" s="161"/>
      <c r="C1275" s="148"/>
      <c r="D1275" s="84"/>
      <c r="E1275" s="84"/>
      <c r="F1275" s="84"/>
      <c r="G1275" s="224"/>
      <c r="H1275" s="221"/>
    </row>
    <row r="1276" spans="1:9" s="212" customFormat="1">
      <c r="A1276" s="84"/>
      <c r="B1276" s="83"/>
      <c r="C1276" s="84"/>
      <c r="D1276" s="84"/>
      <c r="E1276" s="84"/>
      <c r="G1276" s="213"/>
      <c r="H1276" s="222"/>
    </row>
    <row r="1277" spans="1:9" s="212" customFormat="1">
      <c r="A1277" s="120"/>
      <c r="B1277" s="73"/>
      <c r="C1277" s="73"/>
      <c r="D1277" s="73"/>
      <c r="E1277" s="73"/>
      <c r="G1277" s="73"/>
      <c r="H1277" s="222"/>
    </row>
    <row r="1278" spans="1:9" s="212" customFormat="1">
      <c r="A1278" s="220"/>
      <c r="B1278" s="141"/>
      <c r="C1278" s="141"/>
      <c r="D1278" s="141"/>
      <c r="E1278" s="141"/>
      <c r="F1278" s="141"/>
      <c r="G1278" s="141"/>
      <c r="H1278" s="222"/>
    </row>
    <row r="1279" spans="1:9" s="212" customFormat="1" ht="16.5">
      <c r="A1279" s="150"/>
      <c r="B1279" s="161"/>
      <c r="C1279" s="148"/>
      <c r="D1279" s="84"/>
      <c r="E1279" s="84"/>
      <c r="F1279" s="84"/>
      <c r="G1279" s="224"/>
      <c r="H1279" s="222"/>
    </row>
    <row r="1280" spans="1:9" s="212" customFormat="1" ht="16.5">
      <c r="A1280" s="150"/>
      <c r="B1280" s="161"/>
      <c r="C1280" s="148"/>
      <c r="D1280" s="84"/>
      <c r="E1280" s="84"/>
      <c r="F1280" s="84"/>
      <c r="G1280" s="224"/>
      <c r="H1280" s="222"/>
    </row>
    <row r="1281" spans="1:8" s="212" customFormat="1" ht="16.5">
      <c r="A1281" s="150"/>
      <c r="B1281" s="161"/>
      <c r="C1281" s="148"/>
      <c r="D1281" s="84"/>
      <c r="E1281" s="84"/>
      <c r="F1281" s="84"/>
      <c r="G1281" s="224"/>
      <c r="H1281" s="222"/>
    </row>
    <row r="1282" spans="1:8" s="212" customFormat="1" ht="16.5">
      <c r="A1282" s="150"/>
      <c r="B1282" s="161"/>
      <c r="C1282" s="148"/>
      <c r="D1282" s="84"/>
      <c r="E1282" s="84"/>
      <c r="F1282" s="84"/>
      <c r="G1282" s="224"/>
      <c r="H1282" s="222"/>
    </row>
    <row r="1283" spans="1:8" s="212" customFormat="1" ht="16.5">
      <c r="A1283" s="150"/>
      <c r="B1283" s="161"/>
      <c r="C1283" s="148"/>
      <c r="D1283" s="84"/>
      <c r="E1283" s="84"/>
      <c r="F1283" s="84"/>
      <c r="G1283" s="224"/>
      <c r="H1283" s="222"/>
    </row>
    <row r="1284" spans="1:8" s="212" customFormat="1" ht="16.5">
      <c r="A1284" s="150"/>
      <c r="B1284" s="161"/>
      <c r="C1284" s="148"/>
      <c r="D1284" s="84"/>
      <c r="E1284" s="84"/>
      <c r="F1284" s="84"/>
      <c r="G1284" s="224"/>
      <c r="H1284" s="222"/>
    </row>
    <row r="1285" spans="1:8" s="212" customFormat="1" ht="16.5">
      <c r="A1285" s="150"/>
      <c r="B1285" s="161"/>
      <c r="C1285" s="148"/>
      <c r="D1285" s="84"/>
      <c r="E1285" s="84"/>
      <c r="F1285" s="84"/>
      <c r="G1285" s="224"/>
      <c r="H1285" s="221"/>
    </row>
    <row r="1286" spans="1:8" s="212" customFormat="1">
      <c r="A1286" s="91"/>
      <c r="B1286" s="91"/>
      <c r="C1286" s="91"/>
      <c r="D1286" s="91"/>
      <c r="E1286" s="91"/>
      <c r="G1286" s="213"/>
      <c r="H1286" s="222"/>
    </row>
    <row r="1287" spans="1:8" s="212" customFormat="1">
      <c r="A1287" s="120"/>
      <c r="B1287" s="73"/>
      <c r="C1287" s="73"/>
      <c r="D1287" s="73"/>
      <c r="E1287" s="73"/>
      <c r="G1287" s="73"/>
      <c r="H1287" s="222"/>
    </row>
    <row r="1288" spans="1:8" s="212" customFormat="1">
      <c r="A1288" s="220"/>
      <c r="B1288" s="141"/>
      <c r="C1288" s="141"/>
      <c r="D1288" s="141"/>
      <c r="E1288" s="141"/>
      <c r="F1288" s="141"/>
      <c r="G1288" s="141"/>
      <c r="H1288" s="222"/>
    </row>
    <row r="1289" spans="1:8" s="212" customFormat="1">
      <c r="A1289" s="146"/>
      <c r="B1289" s="83"/>
      <c r="C1289" s="148"/>
      <c r="D1289" s="84"/>
      <c r="E1289" s="84"/>
      <c r="F1289" s="84"/>
      <c r="G1289" s="146"/>
      <c r="H1289" s="222"/>
    </row>
    <row r="1290" spans="1:8" s="212" customFormat="1">
      <c r="A1290" s="146"/>
      <c r="B1290" s="83"/>
      <c r="C1290" s="148"/>
      <c r="D1290" s="84"/>
      <c r="E1290" s="84"/>
      <c r="F1290" s="84"/>
      <c r="G1290" s="146"/>
      <c r="H1290" s="221"/>
    </row>
    <row r="1291" spans="1:8" s="212" customFormat="1">
      <c r="A1291" s="91"/>
      <c r="B1291" s="91"/>
      <c r="C1291" s="91"/>
      <c r="D1291" s="91"/>
      <c r="E1291" s="91"/>
      <c r="G1291" s="213"/>
      <c r="H1291" s="222"/>
    </row>
    <row r="1292" spans="1:8" s="212" customFormat="1">
      <c r="A1292" s="120"/>
      <c r="B1292" s="73"/>
      <c r="C1292" s="73"/>
      <c r="D1292" s="73"/>
      <c r="E1292" s="73"/>
      <c r="G1292" s="73"/>
      <c r="H1292" s="222"/>
    </row>
    <row r="1293" spans="1:8" s="212" customFormat="1">
      <c r="A1293" s="220"/>
      <c r="B1293" s="141"/>
      <c r="C1293" s="141"/>
      <c r="D1293" s="141"/>
      <c r="E1293" s="141"/>
      <c r="F1293" s="141"/>
      <c r="G1293" s="141"/>
      <c r="H1293" s="222"/>
    </row>
    <row r="1294" spans="1:8" s="212" customFormat="1">
      <c r="A1294" s="142"/>
      <c r="B1294" s="143"/>
      <c r="C1294" s="143"/>
      <c r="D1294" s="143"/>
      <c r="E1294" s="143"/>
      <c r="F1294" s="84"/>
      <c r="G1294" s="146"/>
      <c r="H1294" s="221"/>
    </row>
    <row r="1295" spans="1:8" s="212" customFormat="1">
      <c r="A1295" s="123"/>
      <c r="B1295" s="95"/>
      <c r="C1295" s="95"/>
      <c r="D1295" s="95"/>
      <c r="E1295" s="95"/>
      <c r="G1295" s="213"/>
      <c r="H1295" s="73"/>
    </row>
    <row r="1296" spans="1:8" s="212" customFormat="1">
      <c r="A1296" s="123"/>
      <c r="B1296" s="95"/>
      <c r="C1296" s="95"/>
      <c r="D1296" s="95"/>
      <c r="E1296" s="95"/>
      <c r="G1296" s="73"/>
      <c r="H1296" s="225"/>
    </row>
    <row r="1297" spans="1:9" s="212" customFormat="1">
      <c r="B1297" s="97"/>
      <c r="C1297" s="98"/>
      <c r="D1297" s="98"/>
      <c r="E1297" s="98"/>
      <c r="G1297" s="220"/>
    </row>
    <row r="1298" spans="1:9" s="212" customFormat="1">
      <c r="B1298" s="97"/>
      <c r="C1298" s="98"/>
      <c r="D1298" s="98"/>
      <c r="E1298" s="98"/>
      <c r="F1298" s="220"/>
      <c r="G1298" s="225"/>
      <c r="H1298" s="226"/>
    </row>
    <row r="1299" spans="1:9" s="212" customFormat="1">
      <c r="A1299" s="633"/>
      <c r="B1299" s="633"/>
      <c r="C1299" s="633"/>
      <c r="D1299" s="633"/>
      <c r="E1299" s="633"/>
      <c r="F1299" s="633"/>
      <c r="G1299" s="633"/>
    </row>
    <row r="1300" spans="1:9" s="212" customFormat="1">
      <c r="H1300" s="227"/>
      <c r="I1300" s="228"/>
    </row>
    <row r="1301" spans="1:9" s="212" customFormat="1">
      <c r="A1301" s="658"/>
      <c r="B1301" s="227"/>
      <c r="C1301" s="227"/>
      <c r="D1301" s="227"/>
      <c r="E1301" s="227"/>
      <c r="F1301" s="227"/>
      <c r="G1301" s="227"/>
      <c r="H1301" s="227"/>
      <c r="I1301" s="229"/>
    </row>
    <row r="1302" spans="1:9" s="212" customFormat="1">
      <c r="A1302" s="658"/>
      <c r="B1302" s="227"/>
      <c r="C1302" s="227"/>
      <c r="D1302" s="227"/>
      <c r="E1302" s="227"/>
      <c r="F1302" s="227"/>
      <c r="G1302" s="227"/>
    </row>
    <row r="1303" spans="1:9" s="212" customFormat="1">
      <c r="A1303" s="69"/>
      <c r="B1303" s="69"/>
      <c r="C1303" s="69"/>
      <c r="D1303" s="69"/>
      <c r="E1303" s="69"/>
    </row>
    <row r="1304" spans="1:9" s="212" customFormat="1">
      <c r="A1304" s="120"/>
      <c r="B1304" s="73"/>
      <c r="C1304" s="73"/>
      <c r="D1304" s="73"/>
      <c r="E1304" s="73"/>
      <c r="F1304" s="73"/>
      <c r="G1304" s="73"/>
      <c r="H1304" s="73"/>
    </row>
    <row r="1305" spans="1:9" s="212" customFormat="1">
      <c r="A1305" s="220"/>
      <c r="B1305" s="141"/>
      <c r="C1305" s="141"/>
      <c r="D1305" s="141"/>
      <c r="E1305" s="141"/>
      <c r="F1305" s="141"/>
      <c r="G1305" s="141"/>
      <c r="H1305" s="73"/>
    </row>
    <row r="1306" spans="1:9" s="212" customFormat="1">
      <c r="A1306" s="150"/>
      <c r="B1306" s="83"/>
      <c r="C1306" s="148"/>
      <c r="D1306" s="84"/>
      <c r="E1306" s="84"/>
      <c r="F1306" s="84"/>
      <c r="G1306" s="146"/>
      <c r="H1306" s="221"/>
    </row>
    <row r="1307" spans="1:9" s="212" customFormat="1">
      <c r="A1307" s="84"/>
      <c r="B1307" s="83"/>
      <c r="C1307" s="84"/>
      <c r="D1307" s="84"/>
      <c r="E1307" s="84"/>
      <c r="G1307" s="213"/>
      <c r="H1307" s="222"/>
    </row>
    <row r="1308" spans="1:9" s="212" customFormat="1">
      <c r="A1308" s="120"/>
      <c r="B1308" s="73"/>
      <c r="C1308" s="73"/>
      <c r="D1308" s="73"/>
      <c r="E1308" s="73"/>
      <c r="G1308" s="73"/>
      <c r="H1308" s="222"/>
    </row>
    <row r="1309" spans="1:9" s="212" customFormat="1">
      <c r="A1309" s="220"/>
      <c r="B1309" s="141"/>
      <c r="C1309" s="141"/>
      <c r="D1309" s="141"/>
      <c r="E1309" s="141"/>
      <c r="F1309" s="141"/>
      <c r="G1309" s="141"/>
      <c r="H1309" s="222"/>
    </row>
    <row r="1310" spans="1:9" s="212" customFormat="1" ht="16.5">
      <c r="A1310" s="150"/>
      <c r="B1310" s="161"/>
      <c r="C1310" s="148"/>
      <c r="D1310" s="160"/>
      <c r="E1310" s="84"/>
      <c r="F1310" s="84"/>
      <c r="G1310" s="146"/>
      <c r="H1310" s="221"/>
    </row>
    <row r="1311" spans="1:9" s="212" customFormat="1">
      <c r="A1311" s="91"/>
      <c r="B1311" s="91"/>
      <c r="C1311" s="91"/>
      <c r="D1311" s="91"/>
      <c r="E1311" s="91"/>
      <c r="G1311" s="213"/>
      <c r="H1311" s="222"/>
    </row>
    <row r="1312" spans="1:9" s="212" customFormat="1">
      <c r="A1312" s="120"/>
      <c r="B1312" s="73"/>
      <c r="C1312" s="73"/>
      <c r="D1312" s="73"/>
      <c r="E1312" s="73"/>
      <c r="G1312" s="73"/>
      <c r="H1312" s="222"/>
    </row>
    <row r="1313" spans="1:9" s="212" customFormat="1">
      <c r="A1313" s="220"/>
      <c r="B1313" s="141"/>
      <c r="C1313" s="141"/>
      <c r="D1313" s="141"/>
      <c r="E1313" s="141"/>
      <c r="F1313" s="141"/>
      <c r="G1313" s="141"/>
      <c r="H1313" s="222"/>
    </row>
    <row r="1314" spans="1:9" s="212" customFormat="1">
      <c r="A1314" s="146"/>
      <c r="B1314" s="83"/>
      <c r="C1314" s="148"/>
      <c r="D1314" s="84"/>
      <c r="E1314" s="84"/>
      <c r="F1314" s="84"/>
      <c r="G1314" s="146"/>
      <c r="H1314" s="221"/>
    </row>
    <row r="1315" spans="1:9" s="212" customFormat="1">
      <c r="A1315" s="91"/>
      <c r="B1315" s="91"/>
      <c r="C1315" s="91"/>
      <c r="D1315" s="91"/>
      <c r="E1315" s="91"/>
      <c r="G1315" s="213"/>
      <c r="H1315" s="222"/>
    </row>
    <row r="1316" spans="1:9" s="212" customFormat="1">
      <c r="A1316" s="120"/>
      <c r="B1316" s="73"/>
      <c r="C1316" s="73"/>
      <c r="D1316" s="73"/>
      <c r="E1316" s="73"/>
      <c r="G1316" s="73"/>
      <c r="H1316" s="222"/>
    </row>
    <row r="1317" spans="1:9" s="212" customFormat="1">
      <c r="A1317" s="220"/>
      <c r="B1317" s="141"/>
      <c r="C1317" s="141"/>
      <c r="D1317" s="141"/>
      <c r="E1317" s="141"/>
      <c r="F1317" s="141"/>
      <c r="G1317" s="141"/>
      <c r="H1317" s="222"/>
    </row>
    <row r="1318" spans="1:9" s="212" customFormat="1">
      <c r="A1318" s="142"/>
      <c r="B1318" s="143"/>
      <c r="C1318" s="143"/>
      <c r="D1318" s="143"/>
      <c r="E1318" s="143"/>
      <c r="F1318" s="84"/>
      <c r="G1318" s="146"/>
      <c r="H1318" s="221"/>
    </row>
    <row r="1319" spans="1:9" s="212" customFormat="1">
      <c r="A1319" s="123"/>
      <c r="B1319" s="95"/>
      <c r="C1319" s="95"/>
      <c r="D1319" s="95"/>
      <c r="E1319" s="95"/>
      <c r="G1319" s="213"/>
      <c r="H1319" s="73"/>
    </row>
    <row r="1320" spans="1:9" s="212" customFormat="1">
      <c r="A1320" s="123"/>
      <c r="B1320" s="95"/>
      <c r="C1320" s="95"/>
      <c r="D1320" s="95"/>
      <c r="E1320" s="95"/>
      <c r="G1320" s="73"/>
      <c r="H1320" s="225"/>
    </row>
    <row r="1321" spans="1:9" s="212" customFormat="1">
      <c r="B1321" s="97"/>
      <c r="C1321" s="98"/>
      <c r="D1321" s="98"/>
      <c r="E1321" s="98"/>
      <c r="G1321" s="220"/>
    </row>
    <row r="1322" spans="1:9" s="212" customFormat="1">
      <c r="B1322" s="97"/>
      <c r="C1322" s="98"/>
      <c r="D1322" s="98"/>
      <c r="E1322" s="98"/>
      <c r="F1322" s="220"/>
      <c r="G1322" s="225"/>
      <c r="H1322" s="226"/>
    </row>
    <row r="1323" spans="1:9" s="212" customFormat="1">
      <c r="A1323" s="633"/>
      <c r="B1323" s="633"/>
      <c r="C1323" s="633"/>
      <c r="D1323" s="633"/>
      <c r="E1323" s="633"/>
      <c r="F1323" s="633"/>
      <c r="G1323" s="633"/>
    </row>
    <row r="1324" spans="1:9" s="212" customFormat="1">
      <c r="H1324" s="227"/>
      <c r="I1324" s="228"/>
    </row>
    <row r="1325" spans="1:9" s="212" customFormat="1">
      <c r="A1325" s="658"/>
      <c r="B1325" s="227"/>
      <c r="C1325" s="227"/>
      <c r="D1325" s="227"/>
      <c r="E1325" s="227"/>
      <c r="F1325" s="227"/>
      <c r="G1325" s="227"/>
      <c r="H1325" s="227"/>
      <c r="I1325" s="229"/>
    </row>
    <row r="1326" spans="1:9" s="212" customFormat="1">
      <c r="A1326" s="658"/>
      <c r="B1326" s="227"/>
      <c r="C1326" s="227"/>
      <c r="D1326" s="227"/>
      <c r="E1326" s="227"/>
      <c r="F1326" s="227"/>
      <c r="G1326" s="227"/>
    </row>
    <row r="1327" spans="1:9" s="212" customFormat="1">
      <c r="A1327" s="69"/>
      <c r="B1327" s="69"/>
      <c r="C1327" s="69"/>
      <c r="D1327" s="69"/>
      <c r="E1327" s="69"/>
    </row>
    <row r="1328" spans="1:9" s="212" customFormat="1">
      <c r="A1328" s="120"/>
      <c r="B1328" s="73"/>
      <c r="C1328" s="73"/>
      <c r="D1328" s="73"/>
      <c r="E1328" s="73"/>
      <c r="F1328" s="73"/>
      <c r="G1328" s="73"/>
      <c r="H1328" s="73"/>
    </row>
    <row r="1329" spans="1:8" s="212" customFormat="1">
      <c r="A1329" s="220"/>
      <c r="B1329" s="141"/>
      <c r="C1329" s="141"/>
      <c r="D1329" s="141"/>
      <c r="E1329" s="141"/>
      <c r="F1329" s="141"/>
      <c r="G1329" s="141"/>
      <c r="H1329" s="73"/>
    </row>
    <row r="1330" spans="1:8" s="212" customFormat="1">
      <c r="A1330" s="150"/>
      <c r="B1330" s="83"/>
      <c r="C1330" s="148"/>
      <c r="D1330" s="84"/>
      <c r="E1330" s="84"/>
      <c r="F1330" s="84"/>
      <c r="G1330" s="146"/>
      <c r="H1330" s="221"/>
    </row>
    <row r="1331" spans="1:8" s="212" customFormat="1">
      <c r="A1331" s="84"/>
      <c r="B1331" s="83"/>
      <c r="C1331" s="84"/>
      <c r="D1331" s="84"/>
      <c r="E1331" s="84"/>
      <c r="G1331" s="213"/>
      <c r="H1331" s="222"/>
    </row>
    <row r="1332" spans="1:8" s="212" customFormat="1">
      <c r="A1332" s="120"/>
      <c r="B1332" s="73"/>
      <c r="C1332" s="73"/>
      <c r="D1332" s="73"/>
      <c r="E1332" s="73"/>
      <c r="G1332" s="73"/>
      <c r="H1332" s="222"/>
    </row>
    <row r="1333" spans="1:8" s="212" customFormat="1">
      <c r="A1333" s="220"/>
      <c r="B1333" s="141"/>
      <c r="C1333" s="141"/>
      <c r="D1333" s="141"/>
      <c r="E1333" s="141"/>
      <c r="F1333" s="141"/>
      <c r="G1333" s="141"/>
      <c r="H1333" s="222"/>
    </row>
    <row r="1334" spans="1:8" s="212" customFormat="1" ht="16.5">
      <c r="A1334" s="150"/>
      <c r="B1334" s="161"/>
      <c r="C1334" s="148"/>
      <c r="D1334" s="160"/>
      <c r="E1334" s="84"/>
      <c r="F1334" s="84"/>
      <c r="G1334" s="146"/>
      <c r="H1334" s="221"/>
    </row>
    <row r="1335" spans="1:8" s="212" customFormat="1">
      <c r="A1335" s="91"/>
      <c r="B1335" s="91"/>
      <c r="C1335" s="91"/>
      <c r="D1335" s="91"/>
      <c r="E1335" s="91"/>
      <c r="G1335" s="213"/>
      <c r="H1335" s="222"/>
    </row>
    <row r="1336" spans="1:8" s="212" customFormat="1">
      <c r="A1336" s="120"/>
      <c r="B1336" s="73"/>
      <c r="C1336" s="73"/>
      <c r="D1336" s="73"/>
      <c r="E1336" s="73"/>
      <c r="G1336" s="73"/>
      <c r="H1336" s="222"/>
    </row>
    <row r="1337" spans="1:8" s="212" customFormat="1">
      <c r="A1337" s="220"/>
      <c r="B1337" s="141"/>
      <c r="C1337" s="141"/>
      <c r="D1337" s="141"/>
      <c r="E1337" s="141"/>
      <c r="F1337" s="141"/>
      <c r="G1337" s="141"/>
      <c r="H1337" s="222"/>
    </row>
    <row r="1338" spans="1:8" s="212" customFormat="1">
      <c r="A1338" s="146"/>
      <c r="B1338" s="83"/>
      <c r="C1338" s="148"/>
      <c r="D1338" s="84"/>
      <c r="E1338" s="84"/>
      <c r="F1338" s="84"/>
      <c r="G1338" s="146"/>
      <c r="H1338" s="221"/>
    </row>
    <row r="1339" spans="1:8" s="212" customFormat="1">
      <c r="A1339" s="91"/>
      <c r="B1339" s="91"/>
      <c r="C1339" s="91"/>
      <c r="D1339" s="91"/>
      <c r="E1339" s="91"/>
      <c r="G1339" s="213"/>
      <c r="H1339" s="222"/>
    </row>
    <row r="1340" spans="1:8" s="212" customFormat="1">
      <c r="A1340" s="120"/>
      <c r="B1340" s="73"/>
      <c r="C1340" s="73"/>
      <c r="D1340" s="73"/>
      <c r="E1340" s="73"/>
      <c r="G1340" s="73"/>
      <c r="H1340" s="222"/>
    </row>
    <row r="1341" spans="1:8" s="212" customFormat="1">
      <c r="A1341" s="220"/>
      <c r="B1341" s="141"/>
      <c r="C1341" s="141"/>
      <c r="D1341" s="141"/>
      <c r="E1341" s="141"/>
      <c r="F1341" s="141"/>
      <c r="G1341" s="141"/>
      <c r="H1341" s="222"/>
    </row>
    <row r="1342" spans="1:8" s="212" customFormat="1">
      <c r="A1342" s="142"/>
      <c r="B1342" s="143"/>
      <c r="C1342" s="143"/>
      <c r="D1342" s="143"/>
      <c r="E1342" s="143"/>
      <c r="F1342" s="84"/>
      <c r="G1342" s="146"/>
      <c r="H1342" s="221"/>
    </row>
    <row r="1343" spans="1:8" s="212" customFormat="1">
      <c r="A1343" s="123"/>
      <c r="B1343" s="95"/>
      <c r="C1343" s="95"/>
      <c r="D1343" s="95"/>
      <c r="E1343" s="95"/>
      <c r="G1343" s="213"/>
      <c r="H1343" s="73"/>
    </row>
    <row r="1344" spans="1:8" s="212" customFormat="1">
      <c r="A1344" s="123"/>
      <c r="B1344" s="95"/>
      <c r="C1344" s="95"/>
      <c r="D1344" s="95"/>
      <c r="E1344" s="95"/>
      <c r="G1344" s="73"/>
      <c r="H1344" s="225"/>
    </row>
    <row r="1345" spans="1:9" s="212" customFormat="1">
      <c r="B1345" s="97"/>
      <c r="C1345" s="98"/>
      <c r="D1345" s="98"/>
      <c r="E1345" s="98"/>
      <c r="G1345" s="220"/>
    </row>
    <row r="1346" spans="1:9" s="212" customFormat="1">
      <c r="B1346" s="97"/>
      <c r="C1346" s="98"/>
      <c r="D1346" s="98"/>
      <c r="E1346" s="98"/>
      <c r="F1346" s="220"/>
      <c r="G1346" s="225"/>
      <c r="H1346" s="226"/>
    </row>
    <row r="1347" spans="1:9" s="212" customFormat="1">
      <c r="A1347" s="633"/>
      <c r="B1347" s="633"/>
      <c r="C1347" s="633"/>
      <c r="D1347" s="633"/>
      <c r="E1347" s="633"/>
      <c r="F1347" s="633"/>
      <c r="G1347" s="633"/>
    </row>
    <row r="1348" spans="1:9" s="212" customFormat="1">
      <c r="H1348" s="227"/>
      <c r="I1348" s="228"/>
    </row>
    <row r="1349" spans="1:9" s="212" customFormat="1">
      <c r="A1349" s="658"/>
      <c r="B1349" s="227"/>
      <c r="C1349" s="227"/>
      <c r="D1349" s="227"/>
      <c r="E1349" s="227"/>
      <c r="F1349" s="227"/>
      <c r="G1349" s="227"/>
      <c r="H1349" s="227"/>
      <c r="I1349" s="229"/>
    </row>
    <row r="1350" spans="1:9" s="212" customFormat="1">
      <c r="A1350" s="658"/>
      <c r="B1350" s="227"/>
      <c r="C1350" s="227"/>
      <c r="D1350" s="227"/>
      <c r="E1350" s="227"/>
      <c r="F1350" s="227"/>
      <c r="G1350" s="227"/>
    </row>
    <row r="1351" spans="1:9" s="212" customFormat="1">
      <c r="A1351" s="69"/>
      <c r="B1351" s="69"/>
      <c r="C1351" s="69"/>
      <c r="D1351" s="69"/>
      <c r="E1351" s="69"/>
    </row>
    <row r="1352" spans="1:9" s="212" customFormat="1">
      <c r="A1352" s="120"/>
      <c r="B1352" s="73"/>
      <c r="C1352" s="73"/>
      <c r="D1352" s="73"/>
      <c r="E1352" s="73"/>
      <c r="F1352" s="73"/>
      <c r="G1352" s="73"/>
      <c r="H1352" s="73"/>
    </row>
    <row r="1353" spans="1:9" s="212" customFormat="1">
      <c r="A1353" s="220"/>
      <c r="B1353" s="141"/>
      <c r="C1353" s="141"/>
      <c r="D1353" s="141"/>
      <c r="E1353" s="141"/>
      <c r="F1353" s="141"/>
      <c r="G1353" s="141"/>
      <c r="H1353" s="73"/>
    </row>
    <row r="1354" spans="1:9" s="212" customFormat="1">
      <c r="A1354" s="150"/>
      <c r="B1354" s="83"/>
      <c r="C1354" s="148"/>
      <c r="D1354" s="84"/>
      <c r="E1354" s="84"/>
      <c r="F1354" s="84"/>
      <c r="G1354" s="146"/>
      <c r="H1354" s="221"/>
    </row>
    <row r="1355" spans="1:9" s="212" customFormat="1">
      <c r="A1355" s="84"/>
      <c r="B1355" s="83"/>
      <c r="C1355" s="84"/>
      <c r="D1355" s="84"/>
      <c r="E1355" s="84"/>
      <c r="G1355" s="213"/>
      <c r="H1355" s="222"/>
    </row>
    <row r="1356" spans="1:9" s="212" customFormat="1">
      <c r="A1356" s="120"/>
      <c r="B1356" s="73"/>
      <c r="C1356" s="73"/>
      <c r="D1356" s="73"/>
      <c r="E1356" s="73"/>
      <c r="G1356" s="73"/>
      <c r="H1356" s="222"/>
    </row>
    <row r="1357" spans="1:9" s="212" customFormat="1">
      <c r="A1357" s="220"/>
      <c r="B1357" s="141"/>
      <c r="C1357" s="141"/>
      <c r="D1357" s="141"/>
      <c r="E1357" s="141"/>
      <c r="F1357" s="141"/>
      <c r="G1357" s="141"/>
      <c r="H1357" s="222"/>
    </row>
    <row r="1358" spans="1:9" s="212" customFormat="1" ht="16.5">
      <c r="A1358" s="150"/>
      <c r="B1358" s="161"/>
      <c r="C1358" s="148"/>
      <c r="D1358" s="160"/>
      <c r="E1358" s="84"/>
      <c r="F1358" s="84"/>
      <c r="G1358" s="146"/>
      <c r="H1358" s="221"/>
    </row>
    <row r="1359" spans="1:9" s="212" customFormat="1">
      <c r="A1359" s="91"/>
      <c r="B1359" s="91"/>
      <c r="C1359" s="91"/>
      <c r="D1359" s="91"/>
      <c r="E1359" s="91"/>
      <c r="G1359" s="213"/>
      <c r="H1359" s="222"/>
    </row>
    <row r="1360" spans="1:9" s="212" customFormat="1">
      <c r="A1360" s="120"/>
      <c r="B1360" s="73"/>
      <c r="C1360" s="73"/>
      <c r="D1360" s="73"/>
      <c r="E1360" s="73"/>
      <c r="G1360" s="73"/>
      <c r="H1360" s="222"/>
    </row>
    <row r="1361" spans="1:9" s="212" customFormat="1">
      <c r="A1361" s="220"/>
      <c r="B1361" s="141"/>
      <c r="C1361" s="141"/>
      <c r="D1361" s="141"/>
      <c r="E1361" s="141"/>
      <c r="F1361" s="141"/>
      <c r="G1361" s="141"/>
      <c r="H1361" s="222"/>
    </row>
    <row r="1362" spans="1:9" s="212" customFormat="1">
      <c r="A1362" s="146"/>
      <c r="B1362" s="83"/>
      <c r="C1362" s="148"/>
      <c r="D1362" s="84"/>
      <c r="E1362" s="84"/>
      <c r="F1362" s="84"/>
      <c r="G1362" s="146"/>
      <c r="H1362" s="221"/>
    </row>
    <row r="1363" spans="1:9" s="212" customFormat="1">
      <c r="A1363" s="91"/>
      <c r="B1363" s="91"/>
      <c r="C1363" s="91"/>
      <c r="D1363" s="91"/>
      <c r="E1363" s="91"/>
      <c r="G1363" s="213"/>
      <c r="H1363" s="222"/>
    </row>
    <row r="1364" spans="1:9" s="212" customFormat="1">
      <c r="A1364" s="120"/>
      <c r="B1364" s="73"/>
      <c r="C1364" s="73"/>
      <c r="D1364" s="73"/>
      <c r="E1364" s="73"/>
      <c r="G1364" s="73"/>
      <c r="H1364" s="222"/>
    </row>
    <row r="1365" spans="1:9" s="212" customFormat="1">
      <c r="A1365" s="220"/>
      <c r="B1365" s="141"/>
      <c r="C1365" s="141"/>
      <c r="D1365" s="141"/>
      <c r="E1365" s="141"/>
      <c r="F1365" s="141"/>
      <c r="G1365" s="141"/>
      <c r="H1365" s="222"/>
    </row>
    <row r="1366" spans="1:9" s="212" customFormat="1">
      <c r="A1366" s="142"/>
      <c r="B1366" s="143"/>
      <c r="C1366" s="143"/>
      <c r="D1366" s="143"/>
      <c r="E1366" s="143"/>
      <c r="F1366" s="84"/>
      <c r="G1366" s="146"/>
      <c r="H1366" s="221"/>
    </row>
    <row r="1367" spans="1:9" s="212" customFormat="1">
      <c r="A1367" s="123"/>
      <c r="B1367" s="95"/>
      <c r="C1367" s="95"/>
      <c r="D1367" s="95"/>
      <c r="E1367" s="95"/>
      <c r="G1367" s="213"/>
      <c r="H1367" s="73"/>
    </row>
    <row r="1368" spans="1:9" s="212" customFormat="1">
      <c r="A1368" s="123"/>
      <c r="B1368" s="95"/>
      <c r="C1368" s="95"/>
      <c r="D1368" s="95"/>
      <c r="E1368" s="95"/>
      <c r="G1368" s="73"/>
      <c r="H1368" s="225"/>
    </row>
    <row r="1369" spans="1:9" s="212" customFormat="1">
      <c r="B1369" s="97"/>
      <c r="C1369" s="98"/>
      <c r="D1369" s="98"/>
      <c r="E1369" s="98"/>
      <c r="G1369" s="220"/>
    </row>
    <row r="1370" spans="1:9" s="212" customFormat="1">
      <c r="B1370" s="97"/>
      <c r="C1370" s="98"/>
      <c r="D1370" s="98"/>
      <c r="E1370" s="98"/>
      <c r="F1370" s="220"/>
      <c r="G1370" s="225"/>
      <c r="H1370" s="226"/>
    </row>
    <row r="1371" spans="1:9" s="212" customFormat="1">
      <c r="A1371" s="633"/>
      <c r="B1371" s="633"/>
      <c r="C1371" s="633"/>
      <c r="D1371" s="633"/>
      <c r="E1371" s="633"/>
      <c r="F1371" s="633"/>
      <c r="G1371" s="633"/>
    </row>
    <row r="1372" spans="1:9" s="212" customFormat="1">
      <c r="H1372" s="227"/>
      <c r="I1372" s="228"/>
    </row>
    <row r="1373" spans="1:9" s="212" customFormat="1">
      <c r="A1373" s="658"/>
      <c r="B1373" s="227"/>
      <c r="C1373" s="227"/>
      <c r="D1373" s="227"/>
      <c r="E1373" s="227"/>
      <c r="F1373" s="227"/>
      <c r="G1373" s="227"/>
      <c r="H1373" s="227"/>
      <c r="I1373" s="229"/>
    </row>
    <row r="1374" spans="1:9" s="212" customFormat="1">
      <c r="A1374" s="658"/>
      <c r="B1374" s="227"/>
      <c r="C1374" s="227"/>
      <c r="D1374" s="227"/>
      <c r="E1374" s="227"/>
      <c r="F1374" s="227"/>
      <c r="G1374" s="227"/>
    </row>
    <row r="1375" spans="1:9" s="212" customFormat="1">
      <c r="A1375" s="69"/>
      <c r="B1375" s="69"/>
      <c r="C1375" s="69"/>
      <c r="D1375" s="69"/>
      <c r="E1375" s="69"/>
    </row>
    <row r="1376" spans="1:9" s="212" customFormat="1">
      <c r="A1376" s="120"/>
      <c r="B1376" s="73"/>
      <c r="C1376" s="73"/>
      <c r="D1376" s="73"/>
      <c r="E1376" s="73"/>
      <c r="F1376" s="73"/>
      <c r="G1376" s="73"/>
      <c r="H1376" s="73"/>
    </row>
    <row r="1377" spans="1:8" s="212" customFormat="1">
      <c r="A1377" s="220"/>
      <c r="B1377" s="141"/>
      <c r="C1377" s="141"/>
      <c r="D1377" s="141"/>
      <c r="E1377" s="141"/>
      <c r="F1377" s="141"/>
      <c r="G1377" s="141"/>
      <c r="H1377" s="73"/>
    </row>
    <row r="1378" spans="1:8" s="212" customFormat="1">
      <c r="A1378" s="150"/>
      <c r="B1378" s="83"/>
      <c r="C1378" s="148"/>
      <c r="D1378" s="84"/>
      <c r="E1378" s="84"/>
      <c r="F1378" s="84"/>
      <c r="G1378" s="146"/>
      <c r="H1378" s="221"/>
    </row>
    <row r="1379" spans="1:8" s="212" customFormat="1">
      <c r="A1379" s="84"/>
      <c r="B1379" s="83"/>
      <c r="C1379" s="84"/>
      <c r="D1379" s="84"/>
      <c r="E1379" s="84"/>
      <c r="G1379" s="213"/>
      <c r="H1379" s="222"/>
    </row>
    <row r="1380" spans="1:8" s="212" customFormat="1">
      <c r="A1380" s="120"/>
      <c r="B1380" s="73"/>
      <c r="C1380" s="73"/>
      <c r="D1380" s="73"/>
      <c r="E1380" s="73"/>
      <c r="G1380" s="73"/>
      <c r="H1380" s="222"/>
    </row>
    <row r="1381" spans="1:8" s="212" customFormat="1">
      <c r="A1381" s="220"/>
      <c r="B1381" s="141"/>
      <c r="C1381" s="141"/>
      <c r="D1381" s="141"/>
      <c r="E1381" s="141"/>
      <c r="F1381" s="141"/>
      <c r="G1381" s="141"/>
      <c r="H1381" s="222"/>
    </row>
    <row r="1382" spans="1:8" s="212" customFormat="1" ht="16.5">
      <c r="A1382" s="150"/>
      <c r="B1382" s="161"/>
      <c r="C1382" s="148"/>
      <c r="D1382" s="160"/>
      <c r="E1382" s="84"/>
      <c r="F1382" s="84"/>
      <c r="G1382" s="146"/>
      <c r="H1382" s="221"/>
    </row>
    <row r="1383" spans="1:8" s="212" customFormat="1">
      <c r="A1383" s="91"/>
      <c r="B1383" s="91"/>
      <c r="C1383" s="91"/>
      <c r="D1383" s="91"/>
      <c r="E1383" s="91"/>
      <c r="G1383" s="213"/>
      <c r="H1383" s="222"/>
    </row>
    <row r="1384" spans="1:8" s="212" customFormat="1">
      <c r="A1384" s="120"/>
      <c r="B1384" s="73"/>
      <c r="C1384" s="73"/>
      <c r="D1384" s="73"/>
      <c r="E1384" s="73"/>
      <c r="G1384" s="73"/>
      <c r="H1384" s="222"/>
    </row>
    <row r="1385" spans="1:8" s="212" customFormat="1">
      <c r="A1385" s="220"/>
      <c r="B1385" s="141"/>
      <c r="C1385" s="141"/>
      <c r="D1385" s="141"/>
      <c r="E1385" s="141"/>
      <c r="F1385" s="141"/>
      <c r="G1385" s="141"/>
      <c r="H1385" s="222"/>
    </row>
    <row r="1386" spans="1:8" s="212" customFormat="1">
      <c r="A1386" s="146"/>
      <c r="B1386" s="83"/>
      <c r="C1386" s="148"/>
      <c r="D1386" s="84"/>
      <c r="E1386" s="84"/>
      <c r="F1386" s="84"/>
      <c r="G1386" s="146"/>
      <c r="H1386" s="221"/>
    </row>
    <row r="1387" spans="1:8" s="212" customFormat="1">
      <c r="A1387" s="91"/>
      <c r="B1387" s="91"/>
      <c r="C1387" s="91"/>
      <c r="D1387" s="91"/>
      <c r="E1387" s="91"/>
      <c r="G1387" s="213"/>
      <c r="H1387" s="222"/>
    </row>
    <row r="1388" spans="1:8" s="212" customFormat="1">
      <c r="A1388" s="120"/>
      <c r="B1388" s="73"/>
      <c r="C1388" s="73"/>
      <c r="D1388" s="73"/>
      <c r="E1388" s="73"/>
      <c r="G1388" s="73"/>
      <c r="H1388" s="222"/>
    </row>
    <row r="1389" spans="1:8" s="212" customFormat="1">
      <c r="A1389" s="220"/>
      <c r="B1389" s="141"/>
      <c r="C1389" s="141"/>
      <c r="D1389" s="141"/>
      <c r="E1389" s="141"/>
      <c r="F1389" s="141"/>
      <c r="G1389" s="141"/>
      <c r="H1389" s="222"/>
    </row>
    <row r="1390" spans="1:8" s="212" customFormat="1">
      <c r="A1390" s="142"/>
      <c r="B1390" s="143"/>
      <c r="C1390" s="143"/>
      <c r="D1390" s="143"/>
      <c r="E1390" s="143"/>
      <c r="F1390" s="84"/>
      <c r="G1390" s="146"/>
      <c r="H1390" s="221"/>
    </row>
    <row r="1391" spans="1:8" s="212" customFormat="1">
      <c r="A1391" s="123"/>
      <c r="B1391" s="95"/>
      <c r="C1391" s="95"/>
      <c r="D1391" s="95"/>
      <c r="E1391" s="95"/>
      <c r="G1391" s="213"/>
      <c r="H1391" s="73"/>
    </row>
    <row r="1392" spans="1:8" s="212" customFormat="1">
      <c r="A1392" s="123"/>
      <c r="B1392" s="95"/>
      <c r="C1392" s="95"/>
      <c r="D1392" s="95"/>
      <c r="E1392" s="95"/>
      <c r="G1392" s="73"/>
      <c r="H1392" s="225"/>
    </row>
    <row r="1393" spans="1:9" s="212" customFormat="1">
      <c r="B1393" s="97"/>
      <c r="C1393" s="98"/>
      <c r="D1393" s="98"/>
      <c r="E1393" s="98"/>
      <c r="G1393" s="220"/>
    </row>
    <row r="1394" spans="1:9" s="212" customFormat="1">
      <c r="B1394" s="97"/>
      <c r="C1394" s="98"/>
      <c r="D1394" s="98"/>
      <c r="E1394" s="98"/>
      <c r="F1394" s="220"/>
      <c r="G1394" s="225"/>
      <c r="H1394" s="226"/>
    </row>
    <row r="1395" spans="1:9" s="212" customFormat="1">
      <c r="A1395" s="633"/>
      <c r="B1395" s="633"/>
      <c r="C1395" s="633"/>
      <c r="D1395" s="633"/>
      <c r="E1395" s="633"/>
      <c r="F1395" s="633"/>
      <c r="G1395" s="633"/>
    </row>
    <row r="1396" spans="1:9" s="212" customFormat="1">
      <c r="H1396" s="227"/>
      <c r="I1396" s="228"/>
    </row>
    <row r="1397" spans="1:9" s="212" customFormat="1">
      <c r="A1397" s="658"/>
      <c r="B1397" s="227"/>
      <c r="C1397" s="227"/>
      <c r="D1397" s="227"/>
      <c r="E1397" s="227"/>
      <c r="F1397" s="227"/>
      <c r="G1397" s="227"/>
      <c r="H1397" s="227"/>
      <c r="I1397" s="229"/>
    </row>
    <row r="1398" spans="1:9" s="212" customFormat="1">
      <c r="A1398" s="658"/>
      <c r="B1398" s="227"/>
      <c r="C1398" s="227"/>
      <c r="D1398" s="227"/>
      <c r="E1398" s="227"/>
      <c r="F1398" s="227"/>
      <c r="G1398" s="227"/>
    </row>
    <row r="1399" spans="1:9" s="212" customFormat="1">
      <c r="A1399" s="69"/>
      <c r="B1399" s="69"/>
      <c r="C1399" s="69"/>
      <c r="D1399" s="69"/>
      <c r="E1399" s="69"/>
    </row>
    <row r="1400" spans="1:9" s="212" customFormat="1">
      <c r="A1400" s="120"/>
      <c r="B1400" s="73"/>
      <c r="C1400" s="73"/>
      <c r="D1400" s="73"/>
      <c r="E1400" s="73"/>
      <c r="F1400" s="73"/>
      <c r="G1400" s="73"/>
      <c r="H1400" s="73"/>
    </row>
    <row r="1401" spans="1:9" s="212" customFormat="1">
      <c r="A1401" s="220"/>
      <c r="B1401" s="141"/>
      <c r="C1401" s="141"/>
      <c r="D1401" s="141"/>
      <c r="E1401" s="141"/>
      <c r="F1401" s="141"/>
      <c r="G1401" s="141"/>
      <c r="H1401" s="73"/>
    </row>
    <row r="1402" spans="1:9" s="212" customFormat="1">
      <c r="A1402" s="150"/>
      <c r="B1402" s="83"/>
      <c r="C1402" s="148"/>
      <c r="D1402" s="84"/>
      <c r="E1402" s="84"/>
      <c r="F1402" s="84"/>
      <c r="G1402" s="146"/>
      <c r="H1402" s="221"/>
    </row>
    <row r="1403" spans="1:9" s="212" customFormat="1">
      <c r="A1403" s="84"/>
      <c r="B1403" s="83"/>
      <c r="C1403" s="84"/>
      <c r="D1403" s="84"/>
      <c r="E1403" s="84"/>
      <c r="G1403" s="213"/>
      <c r="H1403" s="222"/>
    </row>
    <row r="1404" spans="1:9" s="212" customFormat="1">
      <c r="A1404" s="120"/>
      <c r="B1404" s="73"/>
      <c r="C1404" s="73"/>
      <c r="D1404" s="73"/>
      <c r="E1404" s="73"/>
      <c r="G1404" s="73"/>
      <c r="H1404" s="222"/>
    </row>
    <row r="1405" spans="1:9" s="212" customFormat="1">
      <c r="A1405" s="220"/>
      <c r="B1405" s="141"/>
      <c r="C1405" s="141"/>
      <c r="D1405" s="141"/>
      <c r="E1405" s="141"/>
      <c r="F1405" s="141"/>
      <c r="G1405" s="141"/>
      <c r="H1405" s="222"/>
    </row>
    <row r="1406" spans="1:9" s="212" customFormat="1" ht="16.5">
      <c r="A1406" s="150"/>
      <c r="B1406" s="161"/>
      <c r="C1406" s="148"/>
      <c r="D1406" s="160"/>
      <c r="E1406" s="84"/>
      <c r="F1406" s="84"/>
      <c r="G1406" s="146"/>
      <c r="H1406" s="221"/>
    </row>
    <row r="1407" spans="1:9" s="212" customFormat="1">
      <c r="A1407" s="91"/>
      <c r="B1407" s="91"/>
      <c r="C1407" s="91"/>
      <c r="D1407" s="91"/>
      <c r="E1407" s="91"/>
      <c r="G1407" s="213"/>
      <c r="H1407" s="222"/>
    </row>
    <row r="1408" spans="1:9" s="212" customFormat="1">
      <c r="A1408" s="120"/>
      <c r="B1408" s="73"/>
      <c r="C1408" s="73"/>
      <c r="D1408" s="73"/>
      <c r="E1408" s="73"/>
      <c r="G1408" s="73"/>
      <c r="H1408" s="222"/>
    </row>
    <row r="1409" spans="1:9" s="212" customFormat="1">
      <c r="A1409" s="220"/>
      <c r="B1409" s="141"/>
      <c r="C1409" s="141"/>
      <c r="D1409" s="141"/>
      <c r="E1409" s="141"/>
      <c r="F1409" s="141"/>
      <c r="G1409" s="141"/>
      <c r="H1409" s="222"/>
    </row>
    <row r="1410" spans="1:9" s="212" customFormat="1">
      <c r="A1410" s="146"/>
      <c r="B1410" s="83"/>
      <c r="C1410" s="148"/>
      <c r="D1410" s="84"/>
      <c r="E1410" s="84"/>
      <c r="F1410" s="84"/>
      <c r="G1410" s="146"/>
      <c r="H1410" s="221"/>
    </row>
    <row r="1411" spans="1:9" s="212" customFormat="1">
      <c r="A1411" s="91"/>
      <c r="B1411" s="91"/>
      <c r="C1411" s="91"/>
      <c r="D1411" s="91"/>
      <c r="E1411" s="91"/>
      <c r="G1411" s="213"/>
      <c r="H1411" s="222"/>
    </row>
    <row r="1412" spans="1:9" s="212" customFormat="1">
      <c r="A1412" s="120"/>
      <c r="B1412" s="73"/>
      <c r="C1412" s="73"/>
      <c r="D1412" s="73"/>
      <c r="E1412" s="73"/>
      <c r="G1412" s="73"/>
      <c r="H1412" s="222"/>
    </row>
    <row r="1413" spans="1:9" s="212" customFormat="1">
      <c r="A1413" s="220"/>
      <c r="B1413" s="141"/>
      <c r="C1413" s="141"/>
      <c r="D1413" s="141"/>
      <c r="E1413" s="141"/>
      <c r="F1413" s="141"/>
      <c r="G1413" s="141"/>
      <c r="H1413" s="222"/>
    </row>
    <row r="1414" spans="1:9" s="212" customFormat="1">
      <c r="A1414" s="142"/>
      <c r="B1414" s="143"/>
      <c r="C1414" s="143"/>
      <c r="D1414" s="143"/>
      <c r="E1414" s="143"/>
      <c r="F1414" s="84"/>
      <c r="G1414" s="146"/>
      <c r="H1414" s="221"/>
    </row>
    <row r="1415" spans="1:9" s="212" customFormat="1">
      <c r="A1415" s="123"/>
      <c r="B1415" s="95"/>
      <c r="C1415" s="95"/>
      <c r="D1415" s="95"/>
      <c r="E1415" s="95"/>
      <c r="G1415" s="213"/>
      <c r="H1415" s="73"/>
    </row>
    <row r="1416" spans="1:9" s="212" customFormat="1">
      <c r="A1416" s="123"/>
      <c r="B1416" s="95"/>
      <c r="C1416" s="95"/>
      <c r="D1416" s="95"/>
      <c r="E1416" s="95"/>
      <c r="G1416" s="73"/>
      <c r="H1416" s="225"/>
    </row>
    <row r="1417" spans="1:9" s="212" customFormat="1">
      <c r="B1417" s="97"/>
      <c r="C1417" s="98"/>
      <c r="D1417" s="98"/>
      <c r="E1417" s="98"/>
      <c r="G1417" s="220"/>
    </row>
    <row r="1418" spans="1:9" s="212" customFormat="1">
      <c r="B1418" s="97"/>
      <c r="C1418" s="98"/>
      <c r="D1418" s="98"/>
      <c r="E1418" s="98"/>
      <c r="F1418" s="220"/>
      <c r="G1418" s="225"/>
      <c r="H1418" s="226"/>
    </row>
    <row r="1419" spans="1:9" s="212" customFormat="1">
      <c r="A1419" s="633"/>
      <c r="B1419" s="633"/>
      <c r="C1419" s="633"/>
      <c r="D1419" s="633"/>
      <c r="E1419" s="633"/>
      <c r="F1419" s="633"/>
      <c r="G1419" s="633"/>
    </row>
    <row r="1420" spans="1:9" s="212" customFormat="1">
      <c r="H1420" s="227"/>
      <c r="I1420" s="228"/>
    </row>
    <row r="1421" spans="1:9" s="212" customFormat="1">
      <c r="A1421" s="658"/>
      <c r="B1421" s="227"/>
      <c r="C1421" s="227"/>
      <c r="D1421" s="227"/>
      <c r="E1421" s="227"/>
      <c r="F1421" s="227"/>
      <c r="G1421" s="227"/>
      <c r="H1421" s="227"/>
      <c r="I1421" s="229"/>
    </row>
    <row r="1422" spans="1:9" s="212" customFormat="1">
      <c r="A1422" s="658"/>
      <c r="B1422" s="227"/>
      <c r="C1422" s="227"/>
      <c r="D1422" s="227"/>
      <c r="E1422" s="227"/>
      <c r="F1422" s="227"/>
      <c r="G1422" s="227"/>
    </row>
    <row r="1423" spans="1:9" s="212" customFormat="1">
      <c r="A1423" s="69"/>
      <c r="B1423" s="69"/>
      <c r="C1423" s="69"/>
      <c r="D1423" s="69"/>
      <c r="E1423" s="69"/>
    </row>
    <row r="1424" spans="1:9" s="212" customFormat="1">
      <c r="A1424" s="120"/>
      <c r="B1424" s="73"/>
      <c r="C1424" s="73"/>
      <c r="D1424" s="73"/>
      <c r="E1424" s="73"/>
      <c r="F1424" s="73"/>
      <c r="G1424" s="73"/>
      <c r="H1424" s="73"/>
    </row>
    <row r="1425" spans="1:8" s="212" customFormat="1">
      <c r="A1425" s="220"/>
      <c r="B1425" s="141"/>
      <c r="C1425" s="141"/>
      <c r="D1425" s="141"/>
      <c r="E1425" s="141"/>
      <c r="F1425" s="141"/>
      <c r="G1425" s="141"/>
      <c r="H1425" s="73"/>
    </row>
    <row r="1426" spans="1:8" s="212" customFormat="1">
      <c r="A1426" s="150"/>
      <c r="B1426" s="83"/>
      <c r="C1426" s="148"/>
      <c r="D1426" s="84"/>
      <c r="E1426" s="84"/>
      <c r="F1426" s="84"/>
      <c r="G1426" s="146"/>
      <c r="H1426" s="221"/>
    </row>
    <row r="1427" spans="1:8" s="212" customFormat="1">
      <c r="A1427" s="84"/>
      <c r="B1427" s="83"/>
      <c r="C1427" s="84"/>
      <c r="D1427" s="84"/>
      <c r="E1427" s="84"/>
      <c r="G1427" s="213"/>
      <c r="H1427" s="222"/>
    </row>
    <row r="1428" spans="1:8" s="212" customFormat="1">
      <c r="A1428" s="120"/>
      <c r="B1428" s="73"/>
      <c r="C1428" s="73"/>
      <c r="D1428" s="73"/>
      <c r="E1428" s="73"/>
      <c r="G1428" s="73"/>
      <c r="H1428" s="222"/>
    </row>
    <row r="1429" spans="1:8" s="212" customFormat="1">
      <c r="A1429" s="220"/>
      <c r="B1429" s="141"/>
      <c r="C1429" s="141"/>
      <c r="D1429" s="141"/>
      <c r="E1429" s="141"/>
      <c r="F1429" s="141"/>
      <c r="G1429" s="141"/>
      <c r="H1429" s="222"/>
    </row>
    <row r="1430" spans="1:8" s="212" customFormat="1" ht="16.5">
      <c r="A1430" s="150"/>
      <c r="B1430" s="161"/>
      <c r="C1430" s="148"/>
      <c r="D1430" s="160"/>
      <c r="E1430" s="84"/>
      <c r="F1430" s="84"/>
      <c r="G1430" s="146"/>
      <c r="H1430" s="221"/>
    </row>
    <row r="1431" spans="1:8" s="212" customFormat="1">
      <c r="A1431" s="91"/>
      <c r="B1431" s="91"/>
      <c r="C1431" s="91"/>
      <c r="D1431" s="91"/>
      <c r="E1431" s="91"/>
      <c r="G1431" s="213"/>
      <c r="H1431" s="222"/>
    </row>
    <row r="1432" spans="1:8" s="212" customFormat="1">
      <c r="A1432" s="120"/>
      <c r="B1432" s="73"/>
      <c r="C1432" s="73"/>
      <c r="D1432" s="73"/>
      <c r="E1432" s="73"/>
      <c r="G1432" s="73"/>
      <c r="H1432" s="222"/>
    </row>
    <row r="1433" spans="1:8" s="212" customFormat="1">
      <c r="A1433" s="220"/>
      <c r="B1433" s="141"/>
      <c r="C1433" s="141"/>
      <c r="D1433" s="141"/>
      <c r="E1433" s="141"/>
      <c r="F1433" s="141"/>
      <c r="G1433" s="141"/>
      <c r="H1433" s="222"/>
    </row>
    <row r="1434" spans="1:8" s="212" customFormat="1">
      <c r="A1434" s="146"/>
      <c r="B1434" s="83"/>
      <c r="C1434" s="148"/>
      <c r="D1434" s="84"/>
      <c r="E1434" s="84"/>
      <c r="F1434" s="84"/>
      <c r="G1434" s="146"/>
      <c r="H1434" s="221"/>
    </row>
    <row r="1435" spans="1:8" s="212" customFormat="1">
      <c r="A1435" s="91"/>
      <c r="B1435" s="91"/>
      <c r="C1435" s="91"/>
      <c r="D1435" s="91"/>
      <c r="E1435" s="91"/>
      <c r="G1435" s="213"/>
      <c r="H1435" s="222"/>
    </row>
    <row r="1436" spans="1:8" s="212" customFormat="1">
      <c r="A1436" s="120"/>
      <c r="B1436" s="73"/>
      <c r="C1436" s="73"/>
      <c r="D1436" s="73"/>
      <c r="E1436" s="73"/>
      <c r="G1436" s="73"/>
      <c r="H1436" s="222"/>
    </row>
    <row r="1437" spans="1:8" s="212" customFormat="1">
      <c r="A1437" s="220"/>
      <c r="B1437" s="141"/>
      <c r="C1437" s="141"/>
      <c r="D1437" s="141"/>
      <c r="E1437" s="141"/>
      <c r="F1437" s="141"/>
      <c r="G1437" s="141"/>
      <c r="H1437" s="222"/>
    </row>
    <row r="1438" spans="1:8" s="212" customFormat="1">
      <c r="A1438" s="142"/>
      <c r="B1438" s="143"/>
      <c r="C1438" s="143"/>
      <c r="D1438" s="143"/>
      <c r="E1438" s="143"/>
      <c r="F1438" s="84"/>
      <c r="G1438" s="146"/>
      <c r="H1438" s="221"/>
    </row>
    <row r="1439" spans="1:8" s="212" customFormat="1">
      <c r="A1439" s="123"/>
      <c r="B1439" s="95"/>
      <c r="C1439" s="95"/>
      <c r="D1439" s="95"/>
      <c r="E1439" s="95"/>
      <c r="G1439" s="213"/>
      <c r="H1439" s="73"/>
    </row>
    <row r="1440" spans="1:8" s="212" customFormat="1">
      <c r="A1440" s="123"/>
      <c r="B1440" s="95"/>
      <c r="C1440" s="95"/>
      <c r="D1440" s="95"/>
      <c r="E1440" s="95"/>
      <c r="G1440" s="73"/>
      <c r="H1440" s="225"/>
    </row>
    <row r="1441" spans="1:9" s="212" customFormat="1">
      <c r="B1441" s="97"/>
      <c r="C1441" s="98"/>
      <c r="D1441" s="98"/>
      <c r="E1441" s="98"/>
      <c r="G1441" s="220"/>
    </row>
    <row r="1442" spans="1:9" s="212" customFormat="1">
      <c r="B1442" s="97"/>
      <c r="C1442" s="98"/>
      <c r="D1442" s="98"/>
      <c r="E1442" s="98"/>
      <c r="F1442" s="220"/>
      <c r="G1442" s="225"/>
      <c r="H1442" s="226"/>
    </row>
    <row r="1443" spans="1:9" s="212" customFormat="1">
      <c r="A1443" s="633"/>
      <c r="B1443" s="633"/>
      <c r="C1443" s="633"/>
      <c r="D1443" s="633"/>
      <c r="E1443" s="633"/>
      <c r="F1443" s="633"/>
      <c r="G1443" s="633"/>
    </row>
    <row r="1444" spans="1:9" s="212" customFormat="1">
      <c r="H1444" s="227"/>
      <c r="I1444" s="228"/>
    </row>
    <row r="1445" spans="1:9" s="212" customFormat="1">
      <c r="A1445" s="658"/>
      <c r="B1445" s="227"/>
      <c r="C1445" s="227"/>
      <c r="D1445" s="227"/>
      <c r="E1445" s="227"/>
      <c r="F1445" s="227"/>
      <c r="G1445" s="227"/>
      <c r="H1445" s="227"/>
      <c r="I1445" s="229"/>
    </row>
    <row r="1446" spans="1:9" s="212" customFormat="1">
      <c r="A1446" s="658"/>
      <c r="B1446" s="227"/>
      <c r="C1446" s="227"/>
      <c r="D1446" s="227"/>
      <c r="E1446" s="227"/>
      <c r="F1446" s="227"/>
      <c r="G1446" s="227"/>
    </row>
    <row r="1447" spans="1:9" s="212" customFormat="1">
      <c r="A1447" s="69"/>
      <c r="B1447" s="69"/>
      <c r="C1447" s="69"/>
      <c r="D1447" s="69"/>
      <c r="E1447" s="69"/>
    </row>
    <row r="1448" spans="1:9" s="212" customFormat="1">
      <c r="A1448" s="120"/>
      <c r="B1448" s="73"/>
      <c r="C1448" s="73"/>
      <c r="D1448" s="73"/>
      <c r="E1448" s="73"/>
      <c r="F1448" s="73"/>
      <c r="G1448" s="73"/>
      <c r="H1448" s="73"/>
    </row>
    <row r="1449" spans="1:9" s="212" customFormat="1">
      <c r="A1449" s="220"/>
      <c r="B1449" s="141"/>
      <c r="C1449" s="141"/>
      <c r="D1449" s="141"/>
      <c r="E1449" s="141"/>
      <c r="F1449" s="141"/>
      <c r="G1449" s="141"/>
      <c r="H1449" s="73"/>
    </row>
    <row r="1450" spans="1:9" s="212" customFormat="1">
      <c r="A1450" s="150"/>
      <c r="B1450" s="83"/>
      <c r="C1450" s="148"/>
      <c r="D1450" s="84"/>
      <c r="E1450" s="84"/>
      <c r="F1450" s="84"/>
      <c r="G1450" s="146"/>
      <c r="H1450" s="221"/>
    </row>
    <row r="1451" spans="1:9" s="212" customFormat="1">
      <c r="A1451" s="84"/>
      <c r="B1451" s="83"/>
      <c r="C1451" s="84"/>
      <c r="D1451" s="84"/>
      <c r="E1451" s="84"/>
      <c r="G1451" s="213"/>
      <c r="H1451" s="222"/>
    </row>
    <row r="1452" spans="1:9" s="212" customFormat="1">
      <c r="A1452" s="120"/>
      <c r="B1452" s="73"/>
      <c r="C1452" s="73"/>
      <c r="D1452" s="73"/>
      <c r="E1452" s="73"/>
      <c r="G1452" s="73"/>
      <c r="H1452" s="222"/>
    </row>
    <row r="1453" spans="1:9" s="212" customFormat="1">
      <c r="A1453" s="220"/>
      <c r="B1453" s="141"/>
      <c r="C1453" s="141"/>
      <c r="D1453" s="141"/>
      <c r="E1453" s="141"/>
      <c r="F1453" s="141"/>
      <c r="G1453" s="141"/>
      <c r="H1453" s="222"/>
    </row>
    <row r="1454" spans="1:9" s="212" customFormat="1" ht="16.5">
      <c r="A1454" s="150"/>
      <c r="B1454" s="161"/>
      <c r="C1454" s="148"/>
      <c r="D1454" s="160"/>
      <c r="E1454" s="84"/>
      <c r="F1454" s="84"/>
      <c r="G1454" s="146"/>
      <c r="H1454" s="221"/>
    </row>
    <row r="1455" spans="1:9" s="212" customFormat="1">
      <c r="A1455" s="91"/>
      <c r="B1455" s="91"/>
      <c r="C1455" s="91"/>
      <c r="D1455" s="91"/>
      <c r="E1455" s="91"/>
      <c r="G1455" s="213"/>
      <c r="H1455" s="222"/>
    </row>
    <row r="1456" spans="1:9" s="212" customFormat="1">
      <c r="A1456" s="120"/>
      <c r="B1456" s="73"/>
      <c r="C1456" s="73"/>
      <c r="D1456" s="73"/>
      <c r="E1456" s="73"/>
      <c r="G1456" s="73"/>
      <c r="H1456" s="222"/>
    </row>
    <row r="1457" spans="1:9" s="212" customFormat="1">
      <c r="A1457" s="220"/>
      <c r="B1457" s="141"/>
      <c r="C1457" s="141"/>
      <c r="D1457" s="141"/>
      <c r="E1457" s="141"/>
      <c r="F1457" s="141"/>
      <c r="G1457" s="141"/>
      <c r="H1457" s="222"/>
    </row>
    <row r="1458" spans="1:9" s="212" customFormat="1">
      <c r="A1458" s="146"/>
      <c r="B1458" s="83"/>
      <c r="C1458" s="148"/>
      <c r="D1458" s="84"/>
      <c r="E1458" s="84"/>
      <c r="F1458" s="84"/>
      <c r="G1458" s="146"/>
      <c r="H1458" s="221"/>
    </row>
    <row r="1459" spans="1:9" s="212" customFormat="1">
      <c r="A1459" s="91"/>
      <c r="B1459" s="91"/>
      <c r="C1459" s="91"/>
      <c r="D1459" s="91"/>
      <c r="E1459" s="91"/>
      <c r="G1459" s="213"/>
      <c r="H1459" s="222"/>
    </row>
    <row r="1460" spans="1:9" s="212" customFormat="1">
      <c r="A1460" s="120"/>
      <c r="B1460" s="73"/>
      <c r="C1460" s="73"/>
      <c r="D1460" s="73"/>
      <c r="E1460" s="73"/>
      <c r="G1460" s="73"/>
      <c r="H1460" s="222"/>
    </row>
    <row r="1461" spans="1:9" s="212" customFormat="1">
      <c r="A1461" s="220"/>
      <c r="B1461" s="141"/>
      <c r="C1461" s="141"/>
      <c r="D1461" s="141"/>
      <c r="E1461" s="141"/>
      <c r="F1461" s="141"/>
      <c r="G1461" s="141"/>
      <c r="H1461" s="222"/>
    </row>
    <row r="1462" spans="1:9" s="212" customFormat="1">
      <c r="A1462" s="142"/>
      <c r="B1462" s="143"/>
      <c r="C1462" s="143"/>
      <c r="D1462" s="143"/>
      <c r="E1462" s="143"/>
      <c r="F1462" s="84"/>
      <c r="G1462" s="146"/>
      <c r="H1462" s="221"/>
    </row>
    <row r="1463" spans="1:9" s="212" customFormat="1">
      <c r="A1463" s="123"/>
      <c r="B1463" s="95"/>
      <c r="C1463" s="95"/>
      <c r="D1463" s="95"/>
      <c r="E1463" s="95"/>
      <c r="G1463" s="213"/>
      <c r="H1463" s="73"/>
    </row>
    <row r="1464" spans="1:9" s="212" customFormat="1">
      <c r="A1464" s="123"/>
      <c r="B1464" s="95"/>
      <c r="C1464" s="95"/>
      <c r="D1464" s="95"/>
      <c r="E1464" s="95"/>
      <c r="G1464" s="73"/>
      <c r="H1464" s="225"/>
    </row>
    <row r="1465" spans="1:9" s="212" customFormat="1">
      <c r="B1465" s="97"/>
      <c r="C1465" s="98"/>
      <c r="D1465" s="98"/>
      <c r="E1465" s="98"/>
      <c r="G1465" s="220"/>
    </row>
    <row r="1466" spans="1:9" s="212" customFormat="1">
      <c r="B1466" s="97"/>
      <c r="C1466" s="98"/>
      <c r="D1466" s="98"/>
      <c r="E1466" s="98"/>
      <c r="F1466" s="220"/>
      <c r="G1466" s="225"/>
      <c r="H1466" s="226"/>
    </row>
    <row r="1467" spans="1:9" s="212" customFormat="1">
      <c r="A1467" s="633"/>
      <c r="B1467" s="633"/>
      <c r="C1467" s="633"/>
      <c r="D1467" s="633"/>
      <c r="E1467" s="633"/>
      <c r="F1467" s="633"/>
      <c r="G1467" s="633"/>
    </row>
    <row r="1468" spans="1:9" s="212" customFormat="1">
      <c r="H1468" s="227"/>
      <c r="I1468" s="228"/>
    </row>
    <row r="1469" spans="1:9" s="212" customFormat="1">
      <c r="A1469" s="658"/>
      <c r="B1469" s="227"/>
      <c r="C1469" s="227"/>
      <c r="D1469" s="227"/>
      <c r="E1469" s="227"/>
      <c r="F1469" s="227"/>
      <c r="G1469" s="227"/>
      <c r="H1469" s="227"/>
      <c r="I1469" s="229"/>
    </row>
    <row r="1470" spans="1:9" s="212" customFormat="1">
      <c r="A1470" s="658"/>
      <c r="B1470" s="227"/>
      <c r="C1470" s="227"/>
      <c r="D1470" s="227"/>
      <c r="E1470" s="227"/>
      <c r="F1470" s="227"/>
      <c r="G1470" s="227"/>
    </row>
    <row r="1471" spans="1:9" s="212" customFormat="1">
      <c r="A1471" s="69"/>
      <c r="B1471" s="69"/>
      <c r="C1471" s="69"/>
      <c r="D1471" s="69"/>
      <c r="E1471" s="69"/>
    </row>
    <row r="1472" spans="1:9" s="212" customFormat="1">
      <c r="A1472" s="120"/>
      <c r="B1472" s="73"/>
      <c r="C1472" s="73"/>
      <c r="D1472" s="73"/>
      <c r="E1472" s="73"/>
      <c r="F1472" s="73"/>
      <c r="G1472" s="73"/>
      <c r="H1472" s="73"/>
    </row>
    <row r="1473" spans="1:8" s="212" customFormat="1">
      <c r="A1473" s="220"/>
      <c r="B1473" s="141"/>
      <c r="C1473" s="141"/>
      <c r="D1473" s="141"/>
      <c r="E1473" s="141"/>
      <c r="F1473" s="141"/>
      <c r="G1473" s="141"/>
      <c r="H1473" s="73"/>
    </row>
    <row r="1474" spans="1:8" s="212" customFormat="1">
      <c r="A1474" s="150"/>
      <c r="B1474" s="83"/>
      <c r="C1474" s="148"/>
      <c r="D1474" s="84"/>
      <c r="E1474" s="84"/>
      <c r="F1474" s="84"/>
      <c r="G1474" s="146"/>
      <c r="H1474" s="221"/>
    </row>
    <row r="1475" spans="1:8" s="212" customFormat="1">
      <c r="A1475" s="84"/>
      <c r="B1475" s="83"/>
      <c r="C1475" s="84"/>
      <c r="D1475" s="84"/>
      <c r="E1475" s="84"/>
      <c r="G1475" s="213"/>
      <c r="H1475" s="222"/>
    </row>
    <row r="1476" spans="1:8" s="212" customFormat="1">
      <c r="A1476" s="120"/>
      <c r="B1476" s="73"/>
      <c r="C1476" s="73"/>
      <c r="D1476" s="73"/>
      <c r="E1476" s="73"/>
      <c r="G1476" s="73"/>
      <c r="H1476" s="222"/>
    </row>
    <row r="1477" spans="1:8" s="212" customFormat="1">
      <c r="A1477" s="220"/>
      <c r="B1477" s="141"/>
      <c r="C1477" s="141"/>
      <c r="D1477" s="141"/>
      <c r="E1477" s="141"/>
      <c r="F1477" s="141"/>
      <c r="G1477" s="141"/>
      <c r="H1477" s="222"/>
    </row>
    <row r="1478" spans="1:8" s="212" customFormat="1" ht="16.5">
      <c r="A1478" s="150"/>
      <c r="B1478" s="161"/>
      <c r="C1478" s="148"/>
      <c r="D1478" s="160"/>
      <c r="E1478" s="84"/>
      <c r="F1478" s="84"/>
      <c r="G1478" s="146"/>
      <c r="H1478" s="221"/>
    </row>
    <row r="1479" spans="1:8" s="212" customFormat="1">
      <c r="A1479" s="91"/>
      <c r="B1479" s="91"/>
      <c r="C1479" s="91"/>
      <c r="D1479" s="91"/>
      <c r="E1479" s="91"/>
      <c r="G1479" s="213"/>
      <c r="H1479" s="222"/>
    </row>
    <row r="1480" spans="1:8" s="212" customFormat="1">
      <c r="A1480" s="120"/>
      <c r="B1480" s="73"/>
      <c r="C1480" s="73"/>
      <c r="D1480" s="73"/>
      <c r="E1480" s="73"/>
      <c r="G1480" s="73"/>
      <c r="H1480" s="222"/>
    </row>
    <row r="1481" spans="1:8" s="212" customFormat="1">
      <c r="A1481" s="220"/>
      <c r="B1481" s="141"/>
      <c r="C1481" s="141"/>
      <c r="D1481" s="141"/>
      <c r="E1481" s="141"/>
      <c r="F1481" s="141"/>
      <c r="G1481" s="141"/>
      <c r="H1481" s="222"/>
    </row>
    <row r="1482" spans="1:8" s="212" customFormat="1">
      <c r="A1482" s="146"/>
      <c r="B1482" s="83"/>
      <c r="C1482" s="148"/>
      <c r="D1482" s="84"/>
      <c r="E1482" s="84"/>
      <c r="F1482" s="84"/>
      <c r="G1482" s="146"/>
      <c r="H1482" s="221"/>
    </row>
    <row r="1483" spans="1:8" s="212" customFormat="1">
      <c r="A1483" s="91"/>
      <c r="B1483" s="91"/>
      <c r="C1483" s="91"/>
      <c r="D1483" s="91"/>
      <c r="E1483" s="91"/>
      <c r="G1483" s="213"/>
      <c r="H1483" s="222"/>
    </row>
    <row r="1484" spans="1:8" s="212" customFormat="1">
      <c r="A1484" s="120"/>
      <c r="B1484" s="73"/>
      <c r="C1484" s="73"/>
      <c r="D1484" s="73"/>
      <c r="E1484" s="73"/>
      <c r="G1484" s="73"/>
      <c r="H1484" s="222"/>
    </row>
    <row r="1485" spans="1:8" s="212" customFormat="1">
      <c r="A1485" s="220"/>
      <c r="B1485" s="141"/>
      <c r="C1485" s="141"/>
      <c r="D1485" s="141"/>
      <c r="E1485" s="141"/>
      <c r="F1485" s="141"/>
      <c r="G1485" s="141"/>
      <c r="H1485" s="222"/>
    </row>
    <row r="1486" spans="1:8" s="212" customFormat="1">
      <c r="A1486" s="142"/>
      <c r="B1486" s="143"/>
      <c r="C1486" s="143"/>
      <c r="D1486" s="143"/>
      <c r="E1486" s="143"/>
      <c r="F1486" s="84"/>
      <c r="G1486" s="146"/>
      <c r="H1486" s="221"/>
    </row>
    <row r="1487" spans="1:8" s="212" customFormat="1">
      <c r="A1487" s="123"/>
      <c r="B1487" s="95"/>
      <c r="C1487" s="95"/>
      <c r="D1487" s="95"/>
      <c r="E1487" s="95"/>
      <c r="G1487" s="213"/>
      <c r="H1487" s="73"/>
    </row>
    <row r="1488" spans="1:8" s="212" customFormat="1">
      <c r="A1488" s="123"/>
      <c r="B1488" s="95"/>
      <c r="C1488" s="95"/>
      <c r="D1488" s="95"/>
      <c r="E1488" s="95"/>
      <c r="G1488" s="73"/>
      <c r="H1488" s="225"/>
    </row>
    <row r="1489" spans="1:9" s="212" customFormat="1">
      <c r="B1489" s="97"/>
      <c r="C1489" s="98"/>
      <c r="D1489" s="98"/>
      <c r="E1489" s="98"/>
      <c r="G1489" s="220"/>
    </row>
    <row r="1490" spans="1:9" s="212" customFormat="1">
      <c r="B1490" s="97"/>
      <c r="C1490" s="98"/>
      <c r="D1490" s="98"/>
      <c r="E1490" s="98"/>
      <c r="F1490" s="220"/>
      <c r="G1490" s="225"/>
      <c r="H1490" s="226"/>
    </row>
    <row r="1491" spans="1:9" s="212" customFormat="1">
      <c r="A1491" s="633"/>
      <c r="B1491" s="633"/>
      <c r="C1491" s="633"/>
      <c r="D1491" s="633"/>
      <c r="E1491" s="633"/>
      <c r="F1491" s="633"/>
      <c r="G1491" s="633"/>
    </row>
    <row r="1492" spans="1:9" s="212" customFormat="1">
      <c r="H1492" s="227"/>
      <c r="I1492" s="228"/>
    </row>
    <row r="1493" spans="1:9" s="212" customFormat="1">
      <c r="A1493" s="658"/>
      <c r="B1493" s="227"/>
      <c r="C1493" s="227"/>
      <c r="D1493" s="227"/>
      <c r="E1493" s="227"/>
      <c r="F1493" s="227"/>
      <c r="G1493" s="227"/>
      <c r="H1493" s="227"/>
      <c r="I1493" s="229"/>
    </row>
    <row r="1494" spans="1:9" s="212" customFormat="1">
      <c r="A1494" s="658"/>
      <c r="B1494" s="227"/>
      <c r="C1494" s="227"/>
      <c r="D1494" s="227"/>
      <c r="E1494" s="227"/>
      <c r="F1494" s="227"/>
      <c r="G1494" s="227"/>
    </row>
    <row r="1495" spans="1:9" s="212" customFormat="1">
      <c r="A1495" s="69"/>
      <c r="B1495" s="69"/>
      <c r="C1495" s="69"/>
      <c r="D1495" s="69"/>
      <c r="E1495" s="69"/>
    </row>
    <row r="1496" spans="1:9" s="212" customFormat="1">
      <c r="A1496" s="120"/>
      <c r="B1496" s="73"/>
      <c r="C1496" s="73"/>
      <c r="D1496" s="73"/>
      <c r="E1496" s="73"/>
      <c r="F1496" s="73"/>
      <c r="G1496" s="73"/>
      <c r="H1496" s="73"/>
    </row>
    <row r="1497" spans="1:9" s="212" customFormat="1">
      <c r="A1497" s="220"/>
      <c r="B1497" s="141"/>
      <c r="C1497" s="141"/>
      <c r="D1497" s="141"/>
      <c r="E1497" s="141"/>
      <c r="F1497" s="141"/>
      <c r="G1497" s="141"/>
      <c r="H1497" s="73"/>
    </row>
    <row r="1498" spans="1:9" s="212" customFormat="1">
      <c r="A1498" s="150"/>
      <c r="B1498" s="83"/>
      <c r="C1498" s="148"/>
      <c r="D1498" s="84"/>
      <c r="E1498" s="84"/>
      <c r="F1498" s="84"/>
      <c r="G1498" s="146"/>
      <c r="H1498" s="221"/>
    </row>
    <row r="1499" spans="1:9" s="212" customFormat="1">
      <c r="A1499" s="84"/>
      <c r="B1499" s="83"/>
      <c r="C1499" s="84"/>
      <c r="D1499" s="84"/>
      <c r="E1499" s="84"/>
      <c r="G1499" s="213"/>
      <c r="H1499" s="222"/>
    </row>
    <row r="1500" spans="1:9" s="212" customFormat="1">
      <c r="A1500" s="120"/>
      <c r="B1500" s="73"/>
      <c r="C1500" s="73"/>
      <c r="D1500" s="73"/>
      <c r="E1500" s="73"/>
      <c r="G1500" s="73"/>
      <c r="H1500" s="222"/>
    </row>
    <row r="1501" spans="1:9" s="212" customFormat="1">
      <c r="A1501" s="220"/>
      <c r="B1501" s="141"/>
      <c r="C1501" s="141"/>
      <c r="D1501" s="141"/>
      <c r="E1501" s="141"/>
      <c r="F1501" s="141"/>
      <c r="G1501" s="141"/>
      <c r="H1501" s="222"/>
    </row>
    <row r="1502" spans="1:9" s="212" customFormat="1" ht="16.5">
      <c r="A1502" s="150"/>
      <c r="B1502" s="161"/>
      <c r="C1502" s="148"/>
      <c r="D1502" s="160"/>
      <c r="E1502" s="84"/>
      <c r="F1502" s="84"/>
      <c r="G1502" s="146"/>
      <c r="H1502" s="221"/>
    </row>
    <row r="1503" spans="1:9" s="212" customFormat="1">
      <c r="A1503" s="91"/>
      <c r="B1503" s="91"/>
      <c r="C1503" s="91"/>
      <c r="D1503" s="91"/>
      <c r="E1503" s="91"/>
      <c r="G1503" s="213"/>
      <c r="H1503" s="222"/>
    </row>
    <row r="1504" spans="1:9" s="212" customFormat="1">
      <c r="A1504" s="120"/>
      <c r="B1504" s="73"/>
      <c r="C1504" s="73"/>
      <c r="D1504" s="73"/>
      <c r="E1504" s="73"/>
      <c r="G1504" s="73"/>
      <c r="H1504" s="222"/>
    </row>
    <row r="1505" spans="1:9" s="212" customFormat="1">
      <c r="A1505" s="220"/>
      <c r="B1505" s="141"/>
      <c r="C1505" s="141"/>
      <c r="D1505" s="141"/>
      <c r="E1505" s="141"/>
      <c r="F1505" s="141"/>
      <c r="G1505" s="141"/>
      <c r="H1505" s="222"/>
    </row>
    <row r="1506" spans="1:9" s="212" customFormat="1">
      <c r="A1506" s="146"/>
      <c r="B1506" s="83"/>
      <c r="C1506" s="148"/>
      <c r="D1506" s="84"/>
      <c r="E1506" s="84"/>
      <c r="F1506" s="84"/>
      <c r="G1506" s="146"/>
      <c r="H1506" s="221"/>
    </row>
    <row r="1507" spans="1:9" s="212" customFormat="1">
      <c r="A1507" s="91"/>
      <c r="B1507" s="91"/>
      <c r="C1507" s="91"/>
      <c r="D1507" s="91"/>
      <c r="E1507" s="91"/>
      <c r="G1507" s="213"/>
      <c r="H1507" s="222"/>
    </row>
    <row r="1508" spans="1:9" s="212" customFormat="1">
      <c r="A1508" s="120"/>
      <c r="B1508" s="73"/>
      <c r="C1508" s="73"/>
      <c r="D1508" s="73"/>
      <c r="E1508" s="73"/>
      <c r="G1508" s="73"/>
      <c r="H1508" s="222"/>
    </row>
    <row r="1509" spans="1:9" s="212" customFormat="1">
      <c r="A1509" s="220"/>
      <c r="B1509" s="141"/>
      <c r="C1509" s="141"/>
      <c r="D1509" s="141"/>
      <c r="E1509" s="141"/>
      <c r="F1509" s="141"/>
      <c r="G1509" s="141"/>
      <c r="H1509" s="222"/>
    </row>
    <row r="1510" spans="1:9" s="212" customFormat="1">
      <c r="A1510" s="142"/>
      <c r="B1510" s="143"/>
      <c r="C1510" s="143"/>
      <c r="D1510" s="143"/>
      <c r="E1510" s="143"/>
      <c r="F1510" s="84"/>
      <c r="G1510" s="146"/>
      <c r="H1510" s="221"/>
    </row>
    <row r="1511" spans="1:9" s="212" customFormat="1">
      <c r="A1511" s="123"/>
      <c r="B1511" s="95"/>
      <c r="C1511" s="95"/>
      <c r="D1511" s="95"/>
      <c r="E1511" s="95"/>
      <c r="G1511" s="213"/>
      <c r="H1511" s="73"/>
    </row>
    <row r="1512" spans="1:9" s="212" customFormat="1">
      <c r="A1512" s="123"/>
      <c r="B1512" s="95"/>
      <c r="C1512" s="95"/>
      <c r="D1512" s="95"/>
      <c r="E1512" s="95"/>
      <c r="G1512" s="73"/>
      <c r="H1512" s="225"/>
    </row>
    <row r="1513" spans="1:9" s="212" customFormat="1">
      <c r="B1513" s="97"/>
      <c r="C1513" s="98"/>
      <c r="D1513" s="98"/>
      <c r="E1513" s="98"/>
      <c r="G1513" s="220"/>
    </row>
    <row r="1514" spans="1:9" s="212" customFormat="1">
      <c r="B1514" s="97"/>
      <c r="C1514" s="98"/>
      <c r="D1514" s="98"/>
      <c r="E1514" s="98"/>
      <c r="F1514" s="220"/>
      <c r="G1514" s="225"/>
      <c r="H1514" s="226"/>
    </row>
    <row r="1515" spans="1:9" s="212" customFormat="1">
      <c r="A1515" s="633"/>
      <c r="B1515" s="633"/>
      <c r="C1515" s="633"/>
      <c r="D1515" s="633"/>
      <c r="E1515" s="633"/>
      <c r="F1515" s="633"/>
      <c r="G1515" s="633"/>
    </row>
    <row r="1516" spans="1:9" s="212" customFormat="1">
      <c r="H1516" s="227"/>
      <c r="I1516" s="228"/>
    </row>
    <row r="1517" spans="1:9" s="212" customFormat="1">
      <c r="A1517" s="658"/>
      <c r="B1517" s="227"/>
      <c r="C1517" s="227"/>
      <c r="D1517" s="227"/>
      <c r="E1517" s="227"/>
      <c r="F1517" s="227"/>
      <c r="G1517" s="227"/>
      <c r="H1517" s="227"/>
      <c r="I1517" s="229"/>
    </row>
    <row r="1518" spans="1:9" s="212" customFormat="1">
      <c r="A1518" s="658"/>
      <c r="B1518" s="227"/>
      <c r="C1518" s="227"/>
      <c r="D1518" s="227"/>
      <c r="E1518" s="227"/>
      <c r="F1518" s="227"/>
      <c r="G1518" s="227"/>
    </row>
    <row r="1519" spans="1:9" s="212" customFormat="1">
      <c r="A1519" s="69"/>
      <c r="B1519" s="69"/>
      <c r="C1519" s="69"/>
      <c r="D1519" s="69"/>
      <c r="E1519" s="69"/>
    </row>
    <row r="1520" spans="1:9" s="212" customFormat="1">
      <c r="A1520" s="120"/>
      <c r="B1520" s="73"/>
      <c r="C1520" s="73"/>
      <c r="D1520" s="73"/>
      <c r="E1520" s="73"/>
      <c r="F1520" s="73"/>
      <c r="G1520" s="73"/>
      <c r="H1520" s="73"/>
    </row>
    <row r="1521" spans="1:8" s="212" customFormat="1">
      <c r="A1521" s="220"/>
      <c r="B1521" s="141"/>
      <c r="C1521" s="141"/>
      <c r="D1521" s="141"/>
      <c r="E1521" s="141"/>
      <c r="F1521" s="141"/>
      <c r="G1521" s="141"/>
      <c r="H1521" s="73"/>
    </row>
    <row r="1522" spans="1:8" s="212" customFormat="1">
      <c r="A1522" s="150"/>
      <c r="B1522" s="83"/>
      <c r="C1522" s="148"/>
      <c r="D1522" s="84"/>
      <c r="E1522" s="84"/>
      <c r="F1522" s="84"/>
      <c r="G1522" s="146"/>
      <c r="H1522" s="221"/>
    </row>
    <row r="1523" spans="1:8" s="212" customFormat="1">
      <c r="A1523" s="84"/>
      <c r="B1523" s="83"/>
      <c r="C1523" s="84"/>
      <c r="D1523" s="84"/>
      <c r="E1523" s="84"/>
      <c r="G1523" s="213"/>
      <c r="H1523" s="222"/>
    </row>
    <row r="1524" spans="1:8" s="212" customFormat="1">
      <c r="A1524" s="120"/>
      <c r="B1524" s="73"/>
      <c r="C1524" s="73"/>
      <c r="D1524" s="73"/>
      <c r="E1524" s="73"/>
      <c r="G1524" s="73"/>
      <c r="H1524" s="222"/>
    </row>
    <row r="1525" spans="1:8" s="212" customFormat="1">
      <c r="A1525" s="220"/>
      <c r="B1525" s="141"/>
      <c r="C1525" s="141"/>
      <c r="D1525" s="141"/>
      <c r="E1525" s="141"/>
      <c r="F1525" s="141"/>
      <c r="G1525" s="141"/>
      <c r="H1525" s="222"/>
    </row>
    <row r="1526" spans="1:8" s="212" customFormat="1" ht="16.5">
      <c r="A1526" s="150"/>
      <c r="B1526" s="161"/>
      <c r="C1526" s="148"/>
      <c r="D1526" s="160"/>
      <c r="E1526" s="84"/>
      <c r="F1526" s="84"/>
      <c r="G1526" s="146"/>
      <c r="H1526" s="221"/>
    </row>
    <row r="1527" spans="1:8" s="212" customFormat="1">
      <c r="A1527" s="91"/>
      <c r="B1527" s="91"/>
      <c r="C1527" s="91"/>
      <c r="D1527" s="91"/>
      <c r="E1527" s="91"/>
      <c r="G1527" s="213"/>
      <c r="H1527" s="222"/>
    </row>
    <row r="1528" spans="1:8" s="212" customFormat="1">
      <c r="A1528" s="120"/>
      <c r="B1528" s="73"/>
      <c r="C1528" s="73"/>
      <c r="D1528" s="73"/>
      <c r="E1528" s="73"/>
      <c r="G1528" s="73"/>
      <c r="H1528" s="222"/>
    </row>
    <row r="1529" spans="1:8" s="212" customFormat="1">
      <c r="A1529" s="220"/>
      <c r="B1529" s="141"/>
      <c r="C1529" s="141"/>
      <c r="D1529" s="141"/>
      <c r="E1529" s="141"/>
      <c r="F1529" s="141"/>
      <c r="G1529" s="141"/>
      <c r="H1529" s="222"/>
    </row>
    <row r="1530" spans="1:8" s="212" customFormat="1">
      <c r="A1530" s="146"/>
      <c r="B1530" s="83"/>
      <c r="C1530" s="148"/>
      <c r="D1530" s="84"/>
      <c r="E1530" s="84"/>
      <c r="F1530" s="84"/>
      <c r="G1530" s="146"/>
      <c r="H1530" s="221"/>
    </row>
    <row r="1531" spans="1:8" s="212" customFormat="1">
      <c r="A1531" s="91"/>
      <c r="B1531" s="91"/>
      <c r="C1531" s="91"/>
      <c r="D1531" s="91"/>
      <c r="E1531" s="91"/>
      <c r="G1531" s="213"/>
      <c r="H1531" s="222"/>
    </row>
    <row r="1532" spans="1:8" s="212" customFormat="1">
      <c r="A1532" s="120"/>
      <c r="B1532" s="73"/>
      <c r="C1532" s="73"/>
      <c r="D1532" s="73"/>
      <c r="E1532" s="73"/>
      <c r="G1532" s="73"/>
      <c r="H1532" s="222"/>
    </row>
    <row r="1533" spans="1:8" s="212" customFormat="1">
      <c r="A1533" s="220"/>
      <c r="B1533" s="141"/>
      <c r="C1533" s="141"/>
      <c r="D1533" s="141"/>
      <c r="E1533" s="141"/>
      <c r="F1533" s="141"/>
      <c r="G1533" s="141"/>
      <c r="H1533" s="222"/>
    </row>
    <row r="1534" spans="1:8" s="212" customFormat="1">
      <c r="A1534" s="142"/>
      <c r="B1534" s="143"/>
      <c r="C1534" s="143"/>
      <c r="D1534" s="143"/>
      <c r="E1534" s="143"/>
      <c r="F1534" s="84"/>
      <c r="G1534" s="146"/>
      <c r="H1534" s="221"/>
    </row>
    <row r="1535" spans="1:8" s="212" customFormat="1">
      <c r="A1535" s="123"/>
      <c r="B1535" s="95"/>
      <c r="C1535" s="95"/>
      <c r="D1535" s="95"/>
      <c r="E1535" s="95"/>
      <c r="G1535" s="213"/>
      <c r="H1535" s="73"/>
    </row>
    <row r="1536" spans="1:8" s="212" customFormat="1">
      <c r="A1536" s="123"/>
      <c r="B1536" s="95"/>
      <c r="C1536" s="95"/>
      <c r="D1536" s="95"/>
      <c r="E1536" s="95"/>
      <c r="G1536" s="73"/>
      <c r="H1536" s="225"/>
    </row>
    <row r="1537" spans="1:9" s="212" customFormat="1">
      <c r="B1537" s="97"/>
      <c r="C1537" s="98"/>
      <c r="D1537" s="98"/>
      <c r="E1537" s="98"/>
      <c r="G1537" s="220"/>
    </row>
    <row r="1538" spans="1:9" s="212" customFormat="1">
      <c r="B1538" s="97"/>
      <c r="C1538" s="98"/>
      <c r="D1538" s="98"/>
      <c r="E1538" s="98"/>
      <c r="F1538" s="220"/>
      <c r="G1538" s="225"/>
      <c r="H1538" s="226"/>
    </row>
    <row r="1539" spans="1:9" s="212" customFormat="1">
      <c r="A1539" s="633"/>
      <c r="B1539" s="633"/>
      <c r="C1539" s="633"/>
      <c r="D1539" s="633"/>
      <c r="E1539" s="633"/>
      <c r="F1539" s="633"/>
      <c r="G1539" s="633"/>
    </row>
    <row r="1540" spans="1:9" s="212" customFormat="1">
      <c r="H1540" s="227"/>
      <c r="I1540" s="228"/>
    </row>
    <row r="1541" spans="1:9" s="212" customFormat="1">
      <c r="A1541" s="658"/>
      <c r="B1541" s="227"/>
      <c r="C1541" s="227"/>
      <c r="D1541" s="227"/>
      <c r="E1541" s="227"/>
      <c r="F1541" s="227"/>
      <c r="G1541" s="227"/>
      <c r="H1541" s="227"/>
      <c r="I1541" s="229"/>
    </row>
    <row r="1542" spans="1:9" s="212" customFormat="1">
      <c r="A1542" s="658"/>
      <c r="B1542" s="227"/>
      <c r="C1542" s="227"/>
      <c r="D1542" s="227"/>
      <c r="E1542" s="227"/>
      <c r="F1542" s="227"/>
      <c r="G1542" s="227"/>
    </row>
    <row r="1543" spans="1:9" s="212" customFormat="1">
      <c r="A1543" s="69"/>
      <c r="B1543" s="69"/>
      <c r="C1543" s="69"/>
      <c r="D1543" s="69"/>
      <c r="E1543" s="69"/>
    </row>
    <row r="1544" spans="1:9" s="212" customFormat="1">
      <c r="A1544" s="120"/>
      <c r="B1544" s="73"/>
      <c r="C1544" s="73"/>
      <c r="D1544" s="73"/>
      <c r="E1544" s="73"/>
      <c r="F1544" s="73"/>
      <c r="G1544" s="73"/>
      <c r="H1544" s="73"/>
    </row>
    <row r="1545" spans="1:9" s="212" customFormat="1">
      <c r="A1545" s="220"/>
      <c r="B1545" s="141"/>
      <c r="C1545" s="141"/>
      <c r="D1545" s="141"/>
      <c r="E1545" s="141"/>
      <c r="F1545" s="141"/>
      <c r="G1545" s="141"/>
      <c r="H1545" s="73"/>
    </row>
    <row r="1546" spans="1:9" s="212" customFormat="1">
      <c r="A1546" s="150"/>
      <c r="B1546" s="83"/>
      <c r="C1546" s="148"/>
      <c r="D1546" s="84"/>
      <c r="E1546" s="84"/>
      <c r="F1546" s="84"/>
      <c r="G1546" s="146"/>
      <c r="H1546" s="221"/>
    </row>
    <row r="1547" spans="1:9" s="212" customFormat="1">
      <c r="A1547" s="84"/>
      <c r="B1547" s="83"/>
      <c r="C1547" s="84"/>
      <c r="D1547" s="84"/>
      <c r="E1547" s="84"/>
      <c r="G1547" s="213"/>
      <c r="H1547" s="222"/>
    </row>
    <row r="1548" spans="1:9" s="212" customFormat="1">
      <c r="A1548" s="120"/>
      <c r="B1548" s="73"/>
      <c r="C1548" s="73"/>
      <c r="D1548" s="73"/>
      <c r="E1548" s="73"/>
      <c r="G1548" s="73"/>
      <c r="H1548" s="222"/>
    </row>
    <row r="1549" spans="1:9" s="212" customFormat="1">
      <c r="A1549" s="220"/>
      <c r="B1549" s="141"/>
      <c r="C1549" s="141"/>
      <c r="D1549" s="141"/>
      <c r="E1549" s="141"/>
      <c r="F1549" s="141"/>
      <c r="G1549" s="141"/>
      <c r="H1549" s="222"/>
    </row>
    <row r="1550" spans="1:9" s="212" customFormat="1" ht="16.5">
      <c r="A1550" s="150"/>
      <c r="B1550" s="161"/>
      <c r="C1550" s="148"/>
      <c r="D1550" s="84"/>
      <c r="E1550" s="84"/>
      <c r="F1550" s="84"/>
      <c r="G1550" s="146"/>
      <c r="H1550" s="222"/>
    </row>
    <row r="1551" spans="1:9" s="212" customFormat="1" ht="16.5">
      <c r="A1551" s="150"/>
      <c r="B1551" s="161"/>
      <c r="C1551" s="148"/>
      <c r="D1551" s="84"/>
      <c r="E1551" s="84"/>
      <c r="F1551" s="84"/>
      <c r="G1551" s="146"/>
      <c r="H1551" s="222"/>
    </row>
    <row r="1552" spans="1:9" s="212" customFormat="1" ht="16.5">
      <c r="A1552" s="150"/>
      <c r="B1552" s="161"/>
      <c r="C1552" s="148"/>
      <c r="D1552" s="84"/>
      <c r="E1552" s="84"/>
      <c r="F1552" s="84"/>
      <c r="G1552" s="146"/>
      <c r="H1552" s="221"/>
    </row>
    <row r="1553" spans="1:9" s="212" customFormat="1">
      <c r="A1553" s="91"/>
      <c r="B1553" s="91"/>
      <c r="C1553" s="91"/>
      <c r="D1553" s="91"/>
      <c r="E1553" s="91"/>
      <c r="G1553" s="213"/>
      <c r="H1553" s="222"/>
    </row>
    <row r="1554" spans="1:9" s="212" customFormat="1">
      <c r="A1554" s="120"/>
      <c r="B1554" s="73"/>
      <c r="C1554" s="73"/>
      <c r="D1554" s="73"/>
      <c r="E1554" s="73"/>
      <c r="G1554" s="73"/>
      <c r="H1554" s="222"/>
    </row>
    <row r="1555" spans="1:9" s="212" customFormat="1">
      <c r="A1555" s="220"/>
      <c r="B1555" s="141"/>
      <c r="C1555" s="141"/>
      <c r="D1555" s="141"/>
      <c r="E1555" s="141"/>
      <c r="F1555" s="141"/>
      <c r="G1555" s="141"/>
      <c r="H1555" s="222"/>
    </row>
    <row r="1556" spans="1:9" s="212" customFormat="1">
      <c r="A1556" s="146"/>
      <c r="B1556" s="83"/>
      <c r="C1556" s="148"/>
      <c r="D1556" s="84"/>
      <c r="E1556" s="84"/>
      <c r="F1556" s="84"/>
      <c r="G1556" s="146"/>
      <c r="H1556" s="222"/>
    </row>
    <row r="1557" spans="1:9" s="212" customFormat="1">
      <c r="A1557" s="146"/>
      <c r="B1557" s="83"/>
      <c r="C1557" s="148"/>
      <c r="D1557" s="84"/>
      <c r="E1557" s="84"/>
      <c r="F1557" s="84"/>
      <c r="G1557" s="146"/>
      <c r="H1557" s="221"/>
    </row>
    <row r="1558" spans="1:9" s="212" customFormat="1">
      <c r="A1558" s="91"/>
      <c r="B1558" s="91"/>
      <c r="C1558" s="91"/>
      <c r="D1558" s="91"/>
      <c r="E1558" s="91"/>
      <c r="G1558" s="213"/>
      <c r="H1558" s="222"/>
    </row>
    <row r="1559" spans="1:9" s="212" customFormat="1">
      <c r="A1559" s="120"/>
      <c r="B1559" s="73"/>
      <c r="C1559" s="73"/>
      <c r="D1559" s="73"/>
      <c r="E1559" s="73"/>
      <c r="G1559" s="73"/>
      <c r="H1559" s="222"/>
    </row>
    <row r="1560" spans="1:9" s="212" customFormat="1">
      <c r="A1560" s="220"/>
      <c r="B1560" s="141"/>
      <c r="C1560" s="141"/>
      <c r="D1560" s="141"/>
      <c r="E1560" s="141"/>
      <c r="F1560" s="141"/>
      <c r="G1560" s="141"/>
      <c r="H1560" s="222"/>
    </row>
    <row r="1561" spans="1:9" s="212" customFormat="1">
      <c r="A1561" s="142"/>
      <c r="B1561" s="143"/>
      <c r="C1561" s="143"/>
      <c r="D1561" s="143"/>
      <c r="E1561" s="143"/>
      <c r="F1561" s="84"/>
      <c r="G1561" s="146"/>
      <c r="H1561" s="221"/>
    </row>
    <row r="1562" spans="1:9" s="212" customFormat="1">
      <c r="A1562" s="123"/>
      <c r="B1562" s="95"/>
      <c r="C1562" s="95"/>
      <c r="D1562" s="95"/>
      <c r="E1562" s="95"/>
      <c r="G1562" s="213"/>
      <c r="H1562" s="73"/>
    </row>
    <row r="1563" spans="1:9" s="212" customFormat="1">
      <c r="A1563" s="123"/>
      <c r="B1563" s="95"/>
      <c r="C1563" s="95"/>
      <c r="D1563" s="95"/>
      <c r="E1563" s="95"/>
      <c r="G1563" s="73"/>
      <c r="H1563" s="225"/>
    </row>
    <row r="1564" spans="1:9" s="212" customFormat="1">
      <c r="B1564" s="97"/>
      <c r="C1564" s="98"/>
      <c r="D1564" s="98"/>
      <c r="E1564" s="98"/>
      <c r="G1564" s="220"/>
    </row>
    <row r="1565" spans="1:9" s="212" customFormat="1">
      <c r="B1565" s="97"/>
      <c r="C1565" s="98"/>
      <c r="D1565" s="98"/>
      <c r="E1565" s="98"/>
      <c r="F1565" s="220"/>
      <c r="G1565" s="225"/>
      <c r="H1565" s="226"/>
    </row>
    <row r="1566" spans="1:9" s="212" customFormat="1">
      <c r="A1566" s="633"/>
      <c r="B1566" s="633"/>
      <c r="C1566" s="633"/>
      <c r="D1566" s="633"/>
      <c r="E1566" s="633"/>
      <c r="F1566" s="633"/>
      <c r="G1566" s="633"/>
    </row>
    <row r="1567" spans="1:9" s="212" customFormat="1">
      <c r="H1567" s="227"/>
      <c r="I1567" s="228"/>
    </row>
    <row r="1568" spans="1:9" s="212" customFormat="1">
      <c r="A1568" s="658"/>
      <c r="B1568" s="227"/>
      <c r="C1568" s="227"/>
      <c r="D1568" s="227"/>
      <c r="E1568" s="227"/>
      <c r="F1568" s="227"/>
      <c r="G1568" s="227"/>
      <c r="H1568" s="227"/>
      <c r="I1568" s="229"/>
    </row>
    <row r="1569" spans="1:8" s="212" customFormat="1">
      <c r="A1569" s="658"/>
      <c r="B1569" s="227"/>
      <c r="C1569" s="227"/>
      <c r="D1569" s="227"/>
      <c r="E1569" s="227"/>
      <c r="F1569" s="227"/>
      <c r="G1569" s="227"/>
    </row>
    <row r="1570" spans="1:8" s="212" customFormat="1">
      <c r="A1570" s="69"/>
      <c r="B1570" s="69"/>
      <c r="C1570" s="69"/>
      <c r="D1570" s="69"/>
      <c r="E1570" s="69"/>
    </row>
    <row r="1571" spans="1:8" s="212" customFormat="1">
      <c r="A1571" s="120"/>
      <c r="B1571" s="73"/>
      <c r="C1571" s="73"/>
      <c r="D1571" s="73"/>
      <c r="E1571" s="73"/>
      <c r="F1571" s="73"/>
      <c r="G1571" s="73"/>
      <c r="H1571" s="73"/>
    </row>
    <row r="1572" spans="1:8" s="212" customFormat="1">
      <c r="A1572" s="220"/>
      <c r="B1572" s="141"/>
      <c r="C1572" s="141"/>
      <c r="D1572" s="141"/>
      <c r="E1572" s="141"/>
      <c r="F1572" s="141"/>
      <c r="G1572" s="141"/>
      <c r="H1572" s="73"/>
    </row>
    <row r="1573" spans="1:8" s="212" customFormat="1">
      <c r="A1573" s="142"/>
      <c r="B1573" s="143"/>
      <c r="C1573" s="143"/>
      <c r="D1573" s="84"/>
      <c r="E1573" s="84"/>
      <c r="F1573" s="84"/>
      <c r="G1573" s="146"/>
      <c r="H1573" s="221"/>
    </row>
    <row r="1574" spans="1:8" s="212" customFormat="1">
      <c r="A1574" s="84"/>
      <c r="B1574" s="83"/>
      <c r="C1574" s="84"/>
      <c r="D1574" s="84"/>
      <c r="E1574" s="84"/>
      <c r="G1574" s="213"/>
      <c r="H1574" s="222"/>
    </row>
    <row r="1575" spans="1:8" s="212" customFormat="1">
      <c r="A1575" s="120"/>
      <c r="B1575" s="73"/>
      <c r="C1575" s="73"/>
      <c r="D1575" s="73"/>
      <c r="E1575" s="73"/>
      <c r="G1575" s="73"/>
      <c r="H1575" s="222"/>
    </row>
    <row r="1576" spans="1:8" s="212" customFormat="1">
      <c r="A1576" s="220"/>
      <c r="B1576" s="141"/>
      <c r="C1576" s="141"/>
      <c r="D1576" s="141"/>
      <c r="E1576" s="141"/>
      <c r="F1576" s="141"/>
      <c r="G1576" s="141"/>
      <c r="H1576" s="222"/>
    </row>
    <row r="1577" spans="1:8" s="212" customFormat="1">
      <c r="A1577" s="142"/>
      <c r="B1577" s="143"/>
      <c r="C1577" s="143"/>
      <c r="D1577" s="143"/>
      <c r="E1577" s="143"/>
      <c r="F1577" s="84"/>
      <c r="G1577" s="146"/>
      <c r="H1577" s="221"/>
    </row>
    <row r="1578" spans="1:8" s="212" customFormat="1">
      <c r="A1578" s="91"/>
      <c r="B1578" s="91"/>
      <c r="C1578" s="91"/>
      <c r="D1578" s="91"/>
      <c r="E1578" s="91"/>
      <c r="G1578" s="213"/>
      <c r="H1578" s="222"/>
    </row>
    <row r="1579" spans="1:8" s="212" customFormat="1">
      <c r="A1579" s="120"/>
      <c r="B1579" s="73"/>
      <c r="C1579" s="73"/>
      <c r="D1579" s="73"/>
      <c r="E1579" s="73"/>
      <c r="G1579" s="73"/>
      <c r="H1579" s="222"/>
    </row>
    <row r="1580" spans="1:8" s="212" customFormat="1">
      <c r="A1580" s="220"/>
      <c r="B1580" s="141"/>
      <c r="C1580" s="141"/>
      <c r="D1580" s="141"/>
      <c r="E1580" s="141"/>
      <c r="F1580" s="141"/>
      <c r="G1580" s="141"/>
      <c r="H1580" s="222"/>
    </row>
    <row r="1581" spans="1:8" s="212" customFormat="1">
      <c r="A1581" s="142"/>
      <c r="B1581" s="143"/>
      <c r="C1581" s="143"/>
      <c r="D1581" s="143"/>
      <c r="E1581" s="143"/>
      <c r="F1581" s="84"/>
      <c r="G1581" s="146"/>
      <c r="H1581" s="221"/>
    </row>
    <row r="1582" spans="1:8" s="212" customFormat="1">
      <c r="A1582" s="91"/>
      <c r="B1582" s="91"/>
      <c r="C1582" s="91"/>
      <c r="D1582" s="91"/>
      <c r="E1582" s="91"/>
      <c r="G1582" s="213"/>
      <c r="H1582" s="222"/>
    </row>
    <row r="1583" spans="1:8" s="212" customFormat="1">
      <c r="A1583" s="120"/>
      <c r="B1583" s="73"/>
      <c r="C1583" s="73"/>
      <c r="D1583" s="73"/>
      <c r="E1583" s="73"/>
      <c r="G1583" s="73"/>
      <c r="H1583" s="222"/>
    </row>
    <row r="1584" spans="1:8" s="212" customFormat="1">
      <c r="A1584" s="220"/>
      <c r="B1584" s="141"/>
      <c r="C1584" s="141"/>
      <c r="D1584" s="141"/>
      <c r="E1584" s="141"/>
      <c r="F1584" s="141"/>
      <c r="G1584" s="141"/>
      <c r="H1584" s="222"/>
    </row>
    <row r="1585" spans="1:9" s="212" customFormat="1">
      <c r="A1585" s="142"/>
      <c r="B1585" s="143"/>
      <c r="C1585" s="143"/>
      <c r="D1585" s="143"/>
      <c r="E1585" s="143"/>
      <c r="F1585" s="84"/>
      <c r="G1585" s="146"/>
      <c r="H1585" s="221"/>
    </row>
    <row r="1586" spans="1:9" s="212" customFormat="1">
      <c r="A1586" s="123"/>
      <c r="B1586" s="95"/>
      <c r="C1586" s="95"/>
      <c r="D1586" s="95"/>
      <c r="E1586" s="95"/>
      <c r="G1586" s="213"/>
      <c r="H1586" s="73"/>
    </row>
    <row r="1587" spans="1:9" s="212" customFormat="1">
      <c r="A1587" s="123"/>
      <c r="B1587" s="95"/>
      <c r="C1587" s="95"/>
      <c r="D1587" s="95"/>
      <c r="E1587" s="95"/>
      <c r="G1587" s="73"/>
      <c r="H1587" s="225"/>
    </row>
    <row r="1588" spans="1:9" s="212" customFormat="1">
      <c r="B1588" s="97"/>
      <c r="C1588" s="98"/>
      <c r="D1588" s="98"/>
      <c r="E1588" s="98"/>
      <c r="G1588" s="220"/>
    </row>
    <row r="1589" spans="1:9" s="212" customFormat="1">
      <c r="B1589" s="97"/>
      <c r="C1589" s="98"/>
      <c r="D1589" s="98"/>
      <c r="E1589" s="98"/>
      <c r="F1589" s="220"/>
      <c r="G1589" s="225"/>
      <c r="H1589" s="226"/>
    </row>
    <row r="1590" spans="1:9" s="212" customFormat="1">
      <c r="A1590" s="633"/>
      <c r="B1590" s="633"/>
      <c r="C1590" s="633"/>
      <c r="D1590" s="633"/>
      <c r="E1590" s="633"/>
      <c r="F1590" s="633"/>
      <c r="G1590" s="633"/>
    </row>
    <row r="1591" spans="1:9" s="212" customFormat="1">
      <c r="H1591" s="227"/>
      <c r="I1591" s="228"/>
    </row>
    <row r="1592" spans="1:9" s="212" customFormat="1">
      <c r="A1592" s="658"/>
      <c r="B1592" s="227"/>
      <c r="C1592" s="227"/>
      <c r="D1592" s="227"/>
      <c r="E1592" s="227"/>
      <c r="F1592" s="227"/>
      <c r="G1592" s="227"/>
      <c r="H1592" s="227"/>
      <c r="I1592" s="229"/>
    </row>
    <row r="1593" spans="1:9" s="212" customFormat="1">
      <c r="A1593" s="658"/>
      <c r="B1593" s="227"/>
      <c r="C1593" s="227"/>
      <c r="D1593" s="227"/>
      <c r="E1593" s="227"/>
      <c r="F1593" s="227"/>
      <c r="G1593" s="227"/>
    </row>
    <row r="1594" spans="1:9" s="212" customFormat="1">
      <c r="A1594" s="69"/>
      <c r="B1594" s="69"/>
      <c r="C1594" s="69"/>
      <c r="D1594" s="69"/>
      <c r="E1594" s="69"/>
    </row>
    <row r="1595" spans="1:9" s="212" customFormat="1">
      <c r="A1595" s="120"/>
      <c r="B1595" s="73"/>
      <c r="C1595" s="73"/>
      <c r="D1595" s="73"/>
      <c r="E1595" s="73"/>
      <c r="F1595" s="73"/>
      <c r="G1595" s="73"/>
      <c r="H1595" s="73"/>
    </row>
    <row r="1596" spans="1:9" s="212" customFormat="1">
      <c r="A1596" s="220"/>
      <c r="B1596" s="141"/>
      <c r="C1596" s="141"/>
      <c r="D1596" s="141"/>
      <c r="E1596" s="141"/>
      <c r="F1596" s="141"/>
      <c r="G1596" s="141"/>
      <c r="H1596" s="73"/>
    </row>
    <row r="1597" spans="1:9" s="212" customFormat="1">
      <c r="A1597" s="142"/>
      <c r="B1597" s="167"/>
      <c r="C1597" s="143"/>
      <c r="D1597" s="84"/>
      <c r="E1597" s="84"/>
      <c r="F1597" s="84"/>
      <c r="G1597" s="146"/>
      <c r="H1597" s="73"/>
    </row>
    <row r="1598" spans="1:9" s="212" customFormat="1">
      <c r="A1598" s="142"/>
      <c r="B1598" s="167"/>
      <c r="C1598" s="143"/>
      <c r="D1598" s="84"/>
      <c r="E1598" s="84"/>
      <c r="F1598" s="84"/>
      <c r="G1598" s="146"/>
      <c r="H1598" s="221"/>
    </row>
    <row r="1599" spans="1:9" s="212" customFormat="1">
      <c r="A1599" s="84"/>
      <c r="B1599" s="83"/>
      <c r="C1599" s="84"/>
      <c r="D1599" s="84"/>
      <c r="E1599" s="84"/>
      <c r="G1599" s="213"/>
      <c r="H1599" s="222"/>
    </row>
    <row r="1600" spans="1:9" s="212" customFormat="1">
      <c r="A1600" s="120"/>
      <c r="B1600" s="73"/>
      <c r="C1600" s="73"/>
      <c r="D1600" s="73"/>
      <c r="E1600" s="73"/>
      <c r="G1600" s="73"/>
      <c r="H1600" s="222"/>
    </row>
    <row r="1601" spans="1:8" s="212" customFormat="1">
      <c r="A1601" s="220"/>
      <c r="B1601" s="141"/>
      <c r="C1601" s="141"/>
      <c r="D1601" s="141"/>
      <c r="E1601" s="141"/>
      <c r="F1601" s="141"/>
      <c r="G1601" s="141"/>
      <c r="H1601" s="222"/>
    </row>
    <row r="1602" spans="1:8" s="212" customFormat="1">
      <c r="A1602" s="142"/>
      <c r="B1602" s="167"/>
      <c r="C1602" s="143"/>
      <c r="D1602" s="84"/>
      <c r="E1602" s="84"/>
      <c r="F1602" s="84"/>
      <c r="G1602" s="146"/>
      <c r="H1602" s="222"/>
    </row>
    <row r="1603" spans="1:8" s="212" customFormat="1">
      <c r="A1603" s="142"/>
      <c r="B1603" s="167"/>
      <c r="C1603" s="143"/>
      <c r="D1603" s="84"/>
      <c r="E1603" s="84"/>
      <c r="F1603" s="84"/>
      <c r="G1603" s="146"/>
      <c r="H1603" s="222"/>
    </row>
    <row r="1604" spans="1:8" s="212" customFormat="1">
      <c r="A1604" s="142"/>
      <c r="B1604" s="167"/>
      <c r="C1604" s="143"/>
      <c r="D1604" s="84"/>
      <c r="E1604" s="84"/>
      <c r="F1604" s="84"/>
      <c r="G1604" s="146"/>
      <c r="H1604" s="221"/>
    </row>
    <row r="1605" spans="1:8" s="212" customFormat="1">
      <c r="A1605" s="91"/>
      <c r="B1605" s="91"/>
      <c r="C1605" s="91"/>
      <c r="D1605" s="91"/>
      <c r="E1605" s="91"/>
      <c r="G1605" s="213"/>
      <c r="H1605" s="222"/>
    </row>
    <row r="1606" spans="1:8" s="212" customFormat="1">
      <c r="A1606" s="120"/>
      <c r="B1606" s="73"/>
      <c r="C1606" s="73"/>
      <c r="D1606" s="73"/>
      <c r="E1606" s="73"/>
      <c r="G1606" s="73"/>
      <c r="H1606" s="222"/>
    </row>
    <row r="1607" spans="1:8" s="212" customFormat="1">
      <c r="A1607" s="220"/>
      <c r="B1607" s="141"/>
      <c r="C1607" s="141"/>
      <c r="D1607" s="141"/>
      <c r="E1607" s="141"/>
      <c r="F1607" s="141"/>
      <c r="G1607" s="141"/>
      <c r="H1607" s="222"/>
    </row>
    <row r="1608" spans="1:8" s="212" customFormat="1">
      <c r="A1608" s="142"/>
      <c r="B1608" s="167"/>
      <c r="C1608" s="143"/>
      <c r="D1608" s="84"/>
      <c r="E1608" s="84"/>
      <c r="F1608" s="84"/>
      <c r="G1608" s="146"/>
      <c r="H1608" s="221"/>
    </row>
    <row r="1609" spans="1:8" s="212" customFormat="1">
      <c r="A1609" s="91"/>
      <c r="B1609" s="91"/>
      <c r="C1609" s="91"/>
      <c r="D1609" s="91"/>
      <c r="E1609" s="91"/>
      <c r="G1609" s="213"/>
      <c r="H1609" s="222"/>
    </row>
    <row r="1610" spans="1:8" s="212" customFormat="1">
      <c r="A1610" s="120"/>
      <c r="B1610" s="73"/>
      <c r="C1610" s="73"/>
      <c r="D1610" s="73"/>
      <c r="E1610" s="73"/>
      <c r="G1610" s="73"/>
      <c r="H1610" s="222"/>
    </row>
    <row r="1611" spans="1:8" s="212" customFormat="1">
      <c r="A1611" s="220"/>
      <c r="B1611" s="141"/>
      <c r="C1611" s="141"/>
      <c r="D1611" s="141"/>
      <c r="E1611" s="141"/>
      <c r="F1611" s="141"/>
      <c r="G1611" s="141"/>
      <c r="H1611" s="222"/>
    </row>
    <row r="1612" spans="1:8" s="212" customFormat="1">
      <c r="A1612" s="142"/>
      <c r="B1612" s="143"/>
      <c r="C1612" s="143"/>
      <c r="D1612" s="143"/>
      <c r="E1612" s="143"/>
      <c r="F1612" s="84"/>
      <c r="G1612" s="146"/>
      <c r="H1612" s="221"/>
    </row>
    <row r="1613" spans="1:8" s="212" customFormat="1">
      <c r="A1613" s="123"/>
      <c r="B1613" s="95"/>
      <c r="C1613" s="95"/>
      <c r="D1613" s="95"/>
      <c r="E1613" s="95"/>
      <c r="G1613" s="213"/>
      <c r="H1613" s="73"/>
    </row>
    <row r="1614" spans="1:8" s="212" customFormat="1">
      <c r="A1614" s="123"/>
      <c r="B1614" s="95"/>
      <c r="C1614" s="95"/>
      <c r="D1614" s="95"/>
      <c r="E1614" s="95"/>
      <c r="G1614" s="73"/>
      <c r="H1614" s="225"/>
    </row>
    <row r="1615" spans="1:8" s="212" customFormat="1">
      <c r="B1615" s="97"/>
      <c r="C1615" s="98"/>
      <c r="D1615" s="98"/>
      <c r="E1615" s="98"/>
      <c r="G1615" s="220"/>
    </row>
    <row r="1616" spans="1:8" s="212" customFormat="1">
      <c r="B1616" s="97"/>
      <c r="C1616" s="98"/>
      <c r="D1616" s="98"/>
      <c r="E1616" s="98"/>
      <c r="F1616" s="220"/>
      <c r="G1616" s="225"/>
      <c r="H1616" s="226"/>
    </row>
    <row r="1617" spans="1:9" s="212" customFormat="1">
      <c r="A1617" s="633"/>
      <c r="B1617" s="633"/>
      <c r="C1617" s="633"/>
      <c r="D1617" s="633"/>
      <c r="E1617" s="633"/>
      <c r="F1617" s="633"/>
      <c r="G1617" s="633"/>
    </row>
    <row r="1618" spans="1:9" s="212" customFormat="1">
      <c r="H1618" s="227"/>
      <c r="I1618" s="228"/>
    </row>
    <row r="1619" spans="1:9" s="212" customFormat="1">
      <c r="A1619" s="658"/>
      <c r="B1619" s="227"/>
      <c r="C1619" s="227"/>
      <c r="D1619" s="227"/>
      <c r="E1619" s="227"/>
      <c r="F1619" s="227"/>
      <c r="G1619" s="227"/>
      <c r="H1619" s="227"/>
      <c r="I1619" s="229"/>
    </row>
    <row r="1620" spans="1:9" s="212" customFormat="1">
      <c r="A1620" s="658"/>
      <c r="B1620" s="227"/>
      <c r="C1620" s="227"/>
      <c r="D1620" s="227"/>
      <c r="E1620" s="227"/>
      <c r="F1620" s="227"/>
      <c r="G1620" s="227"/>
    </row>
    <row r="1621" spans="1:9" s="212" customFormat="1">
      <c r="A1621" s="69"/>
      <c r="B1621" s="69"/>
      <c r="C1621" s="69"/>
      <c r="D1621" s="69"/>
      <c r="E1621" s="69"/>
    </row>
    <row r="1622" spans="1:9" s="212" customFormat="1">
      <c r="A1622" s="120"/>
      <c r="B1622" s="73"/>
      <c r="C1622" s="73"/>
      <c r="D1622" s="73"/>
      <c r="E1622" s="73"/>
      <c r="F1622" s="73"/>
      <c r="G1622" s="73"/>
      <c r="H1622" s="73"/>
    </row>
    <row r="1623" spans="1:9" s="212" customFormat="1">
      <c r="A1623" s="220"/>
      <c r="B1623" s="141"/>
      <c r="C1623" s="141"/>
      <c r="D1623" s="141"/>
      <c r="E1623" s="141"/>
      <c r="F1623" s="141"/>
      <c r="G1623" s="141"/>
      <c r="H1623" s="73"/>
    </row>
    <row r="1624" spans="1:9" s="212" customFormat="1">
      <c r="A1624" s="142"/>
      <c r="B1624" s="143"/>
      <c r="C1624" s="143"/>
      <c r="D1624" s="143"/>
      <c r="E1624" s="143"/>
      <c r="F1624" s="84"/>
      <c r="G1624" s="146"/>
      <c r="H1624" s="221"/>
    </row>
    <row r="1625" spans="1:9" s="212" customFormat="1">
      <c r="A1625" s="84"/>
      <c r="B1625" s="83"/>
      <c r="C1625" s="84"/>
      <c r="D1625" s="84"/>
      <c r="E1625" s="84"/>
      <c r="G1625" s="213"/>
      <c r="H1625" s="222"/>
    </row>
    <row r="1626" spans="1:9" s="212" customFormat="1">
      <c r="A1626" s="120"/>
      <c r="B1626" s="73"/>
      <c r="C1626" s="73"/>
      <c r="D1626" s="73"/>
      <c r="E1626" s="73"/>
      <c r="G1626" s="73"/>
      <c r="H1626" s="222"/>
    </row>
    <row r="1627" spans="1:9" s="212" customFormat="1">
      <c r="A1627" s="220"/>
      <c r="B1627" s="141"/>
      <c r="C1627" s="141"/>
      <c r="D1627" s="141"/>
      <c r="E1627" s="141"/>
      <c r="F1627" s="141"/>
      <c r="G1627" s="141"/>
      <c r="H1627" s="222"/>
    </row>
    <row r="1628" spans="1:9" s="212" customFormat="1">
      <c r="A1628" s="142"/>
      <c r="B1628" s="143"/>
      <c r="C1628" s="143"/>
      <c r="D1628" s="84"/>
      <c r="E1628" s="84"/>
      <c r="F1628" s="84"/>
      <c r="G1628" s="146"/>
      <c r="H1628" s="221"/>
    </row>
    <row r="1629" spans="1:9" s="212" customFormat="1">
      <c r="A1629" s="91"/>
      <c r="B1629" s="91"/>
      <c r="C1629" s="91"/>
      <c r="D1629" s="91"/>
      <c r="E1629" s="91"/>
      <c r="G1629" s="213"/>
      <c r="H1629" s="222"/>
    </row>
    <row r="1630" spans="1:9" s="212" customFormat="1">
      <c r="A1630" s="120"/>
      <c r="B1630" s="73"/>
      <c r="C1630" s="73"/>
      <c r="D1630" s="73"/>
      <c r="E1630" s="73"/>
      <c r="G1630" s="73"/>
      <c r="H1630" s="222"/>
    </row>
    <row r="1631" spans="1:9" s="212" customFormat="1">
      <c r="A1631" s="220"/>
      <c r="B1631" s="141"/>
      <c r="C1631" s="141"/>
      <c r="D1631" s="141"/>
      <c r="E1631" s="141"/>
      <c r="F1631" s="141"/>
      <c r="G1631" s="141"/>
      <c r="H1631" s="222"/>
    </row>
    <row r="1632" spans="1:9" s="212" customFormat="1">
      <c r="A1632" s="142"/>
      <c r="B1632" s="143"/>
      <c r="C1632" s="143"/>
      <c r="D1632" s="143"/>
      <c r="E1632" s="143"/>
      <c r="F1632" s="84"/>
      <c r="G1632" s="146"/>
      <c r="H1632" s="221"/>
    </row>
    <row r="1633" spans="1:10" s="212" customFormat="1">
      <c r="A1633" s="91"/>
      <c r="B1633" s="91"/>
      <c r="C1633" s="91"/>
      <c r="D1633" s="91"/>
      <c r="E1633" s="91"/>
      <c r="G1633" s="213"/>
      <c r="H1633" s="222"/>
    </row>
    <row r="1634" spans="1:10" s="212" customFormat="1">
      <c r="A1634" s="120"/>
      <c r="B1634" s="73"/>
      <c r="C1634" s="73"/>
      <c r="D1634" s="73"/>
      <c r="E1634" s="73"/>
      <c r="G1634" s="73"/>
      <c r="H1634" s="222"/>
    </row>
    <row r="1635" spans="1:10" s="212" customFormat="1">
      <c r="A1635" s="220"/>
      <c r="B1635" s="141"/>
      <c r="C1635" s="141"/>
      <c r="D1635" s="141"/>
      <c r="E1635" s="141"/>
      <c r="F1635" s="141"/>
      <c r="G1635" s="141"/>
      <c r="H1635" s="222"/>
    </row>
    <row r="1636" spans="1:10" s="212" customFormat="1">
      <c r="A1636" s="142"/>
      <c r="B1636" s="143"/>
      <c r="C1636" s="143"/>
      <c r="D1636" s="143"/>
      <c r="E1636" s="143"/>
      <c r="F1636" s="84"/>
      <c r="G1636" s="146"/>
      <c r="H1636" s="221"/>
    </row>
    <row r="1637" spans="1:10" s="212" customFormat="1">
      <c r="A1637" s="123"/>
      <c r="B1637" s="95"/>
      <c r="C1637" s="95"/>
      <c r="D1637" s="95"/>
      <c r="E1637" s="95"/>
      <c r="G1637" s="213"/>
      <c r="H1637" s="73"/>
    </row>
    <row r="1638" spans="1:10" s="212" customFormat="1">
      <c r="A1638" s="123"/>
      <c r="B1638" s="95"/>
      <c r="C1638" s="95"/>
      <c r="D1638" s="95"/>
      <c r="E1638" s="95"/>
      <c r="G1638" s="73"/>
      <c r="H1638" s="225"/>
    </row>
    <row r="1639" spans="1:10" s="212" customFormat="1">
      <c r="B1639" s="97"/>
      <c r="C1639" s="98"/>
      <c r="D1639" s="98"/>
      <c r="E1639" s="98"/>
      <c r="G1639" s="220"/>
    </row>
    <row r="1640" spans="1:10" s="212" customFormat="1">
      <c r="B1640" s="97"/>
      <c r="C1640" s="98"/>
      <c r="D1640" s="98"/>
      <c r="E1640" s="98"/>
      <c r="F1640" s="220"/>
      <c r="G1640" s="225"/>
      <c r="H1640" s="226"/>
    </row>
    <row r="1641" spans="1:10" s="212" customFormat="1">
      <c r="A1641" s="633"/>
      <c r="B1641" s="633"/>
      <c r="C1641" s="633"/>
      <c r="D1641" s="633"/>
      <c r="E1641" s="633"/>
      <c r="F1641" s="633"/>
      <c r="G1641" s="633"/>
    </row>
    <row r="1642" spans="1:10" s="212" customFormat="1">
      <c r="H1642" s="227"/>
      <c r="I1642" s="228"/>
    </row>
    <row r="1643" spans="1:10" s="212" customFormat="1">
      <c r="A1643" s="658"/>
      <c r="B1643" s="227"/>
      <c r="C1643" s="227"/>
      <c r="D1643" s="227"/>
      <c r="E1643" s="227"/>
      <c r="F1643" s="227"/>
      <c r="G1643" s="227"/>
      <c r="H1643" s="227"/>
      <c r="I1643" s="229"/>
    </row>
    <row r="1644" spans="1:10" s="212" customFormat="1">
      <c r="A1644" s="658"/>
      <c r="B1644" s="227"/>
      <c r="C1644" s="227"/>
      <c r="D1644" s="227"/>
      <c r="E1644" s="227"/>
      <c r="F1644" s="227"/>
      <c r="G1644" s="227"/>
    </row>
    <row r="1645" spans="1:10" s="212" customFormat="1">
      <c r="A1645" s="69"/>
      <c r="B1645" s="69"/>
      <c r="C1645" s="69"/>
      <c r="D1645" s="69"/>
      <c r="E1645" s="69"/>
    </row>
    <row r="1646" spans="1:10">
      <c r="A1646" s="120"/>
      <c r="B1646" s="73"/>
      <c r="C1646" s="73"/>
      <c r="D1646" s="73"/>
      <c r="E1646" s="73"/>
      <c r="F1646" s="73"/>
      <c r="G1646" s="73"/>
      <c r="H1646" s="73"/>
      <c r="I1646" s="212"/>
      <c r="J1646" s="231"/>
    </row>
    <row r="1647" spans="1:10" s="212" customFormat="1">
      <c r="A1647" s="220"/>
      <c r="B1647" s="141"/>
      <c r="C1647" s="141"/>
      <c r="D1647" s="141"/>
      <c r="E1647" s="141"/>
      <c r="F1647" s="141"/>
      <c r="G1647" s="141"/>
      <c r="H1647" s="73"/>
    </row>
    <row r="1648" spans="1:10" s="212" customFormat="1">
      <c r="A1648" s="142"/>
      <c r="B1648" s="143"/>
      <c r="C1648" s="143"/>
      <c r="D1648" s="143"/>
      <c r="E1648" s="143"/>
      <c r="F1648" s="84"/>
      <c r="G1648" s="146"/>
      <c r="H1648" s="221"/>
    </row>
    <row r="1649" spans="1:8" s="212" customFormat="1">
      <c r="A1649" s="84"/>
      <c r="B1649" s="83"/>
      <c r="C1649" s="84"/>
      <c r="D1649" s="84"/>
      <c r="E1649" s="84"/>
      <c r="G1649" s="213"/>
      <c r="H1649" s="222"/>
    </row>
    <row r="1650" spans="1:8" s="212" customFormat="1" ht="15" customHeight="1">
      <c r="A1650" s="120"/>
      <c r="B1650" s="73"/>
      <c r="C1650" s="73"/>
      <c r="D1650" s="73"/>
      <c r="E1650" s="73"/>
      <c r="G1650" s="73"/>
      <c r="H1650" s="222"/>
    </row>
    <row r="1651" spans="1:8" s="212" customFormat="1">
      <c r="A1651" s="220"/>
      <c r="B1651" s="141"/>
      <c r="C1651" s="141"/>
      <c r="D1651" s="141"/>
      <c r="E1651" s="141"/>
      <c r="F1651" s="141"/>
      <c r="G1651" s="141"/>
      <c r="H1651" s="222"/>
    </row>
    <row r="1652" spans="1:8" s="212" customFormat="1" ht="14.25" customHeight="1">
      <c r="A1652" s="150"/>
      <c r="B1652" s="161"/>
      <c r="C1652" s="148"/>
      <c r="D1652" s="84"/>
      <c r="E1652" s="84"/>
      <c r="F1652" s="84"/>
      <c r="G1652" s="224"/>
      <c r="H1652" s="222"/>
    </row>
    <row r="1653" spans="1:8" s="212" customFormat="1" ht="14.25" customHeight="1">
      <c r="A1653" s="150"/>
      <c r="B1653" s="161"/>
      <c r="C1653" s="148"/>
      <c r="D1653" s="84"/>
      <c r="E1653" s="84"/>
      <c r="F1653" s="84"/>
      <c r="G1653" s="224"/>
      <c r="H1653" s="222"/>
    </row>
    <row r="1654" spans="1:8" s="212" customFormat="1" ht="14.25" customHeight="1">
      <c r="A1654" s="150"/>
      <c r="B1654" s="161"/>
      <c r="C1654" s="148"/>
      <c r="D1654" s="84"/>
      <c r="E1654" s="84"/>
      <c r="F1654" s="84"/>
      <c r="G1654" s="224"/>
      <c r="H1654" s="222"/>
    </row>
    <row r="1655" spans="1:8" s="212" customFormat="1" ht="14.25" customHeight="1">
      <c r="A1655" s="150"/>
      <c r="B1655" s="161"/>
      <c r="C1655" s="148"/>
      <c r="D1655" s="84"/>
      <c r="E1655" s="84"/>
      <c r="F1655" s="84"/>
      <c r="G1655" s="224"/>
      <c r="H1655" s="222"/>
    </row>
    <row r="1656" spans="1:8" s="212" customFormat="1" ht="16.5">
      <c r="A1656" s="150"/>
      <c r="B1656" s="161"/>
      <c r="C1656" s="148"/>
      <c r="D1656" s="84"/>
      <c r="E1656" s="84"/>
      <c r="F1656" s="84"/>
      <c r="G1656" s="224"/>
      <c r="H1656" s="222"/>
    </row>
    <row r="1657" spans="1:8" s="212" customFormat="1" ht="16.5">
      <c r="A1657" s="150"/>
      <c r="B1657" s="161"/>
      <c r="C1657" s="148"/>
      <c r="D1657" s="84"/>
      <c r="E1657" s="84"/>
      <c r="F1657" s="84"/>
      <c r="G1657" s="224"/>
      <c r="H1657" s="221"/>
    </row>
    <row r="1658" spans="1:8" s="212" customFormat="1">
      <c r="A1658" s="91"/>
      <c r="B1658" s="91"/>
      <c r="C1658" s="91"/>
      <c r="D1658" s="91"/>
      <c r="E1658" s="91"/>
      <c r="G1658" s="213"/>
      <c r="H1658" s="222"/>
    </row>
    <row r="1659" spans="1:8" s="212" customFormat="1">
      <c r="A1659" s="120"/>
      <c r="B1659" s="73"/>
      <c r="C1659" s="73"/>
      <c r="D1659" s="73"/>
      <c r="E1659" s="73"/>
      <c r="G1659" s="73"/>
      <c r="H1659" s="222"/>
    </row>
    <row r="1660" spans="1:8" s="212" customFormat="1">
      <c r="A1660" s="220"/>
      <c r="B1660" s="141"/>
      <c r="C1660" s="141"/>
      <c r="D1660" s="141"/>
      <c r="E1660" s="141"/>
      <c r="F1660" s="141"/>
      <c r="G1660" s="141"/>
      <c r="H1660" s="222"/>
    </row>
    <row r="1661" spans="1:8" s="212" customFormat="1">
      <c r="A1661" s="146"/>
      <c r="B1661" s="83"/>
      <c r="C1661" s="148"/>
      <c r="D1661" s="84"/>
      <c r="E1661" s="84"/>
      <c r="F1661" s="84"/>
      <c r="G1661" s="146"/>
      <c r="H1661" s="221"/>
    </row>
    <row r="1662" spans="1:8" s="212" customFormat="1">
      <c r="A1662" s="91"/>
      <c r="B1662" s="91"/>
      <c r="C1662" s="91"/>
      <c r="D1662" s="91"/>
      <c r="E1662" s="91"/>
      <c r="G1662" s="213"/>
      <c r="H1662" s="222"/>
    </row>
    <row r="1663" spans="1:8" s="212" customFormat="1">
      <c r="A1663" s="120"/>
      <c r="B1663" s="73"/>
      <c r="C1663" s="73"/>
      <c r="D1663" s="73"/>
      <c r="E1663" s="73"/>
      <c r="G1663" s="73"/>
      <c r="H1663" s="222"/>
    </row>
    <row r="1664" spans="1:8" s="212" customFormat="1">
      <c r="A1664" s="220"/>
      <c r="B1664" s="141"/>
      <c r="C1664" s="141"/>
      <c r="D1664" s="141"/>
      <c r="E1664" s="141"/>
      <c r="F1664" s="141"/>
      <c r="G1664" s="141"/>
      <c r="H1664" s="222"/>
    </row>
    <row r="1665" spans="1:9" s="212" customFormat="1">
      <c r="A1665" s="142"/>
      <c r="B1665" s="143"/>
      <c r="C1665" s="143"/>
      <c r="D1665" s="143"/>
      <c r="E1665" s="143"/>
      <c r="F1665" s="84"/>
      <c r="G1665" s="146"/>
      <c r="H1665" s="221"/>
    </row>
    <row r="1666" spans="1:9" s="212" customFormat="1">
      <c r="A1666" s="123"/>
      <c r="B1666" s="95"/>
      <c r="C1666" s="95"/>
      <c r="D1666" s="95"/>
      <c r="E1666" s="95"/>
      <c r="G1666" s="213"/>
      <c r="H1666" s="73"/>
    </row>
    <row r="1667" spans="1:9" s="212" customFormat="1">
      <c r="A1667" s="123"/>
      <c r="B1667" s="95"/>
      <c r="C1667" s="95"/>
      <c r="D1667" s="95"/>
      <c r="E1667" s="95"/>
      <c r="G1667" s="73"/>
      <c r="H1667" s="225"/>
    </row>
    <row r="1668" spans="1:9" s="212" customFormat="1">
      <c r="B1668" s="97"/>
      <c r="C1668" s="98"/>
      <c r="D1668" s="98"/>
      <c r="E1668" s="98"/>
      <c r="G1668" s="220"/>
    </row>
    <row r="1669" spans="1:9" s="212" customFormat="1">
      <c r="B1669" s="97"/>
      <c r="C1669" s="98"/>
      <c r="D1669" s="98"/>
      <c r="E1669" s="98"/>
      <c r="F1669" s="220"/>
      <c r="G1669" s="225"/>
      <c r="H1669" s="226"/>
    </row>
    <row r="1670" spans="1:9" s="212" customFormat="1">
      <c r="A1670" s="633"/>
      <c r="B1670" s="633"/>
      <c r="C1670" s="633"/>
      <c r="D1670" s="633"/>
      <c r="E1670" s="633"/>
      <c r="F1670" s="633"/>
      <c r="G1670" s="633"/>
    </row>
    <row r="1671" spans="1:9" s="212" customFormat="1">
      <c r="H1671" s="227"/>
      <c r="I1671" s="228"/>
    </row>
    <row r="1672" spans="1:9" s="212" customFormat="1">
      <c r="A1672" s="658"/>
      <c r="B1672" s="227"/>
      <c r="C1672" s="227"/>
      <c r="D1672" s="227"/>
      <c r="E1672" s="227"/>
      <c r="F1672" s="227"/>
      <c r="G1672" s="227"/>
      <c r="H1672" s="227"/>
      <c r="I1672" s="229"/>
    </row>
    <row r="1673" spans="1:9" s="212" customFormat="1">
      <c r="A1673" s="658"/>
      <c r="B1673" s="227"/>
      <c r="C1673" s="227"/>
      <c r="D1673" s="227"/>
      <c r="E1673" s="227"/>
      <c r="F1673" s="227"/>
      <c r="G1673" s="227"/>
    </row>
    <row r="1674" spans="1:9" s="212" customFormat="1">
      <c r="A1674" s="69"/>
      <c r="B1674" s="69"/>
      <c r="C1674" s="69"/>
      <c r="D1674" s="69"/>
      <c r="E1674" s="69"/>
    </row>
    <row r="1675" spans="1:9" s="212" customFormat="1">
      <c r="A1675" s="120"/>
      <c r="B1675" s="73"/>
      <c r="C1675" s="73"/>
      <c r="D1675" s="73"/>
      <c r="E1675" s="73"/>
      <c r="F1675" s="73"/>
      <c r="G1675" s="73"/>
      <c r="H1675" s="73"/>
    </row>
    <row r="1676" spans="1:9" s="212" customFormat="1">
      <c r="A1676" s="220"/>
      <c r="B1676" s="141"/>
      <c r="C1676" s="141"/>
      <c r="D1676" s="141"/>
      <c r="E1676" s="141"/>
      <c r="F1676" s="141"/>
      <c r="G1676" s="141"/>
      <c r="H1676" s="73"/>
    </row>
    <row r="1677" spans="1:9" s="212" customFormat="1">
      <c r="A1677" s="142"/>
      <c r="B1677" s="143"/>
      <c r="C1677" s="143"/>
      <c r="D1677" s="143"/>
      <c r="E1677" s="143"/>
      <c r="F1677" s="84"/>
      <c r="G1677" s="146"/>
      <c r="H1677" s="221"/>
    </row>
    <row r="1678" spans="1:9" s="212" customFormat="1">
      <c r="A1678" s="84"/>
      <c r="B1678" s="83"/>
      <c r="C1678" s="84"/>
      <c r="D1678" s="84"/>
      <c r="E1678" s="84"/>
      <c r="G1678" s="213"/>
      <c r="H1678" s="222"/>
    </row>
    <row r="1679" spans="1:9" s="212" customFormat="1">
      <c r="A1679" s="120"/>
      <c r="B1679" s="73"/>
      <c r="C1679" s="73"/>
      <c r="D1679" s="73"/>
      <c r="E1679" s="73"/>
      <c r="G1679" s="73"/>
      <c r="H1679" s="222"/>
    </row>
    <row r="1680" spans="1:9" s="212" customFormat="1">
      <c r="A1680" s="220"/>
      <c r="B1680" s="141"/>
      <c r="C1680" s="141"/>
      <c r="D1680" s="141"/>
      <c r="E1680" s="141"/>
      <c r="F1680" s="141"/>
      <c r="G1680" s="141"/>
      <c r="H1680" s="222"/>
    </row>
    <row r="1681" spans="1:8" s="212" customFormat="1" ht="16.5">
      <c r="A1681" s="150"/>
      <c r="B1681" s="161"/>
      <c r="C1681" s="148"/>
      <c r="D1681" s="84"/>
      <c r="E1681" s="84"/>
      <c r="F1681" s="84"/>
      <c r="G1681" s="224"/>
      <c r="H1681" s="222"/>
    </row>
    <row r="1682" spans="1:8" s="212" customFormat="1" ht="16.5">
      <c r="A1682" s="150"/>
      <c r="B1682" s="161"/>
      <c r="C1682" s="148"/>
      <c r="D1682" s="84"/>
      <c r="E1682" s="84"/>
      <c r="F1682" s="84"/>
      <c r="G1682" s="224"/>
      <c r="H1682" s="222"/>
    </row>
    <row r="1683" spans="1:8" s="212" customFormat="1" ht="16.5">
      <c r="A1683" s="150"/>
      <c r="B1683" s="161"/>
      <c r="C1683" s="148"/>
      <c r="D1683" s="84"/>
      <c r="E1683" s="84"/>
      <c r="F1683" s="84"/>
      <c r="G1683" s="224"/>
      <c r="H1683" s="222"/>
    </row>
    <row r="1684" spans="1:8" s="212" customFormat="1" ht="16.5">
      <c r="A1684" s="150"/>
      <c r="B1684" s="161"/>
      <c r="C1684" s="148"/>
      <c r="D1684" s="84"/>
      <c r="E1684" s="84"/>
      <c r="F1684" s="84"/>
      <c r="G1684" s="224"/>
      <c r="H1684" s="222"/>
    </row>
    <row r="1685" spans="1:8" s="212" customFormat="1" ht="16.5">
      <c r="A1685" s="150"/>
      <c r="B1685" s="161"/>
      <c r="C1685" s="148"/>
      <c r="D1685" s="84"/>
      <c r="E1685" s="84"/>
      <c r="F1685" s="84"/>
      <c r="G1685" s="224"/>
      <c r="H1685" s="222"/>
    </row>
    <row r="1686" spans="1:8" s="212" customFormat="1" ht="16.5">
      <c r="A1686" s="150"/>
      <c r="B1686" s="161"/>
      <c r="C1686" s="148"/>
      <c r="D1686" s="84"/>
      <c r="E1686" s="84"/>
      <c r="F1686" s="84"/>
      <c r="G1686" s="224"/>
      <c r="H1686" s="221"/>
    </row>
    <row r="1687" spans="1:8" s="212" customFormat="1">
      <c r="A1687" s="91"/>
      <c r="B1687" s="91"/>
      <c r="C1687" s="91"/>
      <c r="D1687" s="91"/>
      <c r="E1687" s="91"/>
      <c r="G1687" s="213"/>
      <c r="H1687" s="222"/>
    </row>
    <row r="1688" spans="1:8" s="212" customFormat="1">
      <c r="A1688" s="120"/>
      <c r="B1688" s="73"/>
      <c r="C1688" s="73"/>
      <c r="D1688" s="73"/>
      <c r="E1688" s="73"/>
      <c r="G1688" s="73"/>
      <c r="H1688" s="222"/>
    </row>
    <row r="1689" spans="1:8" s="212" customFormat="1">
      <c r="A1689" s="220"/>
      <c r="B1689" s="141"/>
      <c r="C1689" s="141"/>
      <c r="D1689" s="141"/>
      <c r="E1689" s="141"/>
      <c r="F1689" s="141"/>
      <c r="G1689" s="141"/>
      <c r="H1689" s="222"/>
    </row>
    <row r="1690" spans="1:8" s="212" customFormat="1">
      <c r="A1690" s="146"/>
      <c r="B1690" s="83"/>
      <c r="C1690" s="148"/>
      <c r="D1690" s="84"/>
      <c r="E1690" s="84"/>
      <c r="F1690" s="84"/>
      <c r="G1690" s="146"/>
      <c r="H1690" s="221"/>
    </row>
    <row r="1691" spans="1:8" s="212" customFormat="1">
      <c r="A1691" s="91"/>
      <c r="B1691" s="91"/>
      <c r="C1691" s="91"/>
      <c r="D1691" s="91"/>
      <c r="E1691" s="91"/>
      <c r="G1691" s="213"/>
      <c r="H1691" s="222"/>
    </row>
    <row r="1692" spans="1:8" s="212" customFormat="1">
      <c r="A1692" s="120"/>
      <c r="B1692" s="73"/>
      <c r="C1692" s="73"/>
      <c r="D1692" s="73"/>
      <c r="E1692" s="73"/>
      <c r="G1692" s="73"/>
      <c r="H1692" s="222"/>
    </row>
    <row r="1693" spans="1:8" s="212" customFormat="1">
      <c r="A1693" s="220"/>
      <c r="B1693" s="141"/>
      <c r="C1693" s="141"/>
      <c r="D1693" s="141"/>
      <c r="E1693" s="141"/>
      <c r="F1693" s="141"/>
      <c r="G1693" s="141"/>
      <c r="H1693" s="222"/>
    </row>
    <row r="1694" spans="1:8" s="212" customFormat="1">
      <c r="A1694" s="142"/>
      <c r="B1694" s="143"/>
      <c r="C1694" s="143"/>
      <c r="D1694" s="143"/>
      <c r="E1694" s="143"/>
      <c r="F1694" s="84"/>
      <c r="G1694" s="146"/>
      <c r="H1694" s="221"/>
    </row>
    <row r="1695" spans="1:8" s="212" customFormat="1">
      <c r="A1695" s="123"/>
      <c r="B1695" s="95"/>
      <c r="C1695" s="95"/>
      <c r="D1695" s="95"/>
      <c r="E1695" s="95"/>
      <c r="G1695" s="213"/>
      <c r="H1695" s="73"/>
    </row>
    <row r="1696" spans="1:8" s="212" customFormat="1">
      <c r="A1696" s="123"/>
      <c r="B1696" s="95"/>
      <c r="C1696" s="95"/>
      <c r="D1696" s="95"/>
      <c r="E1696" s="95"/>
      <c r="G1696" s="73"/>
      <c r="H1696" s="225"/>
    </row>
    <row r="1697" spans="1:9" s="212" customFormat="1">
      <c r="B1697" s="97"/>
      <c r="C1697" s="98"/>
      <c r="D1697" s="98"/>
      <c r="E1697" s="98"/>
      <c r="G1697" s="220"/>
    </row>
    <row r="1698" spans="1:9" s="212" customFormat="1">
      <c r="B1698" s="97"/>
      <c r="C1698" s="98"/>
      <c r="D1698" s="98"/>
      <c r="E1698" s="98"/>
      <c r="F1698" s="220"/>
      <c r="G1698" s="225"/>
      <c r="H1698" s="226"/>
    </row>
    <row r="1699" spans="1:9" s="212" customFormat="1">
      <c r="A1699" s="633"/>
      <c r="B1699" s="633"/>
      <c r="C1699" s="633"/>
      <c r="D1699" s="633"/>
      <c r="E1699" s="633"/>
      <c r="F1699" s="633"/>
      <c r="G1699" s="633"/>
      <c r="H1699" s="216"/>
      <c r="I1699" s="216"/>
    </row>
    <row r="1700" spans="1:9" s="212" customFormat="1">
      <c r="A1700" s="216"/>
      <c r="B1700" s="216"/>
      <c r="C1700" s="216"/>
      <c r="D1700" s="216"/>
      <c r="E1700" s="216"/>
      <c r="F1700" s="216"/>
      <c r="G1700" s="216"/>
      <c r="H1700" s="227"/>
      <c r="I1700" s="228"/>
    </row>
    <row r="1701" spans="1:9" s="212" customFormat="1">
      <c r="A1701" s="658"/>
      <c r="B1701" s="227"/>
      <c r="C1701" s="227"/>
      <c r="D1701" s="227"/>
      <c r="E1701" s="227"/>
      <c r="F1701" s="227"/>
      <c r="G1701" s="227"/>
      <c r="H1701" s="227"/>
      <c r="I1701" s="229"/>
    </row>
    <row r="1702" spans="1:9" s="212" customFormat="1">
      <c r="A1702" s="658"/>
      <c r="B1702" s="227"/>
      <c r="C1702" s="227"/>
      <c r="D1702" s="227"/>
      <c r="E1702" s="227"/>
      <c r="F1702" s="227"/>
      <c r="G1702" s="227"/>
    </row>
    <row r="1703" spans="1:9" s="212" customFormat="1">
      <c r="A1703" s="69"/>
      <c r="B1703" s="69"/>
      <c r="C1703" s="69"/>
      <c r="D1703" s="69"/>
      <c r="E1703" s="69"/>
    </row>
    <row r="1704" spans="1:9" s="212" customFormat="1">
      <c r="A1704" s="120"/>
      <c r="B1704" s="73"/>
      <c r="C1704" s="73"/>
      <c r="D1704" s="73"/>
      <c r="E1704" s="73"/>
      <c r="F1704" s="73"/>
      <c r="G1704" s="73"/>
      <c r="H1704" s="73"/>
    </row>
    <row r="1705" spans="1:9" s="212" customFormat="1">
      <c r="A1705" s="220"/>
      <c r="B1705" s="141"/>
      <c r="C1705" s="141"/>
      <c r="D1705" s="141"/>
      <c r="E1705" s="141"/>
      <c r="F1705" s="141"/>
      <c r="G1705" s="141"/>
      <c r="H1705" s="73"/>
    </row>
    <row r="1706" spans="1:9" s="212" customFormat="1" ht="16.5">
      <c r="A1706" s="150"/>
      <c r="B1706" s="161"/>
      <c r="C1706" s="148"/>
      <c r="D1706" s="84"/>
      <c r="E1706" s="84"/>
      <c r="F1706" s="84"/>
      <c r="G1706" s="224"/>
      <c r="H1706" s="73"/>
    </row>
    <row r="1707" spans="1:9" s="212" customFormat="1" ht="16.5">
      <c r="A1707" s="150"/>
      <c r="B1707" s="161"/>
      <c r="C1707" s="148"/>
      <c r="D1707" s="84"/>
      <c r="E1707" s="84"/>
      <c r="F1707" s="84"/>
      <c r="G1707" s="224"/>
      <c r="H1707" s="73"/>
    </row>
    <row r="1708" spans="1:9" s="212" customFormat="1" ht="16.5">
      <c r="A1708" s="150"/>
      <c r="B1708" s="161"/>
      <c r="C1708" s="148"/>
      <c r="D1708" s="84"/>
      <c r="E1708" s="84"/>
      <c r="F1708" s="84"/>
      <c r="G1708" s="224"/>
      <c r="H1708" s="221"/>
    </row>
    <row r="1709" spans="1:9" s="212" customFormat="1">
      <c r="A1709" s="84"/>
      <c r="B1709" s="83"/>
      <c r="C1709" s="84"/>
      <c r="D1709" s="84"/>
      <c r="E1709" s="84"/>
      <c r="G1709" s="213"/>
      <c r="H1709" s="222"/>
    </row>
    <row r="1710" spans="1:9" s="212" customFormat="1">
      <c r="A1710" s="120"/>
      <c r="B1710" s="73"/>
      <c r="C1710" s="73"/>
      <c r="D1710" s="73"/>
      <c r="E1710" s="73"/>
      <c r="G1710" s="73"/>
      <c r="H1710" s="222"/>
    </row>
    <row r="1711" spans="1:9" s="212" customFormat="1">
      <c r="A1711" s="220"/>
      <c r="B1711" s="141"/>
      <c r="C1711" s="141"/>
      <c r="D1711" s="141"/>
      <c r="E1711" s="141"/>
      <c r="F1711" s="141"/>
      <c r="G1711" s="141"/>
      <c r="H1711" s="222"/>
    </row>
    <row r="1712" spans="1:9" s="212" customFormat="1">
      <c r="A1712" s="142"/>
      <c r="B1712" s="143"/>
      <c r="C1712" s="143"/>
      <c r="D1712" s="143"/>
      <c r="E1712" s="143"/>
      <c r="F1712" s="84"/>
      <c r="G1712" s="146"/>
      <c r="H1712" s="221"/>
    </row>
    <row r="1713" spans="1:9" s="212" customFormat="1">
      <c r="A1713" s="91"/>
      <c r="B1713" s="91"/>
      <c r="C1713" s="91"/>
      <c r="D1713" s="91"/>
      <c r="E1713" s="91"/>
      <c r="G1713" s="213"/>
      <c r="H1713" s="222"/>
    </row>
    <row r="1714" spans="1:9" s="212" customFormat="1">
      <c r="A1714" s="120"/>
      <c r="B1714" s="73"/>
      <c r="C1714" s="73"/>
      <c r="D1714" s="73"/>
      <c r="E1714" s="73"/>
      <c r="G1714" s="73"/>
      <c r="H1714" s="222"/>
    </row>
    <row r="1715" spans="1:9" s="212" customFormat="1">
      <c r="A1715" s="220"/>
      <c r="B1715" s="141"/>
      <c r="C1715" s="141"/>
      <c r="D1715" s="141"/>
      <c r="E1715" s="141"/>
      <c r="F1715" s="141"/>
      <c r="G1715" s="141"/>
      <c r="H1715" s="222"/>
    </row>
    <row r="1716" spans="1:9" s="212" customFormat="1">
      <c r="A1716" s="142"/>
      <c r="B1716" s="143"/>
      <c r="C1716" s="143"/>
      <c r="D1716" s="143"/>
      <c r="E1716" s="143"/>
      <c r="F1716" s="84"/>
      <c r="G1716" s="146"/>
      <c r="H1716" s="221"/>
    </row>
    <row r="1717" spans="1:9" s="212" customFormat="1">
      <c r="A1717" s="91"/>
      <c r="B1717" s="91"/>
      <c r="C1717" s="91"/>
      <c r="D1717" s="91"/>
      <c r="E1717" s="91"/>
      <c r="G1717" s="213"/>
      <c r="H1717" s="222"/>
    </row>
    <row r="1718" spans="1:9" s="212" customFormat="1">
      <c r="A1718" s="120"/>
      <c r="B1718" s="73"/>
      <c r="C1718" s="73"/>
      <c r="D1718" s="73"/>
      <c r="E1718" s="73"/>
      <c r="G1718" s="73"/>
      <c r="H1718" s="222"/>
    </row>
    <row r="1719" spans="1:9" s="212" customFormat="1">
      <c r="A1719" s="220"/>
      <c r="B1719" s="141"/>
      <c r="C1719" s="141"/>
      <c r="D1719" s="141"/>
      <c r="E1719" s="141"/>
      <c r="F1719" s="141"/>
      <c r="G1719" s="141"/>
      <c r="H1719" s="222"/>
    </row>
    <row r="1720" spans="1:9" s="212" customFormat="1">
      <c r="A1720" s="142"/>
      <c r="B1720" s="143"/>
      <c r="C1720" s="143"/>
      <c r="D1720" s="143"/>
      <c r="E1720" s="143"/>
      <c r="F1720" s="84"/>
      <c r="G1720" s="146"/>
      <c r="H1720" s="221"/>
    </row>
    <row r="1721" spans="1:9" s="212" customFormat="1">
      <c r="A1721" s="123"/>
      <c r="B1721" s="95"/>
      <c r="C1721" s="95"/>
      <c r="D1721" s="95"/>
      <c r="E1721" s="95"/>
      <c r="G1721" s="213"/>
      <c r="H1721" s="73"/>
    </row>
    <row r="1722" spans="1:9" s="212" customFormat="1">
      <c r="A1722" s="123"/>
      <c r="B1722" s="95"/>
      <c r="C1722" s="95"/>
      <c r="D1722" s="95"/>
      <c r="E1722" s="95"/>
      <c r="G1722" s="73"/>
      <c r="H1722" s="225"/>
    </row>
    <row r="1723" spans="1:9" s="212" customFormat="1">
      <c r="B1723" s="97"/>
      <c r="C1723" s="98"/>
      <c r="D1723" s="98"/>
      <c r="E1723" s="98"/>
      <c r="G1723" s="220"/>
    </row>
    <row r="1724" spans="1:9" s="212" customFormat="1">
      <c r="B1724" s="97"/>
      <c r="C1724" s="98"/>
      <c r="D1724" s="98"/>
      <c r="E1724" s="98"/>
      <c r="F1724" s="220"/>
      <c r="G1724" s="225"/>
      <c r="H1724" s="226"/>
    </row>
    <row r="1725" spans="1:9" s="212" customFormat="1">
      <c r="A1725" s="633"/>
      <c r="B1725" s="633"/>
      <c r="C1725" s="633"/>
      <c r="D1725" s="633"/>
      <c r="E1725" s="633"/>
      <c r="F1725" s="633"/>
      <c r="G1725" s="633"/>
    </row>
    <row r="1726" spans="1:9" s="212" customFormat="1">
      <c r="H1726" s="227"/>
      <c r="I1726" s="228"/>
    </row>
    <row r="1727" spans="1:9" s="212" customFormat="1">
      <c r="A1727" s="658"/>
      <c r="B1727" s="227"/>
      <c r="C1727" s="227"/>
      <c r="D1727" s="227"/>
      <c r="E1727" s="227"/>
      <c r="F1727" s="227"/>
      <c r="G1727" s="227"/>
      <c r="H1727" s="227"/>
      <c r="I1727" s="229"/>
    </row>
    <row r="1728" spans="1:9" s="212" customFormat="1">
      <c r="A1728" s="658"/>
      <c r="B1728" s="227"/>
      <c r="C1728" s="227"/>
      <c r="D1728" s="227"/>
      <c r="E1728" s="227"/>
      <c r="F1728" s="227"/>
      <c r="G1728" s="227"/>
    </row>
    <row r="1729" spans="1:8" s="212" customFormat="1">
      <c r="A1729" s="69"/>
      <c r="B1729" s="69"/>
      <c r="C1729" s="69"/>
      <c r="D1729" s="69"/>
      <c r="E1729" s="69"/>
    </row>
    <row r="1730" spans="1:8" s="212" customFormat="1">
      <c r="A1730" s="120"/>
      <c r="B1730" s="73"/>
      <c r="C1730" s="73"/>
      <c r="D1730" s="73"/>
      <c r="E1730" s="73"/>
      <c r="F1730" s="73"/>
      <c r="G1730" s="73"/>
      <c r="H1730" s="73"/>
    </row>
    <row r="1731" spans="1:8" s="212" customFormat="1">
      <c r="A1731" s="220"/>
      <c r="B1731" s="141"/>
      <c r="C1731" s="141"/>
      <c r="D1731" s="141"/>
      <c r="E1731" s="141"/>
      <c r="F1731" s="141"/>
      <c r="G1731" s="141"/>
      <c r="H1731" s="73"/>
    </row>
    <row r="1732" spans="1:8" s="212" customFormat="1" ht="16.5">
      <c r="A1732" s="150"/>
      <c r="B1732" s="161"/>
      <c r="C1732" s="148"/>
      <c r="D1732" s="84"/>
      <c r="E1732" s="84"/>
      <c r="F1732" s="84"/>
      <c r="G1732" s="224"/>
      <c r="H1732" s="221"/>
    </row>
    <row r="1733" spans="1:8" s="212" customFormat="1">
      <c r="A1733" s="84"/>
      <c r="B1733" s="83"/>
      <c r="C1733" s="84"/>
      <c r="D1733" s="84"/>
      <c r="E1733" s="84"/>
      <c r="G1733" s="213"/>
      <c r="H1733" s="222"/>
    </row>
    <row r="1734" spans="1:8" s="212" customFormat="1">
      <c r="A1734" s="120"/>
      <c r="B1734" s="73"/>
      <c r="C1734" s="73"/>
      <c r="D1734" s="73"/>
      <c r="E1734" s="73"/>
      <c r="G1734" s="73"/>
      <c r="H1734" s="222"/>
    </row>
    <row r="1735" spans="1:8" s="212" customFormat="1">
      <c r="A1735" s="220"/>
      <c r="B1735" s="141"/>
      <c r="C1735" s="141"/>
      <c r="D1735" s="141"/>
      <c r="E1735" s="141"/>
      <c r="F1735" s="141"/>
      <c r="G1735" s="141"/>
      <c r="H1735" s="222"/>
    </row>
    <row r="1736" spans="1:8" s="212" customFormat="1" ht="16.5">
      <c r="A1736" s="150"/>
      <c r="B1736" s="161"/>
      <c r="C1736" s="148"/>
      <c r="D1736" s="84"/>
      <c r="E1736" s="84"/>
      <c r="F1736" s="84"/>
      <c r="G1736" s="224"/>
      <c r="H1736" s="222"/>
    </row>
    <row r="1737" spans="1:8" s="212" customFormat="1" ht="16.5">
      <c r="A1737" s="150"/>
      <c r="B1737" s="161"/>
      <c r="C1737" s="148"/>
      <c r="D1737" s="84"/>
      <c r="E1737" s="84"/>
      <c r="F1737" s="84"/>
      <c r="G1737" s="224"/>
      <c r="H1737" s="222"/>
    </row>
    <row r="1738" spans="1:8" s="212" customFormat="1" ht="16.5">
      <c r="A1738" s="150"/>
      <c r="B1738" s="161"/>
      <c r="C1738" s="148"/>
      <c r="D1738" s="84"/>
      <c r="E1738" s="84"/>
      <c r="F1738" s="84"/>
      <c r="G1738" s="224"/>
      <c r="H1738" s="222"/>
    </row>
    <row r="1739" spans="1:8" s="212" customFormat="1" ht="16.5">
      <c r="A1739" s="150"/>
      <c r="B1739" s="161"/>
      <c r="C1739" s="148"/>
      <c r="D1739" s="84"/>
      <c r="E1739" s="84"/>
      <c r="F1739" s="84"/>
      <c r="G1739" s="224"/>
      <c r="H1739" s="222"/>
    </row>
    <row r="1740" spans="1:8" s="212" customFormat="1" ht="16.5">
      <c r="A1740" s="150"/>
      <c r="B1740" s="161"/>
      <c r="C1740" s="148"/>
      <c r="D1740" s="84"/>
      <c r="E1740" s="84"/>
      <c r="F1740" s="84"/>
      <c r="G1740" s="224"/>
      <c r="H1740" s="221"/>
    </row>
    <row r="1741" spans="1:8" s="212" customFormat="1">
      <c r="A1741" s="91"/>
      <c r="B1741" s="91"/>
      <c r="C1741" s="91"/>
      <c r="D1741" s="91"/>
      <c r="E1741" s="91"/>
      <c r="G1741" s="213"/>
      <c r="H1741" s="222"/>
    </row>
    <row r="1742" spans="1:8" s="212" customFormat="1">
      <c r="A1742" s="120"/>
      <c r="B1742" s="73"/>
      <c r="C1742" s="73"/>
      <c r="D1742" s="73"/>
      <c r="E1742" s="73"/>
      <c r="G1742" s="73"/>
      <c r="H1742" s="222"/>
    </row>
    <row r="1743" spans="1:8" s="212" customFormat="1">
      <c r="A1743" s="220"/>
      <c r="B1743" s="141"/>
      <c r="C1743" s="141"/>
      <c r="D1743" s="141"/>
      <c r="E1743" s="141"/>
      <c r="F1743" s="141"/>
      <c r="G1743" s="141"/>
      <c r="H1743" s="222"/>
    </row>
    <row r="1744" spans="1:8" s="212" customFormat="1" ht="16.5">
      <c r="A1744" s="150"/>
      <c r="B1744" s="161"/>
      <c r="C1744" s="148"/>
      <c r="D1744" s="84"/>
      <c r="E1744" s="84"/>
      <c r="F1744" s="84"/>
      <c r="G1744" s="224"/>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33"/>
      <c r="B1753" s="633"/>
      <c r="C1753" s="633"/>
      <c r="D1753" s="633"/>
      <c r="E1753" s="633"/>
      <c r="F1753" s="633"/>
      <c r="G1753" s="633"/>
    </row>
    <row r="1754" spans="1:9" s="212" customFormat="1">
      <c r="H1754" s="227"/>
      <c r="I1754" s="228"/>
    </row>
    <row r="1755" spans="1:9" s="212" customFormat="1">
      <c r="A1755" s="658"/>
      <c r="B1755" s="227"/>
      <c r="C1755" s="227"/>
      <c r="D1755" s="227"/>
      <c r="E1755" s="227"/>
      <c r="F1755" s="227"/>
      <c r="G1755" s="227"/>
      <c r="H1755" s="227"/>
      <c r="I1755" s="229"/>
    </row>
    <row r="1756" spans="1:9" s="212" customFormat="1">
      <c r="A1756" s="658"/>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ht="16.5">
      <c r="A1760" s="150"/>
      <c r="B1760" s="161"/>
      <c r="C1760" s="148"/>
      <c r="D1760" s="84"/>
      <c r="E1760" s="84"/>
      <c r="F1760" s="84"/>
      <c r="G1760" s="224"/>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ht="16.5">
      <c r="A1764" s="150"/>
      <c r="B1764" s="161"/>
      <c r="C1764" s="148"/>
      <c r="D1764" s="84"/>
      <c r="E1764" s="84"/>
      <c r="F1764" s="84"/>
      <c r="G1764" s="224"/>
      <c r="H1764" s="222"/>
    </row>
    <row r="1765" spans="1:8" s="212" customFormat="1" ht="16.5">
      <c r="A1765" s="150"/>
      <c r="B1765" s="161"/>
      <c r="C1765" s="148"/>
      <c r="D1765" s="84"/>
      <c r="E1765" s="84"/>
      <c r="F1765" s="84"/>
      <c r="G1765" s="224"/>
      <c r="H1765" s="222"/>
    </row>
    <row r="1766" spans="1:8" s="212" customFormat="1" ht="16.5">
      <c r="A1766" s="150"/>
      <c r="B1766" s="161"/>
      <c r="C1766" s="148"/>
      <c r="D1766" s="84"/>
      <c r="E1766" s="84"/>
      <c r="F1766" s="84"/>
      <c r="G1766" s="224"/>
      <c r="H1766" s="222"/>
    </row>
    <row r="1767" spans="1:8" s="212" customFormat="1" ht="16.5">
      <c r="A1767" s="150"/>
      <c r="B1767" s="161"/>
      <c r="C1767" s="148"/>
      <c r="D1767" s="84"/>
      <c r="E1767" s="84"/>
      <c r="F1767" s="84"/>
      <c r="G1767" s="224"/>
      <c r="H1767" s="221"/>
    </row>
    <row r="1768" spans="1:8" s="212" customFormat="1">
      <c r="A1768" s="91"/>
      <c r="B1768" s="91"/>
      <c r="C1768" s="91"/>
      <c r="D1768" s="91"/>
      <c r="E1768" s="91"/>
      <c r="G1768" s="213"/>
      <c r="H1768" s="222"/>
    </row>
    <row r="1769" spans="1:8" s="212" customFormat="1">
      <c r="A1769" s="120"/>
      <c r="B1769" s="73"/>
      <c r="C1769" s="73"/>
      <c r="D1769" s="73"/>
      <c r="E1769" s="73"/>
      <c r="G1769" s="73"/>
      <c r="H1769" s="222"/>
    </row>
    <row r="1770" spans="1:8" s="212" customFormat="1">
      <c r="A1770" s="220"/>
      <c r="B1770" s="141"/>
      <c r="C1770" s="141"/>
      <c r="D1770" s="141"/>
      <c r="E1770" s="141"/>
      <c r="F1770" s="141"/>
      <c r="G1770" s="141"/>
      <c r="H1770" s="222"/>
    </row>
    <row r="1771" spans="1:8" s="212" customFormat="1" ht="16.5">
      <c r="A1771" s="150"/>
      <c r="B1771" s="161"/>
      <c r="C1771" s="148"/>
      <c r="D1771" s="84"/>
      <c r="E1771" s="84"/>
      <c r="F1771" s="84"/>
      <c r="G1771" s="224"/>
      <c r="H1771" s="221"/>
    </row>
    <row r="1772" spans="1:8" s="212" customFormat="1">
      <c r="A1772" s="91"/>
      <c r="B1772" s="91"/>
      <c r="C1772" s="91"/>
      <c r="D1772" s="91"/>
      <c r="E1772" s="91"/>
      <c r="G1772" s="213"/>
      <c r="H1772" s="222"/>
    </row>
    <row r="1773" spans="1:8" s="212" customFormat="1">
      <c r="A1773" s="120"/>
      <c r="B1773" s="73"/>
      <c r="C1773" s="73"/>
      <c r="D1773" s="73"/>
      <c r="E1773" s="73"/>
      <c r="G1773" s="73"/>
      <c r="H1773" s="222"/>
    </row>
    <row r="1774" spans="1:8" s="212" customFormat="1">
      <c r="A1774" s="220"/>
      <c r="B1774" s="141"/>
      <c r="C1774" s="141"/>
      <c r="D1774" s="141"/>
      <c r="E1774" s="141"/>
      <c r="F1774" s="141"/>
      <c r="G1774" s="141"/>
      <c r="H1774" s="222"/>
    </row>
    <row r="1775" spans="1:8" s="212" customFormat="1">
      <c r="A1775" s="142"/>
      <c r="B1775" s="143"/>
      <c r="C1775" s="143"/>
      <c r="D1775" s="143"/>
      <c r="E1775" s="143"/>
      <c r="F1775" s="84"/>
      <c r="G1775" s="146"/>
      <c r="H1775" s="221"/>
    </row>
    <row r="1776" spans="1:8" s="212" customFormat="1">
      <c r="A1776" s="123"/>
      <c r="B1776" s="95"/>
      <c r="C1776" s="95"/>
      <c r="D1776" s="95"/>
      <c r="E1776" s="95"/>
      <c r="G1776" s="213"/>
      <c r="H1776" s="73"/>
    </row>
    <row r="1777" spans="1:9" s="212" customFormat="1">
      <c r="A1777" s="123"/>
      <c r="B1777" s="95"/>
      <c r="C1777" s="95"/>
      <c r="D1777" s="95"/>
      <c r="E1777" s="95"/>
      <c r="G1777" s="73"/>
      <c r="H1777" s="225"/>
    </row>
    <row r="1778" spans="1:9" s="212" customFormat="1">
      <c r="B1778" s="97"/>
      <c r="C1778" s="98"/>
      <c r="D1778" s="98"/>
      <c r="E1778" s="98"/>
      <c r="G1778" s="220"/>
    </row>
    <row r="1779" spans="1:9" s="212" customFormat="1">
      <c r="B1779" s="97"/>
      <c r="C1779" s="98"/>
      <c r="D1779" s="98"/>
      <c r="E1779" s="98"/>
      <c r="F1779" s="220"/>
      <c r="G1779" s="225"/>
      <c r="H1779" s="226"/>
    </row>
    <row r="1780" spans="1:9" s="212" customFormat="1">
      <c r="A1780" s="633"/>
      <c r="B1780" s="633"/>
      <c r="C1780" s="633"/>
      <c r="D1780" s="633"/>
      <c r="E1780" s="633"/>
      <c r="F1780" s="633"/>
      <c r="G1780" s="633"/>
    </row>
    <row r="1781" spans="1:9" s="212" customFormat="1">
      <c r="H1781" s="227"/>
      <c r="I1781" s="228"/>
    </row>
    <row r="1782" spans="1:9" s="212" customFormat="1">
      <c r="A1782" s="658"/>
      <c r="B1782" s="227"/>
      <c r="C1782" s="227"/>
      <c r="D1782" s="227"/>
      <c r="E1782" s="227"/>
      <c r="F1782" s="227"/>
      <c r="G1782" s="227"/>
      <c r="H1782" s="227"/>
      <c r="I1782" s="229"/>
    </row>
    <row r="1783" spans="1:9" s="212" customFormat="1">
      <c r="A1783" s="658"/>
      <c r="B1783" s="227"/>
      <c r="C1783" s="227"/>
      <c r="D1783" s="227"/>
      <c r="E1783" s="227"/>
      <c r="F1783" s="227"/>
      <c r="G1783" s="227"/>
    </row>
    <row r="1784" spans="1:9" s="212" customFormat="1">
      <c r="A1784" s="69"/>
      <c r="B1784" s="69"/>
      <c r="C1784" s="69"/>
      <c r="D1784" s="69"/>
      <c r="E1784" s="69"/>
    </row>
    <row r="1785" spans="1:9" s="212" customFormat="1">
      <c r="A1785" s="120"/>
      <c r="B1785" s="73"/>
      <c r="C1785" s="73"/>
      <c r="D1785" s="73"/>
      <c r="E1785" s="73"/>
      <c r="F1785" s="73"/>
      <c r="G1785" s="73"/>
      <c r="H1785" s="73"/>
    </row>
    <row r="1786" spans="1:9" s="212" customFormat="1">
      <c r="A1786" s="220"/>
      <c r="B1786" s="141"/>
      <c r="C1786" s="141"/>
      <c r="D1786" s="141"/>
      <c r="E1786" s="141"/>
      <c r="F1786" s="141"/>
      <c r="G1786" s="141"/>
      <c r="H1786" s="73"/>
    </row>
    <row r="1787" spans="1:9" s="212" customFormat="1" ht="16.5">
      <c r="A1787" s="150"/>
      <c r="B1787" s="161"/>
      <c r="C1787" s="148"/>
      <c r="D1787" s="84"/>
      <c r="E1787" s="84"/>
      <c r="F1787" s="84"/>
      <c r="G1787" s="224"/>
      <c r="H1787" s="221"/>
    </row>
    <row r="1788" spans="1:9" s="212" customFormat="1">
      <c r="A1788" s="84"/>
      <c r="B1788" s="83"/>
      <c r="C1788" s="84"/>
      <c r="D1788" s="84"/>
      <c r="E1788" s="84"/>
      <c r="G1788" s="213"/>
      <c r="H1788" s="222"/>
    </row>
    <row r="1789" spans="1:9" s="212" customFormat="1">
      <c r="A1789" s="120"/>
      <c r="B1789" s="73"/>
      <c r="C1789" s="73"/>
      <c r="D1789" s="73"/>
      <c r="E1789" s="73"/>
      <c r="G1789" s="73"/>
      <c r="H1789" s="222"/>
    </row>
    <row r="1790" spans="1:9" s="212" customFormat="1">
      <c r="A1790" s="220"/>
      <c r="B1790" s="141"/>
      <c r="C1790" s="141"/>
      <c r="D1790" s="141"/>
      <c r="E1790" s="141"/>
      <c r="F1790" s="141"/>
      <c r="G1790" s="141"/>
      <c r="H1790" s="222"/>
    </row>
    <row r="1791" spans="1:9" s="212" customFormat="1" ht="16.5">
      <c r="A1791" s="150"/>
      <c r="B1791" s="161"/>
      <c r="C1791" s="148"/>
      <c r="D1791" s="84"/>
      <c r="E1791" s="84"/>
      <c r="F1791" s="84"/>
      <c r="G1791" s="224"/>
      <c r="H1791" s="222"/>
    </row>
    <row r="1792" spans="1:9" s="212" customFormat="1" ht="16.5">
      <c r="A1792" s="150"/>
      <c r="B1792" s="161"/>
      <c r="C1792" s="148"/>
      <c r="D1792" s="84"/>
      <c r="E1792" s="84"/>
      <c r="F1792" s="84"/>
      <c r="G1792" s="224"/>
      <c r="H1792" s="222"/>
    </row>
    <row r="1793" spans="1:9" s="212" customFormat="1" ht="16.5">
      <c r="A1793" s="150"/>
      <c r="B1793" s="161"/>
      <c r="C1793" s="148"/>
      <c r="D1793" s="84"/>
      <c r="E1793" s="84"/>
      <c r="F1793" s="84"/>
      <c r="G1793" s="224"/>
      <c r="H1793" s="222"/>
    </row>
    <row r="1794" spans="1:9" s="212" customFormat="1" ht="16.5">
      <c r="A1794" s="150"/>
      <c r="B1794" s="161"/>
      <c r="C1794" s="148"/>
      <c r="D1794" s="84"/>
      <c r="E1794" s="84"/>
      <c r="F1794" s="84"/>
      <c r="G1794" s="224"/>
      <c r="H1794" s="221"/>
    </row>
    <row r="1795" spans="1:9" s="212" customFormat="1">
      <c r="A1795" s="91"/>
      <c r="B1795" s="91"/>
      <c r="C1795" s="91"/>
      <c r="D1795" s="91"/>
      <c r="E1795" s="91"/>
      <c r="G1795" s="213"/>
      <c r="H1795" s="222"/>
    </row>
    <row r="1796" spans="1:9" s="212" customFormat="1">
      <c r="A1796" s="120"/>
      <c r="B1796" s="73"/>
      <c r="C1796" s="73"/>
      <c r="D1796" s="73"/>
      <c r="E1796" s="73"/>
      <c r="G1796" s="73"/>
      <c r="H1796" s="222"/>
    </row>
    <row r="1797" spans="1:9" s="212" customFormat="1">
      <c r="A1797" s="220"/>
      <c r="B1797" s="141"/>
      <c r="C1797" s="141"/>
      <c r="D1797" s="141"/>
      <c r="E1797" s="141"/>
      <c r="F1797" s="141"/>
      <c r="G1797" s="141"/>
      <c r="H1797" s="222"/>
    </row>
    <row r="1798" spans="1:9" s="212" customFormat="1" ht="16.5">
      <c r="A1798" s="150"/>
      <c r="B1798" s="161"/>
      <c r="C1798" s="148"/>
      <c r="D1798" s="84"/>
      <c r="E1798" s="84"/>
      <c r="F1798" s="84"/>
      <c r="G1798" s="224"/>
      <c r="H1798" s="221"/>
    </row>
    <row r="1799" spans="1:9" s="212" customFormat="1">
      <c r="A1799" s="91"/>
      <c r="B1799" s="91"/>
      <c r="C1799" s="91"/>
      <c r="D1799" s="91"/>
      <c r="E1799" s="91"/>
      <c r="G1799" s="213"/>
      <c r="H1799" s="222"/>
    </row>
    <row r="1800" spans="1:9" s="212" customFormat="1">
      <c r="A1800" s="120"/>
      <c r="B1800" s="73"/>
      <c r="C1800" s="73"/>
      <c r="D1800" s="73"/>
      <c r="E1800" s="73"/>
      <c r="G1800" s="73"/>
      <c r="H1800" s="222"/>
    </row>
    <row r="1801" spans="1:9" s="212" customFormat="1">
      <c r="A1801" s="220"/>
      <c r="B1801" s="141"/>
      <c r="C1801" s="141"/>
      <c r="D1801" s="141"/>
      <c r="E1801" s="141"/>
      <c r="F1801" s="141"/>
      <c r="G1801" s="141"/>
      <c r="H1801" s="222"/>
    </row>
    <row r="1802" spans="1:9" s="212" customFormat="1">
      <c r="A1802" s="142"/>
      <c r="B1802" s="143"/>
      <c r="C1802" s="143"/>
      <c r="D1802" s="143"/>
      <c r="E1802" s="143"/>
      <c r="F1802" s="84"/>
      <c r="G1802" s="146"/>
      <c r="H1802" s="221"/>
    </row>
    <row r="1803" spans="1:9" s="212" customFormat="1">
      <c r="A1803" s="123"/>
      <c r="B1803" s="95"/>
      <c r="C1803" s="95"/>
      <c r="D1803" s="95"/>
      <c r="E1803" s="95"/>
      <c r="G1803" s="213"/>
      <c r="H1803" s="73"/>
    </row>
    <row r="1804" spans="1:9" s="212" customFormat="1">
      <c r="A1804" s="123"/>
      <c r="B1804" s="95"/>
      <c r="C1804" s="95"/>
      <c r="D1804" s="95"/>
      <c r="E1804" s="95"/>
      <c r="G1804" s="73"/>
      <c r="H1804" s="225"/>
    </row>
    <row r="1805" spans="1:9" s="212" customFormat="1">
      <c r="B1805" s="97"/>
      <c r="C1805" s="98"/>
      <c r="D1805" s="98"/>
      <c r="E1805" s="98"/>
      <c r="G1805" s="220"/>
    </row>
    <row r="1806" spans="1:9" s="212" customFormat="1">
      <c r="B1806" s="97"/>
      <c r="C1806" s="98"/>
      <c r="D1806" s="98"/>
      <c r="E1806" s="98"/>
      <c r="F1806" s="220"/>
      <c r="G1806" s="225"/>
      <c r="H1806" s="226"/>
    </row>
    <row r="1807" spans="1:9" s="212" customFormat="1">
      <c r="A1807" s="633"/>
      <c r="B1807" s="633"/>
      <c r="C1807" s="633"/>
      <c r="D1807" s="633"/>
      <c r="E1807" s="633"/>
      <c r="F1807" s="633"/>
      <c r="G1807" s="633"/>
    </row>
    <row r="1808" spans="1:9" s="212" customFormat="1">
      <c r="H1808" s="227"/>
      <c r="I1808" s="228"/>
    </row>
    <row r="1809" spans="1:9" s="212" customFormat="1">
      <c r="A1809" s="658"/>
      <c r="B1809" s="227"/>
      <c r="C1809" s="227"/>
      <c r="D1809" s="227"/>
      <c r="E1809" s="227"/>
      <c r="F1809" s="227"/>
      <c r="G1809" s="227"/>
      <c r="H1809" s="227"/>
      <c r="I1809" s="229"/>
    </row>
    <row r="1810" spans="1:9" s="212" customFormat="1">
      <c r="A1810" s="658"/>
      <c r="B1810" s="227"/>
      <c r="C1810" s="227"/>
      <c r="D1810" s="227"/>
      <c r="E1810" s="227"/>
      <c r="F1810" s="227"/>
      <c r="G1810" s="227"/>
    </row>
    <row r="1811" spans="1:9" s="212" customFormat="1">
      <c r="A1811" s="69"/>
      <c r="B1811" s="69"/>
      <c r="C1811" s="69"/>
      <c r="D1811" s="69"/>
      <c r="E1811" s="69"/>
    </row>
    <row r="1812" spans="1:9" s="212" customFormat="1">
      <c r="A1812" s="120"/>
      <c r="B1812" s="73"/>
      <c r="C1812" s="73"/>
      <c r="D1812" s="73"/>
      <c r="E1812" s="73"/>
      <c r="F1812" s="73"/>
      <c r="G1812" s="73"/>
      <c r="H1812" s="73"/>
    </row>
    <row r="1813" spans="1:9" s="212" customFormat="1">
      <c r="A1813" s="220"/>
      <c r="B1813" s="141"/>
      <c r="C1813" s="141"/>
      <c r="D1813" s="141"/>
      <c r="E1813" s="141"/>
      <c r="F1813" s="141"/>
      <c r="G1813" s="141"/>
      <c r="H1813" s="73"/>
    </row>
    <row r="1814" spans="1:9" s="212" customFormat="1" ht="16.5">
      <c r="A1814" s="150"/>
      <c r="B1814" s="161"/>
      <c r="C1814" s="148"/>
      <c r="D1814" s="84"/>
      <c r="E1814" s="84"/>
      <c r="F1814" s="84"/>
      <c r="G1814" s="224"/>
      <c r="H1814" s="73"/>
    </row>
    <row r="1815" spans="1:9" s="212" customFormat="1" ht="16.5">
      <c r="A1815" s="150"/>
      <c r="B1815" s="161"/>
      <c r="C1815" s="148"/>
      <c r="D1815" s="84"/>
      <c r="E1815" s="84"/>
      <c r="F1815" s="84"/>
      <c r="G1815" s="224"/>
      <c r="H1815" s="221"/>
    </row>
    <row r="1816" spans="1:9" s="212" customFormat="1">
      <c r="A1816" s="84"/>
      <c r="B1816" s="83"/>
      <c r="C1816" s="84"/>
      <c r="D1816" s="84"/>
      <c r="E1816" s="84"/>
      <c r="G1816" s="213"/>
      <c r="H1816" s="222"/>
    </row>
    <row r="1817" spans="1:9" s="212" customFormat="1">
      <c r="A1817" s="120"/>
      <c r="B1817" s="73"/>
      <c r="C1817" s="73"/>
      <c r="D1817" s="73"/>
      <c r="E1817" s="73"/>
      <c r="G1817" s="73"/>
      <c r="H1817" s="222"/>
    </row>
    <row r="1818" spans="1:9" s="212" customFormat="1">
      <c r="A1818" s="220"/>
      <c r="B1818" s="141"/>
      <c r="C1818" s="141"/>
      <c r="D1818" s="141"/>
      <c r="E1818" s="141"/>
      <c r="F1818" s="141"/>
      <c r="G1818" s="141"/>
      <c r="H1818" s="222"/>
    </row>
    <row r="1819" spans="1:9" s="212" customFormat="1" ht="16.5">
      <c r="A1819" s="150"/>
      <c r="B1819" s="161"/>
      <c r="C1819" s="148"/>
      <c r="D1819" s="84"/>
      <c r="E1819" s="84"/>
      <c r="F1819" s="84"/>
      <c r="G1819" s="224"/>
      <c r="H1819" s="222"/>
    </row>
    <row r="1820" spans="1:9" s="212" customFormat="1" ht="16.5">
      <c r="A1820" s="150"/>
      <c r="B1820" s="161"/>
      <c r="C1820" s="148"/>
      <c r="D1820" s="84"/>
      <c r="E1820" s="84"/>
      <c r="F1820" s="84"/>
      <c r="G1820" s="224"/>
      <c r="H1820" s="222"/>
    </row>
    <row r="1821" spans="1:9" s="212" customFormat="1" ht="16.5">
      <c r="A1821" s="150"/>
      <c r="B1821" s="161"/>
      <c r="C1821" s="148"/>
      <c r="D1821" s="84"/>
      <c r="E1821" s="84"/>
      <c r="F1821" s="84"/>
      <c r="G1821" s="224"/>
      <c r="H1821" s="222"/>
    </row>
    <row r="1822" spans="1:9" s="212" customFormat="1" ht="16.5">
      <c r="A1822" s="150"/>
      <c r="B1822" s="161"/>
      <c r="C1822" s="148"/>
      <c r="D1822" s="84"/>
      <c r="E1822" s="84"/>
      <c r="F1822" s="84"/>
      <c r="G1822" s="224"/>
      <c r="H1822" s="222"/>
    </row>
    <row r="1823" spans="1:9" s="212" customFormat="1" ht="16.5">
      <c r="A1823" s="150"/>
      <c r="B1823" s="161"/>
      <c r="C1823" s="148"/>
      <c r="D1823" s="84"/>
      <c r="E1823" s="84"/>
      <c r="F1823" s="84"/>
      <c r="G1823" s="224"/>
      <c r="H1823" s="221"/>
    </row>
    <row r="1824" spans="1:9" s="212" customFormat="1">
      <c r="A1824" s="91"/>
      <c r="B1824" s="91"/>
      <c r="C1824" s="91"/>
      <c r="D1824" s="91"/>
      <c r="E1824" s="91"/>
      <c r="G1824" s="213"/>
      <c r="H1824" s="222"/>
    </row>
    <row r="1825" spans="1:9" s="212" customFormat="1">
      <c r="A1825" s="120"/>
      <c r="B1825" s="73"/>
      <c r="C1825" s="73"/>
      <c r="D1825" s="73"/>
      <c r="E1825" s="73"/>
      <c r="G1825" s="73"/>
      <c r="H1825" s="222"/>
    </row>
    <row r="1826" spans="1:9" s="212" customFormat="1">
      <c r="A1826" s="220"/>
      <c r="B1826" s="141"/>
      <c r="C1826" s="141"/>
      <c r="D1826" s="141"/>
      <c r="E1826" s="141"/>
      <c r="F1826" s="141"/>
      <c r="G1826" s="141"/>
      <c r="H1826" s="222"/>
    </row>
    <row r="1827" spans="1:9" s="212" customFormat="1">
      <c r="A1827" s="146"/>
      <c r="B1827" s="83"/>
      <c r="C1827" s="148"/>
      <c r="D1827" s="84"/>
      <c r="E1827" s="84"/>
      <c r="F1827" s="84"/>
      <c r="G1827" s="146"/>
      <c r="H1827" s="221"/>
    </row>
    <row r="1828" spans="1:9" s="212" customFormat="1">
      <c r="A1828" s="91"/>
      <c r="B1828" s="91"/>
      <c r="C1828" s="91"/>
      <c r="D1828" s="91"/>
      <c r="E1828" s="91"/>
      <c r="G1828" s="213"/>
      <c r="H1828" s="222"/>
    </row>
    <row r="1829" spans="1:9" s="212" customFormat="1">
      <c r="A1829" s="120"/>
      <c r="B1829" s="73"/>
      <c r="C1829" s="73"/>
      <c r="D1829" s="73"/>
      <c r="E1829" s="73"/>
      <c r="G1829" s="73"/>
      <c r="H1829" s="222"/>
    </row>
    <row r="1830" spans="1:9" s="212" customFormat="1">
      <c r="A1830" s="220"/>
      <c r="B1830" s="141"/>
      <c r="C1830" s="141"/>
      <c r="D1830" s="141"/>
      <c r="E1830" s="141"/>
      <c r="F1830" s="141"/>
      <c r="G1830" s="141"/>
      <c r="H1830" s="222"/>
    </row>
    <row r="1831" spans="1:9" s="212" customFormat="1">
      <c r="A1831" s="142"/>
      <c r="B1831" s="143"/>
      <c r="C1831" s="143"/>
      <c r="D1831" s="143"/>
      <c r="E1831" s="143"/>
      <c r="F1831" s="84"/>
      <c r="G1831" s="146"/>
      <c r="H1831" s="221"/>
    </row>
    <row r="1832" spans="1:9" s="212" customFormat="1">
      <c r="A1832" s="123"/>
      <c r="B1832" s="95"/>
      <c r="C1832" s="95"/>
      <c r="D1832" s="95"/>
      <c r="E1832" s="95"/>
      <c r="G1832" s="213"/>
      <c r="H1832" s="73"/>
    </row>
    <row r="1833" spans="1:9" s="212" customFormat="1">
      <c r="A1833" s="123"/>
      <c r="B1833" s="95"/>
      <c r="C1833" s="95"/>
      <c r="D1833" s="95"/>
      <c r="E1833" s="95"/>
      <c r="G1833" s="73"/>
      <c r="H1833" s="225"/>
    </row>
    <row r="1834" spans="1:9" s="212" customFormat="1">
      <c r="B1834" s="97"/>
      <c r="C1834" s="98"/>
      <c r="D1834" s="98"/>
      <c r="E1834" s="98"/>
      <c r="G1834" s="220"/>
    </row>
    <row r="1835" spans="1:9" s="212" customFormat="1">
      <c r="B1835" s="97"/>
      <c r="C1835" s="98"/>
      <c r="D1835" s="98"/>
      <c r="E1835" s="98"/>
      <c r="F1835" s="220"/>
      <c r="G1835" s="225"/>
      <c r="H1835" s="226"/>
    </row>
    <row r="1836" spans="1:9" s="212" customFormat="1">
      <c r="A1836" s="633"/>
      <c r="B1836" s="633"/>
      <c r="C1836" s="633"/>
      <c r="D1836" s="633"/>
      <c r="E1836" s="633"/>
      <c r="F1836" s="633"/>
      <c r="G1836" s="633"/>
    </row>
    <row r="1837" spans="1:9" s="212" customFormat="1">
      <c r="H1837" s="227"/>
      <c r="I1837" s="228"/>
    </row>
    <row r="1838" spans="1:9" s="212" customFormat="1">
      <c r="A1838" s="658"/>
      <c r="B1838" s="227"/>
      <c r="C1838" s="227"/>
      <c r="D1838" s="227"/>
      <c r="E1838" s="227"/>
      <c r="F1838" s="227"/>
      <c r="G1838" s="227"/>
      <c r="H1838" s="227"/>
      <c r="I1838" s="229"/>
    </row>
    <row r="1839" spans="1:9" s="212" customFormat="1">
      <c r="A1839" s="658"/>
      <c r="B1839" s="227"/>
      <c r="C1839" s="227"/>
      <c r="D1839" s="227"/>
      <c r="E1839" s="227"/>
      <c r="F1839" s="227"/>
      <c r="G1839" s="227"/>
    </row>
    <row r="1840" spans="1:9" s="212" customFormat="1">
      <c r="A1840" s="69"/>
      <c r="B1840" s="69"/>
      <c r="C1840" s="69"/>
      <c r="D1840" s="69"/>
      <c r="E1840" s="69"/>
    </row>
    <row r="1841" spans="1:8" s="212" customFormat="1">
      <c r="A1841" s="120"/>
      <c r="B1841" s="73"/>
      <c r="C1841" s="73"/>
      <c r="D1841" s="73"/>
      <c r="E1841" s="73"/>
      <c r="F1841" s="73"/>
      <c r="G1841" s="73"/>
      <c r="H1841" s="73"/>
    </row>
    <row r="1842" spans="1:8" s="212" customFormat="1">
      <c r="A1842" s="220"/>
      <c r="B1842" s="141"/>
      <c r="C1842" s="141"/>
      <c r="D1842" s="141"/>
      <c r="E1842" s="141"/>
      <c r="F1842" s="141"/>
      <c r="G1842" s="141"/>
      <c r="H1842" s="73"/>
    </row>
    <row r="1843" spans="1:8" s="212" customFormat="1" ht="16.5">
      <c r="A1843" s="150"/>
      <c r="B1843" s="161"/>
      <c r="C1843" s="148"/>
      <c r="D1843" s="84"/>
      <c r="E1843" s="84"/>
      <c r="F1843" s="84"/>
      <c r="G1843" s="224"/>
      <c r="H1843" s="73"/>
    </row>
    <row r="1844" spans="1:8" s="212" customFormat="1" ht="16.5">
      <c r="A1844" s="150"/>
      <c r="B1844" s="161"/>
      <c r="C1844" s="148"/>
      <c r="D1844" s="84"/>
      <c r="E1844" s="84"/>
      <c r="F1844" s="84"/>
      <c r="G1844" s="224"/>
      <c r="H1844" s="221"/>
    </row>
    <row r="1845" spans="1:8" s="212" customFormat="1">
      <c r="A1845" s="84"/>
      <c r="B1845" s="83"/>
      <c r="C1845" s="84"/>
      <c r="D1845" s="84"/>
      <c r="E1845" s="84"/>
      <c r="G1845" s="213"/>
      <c r="H1845" s="222"/>
    </row>
    <row r="1846" spans="1:8" s="212" customFormat="1">
      <c r="A1846" s="120"/>
      <c r="B1846" s="73"/>
      <c r="C1846" s="73"/>
      <c r="D1846" s="73"/>
      <c r="E1846" s="73"/>
      <c r="G1846" s="73"/>
      <c r="H1846" s="222"/>
    </row>
    <row r="1847" spans="1:8" s="212" customFormat="1">
      <c r="A1847" s="220"/>
      <c r="B1847" s="141"/>
      <c r="C1847" s="141"/>
      <c r="D1847" s="141"/>
      <c r="E1847" s="141"/>
      <c r="F1847" s="141"/>
      <c r="G1847" s="141"/>
      <c r="H1847" s="222"/>
    </row>
    <row r="1848" spans="1:8" s="212" customFormat="1" ht="16.5">
      <c r="A1848" s="150"/>
      <c r="B1848" s="161"/>
      <c r="C1848" s="148"/>
      <c r="D1848" s="84"/>
      <c r="E1848" s="84"/>
      <c r="F1848" s="84"/>
      <c r="G1848" s="224"/>
      <c r="H1848" s="222"/>
    </row>
    <row r="1849" spans="1:8" s="212" customFormat="1" ht="16.5">
      <c r="A1849" s="150"/>
      <c r="B1849" s="161"/>
      <c r="C1849" s="148"/>
      <c r="D1849" s="84"/>
      <c r="E1849" s="84"/>
      <c r="F1849" s="84"/>
      <c r="G1849" s="224"/>
      <c r="H1849" s="222"/>
    </row>
    <row r="1850" spans="1:8" s="212" customFormat="1" ht="16.5">
      <c r="A1850" s="150"/>
      <c r="B1850" s="161"/>
      <c r="C1850" s="148"/>
      <c r="D1850" s="84"/>
      <c r="E1850" s="84"/>
      <c r="F1850" s="84"/>
      <c r="G1850" s="224"/>
      <c r="H1850" s="222"/>
    </row>
    <row r="1851" spans="1:8" s="212" customFormat="1" ht="16.5">
      <c r="A1851" s="150"/>
      <c r="B1851" s="161"/>
      <c r="C1851" s="148"/>
      <c r="D1851" s="84"/>
      <c r="E1851" s="84"/>
      <c r="F1851" s="84"/>
      <c r="G1851" s="224"/>
      <c r="H1851" s="222"/>
    </row>
    <row r="1852" spans="1:8" s="212" customFormat="1" ht="16.5">
      <c r="A1852" s="150"/>
      <c r="B1852" s="161"/>
      <c r="C1852" s="148"/>
      <c r="D1852" s="84"/>
      <c r="E1852" s="84"/>
      <c r="F1852" s="84"/>
      <c r="G1852" s="224"/>
      <c r="H1852" s="221"/>
    </row>
    <row r="1853" spans="1:8" s="212" customFormat="1">
      <c r="A1853" s="91"/>
      <c r="B1853" s="91"/>
      <c r="C1853" s="91"/>
      <c r="D1853" s="91"/>
      <c r="E1853" s="91"/>
      <c r="G1853" s="213"/>
      <c r="H1853" s="222"/>
    </row>
    <row r="1854" spans="1:8" s="212" customFormat="1">
      <c r="A1854" s="120"/>
      <c r="B1854" s="73"/>
      <c r="C1854" s="73"/>
      <c r="D1854" s="73"/>
      <c r="E1854" s="73"/>
      <c r="G1854" s="73"/>
      <c r="H1854" s="222"/>
    </row>
    <row r="1855" spans="1:8" s="212" customFormat="1">
      <c r="A1855" s="220"/>
      <c r="B1855" s="141"/>
      <c r="C1855" s="141"/>
      <c r="D1855" s="141"/>
      <c r="E1855" s="141"/>
      <c r="F1855" s="141"/>
      <c r="G1855" s="141"/>
      <c r="H1855" s="222"/>
    </row>
    <row r="1856" spans="1:8" s="212" customFormat="1">
      <c r="A1856" s="146"/>
      <c r="B1856" s="83"/>
      <c r="C1856" s="148"/>
      <c r="D1856" s="84"/>
      <c r="E1856" s="84"/>
      <c r="F1856" s="84"/>
      <c r="G1856" s="146"/>
      <c r="H1856" s="222"/>
    </row>
    <row r="1857" spans="1:9" s="212" customFormat="1">
      <c r="A1857" s="146"/>
      <c r="B1857" s="83"/>
      <c r="C1857" s="148"/>
      <c r="D1857" s="84"/>
      <c r="E1857" s="84"/>
      <c r="F1857" s="84"/>
      <c r="G1857" s="146"/>
      <c r="H1857" s="221"/>
    </row>
    <row r="1858" spans="1:9" s="212" customFormat="1">
      <c r="A1858" s="91"/>
      <c r="B1858" s="91"/>
      <c r="C1858" s="91"/>
      <c r="D1858" s="91"/>
      <c r="E1858" s="91"/>
      <c r="G1858" s="213"/>
      <c r="H1858" s="222"/>
    </row>
    <row r="1859" spans="1:9" s="212" customFormat="1">
      <c r="A1859" s="120"/>
      <c r="B1859" s="73"/>
      <c r="C1859" s="73"/>
      <c r="D1859" s="73"/>
      <c r="E1859" s="73"/>
      <c r="G1859" s="73"/>
      <c r="H1859" s="222"/>
    </row>
    <row r="1860" spans="1:9" s="212" customFormat="1">
      <c r="A1860" s="220"/>
      <c r="B1860" s="141"/>
      <c r="C1860" s="141"/>
      <c r="D1860" s="141"/>
      <c r="E1860" s="141"/>
      <c r="F1860" s="141"/>
      <c r="G1860" s="141"/>
      <c r="H1860" s="222"/>
    </row>
    <row r="1861" spans="1:9" s="212" customFormat="1">
      <c r="A1861" s="142"/>
      <c r="B1861" s="143"/>
      <c r="C1861" s="143"/>
      <c r="D1861" s="143"/>
      <c r="E1861" s="143"/>
      <c r="F1861" s="84"/>
      <c r="G1861" s="146"/>
      <c r="H1861" s="221"/>
    </row>
    <row r="1862" spans="1:9" s="212" customFormat="1">
      <c r="A1862" s="123"/>
      <c r="B1862" s="95"/>
      <c r="C1862" s="95"/>
      <c r="D1862" s="95"/>
      <c r="E1862" s="95"/>
      <c r="G1862" s="213"/>
      <c r="H1862" s="73"/>
    </row>
    <row r="1863" spans="1:9" s="212" customFormat="1">
      <c r="A1863" s="123"/>
      <c r="B1863" s="95"/>
      <c r="C1863" s="95"/>
      <c r="D1863" s="95"/>
      <c r="E1863" s="95"/>
      <c r="G1863" s="73"/>
      <c r="H1863" s="225"/>
    </row>
    <row r="1864" spans="1:9" s="212" customFormat="1">
      <c r="B1864" s="97"/>
      <c r="C1864" s="98"/>
      <c r="D1864" s="98"/>
      <c r="E1864" s="98"/>
      <c r="G1864" s="220"/>
    </row>
    <row r="1865" spans="1:9" s="212" customFormat="1">
      <c r="B1865" s="97"/>
      <c r="C1865" s="98"/>
      <c r="D1865" s="98"/>
      <c r="E1865" s="98"/>
      <c r="F1865" s="220"/>
      <c r="G1865" s="225"/>
      <c r="H1865" s="226"/>
    </row>
    <row r="1866" spans="1:9" s="212" customFormat="1">
      <c r="A1866" s="633"/>
      <c r="B1866" s="633"/>
      <c r="C1866" s="633"/>
      <c r="D1866" s="633"/>
      <c r="E1866" s="633"/>
      <c r="F1866" s="633"/>
      <c r="G1866" s="633"/>
    </row>
    <row r="1867" spans="1:9" s="212" customFormat="1">
      <c r="H1867" s="227"/>
      <c r="I1867" s="228"/>
    </row>
    <row r="1868" spans="1:9" s="212" customFormat="1">
      <c r="A1868" s="658"/>
      <c r="B1868" s="227"/>
      <c r="C1868" s="227"/>
      <c r="D1868" s="227"/>
      <c r="E1868" s="227"/>
      <c r="F1868" s="227"/>
      <c r="G1868" s="227"/>
      <c r="H1868" s="227"/>
      <c r="I1868" s="229"/>
    </row>
    <row r="1869" spans="1:9" s="212" customFormat="1">
      <c r="A1869" s="658"/>
      <c r="B1869" s="227"/>
      <c r="C1869" s="227"/>
      <c r="D1869" s="227"/>
      <c r="E1869" s="227"/>
      <c r="F1869" s="227"/>
      <c r="G1869" s="227"/>
    </row>
    <row r="1870" spans="1:9" s="212" customFormat="1">
      <c r="A1870" s="69"/>
      <c r="B1870" s="69"/>
      <c r="C1870" s="69"/>
      <c r="D1870" s="69"/>
      <c r="E1870" s="69"/>
    </row>
    <row r="1871" spans="1:9" s="212" customFormat="1">
      <c r="A1871" s="120"/>
      <c r="B1871" s="73"/>
      <c r="C1871" s="73"/>
      <c r="D1871" s="73"/>
      <c r="E1871" s="73"/>
      <c r="F1871" s="73"/>
      <c r="G1871" s="73"/>
      <c r="H1871" s="73"/>
    </row>
    <row r="1872" spans="1:9" s="212" customFormat="1">
      <c r="A1872" s="220"/>
      <c r="B1872" s="141"/>
      <c r="C1872" s="141"/>
      <c r="D1872" s="141"/>
      <c r="E1872" s="141"/>
      <c r="F1872" s="141"/>
      <c r="G1872" s="141"/>
      <c r="H1872" s="73"/>
    </row>
    <row r="1873" spans="1:8" s="212" customFormat="1" ht="16.5">
      <c r="A1873" s="150"/>
      <c r="B1873" s="161"/>
      <c r="C1873" s="148"/>
      <c r="D1873" s="84"/>
      <c r="E1873" s="84"/>
      <c r="F1873" s="84"/>
      <c r="G1873" s="224"/>
      <c r="H1873" s="221"/>
    </row>
    <row r="1874" spans="1:8" s="212" customFormat="1">
      <c r="A1874" s="84"/>
      <c r="B1874" s="83"/>
      <c r="C1874" s="84"/>
      <c r="D1874" s="84"/>
      <c r="E1874" s="84"/>
      <c r="G1874" s="213"/>
      <c r="H1874" s="222"/>
    </row>
    <row r="1875" spans="1:8" s="212" customFormat="1">
      <c r="A1875" s="120"/>
      <c r="B1875" s="73"/>
      <c r="C1875" s="73"/>
      <c r="D1875" s="73"/>
      <c r="E1875" s="73"/>
      <c r="G1875" s="73"/>
      <c r="H1875" s="222"/>
    </row>
    <row r="1876" spans="1:8" s="212" customFormat="1">
      <c r="A1876" s="220"/>
      <c r="B1876" s="141"/>
      <c r="C1876" s="141"/>
      <c r="D1876" s="141"/>
      <c r="E1876" s="141"/>
      <c r="F1876" s="141"/>
      <c r="G1876" s="141"/>
      <c r="H1876" s="222"/>
    </row>
    <row r="1877" spans="1:8" s="212" customFormat="1">
      <c r="A1877" s="146"/>
      <c r="B1877" s="83"/>
      <c r="C1877" s="148"/>
      <c r="D1877" s="84"/>
      <c r="E1877" s="84"/>
      <c r="F1877" s="84"/>
      <c r="G1877" s="146"/>
      <c r="H1877" s="222"/>
    </row>
    <row r="1878" spans="1:8" s="212" customFormat="1">
      <c r="A1878" s="146"/>
      <c r="B1878" s="83"/>
      <c r="C1878" s="148"/>
      <c r="D1878" s="84"/>
      <c r="E1878" s="84"/>
      <c r="F1878" s="84"/>
      <c r="G1878" s="146"/>
      <c r="H1878" s="222"/>
    </row>
    <row r="1879" spans="1:8" s="212" customFormat="1">
      <c r="A1879" s="146"/>
      <c r="B1879" s="83"/>
      <c r="C1879" s="148"/>
      <c r="D1879" s="84"/>
      <c r="E1879" s="84"/>
      <c r="F1879" s="84"/>
      <c r="G1879" s="146"/>
      <c r="H1879" s="222"/>
    </row>
    <row r="1880" spans="1:8" s="212" customFormat="1">
      <c r="A1880" s="146"/>
      <c r="B1880" s="83"/>
      <c r="C1880" s="148"/>
      <c r="D1880" s="84"/>
      <c r="E1880" s="84"/>
      <c r="F1880" s="84"/>
      <c r="G1880" s="146"/>
      <c r="H1880" s="222"/>
    </row>
    <row r="1881" spans="1:8" s="212" customFormat="1">
      <c r="A1881" s="146"/>
      <c r="B1881" s="83"/>
      <c r="C1881" s="148"/>
      <c r="D1881" s="84"/>
      <c r="E1881" s="84"/>
      <c r="F1881" s="84"/>
      <c r="G1881" s="146"/>
      <c r="H1881" s="222"/>
    </row>
    <row r="1882" spans="1:8" s="212" customFormat="1">
      <c r="A1882" s="146"/>
      <c r="B1882" s="83"/>
      <c r="C1882" s="148"/>
      <c r="D1882" s="84"/>
      <c r="E1882" s="84"/>
      <c r="F1882" s="84"/>
      <c r="G1882" s="146"/>
      <c r="H1882" s="221"/>
    </row>
    <row r="1883" spans="1:8" s="212" customFormat="1">
      <c r="A1883" s="91"/>
      <c r="B1883" s="91"/>
      <c r="C1883" s="91"/>
      <c r="D1883" s="91"/>
      <c r="E1883" s="91"/>
      <c r="G1883" s="213"/>
      <c r="H1883" s="222"/>
    </row>
    <row r="1884" spans="1:8" s="212" customFormat="1">
      <c r="A1884" s="120"/>
      <c r="B1884" s="73"/>
      <c r="C1884" s="73"/>
      <c r="D1884" s="73"/>
      <c r="E1884" s="73"/>
      <c r="G1884" s="73"/>
      <c r="H1884" s="222"/>
    </row>
    <row r="1885" spans="1:8" s="212" customFormat="1">
      <c r="A1885" s="220"/>
      <c r="B1885" s="141"/>
      <c r="C1885" s="141"/>
      <c r="D1885" s="141"/>
      <c r="E1885" s="141"/>
      <c r="F1885" s="141"/>
      <c r="G1885" s="141"/>
      <c r="H1885" s="222"/>
    </row>
    <row r="1886" spans="1:8" s="212" customFormat="1">
      <c r="A1886" s="146"/>
      <c r="B1886" s="83"/>
      <c r="C1886" s="148"/>
      <c r="D1886" s="84"/>
      <c r="E1886" s="84"/>
      <c r="F1886" s="84"/>
      <c r="G1886" s="146"/>
      <c r="H1886" s="221"/>
    </row>
    <row r="1887" spans="1:8" s="212" customFormat="1">
      <c r="A1887" s="91"/>
      <c r="B1887" s="91"/>
      <c r="C1887" s="91"/>
      <c r="D1887" s="91"/>
      <c r="E1887" s="91"/>
      <c r="G1887" s="213"/>
      <c r="H1887" s="222"/>
    </row>
    <row r="1888" spans="1:8" s="212" customFormat="1">
      <c r="A1888" s="120"/>
      <c r="B1888" s="73"/>
      <c r="C1888" s="73"/>
      <c r="D1888" s="73"/>
      <c r="E1888" s="73"/>
      <c r="G1888" s="73"/>
      <c r="H1888" s="222"/>
    </row>
    <row r="1889" spans="1:9" s="212" customFormat="1">
      <c r="A1889" s="220"/>
      <c r="B1889" s="141"/>
      <c r="C1889" s="141"/>
      <c r="D1889" s="141"/>
      <c r="E1889" s="141"/>
      <c r="F1889" s="141"/>
      <c r="G1889" s="141"/>
      <c r="H1889" s="222"/>
    </row>
    <row r="1890" spans="1:9" s="212" customFormat="1">
      <c r="A1890" s="142"/>
      <c r="B1890" s="143"/>
      <c r="C1890" s="143"/>
      <c r="D1890" s="143"/>
      <c r="E1890" s="143"/>
      <c r="F1890" s="84"/>
      <c r="G1890" s="146"/>
      <c r="H1890" s="221"/>
    </row>
    <row r="1891" spans="1:9" s="212" customFormat="1">
      <c r="A1891" s="123"/>
      <c r="B1891" s="95"/>
      <c r="C1891" s="95"/>
      <c r="D1891" s="95"/>
      <c r="E1891" s="95"/>
      <c r="G1891" s="213"/>
      <c r="H1891" s="73"/>
    </row>
    <row r="1892" spans="1:9" s="212" customFormat="1">
      <c r="A1892" s="123"/>
      <c r="B1892" s="95"/>
      <c r="C1892" s="95"/>
      <c r="D1892" s="95"/>
      <c r="E1892" s="95"/>
      <c r="G1892" s="73"/>
      <c r="H1892" s="225"/>
    </row>
    <row r="1893" spans="1:9" s="212" customFormat="1">
      <c r="B1893" s="97"/>
      <c r="C1893" s="98"/>
      <c r="D1893" s="98"/>
      <c r="E1893" s="98"/>
      <c r="G1893" s="220"/>
    </row>
    <row r="1894" spans="1:9" s="212" customFormat="1">
      <c r="B1894" s="97"/>
      <c r="C1894" s="98"/>
      <c r="D1894" s="98"/>
      <c r="E1894" s="98"/>
      <c r="F1894" s="220"/>
      <c r="G1894" s="225"/>
      <c r="H1894" s="226"/>
    </row>
    <row r="1895" spans="1:9" s="212" customFormat="1">
      <c r="A1895" s="633"/>
      <c r="B1895" s="633"/>
      <c r="C1895" s="633"/>
      <c r="D1895" s="633"/>
      <c r="E1895" s="633"/>
      <c r="F1895" s="633"/>
      <c r="G1895" s="633"/>
    </row>
    <row r="1896" spans="1:9" s="212" customFormat="1">
      <c r="H1896" s="227"/>
      <c r="I1896" s="228"/>
    </row>
    <row r="1897" spans="1:9" s="212" customFormat="1">
      <c r="A1897" s="658"/>
      <c r="B1897" s="227"/>
      <c r="C1897" s="227"/>
      <c r="D1897" s="227"/>
      <c r="E1897" s="227"/>
      <c r="F1897" s="227"/>
      <c r="G1897" s="227"/>
      <c r="H1897" s="227"/>
      <c r="I1897" s="229"/>
    </row>
    <row r="1898" spans="1:9" s="212" customFormat="1">
      <c r="A1898" s="658"/>
      <c r="B1898" s="227"/>
      <c r="C1898" s="227"/>
      <c r="D1898" s="227"/>
      <c r="E1898" s="227"/>
      <c r="F1898" s="227"/>
      <c r="G1898" s="227"/>
    </row>
    <row r="1899" spans="1:9" s="212" customFormat="1">
      <c r="A1899" s="69"/>
      <c r="B1899" s="69"/>
      <c r="C1899" s="69"/>
      <c r="D1899" s="69"/>
      <c r="E1899" s="69"/>
    </row>
    <row r="1900" spans="1:9" s="212" customFormat="1">
      <c r="A1900" s="120"/>
      <c r="B1900" s="73"/>
      <c r="C1900" s="73"/>
      <c r="D1900" s="73"/>
      <c r="E1900" s="73"/>
      <c r="F1900" s="73"/>
      <c r="G1900" s="73"/>
      <c r="H1900" s="73"/>
    </row>
    <row r="1901" spans="1:9" s="212" customFormat="1">
      <c r="A1901" s="220"/>
      <c r="B1901" s="141"/>
      <c r="C1901" s="141"/>
      <c r="D1901" s="141"/>
      <c r="E1901" s="141"/>
      <c r="F1901" s="141"/>
      <c r="G1901" s="141"/>
      <c r="H1901" s="73"/>
    </row>
    <row r="1902" spans="1:9" s="212" customFormat="1" ht="16.5">
      <c r="A1902" s="150"/>
      <c r="B1902" s="161"/>
      <c r="C1902" s="148"/>
      <c r="D1902" s="84"/>
      <c r="E1902" s="84"/>
      <c r="F1902" s="84"/>
      <c r="G1902" s="224"/>
      <c r="H1902" s="221"/>
    </row>
    <row r="1903" spans="1:9" s="212" customFormat="1">
      <c r="A1903" s="84"/>
      <c r="B1903" s="83"/>
      <c r="C1903" s="84"/>
      <c r="D1903" s="84"/>
      <c r="E1903" s="84"/>
      <c r="G1903" s="213"/>
      <c r="H1903" s="222"/>
    </row>
    <row r="1904" spans="1:9" s="212" customFormat="1">
      <c r="A1904" s="120"/>
      <c r="B1904" s="73"/>
      <c r="C1904" s="73"/>
      <c r="D1904" s="73"/>
      <c r="E1904" s="73"/>
      <c r="G1904" s="73"/>
      <c r="H1904" s="222"/>
    </row>
    <row r="1905" spans="1:8" s="212" customFormat="1">
      <c r="A1905" s="220"/>
      <c r="B1905" s="141"/>
      <c r="C1905" s="141"/>
      <c r="D1905" s="141"/>
      <c r="E1905" s="141"/>
      <c r="F1905" s="141"/>
      <c r="G1905" s="141"/>
      <c r="H1905" s="222"/>
    </row>
    <row r="1906" spans="1:8" s="212" customFormat="1">
      <c r="A1906" s="146"/>
      <c r="B1906" s="83"/>
      <c r="C1906" s="148"/>
      <c r="D1906" s="84"/>
      <c r="E1906" s="84"/>
      <c r="F1906" s="84"/>
      <c r="G1906" s="146"/>
      <c r="H1906" s="222"/>
    </row>
    <row r="1907" spans="1:8" s="212" customFormat="1">
      <c r="A1907" s="146"/>
      <c r="B1907" s="83"/>
      <c r="C1907" s="148"/>
      <c r="D1907" s="84"/>
      <c r="E1907" s="84"/>
      <c r="F1907" s="84"/>
      <c r="G1907" s="146"/>
      <c r="H1907" s="222"/>
    </row>
    <row r="1908" spans="1:8" s="212" customFormat="1">
      <c r="A1908" s="146"/>
      <c r="B1908" s="83"/>
      <c r="C1908" s="148"/>
      <c r="D1908" s="84"/>
      <c r="E1908" s="84"/>
      <c r="F1908" s="84"/>
      <c r="G1908" s="146"/>
      <c r="H1908" s="221"/>
    </row>
    <row r="1909" spans="1:8" s="212" customFormat="1">
      <c r="A1909" s="91"/>
      <c r="B1909" s="91"/>
      <c r="C1909" s="91"/>
      <c r="D1909" s="91"/>
      <c r="E1909" s="91"/>
      <c r="G1909" s="213"/>
      <c r="H1909" s="222"/>
    </row>
    <row r="1910" spans="1:8" s="212" customFormat="1">
      <c r="A1910" s="120"/>
      <c r="B1910" s="73"/>
      <c r="C1910" s="73"/>
      <c r="D1910" s="73"/>
      <c r="E1910" s="73"/>
      <c r="G1910" s="73"/>
      <c r="H1910" s="222"/>
    </row>
    <row r="1911" spans="1:8" s="212" customFormat="1">
      <c r="A1911" s="220"/>
      <c r="B1911" s="141"/>
      <c r="C1911" s="141"/>
      <c r="D1911" s="141"/>
      <c r="E1911" s="141"/>
      <c r="F1911" s="141"/>
      <c r="G1911" s="141"/>
      <c r="H1911" s="222"/>
    </row>
    <row r="1912" spans="1:8" s="212" customFormat="1">
      <c r="A1912" s="146"/>
      <c r="B1912" s="83"/>
      <c r="C1912" s="148"/>
      <c r="D1912" s="84"/>
      <c r="E1912" s="84"/>
      <c r="F1912" s="84"/>
      <c r="G1912" s="146"/>
      <c r="H1912" s="221"/>
    </row>
    <row r="1913" spans="1:8" s="212" customFormat="1">
      <c r="A1913" s="91"/>
      <c r="B1913" s="91"/>
      <c r="C1913" s="91"/>
      <c r="D1913" s="91"/>
      <c r="E1913" s="91"/>
      <c r="G1913" s="213"/>
      <c r="H1913" s="222"/>
    </row>
    <row r="1914" spans="1:8" s="212" customFormat="1">
      <c r="A1914" s="120"/>
      <c r="B1914" s="73"/>
      <c r="C1914" s="73"/>
      <c r="D1914" s="73"/>
      <c r="E1914" s="73"/>
      <c r="G1914" s="73"/>
      <c r="H1914" s="222"/>
    </row>
    <row r="1915" spans="1:8" s="212" customFormat="1">
      <c r="A1915" s="220"/>
      <c r="B1915" s="141"/>
      <c r="C1915" s="141"/>
      <c r="D1915" s="141"/>
      <c r="E1915" s="141"/>
      <c r="F1915" s="141"/>
      <c r="G1915" s="141"/>
      <c r="H1915" s="222"/>
    </row>
    <row r="1916" spans="1:8" s="212" customFormat="1">
      <c r="A1916" s="142"/>
      <c r="B1916" s="143"/>
      <c r="C1916" s="143"/>
      <c r="D1916" s="143"/>
      <c r="E1916" s="143"/>
      <c r="F1916" s="84"/>
      <c r="G1916" s="146"/>
      <c r="H1916" s="221"/>
    </row>
    <row r="1917" spans="1:8" s="212" customFormat="1">
      <c r="A1917" s="123"/>
      <c r="B1917" s="95"/>
      <c r="C1917" s="95"/>
      <c r="D1917" s="95"/>
      <c r="E1917" s="95"/>
      <c r="G1917" s="213"/>
      <c r="H1917" s="73"/>
    </row>
    <row r="1918" spans="1:8" s="212" customFormat="1">
      <c r="A1918" s="123"/>
      <c r="B1918" s="95"/>
      <c r="C1918" s="95"/>
      <c r="D1918" s="95"/>
      <c r="E1918" s="95"/>
      <c r="G1918" s="73"/>
      <c r="H1918" s="225"/>
    </row>
    <row r="1919" spans="1:8" s="212" customFormat="1">
      <c r="B1919" s="97"/>
      <c r="C1919" s="98"/>
      <c r="D1919" s="98"/>
      <c r="E1919" s="98"/>
      <c r="G1919" s="220"/>
    </row>
    <row r="1920" spans="1:8" s="212" customFormat="1">
      <c r="B1920" s="97"/>
      <c r="C1920" s="98"/>
      <c r="D1920" s="98"/>
      <c r="E1920" s="98"/>
      <c r="F1920" s="220"/>
      <c r="G1920" s="225"/>
      <c r="H1920" s="226"/>
    </row>
    <row r="1921" spans="1:9" s="212" customFormat="1">
      <c r="A1921" s="633"/>
      <c r="B1921" s="633"/>
      <c r="C1921" s="633"/>
      <c r="D1921" s="633"/>
      <c r="E1921" s="633"/>
      <c r="F1921" s="633"/>
      <c r="G1921" s="633"/>
    </row>
    <row r="1922" spans="1:9" s="212" customFormat="1">
      <c r="H1922" s="227"/>
      <c r="I1922" s="228"/>
    </row>
    <row r="1923" spans="1:9" s="212" customFormat="1">
      <c r="A1923" s="658"/>
      <c r="B1923" s="227"/>
      <c r="C1923" s="227"/>
      <c r="D1923" s="227"/>
      <c r="E1923" s="227"/>
      <c r="F1923" s="227"/>
      <c r="G1923" s="227"/>
      <c r="H1923" s="227"/>
      <c r="I1923" s="229"/>
    </row>
    <row r="1924" spans="1:9" s="212" customFormat="1">
      <c r="A1924" s="658"/>
      <c r="B1924" s="227"/>
      <c r="C1924" s="227"/>
      <c r="D1924" s="227"/>
      <c r="E1924" s="227"/>
      <c r="F1924" s="227"/>
      <c r="G1924" s="227"/>
    </row>
    <row r="1925" spans="1:9" s="212" customFormat="1">
      <c r="A1925" s="69"/>
      <c r="B1925" s="69"/>
      <c r="C1925" s="69"/>
      <c r="D1925" s="69"/>
      <c r="E1925" s="69"/>
    </row>
    <row r="1926" spans="1:9" s="212" customFormat="1">
      <c r="A1926" s="120"/>
      <c r="B1926" s="73"/>
      <c r="C1926" s="73"/>
      <c r="D1926" s="73"/>
      <c r="E1926" s="73"/>
      <c r="F1926" s="73"/>
      <c r="G1926" s="73"/>
      <c r="H1926" s="73"/>
    </row>
    <row r="1927" spans="1:9" s="212" customFormat="1">
      <c r="A1927" s="220"/>
      <c r="B1927" s="141"/>
      <c r="C1927" s="141"/>
      <c r="D1927" s="141"/>
      <c r="E1927" s="141"/>
      <c r="F1927" s="141"/>
      <c r="G1927" s="141"/>
      <c r="H1927" s="73"/>
    </row>
    <row r="1928" spans="1:9" s="212" customFormat="1" ht="16.5">
      <c r="A1928" s="150"/>
      <c r="B1928" s="161"/>
      <c r="C1928" s="148"/>
      <c r="D1928" s="84"/>
      <c r="E1928" s="84"/>
      <c r="F1928" s="84"/>
      <c r="G1928" s="224"/>
      <c r="H1928" s="73"/>
    </row>
    <row r="1929" spans="1:9" s="212" customFormat="1" ht="16.5">
      <c r="A1929" s="150"/>
      <c r="B1929" s="161"/>
      <c r="C1929" s="148"/>
      <c r="D1929" s="84"/>
      <c r="E1929" s="84"/>
      <c r="F1929" s="84"/>
      <c r="G1929" s="224"/>
      <c r="H1929" s="221"/>
    </row>
    <row r="1930" spans="1:9" s="212" customFormat="1">
      <c r="A1930" s="84"/>
      <c r="B1930" s="83"/>
      <c r="C1930" s="84"/>
      <c r="D1930" s="84"/>
      <c r="E1930" s="84"/>
      <c r="G1930" s="213"/>
      <c r="H1930" s="222"/>
    </row>
    <row r="1931" spans="1:9" s="212" customFormat="1">
      <c r="A1931" s="120"/>
      <c r="B1931" s="73"/>
      <c r="C1931" s="73"/>
      <c r="D1931" s="73"/>
      <c r="E1931" s="73"/>
      <c r="G1931" s="73"/>
      <c r="H1931" s="222"/>
    </row>
    <row r="1932" spans="1:9" s="212" customFormat="1">
      <c r="A1932" s="220"/>
      <c r="B1932" s="141"/>
      <c r="C1932" s="141"/>
      <c r="D1932" s="141"/>
      <c r="E1932" s="141"/>
      <c r="F1932" s="141"/>
      <c r="G1932" s="141"/>
      <c r="H1932" s="222"/>
    </row>
    <row r="1933" spans="1:9" s="212" customFormat="1">
      <c r="A1933" s="146"/>
      <c r="B1933" s="83"/>
      <c r="C1933" s="148"/>
      <c r="D1933" s="84"/>
      <c r="E1933" s="84"/>
      <c r="F1933" s="84"/>
      <c r="G1933" s="146"/>
      <c r="H1933" s="222"/>
    </row>
    <row r="1934" spans="1:9" s="212" customFormat="1">
      <c r="A1934" s="146"/>
      <c r="B1934" s="83"/>
      <c r="C1934" s="148"/>
      <c r="D1934" s="84"/>
      <c r="E1934" s="84"/>
      <c r="F1934" s="84"/>
      <c r="G1934" s="146"/>
      <c r="H1934" s="222"/>
    </row>
    <row r="1935" spans="1:9" s="212" customFormat="1">
      <c r="A1935" s="146"/>
      <c r="B1935" s="83"/>
      <c r="C1935" s="148"/>
      <c r="D1935" s="84"/>
      <c r="E1935" s="84"/>
      <c r="F1935" s="84"/>
      <c r="G1935" s="146"/>
      <c r="H1935" s="221"/>
    </row>
    <row r="1936" spans="1:9" s="212" customFormat="1">
      <c r="A1936" s="91"/>
      <c r="B1936" s="91"/>
      <c r="C1936" s="91"/>
      <c r="D1936" s="91"/>
      <c r="E1936" s="91"/>
      <c r="G1936" s="213"/>
      <c r="H1936" s="222"/>
    </row>
    <row r="1937" spans="1:9" s="212" customFormat="1">
      <c r="A1937" s="120"/>
      <c r="B1937" s="73"/>
      <c r="C1937" s="73"/>
      <c r="D1937" s="73"/>
      <c r="E1937" s="73"/>
      <c r="G1937" s="73"/>
      <c r="H1937" s="222"/>
    </row>
    <row r="1938" spans="1:9" s="212" customFormat="1">
      <c r="A1938" s="220"/>
      <c r="B1938" s="141"/>
      <c r="C1938" s="141"/>
      <c r="D1938" s="141"/>
      <c r="E1938" s="141"/>
      <c r="F1938" s="141"/>
      <c r="G1938" s="141"/>
      <c r="H1938" s="222"/>
    </row>
    <row r="1939" spans="1:9" s="212" customFormat="1">
      <c r="A1939" s="146"/>
      <c r="B1939" s="83"/>
      <c r="C1939" s="148"/>
      <c r="D1939" s="148"/>
      <c r="E1939" s="84"/>
      <c r="F1939" s="84"/>
      <c r="G1939" s="146"/>
      <c r="H1939" s="221"/>
    </row>
    <row r="1940" spans="1:9" s="212" customFormat="1">
      <c r="A1940" s="91"/>
      <c r="B1940" s="91"/>
      <c r="C1940" s="91"/>
      <c r="D1940" s="91"/>
      <c r="E1940" s="91"/>
      <c r="G1940" s="213"/>
      <c r="H1940" s="222"/>
    </row>
    <row r="1941" spans="1:9" s="212" customFormat="1">
      <c r="A1941" s="120"/>
      <c r="B1941" s="73"/>
      <c r="C1941" s="73"/>
      <c r="D1941" s="73"/>
      <c r="E1941" s="73"/>
      <c r="G1941" s="73"/>
      <c r="H1941" s="222"/>
    </row>
    <row r="1942" spans="1:9" s="212" customFormat="1">
      <c r="A1942" s="220"/>
      <c r="B1942" s="141"/>
      <c r="C1942" s="141"/>
      <c r="D1942" s="141"/>
      <c r="E1942" s="141"/>
      <c r="F1942" s="141"/>
      <c r="G1942" s="141"/>
      <c r="H1942" s="222"/>
    </row>
    <row r="1943" spans="1:9" s="212" customFormat="1">
      <c r="A1943" s="142"/>
      <c r="B1943" s="143"/>
      <c r="C1943" s="143"/>
      <c r="D1943" s="143"/>
      <c r="E1943" s="143"/>
      <c r="F1943" s="84"/>
      <c r="G1943" s="146"/>
      <c r="H1943" s="221"/>
    </row>
    <row r="1944" spans="1:9" s="212" customFormat="1">
      <c r="A1944" s="123"/>
      <c r="B1944" s="95"/>
      <c r="C1944" s="95"/>
      <c r="D1944" s="95"/>
      <c r="E1944" s="95"/>
      <c r="G1944" s="213"/>
      <c r="H1944" s="73"/>
    </row>
    <row r="1945" spans="1:9" s="212" customFormat="1">
      <c r="A1945" s="123"/>
      <c r="B1945" s="95"/>
      <c r="C1945" s="95"/>
      <c r="D1945" s="95"/>
      <c r="E1945" s="95"/>
      <c r="G1945" s="73"/>
      <c r="H1945" s="225"/>
    </row>
    <row r="1946" spans="1:9" s="212" customFormat="1">
      <c r="B1946" s="97"/>
      <c r="C1946" s="98"/>
      <c r="D1946" s="98"/>
      <c r="E1946" s="98"/>
      <c r="G1946" s="220"/>
    </row>
    <row r="1947" spans="1:9" s="212" customFormat="1">
      <c r="B1947" s="97"/>
      <c r="C1947" s="98"/>
      <c r="D1947" s="98"/>
      <c r="E1947" s="98"/>
      <c r="F1947" s="220"/>
      <c r="G1947" s="225"/>
      <c r="H1947" s="226"/>
    </row>
    <row r="1948" spans="1:9" s="212" customFormat="1">
      <c r="A1948" s="633"/>
      <c r="B1948" s="633"/>
      <c r="C1948" s="633"/>
      <c r="D1948" s="633"/>
      <c r="E1948" s="633"/>
      <c r="F1948" s="633"/>
      <c r="G1948" s="633"/>
    </row>
    <row r="1949" spans="1:9" s="212" customFormat="1">
      <c r="H1949" s="227"/>
      <c r="I1949" s="228"/>
    </row>
    <row r="1950" spans="1:9" s="212" customFormat="1">
      <c r="A1950" s="658"/>
      <c r="B1950" s="227"/>
      <c r="C1950" s="227"/>
      <c r="D1950" s="227"/>
      <c r="E1950" s="227"/>
      <c r="F1950" s="227"/>
      <c r="G1950" s="227"/>
      <c r="H1950" s="227"/>
      <c r="I1950" s="229"/>
    </row>
    <row r="1951" spans="1:9" s="212" customFormat="1">
      <c r="A1951" s="658"/>
      <c r="B1951" s="227"/>
      <c r="C1951" s="227"/>
      <c r="D1951" s="227"/>
      <c r="E1951" s="227"/>
      <c r="F1951" s="227"/>
      <c r="G1951" s="227"/>
    </row>
    <row r="1952" spans="1:9" s="212" customFormat="1">
      <c r="A1952" s="69"/>
      <c r="B1952" s="69"/>
      <c r="C1952" s="69"/>
      <c r="D1952" s="69"/>
      <c r="E1952" s="69"/>
    </row>
    <row r="1953" spans="1:8" s="212" customFormat="1">
      <c r="A1953" s="120"/>
      <c r="B1953" s="73"/>
      <c r="C1953" s="73"/>
      <c r="D1953" s="73"/>
      <c r="E1953" s="73"/>
      <c r="F1953" s="73"/>
      <c r="G1953" s="73"/>
      <c r="H1953" s="73"/>
    </row>
    <row r="1954" spans="1:8" s="212" customFormat="1">
      <c r="A1954" s="220"/>
      <c r="B1954" s="141"/>
      <c r="C1954" s="141"/>
      <c r="D1954" s="141"/>
      <c r="E1954" s="141"/>
      <c r="F1954" s="141"/>
      <c r="G1954" s="141"/>
      <c r="H1954" s="73"/>
    </row>
    <row r="1955" spans="1:8" s="212" customFormat="1" ht="16.5">
      <c r="A1955" s="150"/>
      <c r="B1955" s="161"/>
      <c r="C1955" s="148"/>
      <c r="D1955" s="84"/>
      <c r="E1955" s="84"/>
      <c r="F1955" s="84"/>
      <c r="G1955" s="224"/>
      <c r="H1955" s="73"/>
    </row>
    <row r="1956" spans="1:8" s="212" customFormat="1" ht="16.5">
      <c r="A1956" s="150"/>
      <c r="B1956" s="161"/>
      <c r="C1956" s="148"/>
      <c r="D1956" s="84"/>
      <c r="E1956" s="84"/>
      <c r="F1956" s="84"/>
      <c r="G1956" s="224"/>
      <c r="H1956" s="221"/>
    </row>
    <row r="1957" spans="1:8" s="212" customFormat="1">
      <c r="A1957" s="84"/>
      <c r="B1957" s="83"/>
      <c r="C1957" s="84"/>
      <c r="D1957" s="84"/>
      <c r="E1957" s="84"/>
      <c r="G1957" s="213"/>
      <c r="H1957" s="222"/>
    </row>
    <row r="1958" spans="1:8" s="212" customFormat="1">
      <c r="A1958" s="120"/>
      <c r="B1958" s="73"/>
      <c r="C1958" s="73"/>
      <c r="D1958" s="73"/>
      <c r="E1958" s="73"/>
      <c r="G1958" s="73"/>
      <c r="H1958" s="222"/>
    </row>
    <row r="1959" spans="1:8" s="212" customFormat="1">
      <c r="A1959" s="220"/>
      <c r="B1959" s="141"/>
      <c r="C1959" s="141"/>
      <c r="D1959" s="141"/>
      <c r="E1959" s="141"/>
      <c r="F1959" s="141"/>
      <c r="G1959" s="141"/>
      <c r="H1959" s="222"/>
    </row>
    <row r="1960" spans="1:8" s="212" customFormat="1">
      <c r="A1960" s="146"/>
      <c r="B1960" s="83"/>
      <c r="C1960" s="148"/>
      <c r="D1960" s="84"/>
      <c r="E1960" s="84"/>
      <c r="F1960" s="84"/>
      <c r="G1960" s="146"/>
      <c r="H1960" s="222"/>
    </row>
    <row r="1961" spans="1:8" s="212" customFormat="1">
      <c r="A1961" s="146"/>
      <c r="B1961" s="83"/>
      <c r="C1961" s="148"/>
      <c r="D1961" s="84"/>
      <c r="E1961" s="84"/>
      <c r="F1961" s="84"/>
      <c r="G1961" s="146"/>
      <c r="H1961" s="221"/>
    </row>
    <row r="1962" spans="1:8" s="212" customFormat="1">
      <c r="A1962" s="91"/>
      <c r="B1962" s="91"/>
      <c r="C1962" s="91"/>
      <c r="D1962" s="91"/>
      <c r="E1962" s="91"/>
      <c r="G1962" s="213"/>
      <c r="H1962" s="222"/>
    </row>
    <row r="1963" spans="1:8" s="212" customFormat="1">
      <c r="A1963" s="120"/>
      <c r="B1963" s="73"/>
      <c r="C1963" s="73"/>
      <c r="D1963" s="73"/>
      <c r="E1963" s="73"/>
      <c r="G1963" s="73"/>
      <c r="H1963" s="222"/>
    </row>
    <row r="1964" spans="1:8" s="212" customFormat="1">
      <c r="A1964" s="220"/>
      <c r="B1964" s="141"/>
      <c r="C1964" s="141"/>
      <c r="D1964" s="141"/>
      <c r="E1964" s="141"/>
      <c r="F1964" s="141"/>
      <c r="G1964" s="141"/>
      <c r="H1964" s="222"/>
    </row>
    <row r="1965" spans="1:8" s="212" customFormat="1">
      <c r="A1965" s="146"/>
      <c r="B1965" s="83"/>
      <c r="C1965" s="148"/>
      <c r="D1965" s="148"/>
      <c r="E1965" s="84"/>
      <c r="F1965" s="84"/>
      <c r="G1965" s="146"/>
      <c r="H1965" s="221"/>
    </row>
    <row r="1966" spans="1:8" s="212" customFormat="1">
      <c r="A1966" s="91"/>
      <c r="B1966" s="91"/>
      <c r="C1966" s="91"/>
      <c r="D1966" s="91"/>
      <c r="E1966" s="91"/>
      <c r="G1966" s="213"/>
      <c r="H1966" s="222"/>
    </row>
    <row r="1967" spans="1:8" s="212" customFormat="1">
      <c r="A1967" s="120"/>
      <c r="B1967" s="73"/>
      <c r="C1967" s="73"/>
      <c r="D1967" s="73"/>
      <c r="E1967" s="73"/>
      <c r="G1967" s="73"/>
      <c r="H1967" s="222"/>
    </row>
    <row r="1968" spans="1:8" s="212" customFormat="1">
      <c r="A1968" s="220"/>
      <c r="B1968" s="141"/>
      <c r="C1968" s="141"/>
      <c r="D1968" s="141"/>
      <c r="E1968" s="141"/>
      <c r="F1968" s="141"/>
      <c r="G1968" s="141"/>
      <c r="H1968" s="222"/>
    </row>
    <row r="1969" spans="1:9" s="212" customFormat="1">
      <c r="A1969" s="142"/>
      <c r="B1969" s="143"/>
      <c r="C1969" s="143"/>
      <c r="D1969" s="143"/>
      <c r="E1969" s="143"/>
      <c r="F1969" s="84"/>
      <c r="G1969" s="146"/>
      <c r="H1969" s="221"/>
    </row>
    <row r="1970" spans="1:9" s="212" customFormat="1">
      <c r="A1970" s="123"/>
      <c r="B1970" s="95"/>
      <c r="C1970" s="95"/>
      <c r="D1970" s="95"/>
      <c r="E1970" s="95"/>
      <c r="G1970" s="213"/>
      <c r="H1970" s="73"/>
    </row>
    <row r="1971" spans="1:9" s="212" customFormat="1">
      <c r="A1971" s="123"/>
      <c r="B1971" s="95"/>
      <c r="C1971" s="95"/>
      <c r="D1971" s="95"/>
      <c r="E1971" s="95"/>
      <c r="G1971" s="73"/>
      <c r="H1971" s="225"/>
    </row>
    <row r="1972" spans="1:9" s="212" customFormat="1">
      <c r="B1972" s="97"/>
      <c r="C1972" s="98"/>
      <c r="D1972" s="98"/>
      <c r="E1972" s="98"/>
      <c r="G1972" s="220"/>
    </row>
    <row r="1973" spans="1:9" s="212" customFormat="1">
      <c r="B1973" s="97"/>
      <c r="C1973" s="98"/>
      <c r="D1973" s="98"/>
      <c r="E1973" s="98"/>
      <c r="F1973" s="220"/>
      <c r="G1973" s="225"/>
      <c r="H1973" s="226"/>
    </row>
    <row r="1974" spans="1:9" s="212" customFormat="1">
      <c r="A1974" s="633"/>
      <c r="B1974" s="633"/>
      <c r="C1974" s="633"/>
      <c r="D1974" s="633"/>
      <c r="E1974" s="633"/>
      <c r="F1974" s="633"/>
      <c r="G1974" s="633"/>
    </row>
    <row r="1975" spans="1:9" s="212" customFormat="1">
      <c r="H1975" s="227"/>
      <c r="I1975" s="228"/>
    </row>
    <row r="1976" spans="1:9" s="212" customFormat="1">
      <c r="A1976" s="658"/>
      <c r="B1976" s="227"/>
      <c r="C1976" s="227"/>
      <c r="D1976" s="227"/>
      <c r="E1976" s="227"/>
      <c r="F1976" s="227"/>
      <c r="G1976" s="227"/>
      <c r="H1976" s="227"/>
      <c r="I1976" s="229"/>
    </row>
    <row r="1977" spans="1:9" s="212" customFormat="1">
      <c r="A1977" s="658"/>
      <c r="B1977" s="227"/>
      <c r="C1977" s="227"/>
      <c r="D1977" s="227"/>
      <c r="E1977" s="227"/>
      <c r="F1977" s="227"/>
      <c r="G1977" s="227"/>
    </row>
    <row r="1978" spans="1:9" s="212" customFormat="1">
      <c r="A1978" s="69"/>
      <c r="B1978" s="69"/>
      <c r="C1978" s="69"/>
      <c r="D1978" s="69"/>
      <c r="E1978" s="69"/>
    </row>
    <row r="1979" spans="1:9" s="212" customFormat="1">
      <c r="A1979" s="120"/>
      <c r="B1979" s="73"/>
      <c r="C1979" s="73"/>
      <c r="D1979" s="73"/>
      <c r="E1979" s="73"/>
      <c r="F1979" s="73"/>
      <c r="G1979" s="73"/>
      <c r="H1979" s="73"/>
    </row>
    <row r="1980" spans="1:9" s="212" customFormat="1">
      <c r="A1980" s="220"/>
      <c r="B1980" s="141"/>
      <c r="C1980" s="141"/>
      <c r="D1980" s="141"/>
      <c r="E1980" s="141"/>
      <c r="F1980" s="141"/>
      <c r="G1980" s="141"/>
      <c r="H1980" s="73"/>
    </row>
    <row r="1981" spans="1:9" s="212" customFormat="1" ht="16.5">
      <c r="A1981" s="150"/>
      <c r="B1981" s="161"/>
      <c r="C1981" s="148"/>
      <c r="D1981" s="84"/>
      <c r="E1981" s="84"/>
      <c r="F1981" s="84"/>
      <c r="G1981" s="224"/>
      <c r="H1981" s="73"/>
    </row>
    <row r="1982" spans="1:9" s="212" customFormat="1" ht="16.5">
      <c r="A1982" s="150"/>
      <c r="B1982" s="161"/>
      <c r="C1982" s="148"/>
      <c r="D1982" s="84"/>
      <c r="E1982" s="84"/>
      <c r="F1982" s="84"/>
      <c r="G1982" s="224"/>
      <c r="H1982" s="221"/>
    </row>
    <row r="1983" spans="1:9" s="212" customFormat="1">
      <c r="A1983" s="84"/>
      <c r="B1983" s="83"/>
      <c r="C1983" s="84"/>
      <c r="D1983" s="84"/>
      <c r="E1983" s="84"/>
      <c r="G1983" s="213"/>
      <c r="H1983" s="222"/>
    </row>
    <row r="1984" spans="1:9" s="212" customFormat="1">
      <c r="A1984" s="120"/>
      <c r="B1984" s="73"/>
      <c r="C1984" s="73"/>
      <c r="D1984" s="73"/>
      <c r="E1984" s="73"/>
      <c r="G1984" s="73"/>
      <c r="H1984" s="222"/>
    </row>
    <row r="1985" spans="1:8" s="212" customFormat="1">
      <c r="A1985" s="220"/>
      <c r="B1985" s="141"/>
      <c r="C1985" s="141"/>
      <c r="D1985" s="141"/>
      <c r="E1985" s="141"/>
      <c r="F1985" s="141"/>
      <c r="G1985" s="141"/>
      <c r="H1985" s="222"/>
    </row>
    <row r="1986" spans="1:8" s="212" customFormat="1">
      <c r="A1986" s="146"/>
      <c r="B1986" s="83"/>
      <c r="C1986" s="148"/>
      <c r="D1986" s="84"/>
      <c r="E1986" s="84"/>
      <c r="F1986" s="84"/>
      <c r="G1986" s="146"/>
      <c r="H1986" s="222"/>
    </row>
    <row r="1987" spans="1:8" s="212" customFormat="1">
      <c r="A1987" s="146"/>
      <c r="B1987" s="83"/>
      <c r="C1987" s="148"/>
      <c r="D1987" s="84"/>
      <c r="E1987" s="84"/>
      <c r="F1987" s="84"/>
      <c r="G1987" s="146"/>
      <c r="H1987" s="222"/>
    </row>
    <row r="1988" spans="1:8" s="212" customFormat="1">
      <c r="A1988" s="146"/>
      <c r="B1988" s="83"/>
      <c r="C1988" s="148"/>
      <c r="D1988" s="84"/>
      <c r="E1988" s="84"/>
      <c r="F1988" s="84"/>
      <c r="G1988" s="146"/>
      <c r="H1988" s="222"/>
    </row>
    <row r="1989" spans="1:8" s="212" customFormat="1">
      <c r="A1989" s="146"/>
      <c r="B1989" s="83"/>
      <c r="C1989" s="148"/>
      <c r="D1989" s="84"/>
      <c r="E1989" s="84"/>
      <c r="F1989" s="84"/>
      <c r="G1989" s="146"/>
      <c r="H1989" s="221"/>
    </row>
    <row r="1990" spans="1:8" s="212" customFormat="1">
      <c r="A1990" s="91"/>
      <c r="B1990" s="91"/>
      <c r="C1990" s="91"/>
      <c r="D1990" s="91"/>
      <c r="E1990" s="91"/>
      <c r="G1990" s="213"/>
      <c r="H1990" s="222"/>
    </row>
    <row r="1991" spans="1:8" s="212" customFormat="1">
      <c r="A1991" s="120"/>
      <c r="B1991" s="73"/>
      <c r="C1991" s="73"/>
      <c r="D1991" s="73"/>
      <c r="E1991" s="73"/>
      <c r="G1991" s="73"/>
      <c r="H1991" s="222"/>
    </row>
    <row r="1992" spans="1:8" s="212" customFormat="1">
      <c r="A1992" s="220"/>
      <c r="B1992" s="141"/>
      <c r="C1992" s="141"/>
      <c r="D1992" s="141"/>
      <c r="E1992" s="141"/>
      <c r="F1992" s="141"/>
      <c r="G1992" s="141"/>
      <c r="H1992" s="222"/>
    </row>
    <row r="1993" spans="1:8" s="212" customFormat="1">
      <c r="A1993" s="146"/>
      <c r="B1993" s="83"/>
      <c r="C1993" s="148"/>
      <c r="D1993" s="148"/>
      <c r="E1993" s="84"/>
      <c r="F1993" s="84"/>
      <c r="G1993" s="146"/>
      <c r="H1993" s="221"/>
    </row>
    <row r="1994" spans="1:8" s="212" customFormat="1">
      <c r="A1994" s="91"/>
      <c r="B1994" s="91"/>
      <c r="C1994" s="91"/>
      <c r="D1994" s="91"/>
      <c r="E1994" s="91"/>
      <c r="G1994" s="213"/>
      <c r="H1994" s="222"/>
    </row>
    <row r="1995" spans="1:8" s="212" customFormat="1">
      <c r="A1995" s="120"/>
      <c r="B1995" s="73"/>
      <c r="C1995" s="73"/>
      <c r="D1995" s="73"/>
      <c r="E1995" s="73"/>
      <c r="G1995" s="73"/>
      <c r="H1995" s="222"/>
    </row>
    <row r="1996" spans="1:8" s="212" customFormat="1">
      <c r="A1996" s="220"/>
      <c r="B1996" s="141"/>
      <c r="C1996" s="141"/>
      <c r="D1996" s="141"/>
      <c r="E1996" s="141"/>
      <c r="F1996" s="141"/>
      <c r="G1996" s="141"/>
      <c r="H1996" s="222"/>
    </row>
    <row r="1997" spans="1:8" s="212" customFormat="1">
      <c r="A1997" s="142"/>
      <c r="B1997" s="143"/>
      <c r="C1997" s="143"/>
      <c r="D1997" s="143"/>
      <c r="E1997" s="143"/>
      <c r="F1997" s="84"/>
      <c r="G1997" s="146"/>
      <c r="H1997" s="221"/>
    </row>
    <row r="1998" spans="1:8" s="212" customFormat="1">
      <c r="A1998" s="123"/>
      <c r="B1998" s="95"/>
      <c r="C1998" s="95"/>
      <c r="D1998" s="95"/>
      <c r="E1998" s="95"/>
      <c r="G1998" s="213"/>
      <c r="H1998" s="73"/>
    </row>
    <row r="1999" spans="1:8" s="212" customFormat="1">
      <c r="A1999" s="123"/>
      <c r="B1999" s="95"/>
      <c r="C1999" s="95"/>
      <c r="D1999" s="95"/>
      <c r="E1999" s="95"/>
      <c r="G1999" s="73"/>
      <c r="H1999" s="225"/>
    </row>
    <row r="2000" spans="1:8" s="212" customFormat="1">
      <c r="B2000" s="97"/>
      <c r="C2000" s="98"/>
      <c r="D2000" s="98"/>
      <c r="E2000" s="98"/>
      <c r="G2000" s="220"/>
    </row>
    <row r="2001" spans="1:9" s="212" customFormat="1">
      <c r="B2001" s="97"/>
      <c r="C2001" s="98"/>
      <c r="D2001" s="98"/>
      <c r="E2001" s="98"/>
      <c r="F2001" s="220"/>
      <c r="G2001" s="225"/>
      <c r="H2001" s="226"/>
    </row>
    <row r="2002" spans="1:9" s="212" customFormat="1">
      <c r="A2002" s="633"/>
      <c r="B2002" s="633"/>
      <c r="C2002" s="633"/>
      <c r="D2002" s="633"/>
      <c r="E2002" s="633"/>
      <c r="F2002" s="633"/>
      <c r="G2002" s="633"/>
    </row>
    <row r="2003" spans="1:9" s="212" customFormat="1">
      <c r="H2003" s="227"/>
      <c r="I2003" s="228"/>
    </row>
    <row r="2004" spans="1:9" s="212" customFormat="1">
      <c r="A2004" s="658"/>
      <c r="B2004" s="227"/>
      <c r="C2004" s="227"/>
      <c r="D2004" s="227"/>
      <c r="E2004" s="227"/>
      <c r="F2004" s="227"/>
      <c r="G2004" s="227"/>
      <c r="H2004" s="227"/>
      <c r="I2004" s="229"/>
    </row>
    <row r="2005" spans="1:9" s="212" customFormat="1">
      <c r="A2005" s="658"/>
      <c r="B2005" s="227"/>
      <c r="C2005" s="227"/>
      <c r="D2005" s="227"/>
      <c r="E2005" s="227"/>
      <c r="F2005" s="227"/>
      <c r="G2005" s="227"/>
    </row>
    <row r="2006" spans="1:9" s="212" customFormat="1">
      <c r="A2006" s="69"/>
      <c r="B2006" s="69"/>
      <c r="C2006" s="69"/>
      <c r="D2006" s="69"/>
      <c r="E2006" s="69"/>
    </row>
    <row r="2007" spans="1:9" s="212" customFormat="1">
      <c r="A2007" s="120"/>
      <c r="B2007" s="73"/>
      <c r="C2007" s="73"/>
      <c r="D2007" s="73"/>
      <c r="E2007" s="73"/>
      <c r="F2007" s="73"/>
      <c r="G2007" s="73"/>
      <c r="H2007" s="73"/>
    </row>
    <row r="2008" spans="1:9" s="212" customFormat="1">
      <c r="A2008" s="220"/>
      <c r="B2008" s="141"/>
      <c r="C2008" s="141"/>
      <c r="D2008" s="141"/>
      <c r="E2008" s="141"/>
      <c r="F2008" s="141"/>
      <c r="G2008" s="141"/>
      <c r="H2008" s="73"/>
    </row>
    <row r="2009" spans="1:9" s="212" customFormat="1" ht="16.5">
      <c r="A2009" s="150"/>
      <c r="B2009" s="161"/>
      <c r="C2009" s="148"/>
      <c r="D2009" s="84"/>
      <c r="E2009" s="84"/>
      <c r="F2009" s="84"/>
      <c r="G2009" s="224"/>
      <c r="H2009" s="73"/>
    </row>
    <row r="2010" spans="1:9" s="212" customFormat="1" ht="16.5">
      <c r="A2010" s="150"/>
      <c r="B2010" s="161"/>
      <c r="C2010" s="148"/>
      <c r="D2010" s="84"/>
      <c r="E2010" s="84"/>
      <c r="F2010" s="84"/>
      <c r="G2010" s="224"/>
      <c r="H2010" s="73"/>
    </row>
    <row r="2011" spans="1:9" s="212" customFormat="1" ht="16.5">
      <c r="A2011" s="150"/>
      <c r="B2011" s="161"/>
      <c r="C2011" s="148"/>
      <c r="D2011" s="84"/>
      <c r="E2011" s="84"/>
      <c r="F2011" s="84"/>
      <c r="G2011" s="224"/>
      <c r="H2011" s="73"/>
    </row>
    <row r="2012" spans="1:9" s="212" customFormat="1" ht="16.5">
      <c r="A2012" s="150"/>
      <c r="B2012" s="161"/>
      <c r="C2012" s="148"/>
      <c r="D2012" s="84"/>
      <c r="E2012" s="84"/>
      <c r="F2012" s="84"/>
      <c r="G2012" s="224"/>
      <c r="H2012" s="73"/>
    </row>
    <row r="2013" spans="1:9" s="212" customFormat="1" ht="16.5">
      <c r="A2013" s="150"/>
      <c r="B2013" s="161"/>
      <c r="C2013" s="148"/>
      <c r="D2013" s="84"/>
      <c r="E2013" s="84"/>
      <c r="F2013" s="84"/>
      <c r="G2013" s="224"/>
      <c r="H2013" s="221"/>
    </row>
    <row r="2014" spans="1:9" s="212" customFormat="1">
      <c r="A2014" s="84"/>
      <c r="B2014" s="83"/>
      <c r="C2014" s="84"/>
      <c r="D2014" s="84"/>
      <c r="E2014" s="84"/>
      <c r="G2014" s="213"/>
      <c r="H2014" s="222"/>
    </row>
    <row r="2015" spans="1:9" s="212" customFormat="1">
      <c r="A2015" s="120"/>
      <c r="B2015" s="73"/>
      <c r="C2015" s="73"/>
      <c r="D2015" s="73"/>
      <c r="E2015" s="73"/>
      <c r="G2015" s="73"/>
      <c r="H2015" s="222"/>
    </row>
    <row r="2016" spans="1:9" s="212" customFormat="1">
      <c r="A2016" s="220"/>
      <c r="B2016" s="141"/>
      <c r="C2016" s="141"/>
      <c r="D2016" s="141"/>
      <c r="E2016" s="141"/>
      <c r="F2016" s="141"/>
      <c r="G2016" s="141"/>
      <c r="H2016" s="222"/>
    </row>
    <row r="2017" spans="1:8" s="212" customFormat="1">
      <c r="A2017" s="146"/>
      <c r="B2017" s="83"/>
      <c r="C2017" s="148"/>
      <c r="D2017" s="84"/>
      <c r="E2017" s="84"/>
      <c r="F2017" s="84"/>
      <c r="G2017" s="146"/>
      <c r="H2017" s="222"/>
    </row>
    <row r="2018" spans="1:8" s="212" customFormat="1">
      <c r="A2018" s="146"/>
      <c r="B2018" s="83"/>
      <c r="C2018" s="148"/>
      <c r="D2018" s="84"/>
      <c r="E2018" s="84"/>
      <c r="F2018" s="84"/>
      <c r="G2018" s="146"/>
      <c r="H2018" s="222"/>
    </row>
    <row r="2019" spans="1:8" s="212" customFormat="1">
      <c r="A2019" s="146"/>
      <c r="B2019" s="83"/>
      <c r="C2019" s="148"/>
      <c r="D2019" s="84"/>
      <c r="E2019" s="84"/>
      <c r="F2019" s="84"/>
      <c r="G2019" s="150"/>
      <c r="H2019" s="221"/>
    </row>
    <row r="2020" spans="1:8" s="212" customFormat="1">
      <c r="A2020" s="91"/>
      <c r="B2020" s="91"/>
      <c r="C2020" s="91"/>
      <c r="D2020" s="91"/>
      <c r="E2020" s="91"/>
      <c r="G2020" s="213"/>
      <c r="H2020" s="222"/>
    </row>
    <row r="2021" spans="1:8" s="212" customFormat="1">
      <c r="A2021" s="120"/>
      <c r="B2021" s="73"/>
      <c r="C2021" s="73"/>
      <c r="D2021" s="73"/>
      <c r="E2021" s="73"/>
      <c r="G2021" s="73"/>
      <c r="H2021" s="222"/>
    </row>
    <row r="2022" spans="1:8" s="212" customFormat="1">
      <c r="A2022" s="220"/>
      <c r="B2022" s="141"/>
      <c r="C2022" s="141"/>
      <c r="D2022" s="141"/>
      <c r="E2022" s="141"/>
      <c r="F2022" s="141"/>
      <c r="G2022" s="141"/>
      <c r="H2022" s="222"/>
    </row>
    <row r="2023" spans="1:8" s="212" customFormat="1">
      <c r="A2023" s="146"/>
      <c r="B2023" s="83"/>
      <c r="C2023" s="148"/>
      <c r="D2023" s="148"/>
      <c r="E2023" s="84"/>
      <c r="F2023" s="84"/>
      <c r="G2023" s="146"/>
      <c r="H2023" s="221"/>
    </row>
    <row r="2024" spans="1:8" s="212" customFormat="1">
      <c r="A2024" s="91"/>
      <c r="B2024" s="91"/>
      <c r="C2024" s="91"/>
      <c r="D2024" s="91"/>
      <c r="E2024" s="91"/>
      <c r="G2024" s="213"/>
      <c r="H2024" s="222"/>
    </row>
    <row r="2025" spans="1:8" s="212" customFormat="1">
      <c r="A2025" s="120"/>
      <c r="B2025" s="73"/>
      <c r="C2025" s="73"/>
      <c r="D2025" s="73"/>
      <c r="E2025" s="73"/>
      <c r="G2025" s="73"/>
      <c r="H2025" s="222"/>
    </row>
    <row r="2026" spans="1:8" s="212" customFormat="1">
      <c r="A2026" s="220"/>
      <c r="B2026" s="141"/>
      <c r="C2026" s="141"/>
      <c r="D2026" s="141"/>
      <c r="E2026" s="141"/>
      <c r="F2026" s="141"/>
      <c r="G2026" s="141"/>
      <c r="H2026" s="222"/>
    </row>
    <row r="2027" spans="1:8" s="212" customFormat="1">
      <c r="A2027" s="142"/>
      <c r="B2027" s="143"/>
      <c r="C2027" s="143"/>
      <c r="D2027" s="143"/>
      <c r="E2027" s="143"/>
      <c r="F2027" s="84"/>
      <c r="G2027" s="146"/>
      <c r="H2027" s="221"/>
    </row>
    <row r="2028" spans="1:8" s="212" customFormat="1">
      <c r="A2028" s="123"/>
      <c r="B2028" s="95"/>
      <c r="C2028" s="95"/>
      <c r="D2028" s="95"/>
      <c r="E2028" s="95"/>
      <c r="G2028" s="213"/>
      <c r="H2028" s="73"/>
    </row>
    <row r="2029" spans="1:8" s="212" customFormat="1">
      <c r="A2029" s="123"/>
      <c r="B2029" s="95"/>
      <c r="C2029" s="95"/>
      <c r="D2029" s="95"/>
      <c r="E2029" s="95"/>
      <c r="G2029" s="73"/>
      <c r="H2029" s="225"/>
    </row>
    <row r="2030" spans="1:8" s="212" customFormat="1">
      <c r="B2030" s="97"/>
      <c r="C2030" s="98"/>
      <c r="D2030" s="98"/>
      <c r="E2030" s="98"/>
      <c r="G2030" s="220"/>
    </row>
    <row r="2031" spans="1:8" s="212" customFormat="1">
      <c r="B2031" s="97"/>
      <c r="C2031" s="98"/>
      <c r="D2031" s="98"/>
      <c r="E2031" s="98"/>
      <c r="F2031" s="220"/>
      <c r="G2031" s="225"/>
      <c r="H2031" s="226"/>
    </row>
    <row r="2032" spans="1:8" s="212" customFormat="1">
      <c r="A2032" s="633"/>
      <c r="B2032" s="633"/>
      <c r="C2032" s="633"/>
      <c r="D2032" s="633"/>
      <c r="E2032" s="633"/>
      <c r="F2032" s="633"/>
      <c r="G2032" s="633"/>
    </row>
    <row r="2033" spans="1:9" s="212" customFormat="1">
      <c r="H2033" s="227"/>
      <c r="I2033" s="228"/>
    </row>
    <row r="2034" spans="1:9" s="212" customFormat="1">
      <c r="A2034" s="658"/>
      <c r="B2034" s="227"/>
      <c r="C2034" s="227"/>
      <c r="D2034" s="227"/>
      <c r="E2034" s="227"/>
      <c r="F2034" s="227"/>
      <c r="G2034" s="227"/>
      <c r="H2034" s="227"/>
      <c r="I2034" s="229"/>
    </row>
    <row r="2035" spans="1:9" s="212" customFormat="1">
      <c r="A2035" s="658"/>
      <c r="B2035" s="227"/>
      <c r="C2035" s="227"/>
      <c r="D2035" s="227"/>
      <c r="E2035" s="227"/>
      <c r="F2035" s="227"/>
      <c r="G2035" s="227"/>
    </row>
    <row r="2036" spans="1:9" s="212" customFormat="1">
      <c r="A2036" s="69"/>
      <c r="B2036" s="69"/>
      <c r="C2036" s="69"/>
      <c r="D2036" s="69"/>
      <c r="E2036" s="69"/>
    </row>
    <row r="2037" spans="1:9" s="212" customFormat="1">
      <c r="A2037" s="120"/>
      <c r="B2037" s="73"/>
      <c r="C2037" s="73"/>
      <c r="D2037" s="73"/>
      <c r="E2037" s="73"/>
      <c r="F2037" s="73"/>
      <c r="G2037" s="73"/>
      <c r="H2037" s="73"/>
    </row>
    <row r="2038" spans="1:9" s="212" customFormat="1">
      <c r="A2038" s="220"/>
      <c r="B2038" s="141"/>
      <c r="C2038" s="141"/>
      <c r="D2038" s="141"/>
      <c r="E2038" s="141"/>
      <c r="F2038" s="141"/>
      <c r="G2038" s="141"/>
      <c r="H2038" s="73"/>
    </row>
    <row r="2039" spans="1:9" s="212" customFormat="1" ht="16.5">
      <c r="A2039" s="150"/>
      <c r="B2039" s="161"/>
      <c r="C2039" s="148"/>
      <c r="D2039" s="84"/>
      <c r="E2039" s="84"/>
      <c r="F2039" s="84"/>
      <c r="G2039" s="224"/>
      <c r="H2039" s="73"/>
    </row>
    <row r="2040" spans="1:9" s="212" customFormat="1" ht="16.5">
      <c r="A2040" s="150"/>
      <c r="B2040" s="161"/>
      <c r="C2040" s="148"/>
      <c r="D2040" s="84"/>
      <c r="E2040" s="84"/>
      <c r="F2040" s="84"/>
      <c r="G2040" s="224"/>
      <c r="H2040" s="221"/>
    </row>
    <row r="2041" spans="1:9" s="212" customFormat="1">
      <c r="A2041" s="84"/>
      <c r="B2041" s="83"/>
      <c r="C2041" s="84"/>
      <c r="D2041" s="84"/>
      <c r="E2041" s="84"/>
      <c r="G2041" s="213"/>
      <c r="H2041" s="222"/>
    </row>
    <row r="2042" spans="1:9" s="212" customFormat="1">
      <c r="A2042" s="120"/>
      <c r="B2042" s="73"/>
      <c r="C2042" s="73"/>
      <c r="D2042" s="73"/>
      <c r="E2042" s="73"/>
      <c r="G2042" s="73"/>
      <c r="H2042" s="222"/>
    </row>
    <row r="2043" spans="1:9" s="212" customFormat="1">
      <c r="A2043" s="220"/>
      <c r="B2043" s="141"/>
      <c r="C2043" s="141"/>
      <c r="D2043" s="141"/>
      <c r="E2043" s="141"/>
      <c r="F2043" s="141"/>
      <c r="G2043" s="141"/>
      <c r="H2043" s="222"/>
    </row>
    <row r="2044" spans="1:9" s="212" customFormat="1">
      <c r="A2044" s="146"/>
      <c r="B2044" s="83"/>
      <c r="C2044" s="148"/>
      <c r="D2044" s="84"/>
      <c r="E2044" s="84"/>
      <c r="F2044" s="84"/>
      <c r="G2044" s="146"/>
      <c r="H2044" s="222"/>
    </row>
    <row r="2045" spans="1:9" s="212" customFormat="1">
      <c r="A2045" s="146"/>
      <c r="B2045" s="83"/>
      <c r="C2045" s="148"/>
      <c r="D2045" s="84"/>
      <c r="E2045" s="84"/>
      <c r="F2045" s="84"/>
      <c r="G2045" s="232"/>
      <c r="H2045" s="221"/>
    </row>
    <row r="2046" spans="1:9" s="212" customFormat="1">
      <c r="A2046" s="91"/>
      <c r="B2046" s="91"/>
      <c r="C2046" s="91"/>
      <c r="D2046" s="91"/>
      <c r="E2046" s="91"/>
      <c r="G2046" s="213"/>
      <c r="H2046" s="222"/>
    </row>
    <row r="2047" spans="1:9" s="212" customFormat="1">
      <c r="A2047" s="120"/>
      <c r="B2047" s="73"/>
      <c r="C2047" s="73"/>
      <c r="D2047" s="73"/>
      <c r="E2047" s="73"/>
      <c r="G2047" s="73"/>
      <c r="H2047" s="222"/>
    </row>
    <row r="2048" spans="1:9" s="212" customFormat="1">
      <c r="A2048" s="220"/>
      <c r="B2048" s="141"/>
      <c r="C2048" s="141"/>
      <c r="D2048" s="141"/>
      <c r="E2048" s="141"/>
      <c r="F2048" s="141"/>
      <c r="G2048" s="141"/>
      <c r="H2048" s="222"/>
    </row>
    <row r="2049" spans="1:9" s="212" customFormat="1">
      <c r="A2049" s="146"/>
      <c r="B2049" s="83"/>
      <c r="C2049" s="148"/>
      <c r="D2049" s="148"/>
      <c r="E2049" s="84"/>
      <c r="F2049" s="84"/>
      <c r="G2049" s="146"/>
      <c r="H2049" s="221"/>
    </row>
    <row r="2050" spans="1:9" s="212" customFormat="1">
      <c r="A2050" s="91"/>
      <c r="B2050" s="91"/>
      <c r="C2050" s="91"/>
      <c r="D2050" s="91"/>
      <c r="E2050" s="91"/>
      <c r="G2050" s="213"/>
      <c r="H2050" s="222"/>
    </row>
    <row r="2051" spans="1:9" s="212" customFormat="1">
      <c r="A2051" s="120"/>
      <c r="B2051" s="73"/>
      <c r="C2051" s="73"/>
      <c r="D2051" s="73"/>
      <c r="E2051" s="73"/>
      <c r="G2051" s="73"/>
      <c r="H2051" s="222"/>
    </row>
    <row r="2052" spans="1:9" s="212" customFormat="1">
      <c r="A2052" s="220"/>
      <c r="B2052" s="141"/>
      <c r="C2052" s="141"/>
      <c r="D2052" s="141"/>
      <c r="E2052" s="141"/>
      <c r="F2052" s="141"/>
      <c r="G2052" s="141"/>
      <c r="H2052" s="222"/>
    </row>
    <row r="2053" spans="1:9" s="212" customFormat="1">
      <c r="A2053" s="142"/>
      <c r="B2053" s="143"/>
      <c r="C2053" s="143"/>
      <c r="D2053" s="143"/>
      <c r="E2053" s="143"/>
      <c r="F2053" s="84"/>
      <c r="G2053" s="146"/>
      <c r="H2053" s="221"/>
    </row>
    <row r="2054" spans="1:9" s="212" customFormat="1">
      <c r="A2054" s="123"/>
      <c r="B2054" s="95"/>
      <c r="C2054" s="95"/>
      <c r="D2054" s="95"/>
      <c r="E2054" s="95"/>
      <c r="G2054" s="213"/>
      <c r="H2054" s="73"/>
    </row>
    <row r="2055" spans="1:9" s="212" customFormat="1">
      <c r="A2055" s="123"/>
      <c r="B2055" s="95"/>
      <c r="C2055" s="95"/>
      <c r="D2055" s="95"/>
      <c r="E2055" s="95"/>
      <c r="G2055" s="73"/>
      <c r="H2055" s="225"/>
    </row>
    <row r="2056" spans="1:9" s="212" customFormat="1">
      <c r="B2056" s="97"/>
      <c r="C2056" s="98"/>
      <c r="D2056" s="98"/>
      <c r="E2056" s="98"/>
      <c r="G2056" s="220"/>
    </row>
    <row r="2057" spans="1:9" s="212" customFormat="1">
      <c r="B2057" s="97"/>
      <c r="C2057" s="98"/>
      <c r="D2057" s="98"/>
      <c r="E2057" s="98"/>
      <c r="F2057" s="220"/>
      <c r="G2057" s="225"/>
      <c r="H2057" s="226"/>
    </row>
    <row r="2058" spans="1:9" s="212" customFormat="1">
      <c r="A2058" s="633"/>
      <c r="B2058" s="633"/>
      <c r="C2058" s="633"/>
      <c r="D2058" s="633"/>
      <c r="E2058" s="633"/>
      <c r="F2058" s="633"/>
      <c r="G2058" s="633"/>
    </row>
    <row r="2059" spans="1:9" s="212" customFormat="1">
      <c r="H2059" s="227"/>
      <c r="I2059" s="228"/>
    </row>
    <row r="2060" spans="1:9" s="212" customFormat="1">
      <c r="A2060" s="658"/>
      <c r="B2060" s="227"/>
      <c r="C2060" s="227"/>
      <c r="D2060" s="227"/>
      <c r="E2060" s="227"/>
      <c r="F2060" s="227"/>
      <c r="G2060" s="227"/>
      <c r="H2060" s="227"/>
      <c r="I2060" s="229"/>
    </row>
    <row r="2061" spans="1:9" s="212" customFormat="1">
      <c r="A2061" s="658"/>
      <c r="B2061" s="227"/>
      <c r="C2061" s="227"/>
      <c r="D2061" s="227"/>
      <c r="E2061" s="227"/>
      <c r="F2061" s="227"/>
      <c r="G2061" s="227"/>
    </row>
    <row r="2062" spans="1:9" s="212" customFormat="1">
      <c r="A2062" s="69"/>
      <c r="B2062" s="69"/>
      <c r="C2062" s="69"/>
      <c r="D2062" s="69"/>
      <c r="E2062" s="69"/>
    </row>
    <row r="2063" spans="1:9" s="212" customFormat="1">
      <c r="A2063" s="120"/>
      <c r="B2063" s="73"/>
      <c r="C2063" s="73"/>
      <c r="D2063" s="73"/>
      <c r="E2063" s="73"/>
      <c r="F2063" s="73"/>
      <c r="G2063" s="73"/>
      <c r="H2063" s="73"/>
    </row>
    <row r="2064" spans="1:9" s="212" customFormat="1">
      <c r="A2064" s="220"/>
      <c r="B2064" s="141"/>
      <c r="C2064" s="141"/>
      <c r="D2064" s="141"/>
      <c r="E2064" s="141"/>
      <c r="F2064" s="141"/>
      <c r="G2064" s="141"/>
      <c r="H2064" s="73"/>
    </row>
    <row r="2065" spans="1:8" s="212" customFormat="1" ht="16.5">
      <c r="A2065" s="150"/>
      <c r="B2065" s="161"/>
      <c r="C2065" s="148"/>
      <c r="D2065" s="84"/>
      <c r="E2065" s="84"/>
      <c r="F2065" s="84"/>
      <c r="G2065" s="224"/>
      <c r="H2065" s="73"/>
    </row>
    <row r="2066" spans="1:8" s="212" customFormat="1" ht="16.5">
      <c r="A2066" s="150"/>
      <c r="B2066" s="161"/>
      <c r="C2066" s="148"/>
      <c r="D2066" s="84"/>
      <c r="E2066" s="84"/>
      <c r="F2066" s="84"/>
      <c r="G2066" s="224"/>
      <c r="H2066" s="73"/>
    </row>
    <row r="2067" spans="1:8" s="212" customFormat="1" ht="16.5">
      <c r="A2067" s="150"/>
      <c r="B2067" s="161"/>
      <c r="C2067" s="148"/>
      <c r="D2067" s="84"/>
      <c r="E2067" s="84"/>
      <c r="F2067" s="84"/>
      <c r="G2067" s="224"/>
      <c r="H2067" s="73"/>
    </row>
    <row r="2068" spans="1:8" s="212" customFormat="1" ht="16.5">
      <c r="A2068" s="150"/>
      <c r="B2068" s="161"/>
      <c r="C2068" s="148"/>
      <c r="D2068" s="84"/>
      <c r="E2068" s="84"/>
      <c r="F2068" s="84"/>
      <c r="G2068" s="224"/>
      <c r="H2068" s="73"/>
    </row>
    <row r="2069" spans="1:8" s="212" customFormat="1" ht="16.5">
      <c r="A2069" s="150"/>
      <c r="B2069" s="161"/>
      <c r="C2069" s="148"/>
      <c r="D2069" s="84"/>
      <c r="E2069" s="84"/>
      <c r="F2069" s="84"/>
      <c r="G2069" s="224"/>
      <c r="H2069" s="221"/>
    </row>
    <row r="2070" spans="1:8" s="212" customFormat="1">
      <c r="A2070" s="84"/>
      <c r="B2070" s="83"/>
      <c r="C2070" s="84"/>
      <c r="D2070" s="84"/>
      <c r="E2070" s="84"/>
      <c r="G2070" s="213"/>
      <c r="H2070" s="222"/>
    </row>
    <row r="2071" spans="1:8" s="212" customFormat="1">
      <c r="A2071" s="120"/>
      <c r="B2071" s="73"/>
      <c r="C2071" s="73"/>
      <c r="D2071" s="73"/>
      <c r="E2071" s="73"/>
      <c r="G2071" s="73"/>
      <c r="H2071" s="222"/>
    </row>
    <row r="2072" spans="1:8" s="212" customFormat="1">
      <c r="A2072" s="220"/>
      <c r="B2072" s="141"/>
      <c r="C2072" s="141"/>
      <c r="D2072" s="141"/>
      <c r="E2072" s="141"/>
      <c r="F2072" s="141"/>
      <c r="G2072" s="141"/>
      <c r="H2072" s="222"/>
    </row>
    <row r="2073" spans="1:8" s="212" customFormat="1">
      <c r="A2073" s="146"/>
      <c r="B2073" s="83"/>
      <c r="C2073" s="148"/>
      <c r="D2073" s="84"/>
      <c r="E2073" s="84"/>
      <c r="F2073" s="84"/>
      <c r="G2073" s="146"/>
      <c r="H2073" s="222"/>
    </row>
    <row r="2074" spans="1:8" s="212" customFormat="1">
      <c r="A2074" s="146"/>
      <c r="B2074" s="83"/>
      <c r="C2074" s="148"/>
      <c r="D2074" s="84"/>
      <c r="E2074" s="84"/>
      <c r="F2074" s="84"/>
      <c r="G2074" s="232"/>
      <c r="H2074" s="222"/>
    </row>
    <row r="2075" spans="1:8" s="212" customFormat="1">
      <c r="A2075" s="146"/>
      <c r="B2075" s="83"/>
      <c r="C2075" s="148"/>
      <c r="D2075" s="84"/>
      <c r="E2075" s="84"/>
      <c r="F2075" s="84"/>
      <c r="G2075" s="232"/>
      <c r="H2075" s="221"/>
    </row>
    <row r="2076" spans="1:8" s="212" customFormat="1">
      <c r="A2076" s="91"/>
      <c r="B2076" s="91"/>
      <c r="C2076" s="91"/>
      <c r="D2076" s="91"/>
      <c r="E2076" s="91"/>
      <c r="G2076" s="213"/>
      <c r="H2076" s="222"/>
    </row>
    <row r="2077" spans="1:8" s="212" customFormat="1">
      <c r="A2077" s="120"/>
      <c r="B2077" s="73"/>
      <c r="C2077" s="73"/>
      <c r="D2077" s="73"/>
      <c r="E2077" s="73"/>
      <c r="G2077" s="73"/>
      <c r="H2077" s="222"/>
    </row>
    <row r="2078" spans="1:8" s="212" customFormat="1">
      <c r="A2078" s="220"/>
      <c r="B2078" s="141"/>
      <c r="C2078" s="141"/>
      <c r="D2078" s="141"/>
      <c r="E2078" s="141"/>
      <c r="F2078" s="141"/>
      <c r="G2078" s="141"/>
      <c r="H2078" s="222"/>
    </row>
    <row r="2079" spans="1:8" s="212" customFormat="1">
      <c r="A2079" s="146"/>
      <c r="B2079" s="83"/>
      <c r="C2079" s="148"/>
      <c r="D2079" s="148"/>
      <c r="E2079" s="84"/>
      <c r="F2079" s="84"/>
      <c r="G2079" s="146"/>
      <c r="H2079" s="221"/>
    </row>
    <row r="2080" spans="1:8" s="212" customFormat="1">
      <c r="A2080" s="91"/>
      <c r="B2080" s="91"/>
      <c r="C2080" s="91"/>
      <c r="D2080" s="91"/>
      <c r="E2080" s="91"/>
      <c r="G2080" s="213"/>
      <c r="H2080" s="222"/>
    </row>
    <row r="2081" spans="1:9" s="212" customFormat="1">
      <c r="A2081" s="120"/>
      <c r="B2081" s="73"/>
      <c r="C2081" s="73"/>
      <c r="D2081" s="73"/>
      <c r="E2081" s="73"/>
      <c r="G2081" s="73"/>
      <c r="H2081" s="222"/>
    </row>
    <row r="2082" spans="1:9" s="212" customFormat="1">
      <c r="A2082" s="220"/>
      <c r="B2082" s="141"/>
      <c r="C2082" s="141"/>
      <c r="D2082" s="141"/>
      <c r="E2082" s="141"/>
      <c r="F2082" s="141"/>
      <c r="G2082" s="141"/>
      <c r="H2082" s="222"/>
    </row>
    <row r="2083" spans="1:9" s="212" customFormat="1">
      <c r="A2083" s="142"/>
      <c r="B2083" s="143"/>
      <c r="C2083" s="143"/>
      <c r="D2083" s="143"/>
      <c r="E2083" s="143"/>
      <c r="F2083" s="84"/>
      <c r="G2083" s="146"/>
      <c r="H2083" s="221"/>
    </row>
    <row r="2084" spans="1:9" s="212" customFormat="1">
      <c r="A2084" s="123"/>
      <c r="B2084" s="95"/>
      <c r="C2084" s="95"/>
      <c r="D2084" s="95"/>
      <c r="E2084" s="95"/>
      <c r="G2084" s="213"/>
      <c r="H2084" s="73"/>
    </row>
    <row r="2085" spans="1:9" s="212" customFormat="1">
      <c r="A2085" s="123"/>
      <c r="B2085" s="95"/>
      <c r="C2085" s="95"/>
      <c r="D2085" s="95"/>
      <c r="E2085" s="95"/>
      <c r="G2085" s="73"/>
      <c r="H2085" s="225"/>
    </row>
    <row r="2086" spans="1:9" s="212" customFormat="1">
      <c r="B2086" s="97"/>
      <c r="C2086" s="98"/>
      <c r="D2086" s="98"/>
      <c r="E2086" s="98"/>
      <c r="G2086" s="220"/>
    </row>
    <row r="2087" spans="1:9" s="212" customFormat="1">
      <c r="B2087" s="97"/>
      <c r="C2087" s="98"/>
      <c r="D2087" s="98"/>
      <c r="E2087" s="98"/>
      <c r="F2087" s="220"/>
      <c r="G2087" s="225"/>
      <c r="H2087" s="226"/>
    </row>
    <row r="2088" spans="1:9" s="212" customFormat="1">
      <c r="A2088" s="633"/>
      <c r="B2088" s="633"/>
      <c r="C2088" s="633"/>
      <c r="D2088" s="633"/>
      <c r="E2088" s="633"/>
      <c r="F2088" s="633"/>
      <c r="G2088" s="633"/>
    </row>
    <row r="2089" spans="1:9" s="212" customFormat="1">
      <c r="H2089" s="227"/>
      <c r="I2089" s="228"/>
    </row>
    <row r="2090" spans="1:9" s="212" customFormat="1">
      <c r="A2090" s="658"/>
      <c r="B2090" s="227"/>
      <c r="C2090" s="227"/>
      <c r="D2090" s="227"/>
      <c r="E2090" s="227"/>
      <c r="F2090" s="227"/>
      <c r="G2090" s="227"/>
      <c r="H2090" s="227"/>
      <c r="I2090" s="229"/>
    </row>
    <row r="2091" spans="1:9" s="212" customFormat="1">
      <c r="A2091" s="658"/>
      <c r="B2091" s="227"/>
      <c r="C2091" s="227"/>
      <c r="D2091" s="227"/>
      <c r="E2091" s="227"/>
      <c r="F2091" s="227"/>
      <c r="G2091" s="227"/>
    </row>
    <row r="2092" spans="1:9" s="212" customFormat="1">
      <c r="A2092" s="69"/>
      <c r="B2092" s="69"/>
      <c r="C2092" s="69"/>
      <c r="D2092" s="69"/>
      <c r="E2092" s="69"/>
    </row>
    <row r="2093" spans="1:9" s="212" customFormat="1">
      <c r="A2093" s="120"/>
      <c r="B2093" s="73"/>
      <c r="C2093" s="73"/>
      <c r="D2093" s="73"/>
      <c r="E2093" s="73"/>
      <c r="F2093" s="73"/>
      <c r="G2093" s="73"/>
      <c r="H2093" s="73"/>
    </row>
    <row r="2094" spans="1:9" s="212" customFormat="1">
      <c r="A2094" s="220"/>
      <c r="B2094" s="141"/>
      <c r="C2094" s="141"/>
      <c r="D2094" s="141"/>
      <c r="E2094" s="141"/>
      <c r="F2094" s="141"/>
      <c r="G2094" s="141"/>
      <c r="H2094" s="73"/>
    </row>
    <row r="2095" spans="1:9" s="212" customFormat="1">
      <c r="A2095" s="150"/>
      <c r="B2095" s="83"/>
      <c r="C2095" s="148"/>
      <c r="D2095" s="84"/>
      <c r="E2095" s="84"/>
      <c r="F2095" s="84"/>
      <c r="G2095" s="224"/>
      <c r="H2095" s="221"/>
    </row>
    <row r="2096" spans="1:9" s="212" customFormat="1">
      <c r="A2096" s="84"/>
      <c r="B2096" s="83"/>
      <c r="C2096" s="84"/>
      <c r="D2096" s="84"/>
      <c r="E2096" s="84"/>
      <c r="G2096" s="213"/>
      <c r="H2096" s="222"/>
    </row>
    <row r="2097" spans="1:8" s="212" customFormat="1">
      <c r="A2097" s="120"/>
      <c r="B2097" s="73"/>
      <c r="C2097" s="73"/>
      <c r="D2097" s="73"/>
      <c r="E2097" s="73"/>
      <c r="G2097" s="73"/>
      <c r="H2097" s="222"/>
    </row>
    <row r="2098" spans="1:8" s="212" customFormat="1">
      <c r="A2098" s="220"/>
      <c r="B2098" s="141"/>
      <c r="C2098" s="141"/>
      <c r="D2098" s="141"/>
      <c r="E2098" s="141"/>
      <c r="F2098" s="141"/>
      <c r="G2098" s="141"/>
      <c r="H2098" s="222"/>
    </row>
    <row r="2099" spans="1:8" s="212" customFormat="1">
      <c r="A2099" s="150"/>
      <c r="B2099" s="83"/>
      <c r="C2099" s="148"/>
      <c r="D2099" s="84"/>
      <c r="E2099" s="84"/>
      <c r="F2099" s="84"/>
      <c r="G2099" s="224"/>
      <c r="H2099" s="222"/>
    </row>
    <row r="2100" spans="1:8" s="212" customFormat="1">
      <c r="A2100" s="150"/>
      <c r="B2100" s="83"/>
      <c r="C2100" s="148"/>
      <c r="D2100" s="84"/>
      <c r="E2100" s="84"/>
      <c r="F2100" s="84"/>
      <c r="G2100" s="224"/>
      <c r="H2100" s="222"/>
    </row>
    <row r="2101" spans="1:8" s="212" customFormat="1">
      <c r="A2101" s="150"/>
      <c r="B2101" s="83"/>
      <c r="C2101" s="148"/>
      <c r="D2101" s="84"/>
      <c r="E2101" s="84"/>
      <c r="F2101" s="84"/>
      <c r="G2101" s="224"/>
      <c r="H2101" s="222"/>
    </row>
    <row r="2102" spans="1:8" s="212" customFormat="1">
      <c r="A2102" s="150"/>
      <c r="B2102" s="83"/>
      <c r="C2102" s="148"/>
      <c r="D2102" s="84"/>
      <c r="E2102" s="84"/>
      <c r="F2102" s="84"/>
      <c r="G2102" s="224"/>
      <c r="H2102" s="222"/>
    </row>
    <row r="2103" spans="1:8" s="212" customFormat="1">
      <c r="A2103" s="150"/>
      <c r="B2103" s="83"/>
      <c r="C2103" s="148"/>
      <c r="D2103" s="84"/>
      <c r="E2103" s="84"/>
      <c r="F2103" s="84"/>
      <c r="G2103" s="224"/>
      <c r="H2103" s="222"/>
    </row>
    <row r="2104" spans="1:8" s="212" customFormat="1">
      <c r="A2104" s="150"/>
      <c r="B2104" s="83"/>
      <c r="C2104" s="148"/>
      <c r="D2104" s="84"/>
      <c r="E2104" s="84"/>
      <c r="F2104" s="84"/>
      <c r="G2104" s="224"/>
      <c r="H2104" s="221"/>
    </row>
    <row r="2105" spans="1:8" s="212" customFormat="1">
      <c r="A2105" s="91"/>
      <c r="B2105" s="91"/>
      <c r="C2105" s="91"/>
      <c r="D2105" s="91"/>
      <c r="E2105" s="91"/>
      <c r="G2105" s="213"/>
      <c r="H2105" s="222"/>
    </row>
    <row r="2106" spans="1:8" s="212" customFormat="1">
      <c r="A2106" s="120"/>
      <c r="B2106" s="73"/>
      <c r="C2106" s="73"/>
      <c r="D2106" s="73"/>
      <c r="E2106" s="73"/>
      <c r="G2106" s="73"/>
      <c r="H2106" s="222"/>
    </row>
    <row r="2107" spans="1:8" s="212" customFormat="1">
      <c r="A2107" s="220"/>
      <c r="B2107" s="141"/>
      <c r="C2107" s="141"/>
      <c r="D2107" s="141"/>
      <c r="E2107" s="141"/>
      <c r="F2107" s="141"/>
      <c r="G2107" s="141"/>
      <c r="H2107" s="222"/>
    </row>
    <row r="2108" spans="1:8" s="212" customFormat="1">
      <c r="A2108" s="146"/>
      <c r="B2108" s="83"/>
      <c r="C2108" s="148"/>
      <c r="D2108" s="84"/>
      <c r="E2108" s="84"/>
      <c r="F2108" s="84"/>
      <c r="G2108" s="146"/>
      <c r="H2108" s="221"/>
    </row>
    <row r="2109" spans="1:8" s="212" customFormat="1">
      <c r="A2109" s="91"/>
      <c r="B2109" s="91"/>
      <c r="C2109" s="91"/>
      <c r="D2109" s="91"/>
      <c r="E2109" s="91"/>
      <c r="G2109" s="213"/>
      <c r="H2109" s="222"/>
    </row>
    <row r="2110" spans="1:8" s="212" customFormat="1">
      <c r="A2110" s="120"/>
      <c r="B2110" s="73"/>
      <c r="C2110" s="73"/>
      <c r="D2110" s="73"/>
      <c r="E2110" s="73"/>
      <c r="G2110" s="73"/>
      <c r="H2110" s="222"/>
    </row>
    <row r="2111" spans="1:8" s="212" customFormat="1">
      <c r="A2111" s="220"/>
      <c r="B2111" s="141"/>
      <c r="C2111" s="141"/>
      <c r="D2111" s="141"/>
      <c r="E2111" s="141"/>
      <c r="F2111" s="141"/>
      <c r="G2111" s="141"/>
      <c r="H2111" s="222"/>
    </row>
    <row r="2112" spans="1:8" s="212" customFormat="1">
      <c r="A2112" s="142"/>
      <c r="B2112" s="143"/>
      <c r="C2112" s="143"/>
      <c r="D2112" s="143"/>
      <c r="E2112" s="143"/>
      <c r="F2112" s="84"/>
      <c r="G2112" s="146"/>
      <c r="H2112" s="221"/>
    </row>
    <row r="2113" spans="1:9" s="212" customFormat="1">
      <c r="A2113" s="123"/>
      <c r="B2113" s="95"/>
      <c r="C2113" s="95"/>
      <c r="D2113" s="95"/>
      <c r="E2113" s="95"/>
      <c r="G2113" s="213"/>
      <c r="H2113" s="73"/>
    </row>
    <row r="2114" spans="1:9" s="212" customFormat="1">
      <c r="A2114" s="123"/>
      <c r="B2114" s="95"/>
      <c r="C2114" s="95"/>
      <c r="D2114" s="95"/>
      <c r="E2114" s="95"/>
      <c r="G2114" s="73"/>
      <c r="H2114" s="225"/>
    </row>
    <row r="2115" spans="1:9" s="212" customFormat="1">
      <c r="B2115" s="97"/>
      <c r="C2115" s="98"/>
      <c r="D2115" s="98"/>
      <c r="E2115" s="98"/>
      <c r="G2115" s="220"/>
    </row>
    <row r="2116" spans="1:9" s="212" customFormat="1">
      <c r="B2116" s="97"/>
      <c r="C2116" s="98"/>
      <c r="D2116" s="98"/>
      <c r="E2116" s="98"/>
      <c r="F2116" s="220"/>
      <c r="G2116" s="225"/>
      <c r="H2116" s="226"/>
    </row>
    <row r="2117" spans="1:9" s="212" customFormat="1">
      <c r="A2117" s="633"/>
      <c r="B2117" s="633"/>
      <c r="C2117" s="633"/>
      <c r="D2117" s="633"/>
      <c r="E2117" s="633"/>
      <c r="F2117" s="633"/>
      <c r="G2117" s="633"/>
    </row>
    <row r="2118" spans="1:9" s="212" customFormat="1">
      <c r="H2118" s="227"/>
      <c r="I2118" s="228"/>
    </row>
    <row r="2119" spans="1:9" s="212" customFormat="1">
      <c r="A2119" s="658"/>
      <c r="B2119" s="227"/>
      <c r="C2119" s="227"/>
      <c r="D2119" s="227"/>
      <c r="E2119" s="227"/>
      <c r="F2119" s="227"/>
      <c r="G2119" s="227"/>
      <c r="H2119" s="227"/>
      <c r="I2119" s="229"/>
    </row>
    <row r="2120" spans="1:9" s="212" customFormat="1">
      <c r="A2120" s="658"/>
      <c r="B2120" s="227"/>
      <c r="C2120" s="227"/>
      <c r="D2120" s="227"/>
      <c r="E2120" s="227"/>
      <c r="F2120" s="227"/>
      <c r="G2120" s="227"/>
    </row>
    <row r="2121" spans="1:9" s="212" customFormat="1">
      <c r="A2121" s="69"/>
      <c r="B2121" s="69"/>
      <c r="C2121" s="69"/>
      <c r="D2121" s="69"/>
      <c r="E2121" s="69"/>
    </row>
    <row r="2122" spans="1:9" s="212" customFormat="1">
      <c r="A2122" s="120"/>
      <c r="B2122" s="73"/>
      <c r="C2122" s="73"/>
      <c r="D2122" s="73"/>
      <c r="E2122" s="73"/>
      <c r="F2122" s="73"/>
      <c r="G2122" s="73"/>
      <c r="H2122" s="73"/>
    </row>
    <row r="2123" spans="1:9" s="212" customFormat="1">
      <c r="A2123" s="220"/>
      <c r="B2123" s="141"/>
      <c r="C2123" s="141"/>
      <c r="D2123" s="141"/>
      <c r="E2123" s="141"/>
      <c r="F2123" s="141"/>
      <c r="G2123" s="141"/>
      <c r="H2123" s="73"/>
    </row>
    <row r="2124" spans="1:9" s="212" customFormat="1">
      <c r="A2124" s="150"/>
      <c r="B2124" s="83"/>
      <c r="C2124" s="148"/>
      <c r="D2124" s="84"/>
      <c r="E2124" s="84"/>
      <c r="F2124" s="84"/>
      <c r="G2124" s="224"/>
      <c r="H2124" s="73"/>
    </row>
    <row r="2125" spans="1:9" s="212" customFormat="1">
      <c r="A2125" s="150"/>
      <c r="B2125" s="83"/>
      <c r="C2125" s="148"/>
      <c r="D2125" s="84"/>
      <c r="E2125" s="84"/>
      <c r="F2125" s="84"/>
      <c r="G2125" s="224"/>
      <c r="H2125" s="73"/>
    </row>
    <row r="2126" spans="1:9" s="212" customFormat="1">
      <c r="A2126" s="150"/>
      <c r="B2126" s="83"/>
      <c r="C2126" s="148"/>
      <c r="D2126" s="84"/>
      <c r="E2126" s="84"/>
      <c r="F2126" s="84"/>
      <c r="G2126" s="224"/>
      <c r="H2126" s="221"/>
    </row>
    <row r="2127" spans="1:9" s="212" customFormat="1">
      <c r="A2127" s="84"/>
      <c r="B2127" s="83"/>
      <c r="C2127" s="84"/>
      <c r="D2127" s="84"/>
      <c r="E2127" s="84"/>
      <c r="G2127" s="213"/>
      <c r="H2127" s="222"/>
    </row>
    <row r="2128" spans="1:9" s="212" customFormat="1">
      <c r="A2128" s="120"/>
      <c r="B2128" s="73"/>
      <c r="C2128" s="73"/>
      <c r="D2128" s="73"/>
      <c r="E2128" s="73"/>
      <c r="G2128" s="73"/>
      <c r="H2128" s="222"/>
    </row>
    <row r="2129" spans="1:8" s="212" customFormat="1">
      <c r="A2129" s="220"/>
      <c r="B2129" s="141"/>
      <c r="C2129" s="141"/>
      <c r="D2129" s="141"/>
      <c r="E2129" s="141"/>
      <c r="F2129" s="141"/>
      <c r="G2129" s="141"/>
      <c r="H2129" s="222"/>
    </row>
    <row r="2130" spans="1:8" s="212" customFormat="1">
      <c r="A2130" s="150"/>
      <c r="B2130" s="83"/>
      <c r="C2130" s="148"/>
      <c r="D2130" s="84"/>
      <c r="E2130" s="84"/>
      <c r="F2130" s="84"/>
      <c r="G2130" s="224"/>
      <c r="H2130" s="222"/>
    </row>
    <row r="2131" spans="1:8" s="212" customFormat="1">
      <c r="A2131" s="150"/>
      <c r="B2131" s="83"/>
      <c r="C2131" s="148"/>
      <c r="D2131" s="84"/>
      <c r="E2131" s="84"/>
      <c r="F2131" s="84"/>
      <c r="G2131" s="224"/>
      <c r="H2131" s="222"/>
    </row>
    <row r="2132" spans="1:8" s="212" customFormat="1">
      <c r="A2132" s="150"/>
      <c r="B2132" s="83"/>
      <c r="C2132" s="148"/>
      <c r="D2132" s="84"/>
      <c r="E2132" s="84"/>
      <c r="F2132" s="84"/>
      <c r="G2132" s="224"/>
      <c r="H2132" s="222"/>
    </row>
    <row r="2133" spans="1:8" s="212" customFormat="1">
      <c r="A2133" s="150"/>
      <c r="B2133" s="83"/>
      <c r="C2133" s="148"/>
      <c r="D2133" s="84"/>
      <c r="E2133" s="84"/>
      <c r="F2133" s="84"/>
      <c r="G2133" s="224"/>
      <c r="H2133" s="221"/>
    </row>
    <row r="2134" spans="1:8" s="212" customFormat="1">
      <c r="A2134" s="91"/>
      <c r="B2134" s="91"/>
      <c r="C2134" s="91"/>
      <c r="D2134" s="91"/>
      <c r="E2134" s="91"/>
      <c r="G2134" s="213"/>
      <c r="H2134" s="222"/>
    </row>
    <row r="2135" spans="1:8" s="212" customFormat="1">
      <c r="A2135" s="120"/>
      <c r="B2135" s="73"/>
      <c r="C2135" s="73"/>
      <c r="D2135" s="73"/>
      <c r="E2135" s="73"/>
      <c r="G2135" s="73"/>
      <c r="H2135" s="222"/>
    </row>
    <row r="2136" spans="1:8" s="212" customFormat="1">
      <c r="A2136" s="220"/>
      <c r="B2136" s="141"/>
      <c r="C2136" s="141"/>
      <c r="D2136" s="141"/>
      <c r="E2136" s="141"/>
      <c r="F2136" s="141"/>
      <c r="G2136" s="141"/>
      <c r="H2136" s="222"/>
    </row>
    <row r="2137" spans="1:8" s="212" customFormat="1">
      <c r="A2137" s="146"/>
      <c r="B2137" s="83"/>
      <c r="C2137" s="148"/>
      <c r="D2137" s="84"/>
      <c r="E2137" s="84"/>
      <c r="F2137" s="84"/>
      <c r="G2137" s="146"/>
      <c r="H2137" s="221"/>
    </row>
    <row r="2138" spans="1:8" s="212" customFormat="1">
      <c r="A2138" s="91"/>
      <c r="B2138" s="91"/>
      <c r="C2138" s="91"/>
      <c r="D2138" s="91"/>
      <c r="E2138" s="91"/>
      <c r="G2138" s="213"/>
      <c r="H2138" s="222"/>
    </row>
    <row r="2139" spans="1:8" s="212" customFormat="1">
      <c r="A2139" s="120"/>
      <c r="B2139" s="73"/>
      <c r="C2139" s="73"/>
      <c r="D2139" s="73"/>
      <c r="E2139" s="73"/>
      <c r="G2139" s="73"/>
      <c r="H2139" s="222"/>
    </row>
    <row r="2140" spans="1:8" s="212" customFormat="1">
      <c r="A2140" s="220"/>
      <c r="B2140" s="141"/>
      <c r="C2140" s="141"/>
      <c r="D2140" s="141"/>
      <c r="E2140" s="141"/>
      <c r="F2140" s="141"/>
      <c r="G2140" s="141"/>
      <c r="H2140" s="222"/>
    </row>
    <row r="2141" spans="1:8" s="212" customFormat="1">
      <c r="A2141" s="142"/>
      <c r="B2141" s="143"/>
      <c r="C2141" s="143"/>
      <c r="D2141" s="143"/>
      <c r="E2141" s="143"/>
      <c r="F2141" s="84"/>
      <c r="G2141" s="146"/>
      <c r="H2141" s="221"/>
    </row>
    <row r="2142" spans="1:8" s="212" customFormat="1">
      <c r="A2142" s="123"/>
      <c r="B2142" s="95"/>
      <c r="C2142" s="95"/>
      <c r="D2142" s="95"/>
      <c r="E2142" s="95"/>
      <c r="G2142" s="213"/>
      <c r="H2142" s="73"/>
    </row>
    <row r="2143" spans="1:8" s="212" customFormat="1">
      <c r="A2143" s="123"/>
      <c r="B2143" s="95"/>
      <c r="C2143" s="95"/>
      <c r="D2143" s="95"/>
      <c r="E2143" s="95"/>
      <c r="G2143" s="73"/>
      <c r="H2143" s="225"/>
    </row>
    <row r="2144" spans="1:8" s="212" customFormat="1">
      <c r="B2144" s="97"/>
      <c r="C2144" s="98"/>
      <c r="D2144" s="98"/>
      <c r="E2144" s="98"/>
      <c r="G2144" s="220"/>
    </row>
    <row r="2145" spans="1:9" s="212" customFormat="1">
      <c r="B2145" s="97"/>
      <c r="C2145" s="98"/>
      <c r="D2145" s="98"/>
      <c r="E2145" s="98"/>
      <c r="F2145" s="220"/>
      <c r="G2145" s="225"/>
      <c r="H2145" s="226"/>
    </row>
    <row r="2146" spans="1:9" s="212" customFormat="1">
      <c r="A2146" s="633"/>
      <c r="B2146" s="633"/>
      <c r="C2146" s="633"/>
      <c r="D2146" s="633"/>
      <c r="E2146" s="633"/>
      <c r="F2146" s="633"/>
      <c r="G2146" s="633"/>
    </row>
    <row r="2147" spans="1:9" s="212" customFormat="1">
      <c r="H2147" s="227"/>
      <c r="I2147" s="228"/>
    </row>
    <row r="2148" spans="1:9" s="212" customFormat="1">
      <c r="A2148" s="658"/>
      <c r="B2148" s="227"/>
      <c r="C2148" s="227"/>
      <c r="D2148" s="227"/>
      <c r="E2148" s="227"/>
      <c r="F2148" s="227"/>
      <c r="G2148" s="227"/>
      <c r="H2148" s="227"/>
      <c r="I2148" s="229"/>
    </row>
    <row r="2149" spans="1:9" s="212" customFormat="1">
      <c r="A2149" s="658"/>
      <c r="B2149" s="227"/>
      <c r="C2149" s="227"/>
      <c r="D2149" s="227"/>
      <c r="E2149" s="227"/>
      <c r="F2149" s="227"/>
      <c r="G2149" s="227"/>
    </row>
    <row r="2150" spans="1:9" s="212" customFormat="1">
      <c r="A2150" s="69"/>
      <c r="B2150" s="69"/>
      <c r="C2150" s="69"/>
      <c r="D2150" s="69"/>
      <c r="E2150" s="69"/>
    </row>
    <row r="2151" spans="1:9" s="212" customFormat="1">
      <c r="A2151" s="120"/>
      <c r="B2151" s="73"/>
      <c r="C2151" s="73"/>
      <c r="D2151" s="73"/>
      <c r="E2151" s="73"/>
      <c r="F2151" s="73"/>
      <c r="G2151" s="73"/>
      <c r="H2151" s="73"/>
    </row>
    <row r="2152" spans="1:9" s="212" customFormat="1">
      <c r="A2152" s="220"/>
      <c r="B2152" s="141"/>
      <c r="C2152" s="141"/>
      <c r="D2152" s="141"/>
      <c r="E2152" s="141"/>
      <c r="F2152" s="141"/>
      <c r="G2152" s="141"/>
      <c r="H2152" s="73"/>
    </row>
    <row r="2153" spans="1:9" s="212" customFormat="1">
      <c r="A2153" s="150"/>
      <c r="B2153" s="83"/>
      <c r="C2153" s="148"/>
      <c r="D2153" s="84"/>
      <c r="E2153" s="84"/>
      <c r="F2153" s="84"/>
      <c r="G2153" s="224"/>
      <c r="H2153" s="221"/>
    </row>
    <row r="2154" spans="1:9" s="212" customFormat="1">
      <c r="A2154" s="84"/>
      <c r="B2154" s="83"/>
      <c r="C2154" s="84"/>
      <c r="D2154" s="84"/>
      <c r="E2154" s="84"/>
      <c r="G2154" s="213"/>
      <c r="H2154" s="222"/>
    </row>
    <row r="2155" spans="1:9" s="212" customFormat="1">
      <c r="A2155" s="120"/>
      <c r="B2155" s="73"/>
      <c r="C2155" s="73"/>
      <c r="D2155" s="73"/>
      <c r="E2155" s="73"/>
      <c r="G2155" s="73"/>
      <c r="H2155" s="222"/>
    </row>
    <row r="2156" spans="1:9" s="212" customFormat="1">
      <c r="A2156" s="220"/>
      <c r="B2156" s="141"/>
      <c r="C2156" s="141"/>
      <c r="D2156" s="141"/>
      <c r="E2156" s="141"/>
      <c r="F2156" s="141"/>
      <c r="G2156" s="141"/>
      <c r="H2156" s="222"/>
    </row>
    <row r="2157" spans="1:9" s="212" customFormat="1">
      <c r="A2157" s="150"/>
      <c r="B2157" s="83"/>
      <c r="C2157" s="148"/>
      <c r="D2157" s="84"/>
      <c r="E2157" s="84"/>
      <c r="F2157" s="84"/>
      <c r="G2157" s="224"/>
      <c r="H2157" s="222"/>
    </row>
    <row r="2158" spans="1:9" s="212" customFormat="1">
      <c r="A2158" s="150"/>
      <c r="B2158" s="83"/>
      <c r="C2158" s="148"/>
      <c r="D2158" s="84"/>
      <c r="E2158" s="84"/>
      <c r="F2158" s="84"/>
      <c r="G2158" s="224"/>
      <c r="H2158" s="222"/>
    </row>
    <row r="2159" spans="1:9" s="212" customFormat="1">
      <c r="A2159" s="150"/>
      <c r="B2159" s="83"/>
      <c r="C2159" s="148"/>
      <c r="D2159" s="84"/>
      <c r="E2159" s="84"/>
      <c r="F2159" s="84"/>
      <c r="G2159" s="224"/>
      <c r="H2159" s="222"/>
    </row>
    <row r="2160" spans="1:9" s="212" customFormat="1">
      <c r="A2160" s="150"/>
      <c r="B2160" s="83"/>
      <c r="C2160" s="148"/>
      <c r="D2160" s="84"/>
      <c r="E2160" s="84"/>
      <c r="F2160" s="84"/>
      <c r="G2160" s="224"/>
      <c r="H2160" s="221"/>
    </row>
    <row r="2161" spans="1:9" s="212" customFormat="1">
      <c r="A2161" s="91"/>
      <c r="B2161" s="91"/>
      <c r="C2161" s="91"/>
      <c r="D2161" s="91"/>
      <c r="E2161" s="91"/>
      <c r="G2161" s="213"/>
      <c r="H2161" s="222"/>
    </row>
    <row r="2162" spans="1:9" s="212" customFormat="1">
      <c r="A2162" s="120"/>
      <c r="B2162" s="73"/>
      <c r="C2162" s="73"/>
      <c r="D2162" s="73"/>
      <c r="E2162" s="73"/>
      <c r="G2162" s="73"/>
      <c r="H2162" s="222"/>
    </row>
    <row r="2163" spans="1:9" s="212" customFormat="1">
      <c r="A2163" s="220"/>
      <c r="B2163" s="141"/>
      <c r="C2163" s="141"/>
      <c r="D2163" s="141"/>
      <c r="E2163" s="141"/>
      <c r="F2163" s="141"/>
      <c r="G2163" s="141"/>
      <c r="H2163" s="222"/>
    </row>
    <row r="2164" spans="1:9" s="212" customFormat="1">
      <c r="A2164" s="146"/>
      <c r="B2164" s="83"/>
      <c r="C2164" s="148"/>
      <c r="D2164" s="84"/>
      <c r="E2164" s="84"/>
      <c r="F2164" s="84"/>
      <c r="G2164" s="146"/>
      <c r="H2164" s="221"/>
    </row>
    <row r="2165" spans="1:9" s="212" customFormat="1">
      <c r="A2165" s="91"/>
      <c r="B2165" s="91"/>
      <c r="C2165" s="91"/>
      <c r="D2165" s="91"/>
      <c r="E2165" s="91"/>
      <c r="G2165" s="213"/>
      <c r="H2165" s="222"/>
    </row>
    <row r="2166" spans="1:9" s="212" customFormat="1">
      <c r="A2166" s="120"/>
      <c r="B2166" s="73"/>
      <c r="C2166" s="73"/>
      <c r="D2166" s="73"/>
      <c r="E2166" s="73"/>
      <c r="G2166" s="73"/>
      <c r="H2166" s="222"/>
    </row>
    <row r="2167" spans="1:9" s="212" customFormat="1">
      <c r="A2167" s="220"/>
      <c r="B2167" s="141"/>
      <c r="C2167" s="141"/>
      <c r="D2167" s="141"/>
      <c r="E2167" s="141"/>
      <c r="F2167" s="141"/>
      <c r="G2167" s="141"/>
      <c r="H2167" s="222"/>
    </row>
    <row r="2168" spans="1:9" s="212" customFormat="1">
      <c r="A2168" s="142"/>
      <c r="B2168" s="143"/>
      <c r="C2168" s="143"/>
      <c r="D2168" s="143"/>
      <c r="E2168" s="143"/>
      <c r="F2168" s="84"/>
      <c r="G2168" s="146"/>
      <c r="H2168" s="221"/>
    </row>
    <row r="2169" spans="1:9" s="212" customFormat="1">
      <c r="A2169" s="123"/>
      <c r="B2169" s="95"/>
      <c r="C2169" s="95"/>
      <c r="D2169" s="95"/>
      <c r="E2169" s="95"/>
      <c r="G2169" s="213"/>
      <c r="H2169" s="73"/>
    </row>
    <row r="2170" spans="1:9" s="212" customFormat="1">
      <c r="A2170" s="123"/>
      <c r="B2170" s="95"/>
      <c r="C2170" s="95"/>
      <c r="D2170" s="95"/>
      <c r="E2170" s="95"/>
      <c r="G2170" s="73"/>
      <c r="H2170" s="225"/>
    </row>
    <row r="2171" spans="1:9" s="212" customFormat="1">
      <c r="B2171" s="97"/>
      <c r="C2171" s="98"/>
      <c r="D2171" s="98"/>
      <c r="E2171" s="98"/>
      <c r="G2171" s="220"/>
    </row>
    <row r="2172" spans="1:9" s="212" customFormat="1">
      <c r="B2172" s="97"/>
      <c r="C2172" s="98"/>
      <c r="D2172" s="98"/>
      <c r="E2172" s="98"/>
      <c r="F2172" s="220"/>
      <c r="G2172" s="225"/>
      <c r="H2172" s="226"/>
    </row>
    <row r="2173" spans="1:9" s="212" customFormat="1">
      <c r="A2173" s="633"/>
      <c r="B2173" s="633"/>
      <c r="C2173" s="633"/>
      <c r="D2173" s="633"/>
      <c r="E2173" s="633"/>
      <c r="F2173" s="633"/>
      <c r="G2173" s="633"/>
    </row>
    <row r="2174" spans="1:9" s="212" customFormat="1">
      <c r="H2174" s="227"/>
      <c r="I2174" s="228"/>
    </row>
    <row r="2175" spans="1:9" s="212" customFormat="1">
      <c r="A2175" s="658"/>
      <c r="B2175" s="227"/>
      <c r="C2175" s="227"/>
      <c r="D2175" s="227"/>
      <c r="E2175" s="227"/>
      <c r="F2175" s="227"/>
      <c r="G2175" s="227"/>
      <c r="H2175" s="227"/>
      <c r="I2175" s="229"/>
    </row>
    <row r="2176" spans="1:9" s="212" customFormat="1">
      <c r="A2176" s="658"/>
      <c r="B2176" s="227"/>
      <c r="C2176" s="227"/>
      <c r="D2176" s="227"/>
      <c r="E2176" s="227"/>
      <c r="F2176" s="227"/>
      <c r="G2176" s="227"/>
    </row>
    <row r="2177" spans="1:8" s="212" customFormat="1">
      <c r="A2177" s="69"/>
      <c r="B2177" s="69"/>
      <c r="C2177" s="69"/>
      <c r="D2177" s="69"/>
      <c r="E2177" s="69"/>
    </row>
    <row r="2178" spans="1:8" s="212" customFormat="1">
      <c r="A2178" s="120"/>
      <c r="B2178" s="73"/>
      <c r="C2178" s="73"/>
      <c r="D2178" s="73"/>
      <c r="E2178" s="73"/>
      <c r="F2178" s="73"/>
      <c r="G2178" s="73"/>
      <c r="H2178" s="73"/>
    </row>
    <row r="2179" spans="1:8" s="212" customFormat="1">
      <c r="A2179" s="220"/>
      <c r="B2179" s="141"/>
      <c r="C2179" s="141"/>
      <c r="D2179" s="141"/>
      <c r="E2179" s="141"/>
      <c r="F2179" s="141"/>
      <c r="G2179" s="141"/>
      <c r="H2179" s="73"/>
    </row>
    <row r="2180" spans="1:8" s="212" customFormat="1">
      <c r="A2180" s="150"/>
      <c r="B2180" s="83"/>
      <c r="C2180" s="148"/>
      <c r="D2180" s="84"/>
      <c r="E2180" s="84"/>
      <c r="F2180" s="84"/>
      <c r="G2180" s="224"/>
      <c r="H2180" s="73"/>
    </row>
    <row r="2181" spans="1:8" s="212" customFormat="1">
      <c r="A2181" s="150"/>
      <c r="B2181" s="83"/>
      <c r="C2181" s="148"/>
      <c r="D2181" s="84"/>
      <c r="E2181" s="84"/>
      <c r="F2181" s="84"/>
      <c r="G2181" s="224"/>
      <c r="H2181" s="221"/>
    </row>
    <row r="2182" spans="1:8" s="212" customFormat="1">
      <c r="A2182" s="84"/>
      <c r="B2182" s="83"/>
      <c r="C2182" s="84"/>
      <c r="D2182" s="84"/>
      <c r="E2182" s="84"/>
      <c r="G2182" s="213"/>
      <c r="H2182" s="222"/>
    </row>
    <row r="2183" spans="1:8" s="212" customFormat="1">
      <c r="A2183" s="120"/>
      <c r="B2183" s="73"/>
      <c r="C2183" s="73"/>
      <c r="D2183" s="73"/>
      <c r="E2183" s="73"/>
      <c r="G2183" s="73"/>
      <c r="H2183" s="222"/>
    </row>
    <row r="2184" spans="1:8" s="212" customFormat="1">
      <c r="A2184" s="220"/>
      <c r="B2184" s="141"/>
      <c r="C2184" s="141"/>
      <c r="D2184" s="141"/>
      <c r="E2184" s="141"/>
      <c r="F2184" s="141"/>
      <c r="G2184" s="141"/>
      <c r="H2184" s="222"/>
    </row>
    <row r="2185" spans="1:8" s="212" customFormat="1">
      <c r="A2185" s="150"/>
      <c r="B2185" s="83"/>
      <c r="C2185" s="148"/>
      <c r="D2185" s="84"/>
      <c r="E2185" s="84"/>
      <c r="F2185" s="84"/>
      <c r="G2185" s="224"/>
      <c r="H2185" s="222"/>
    </row>
    <row r="2186" spans="1:8" s="212" customFormat="1">
      <c r="A2186" s="150"/>
      <c r="B2186" s="83"/>
      <c r="C2186" s="148"/>
      <c r="D2186" s="84"/>
      <c r="E2186" s="84"/>
      <c r="F2186" s="84"/>
      <c r="G2186" s="224"/>
      <c r="H2186" s="222"/>
    </row>
    <row r="2187" spans="1:8" s="212" customFormat="1">
      <c r="A2187" s="150"/>
      <c r="B2187" s="83"/>
      <c r="C2187" s="148"/>
      <c r="D2187" s="84"/>
      <c r="E2187" s="84"/>
      <c r="F2187" s="84"/>
      <c r="G2187" s="224"/>
      <c r="H2187" s="221"/>
    </row>
    <row r="2188" spans="1:8" s="212" customFormat="1">
      <c r="A2188" s="91"/>
      <c r="B2188" s="91"/>
      <c r="C2188" s="91"/>
      <c r="D2188" s="91"/>
      <c r="E2188" s="91"/>
      <c r="G2188" s="213"/>
      <c r="H2188" s="222"/>
    </row>
    <row r="2189" spans="1:8" s="212" customFormat="1">
      <c r="A2189" s="120"/>
      <c r="B2189" s="73"/>
      <c r="C2189" s="73"/>
      <c r="D2189" s="73"/>
      <c r="E2189" s="73"/>
      <c r="G2189" s="73"/>
      <c r="H2189" s="222"/>
    </row>
    <row r="2190" spans="1:8" s="212" customFormat="1">
      <c r="A2190" s="220"/>
      <c r="B2190" s="141"/>
      <c r="C2190" s="141"/>
      <c r="D2190" s="141"/>
      <c r="E2190" s="141"/>
      <c r="F2190" s="141"/>
      <c r="G2190" s="141"/>
      <c r="H2190" s="222"/>
    </row>
    <row r="2191" spans="1:8" s="212" customFormat="1">
      <c r="A2191" s="146"/>
      <c r="B2191" s="83"/>
      <c r="C2191" s="148"/>
      <c r="D2191" s="84"/>
      <c r="E2191" s="84"/>
      <c r="F2191" s="84"/>
      <c r="G2191" s="146"/>
      <c r="H2191" s="221"/>
    </row>
    <row r="2192" spans="1:8" s="212" customFormat="1">
      <c r="A2192" s="91"/>
      <c r="B2192" s="91"/>
      <c r="C2192" s="91"/>
      <c r="D2192" s="91"/>
      <c r="E2192" s="91"/>
      <c r="G2192" s="213"/>
      <c r="H2192" s="222"/>
    </row>
    <row r="2193" spans="1:9" s="212" customFormat="1">
      <c r="A2193" s="120"/>
      <c r="B2193" s="73"/>
      <c r="C2193" s="73"/>
      <c r="D2193" s="73"/>
      <c r="E2193" s="73"/>
      <c r="G2193" s="73"/>
      <c r="H2193" s="222"/>
    </row>
    <row r="2194" spans="1:9" s="212" customFormat="1">
      <c r="A2194" s="220"/>
      <c r="B2194" s="141"/>
      <c r="C2194" s="141"/>
      <c r="D2194" s="141"/>
      <c r="E2194" s="141"/>
      <c r="F2194" s="141"/>
      <c r="G2194" s="141"/>
      <c r="H2194" s="222"/>
    </row>
    <row r="2195" spans="1:9" s="212" customFormat="1">
      <c r="A2195" s="142"/>
      <c r="B2195" s="143"/>
      <c r="C2195" s="143"/>
      <c r="D2195" s="143"/>
      <c r="E2195" s="143"/>
      <c r="F2195" s="84"/>
      <c r="G2195" s="146"/>
      <c r="H2195" s="221"/>
    </row>
    <row r="2196" spans="1:9" s="212" customFormat="1">
      <c r="A2196" s="123"/>
      <c r="B2196" s="95"/>
      <c r="C2196" s="95"/>
      <c r="D2196" s="95"/>
      <c r="E2196" s="95"/>
      <c r="G2196" s="213"/>
      <c r="H2196" s="73"/>
    </row>
    <row r="2197" spans="1:9" s="212" customFormat="1">
      <c r="A2197" s="123"/>
      <c r="B2197" s="95"/>
      <c r="C2197" s="95"/>
      <c r="D2197" s="95"/>
      <c r="E2197" s="95"/>
      <c r="G2197" s="73"/>
      <c r="H2197" s="225"/>
    </row>
    <row r="2198" spans="1:9" s="212" customFormat="1">
      <c r="B2198" s="97"/>
      <c r="C2198" s="98"/>
      <c r="D2198" s="98"/>
      <c r="E2198" s="98"/>
      <c r="G2198" s="220"/>
    </row>
    <row r="2199" spans="1:9" s="212" customFormat="1">
      <c r="B2199" s="97"/>
      <c r="C2199" s="98"/>
      <c r="D2199" s="98"/>
      <c r="E2199" s="98"/>
      <c r="F2199" s="220"/>
      <c r="G2199" s="225"/>
      <c r="H2199" s="226"/>
    </row>
    <row r="2200" spans="1:9" s="212" customFormat="1">
      <c r="A2200" s="633"/>
      <c r="B2200" s="633"/>
      <c r="C2200" s="633"/>
      <c r="D2200" s="633"/>
      <c r="E2200" s="633"/>
      <c r="F2200" s="633"/>
      <c r="G2200" s="633"/>
    </row>
    <row r="2201" spans="1:9" s="212" customFormat="1">
      <c r="H2201" s="227"/>
      <c r="I2201" s="228"/>
    </row>
    <row r="2202" spans="1:9" s="212" customFormat="1">
      <c r="A2202" s="658"/>
      <c r="B2202" s="227"/>
      <c r="C2202" s="227"/>
      <c r="D2202" s="227"/>
      <c r="E2202" s="227"/>
      <c r="F2202" s="227"/>
      <c r="G2202" s="227"/>
      <c r="H2202" s="227"/>
      <c r="I2202" s="229"/>
    </row>
    <row r="2203" spans="1:9" s="212" customFormat="1">
      <c r="A2203" s="658"/>
      <c r="B2203" s="227"/>
      <c r="C2203" s="227"/>
      <c r="D2203" s="227"/>
      <c r="E2203" s="227"/>
      <c r="F2203" s="227"/>
      <c r="G2203" s="227"/>
    </row>
    <row r="2204" spans="1:9" s="212" customFormat="1">
      <c r="A2204" s="69"/>
      <c r="B2204" s="69"/>
      <c r="C2204" s="69"/>
      <c r="D2204" s="69"/>
      <c r="E2204" s="69"/>
    </row>
    <row r="2205" spans="1:9" s="212" customFormat="1">
      <c r="A2205" s="120"/>
      <c r="B2205" s="73"/>
      <c r="C2205" s="73"/>
      <c r="D2205" s="73"/>
      <c r="E2205" s="73"/>
      <c r="F2205" s="73"/>
      <c r="G2205" s="73"/>
      <c r="H2205" s="73"/>
    </row>
    <row r="2206" spans="1:9" s="212" customFormat="1">
      <c r="A2206" s="220"/>
      <c r="B2206" s="141"/>
      <c r="C2206" s="141"/>
      <c r="D2206" s="141"/>
      <c r="E2206" s="141"/>
      <c r="F2206" s="141"/>
      <c r="G2206" s="141"/>
      <c r="H2206" s="73"/>
    </row>
    <row r="2207" spans="1:9" s="212" customFormat="1">
      <c r="A2207" s="150"/>
      <c r="B2207" s="83"/>
      <c r="C2207" s="148"/>
      <c r="D2207" s="84"/>
      <c r="E2207" s="84"/>
      <c r="F2207" s="84"/>
      <c r="G2207" s="224"/>
      <c r="H2207" s="221"/>
    </row>
    <row r="2208" spans="1:9" s="212" customFormat="1">
      <c r="A2208" s="84"/>
      <c r="B2208" s="83"/>
      <c r="C2208" s="84"/>
      <c r="D2208" s="84"/>
      <c r="E2208" s="84"/>
      <c r="G2208" s="213"/>
      <c r="H2208" s="222"/>
    </row>
    <row r="2209" spans="1:8" s="212" customFormat="1">
      <c r="A2209" s="120"/>
      <c r="B2209" s="73"/>
      <c r="C2209" s="73"/>
      <c r="D2209" s="73"/>
      <c r="E2209" s="73"/>
      <c r="G2209" s="73"/>
      <c r="H2209" s="222"/>
    </row>
    <row r="2210" spans="1:8" s="212" customFormat="1">
      <c r="A2210" s="220"/>
      <c r="B2210" s="141"/>
      <c r="C2210" s="141"/>
      <c r="D2210" s="141"/>
      <c r="E2210" s="141"/>
      <c r="F2210" s="141"/>
      <c r="G2210" s="141"/>
      <c r="H2210" s="222"/>
    </row>
    <row r="2211" spans="1:8" s="212" customFormat="1">
      <c r="A2211" s="150"/>
      <c r="B2211" s="83"/>
      <c r="C2211" s="148"/>
      <c r="D2211" s="84"/>
      <c r="E2211" s="84"/>
      <c r="F2211" s="84"/>
      <c r="G2211" s="224"/>
      <c r="H2211" s="222"/>
    </row>
    <row r="2212" spans="1:8" s="212" customFormat="1">
      <c r="A2212" s="150"/>
      <c r="B2212" s="83"/>
      <c r="C2212" s="148"/>
      <c r="D2212" s="84"/>
      <c r="E2212" s="84"/>
      <c r="F2212" s="84"/>
      <c r="G2212" s="224"/>
      <c r="H2212" s="222"/>
    </row>
    <row r="2213" spans="1:8" s="212" customFormat="1">
      <c r="A2213" s="150"/>
      <c r="B2213" s="83"/>
      <c r="C2213" s="148"/>
      <c r="D2213" s="84"/>
      <c r="E2213" s="84"/>
      <c r="F2213" s="84"/>
      <c r="G2213" s="224"/>
      <c r="H2213" s="222"/>
    </row>
    <row r="2214" spans="1:8" s="212" customFormat="1">
      <c r="A2214" s="150"/>
      <c r="B2214" s="83"/>
      <c r="C2214" s="148"/>
      <c r="D2214" s="84"/>
      <c r="E2214" s="84"/>
      <c r="F2214" s="84"/>
      <c r="G2214" s="224"/>
      <c r="H2214" s="222"/>
    </row>
    <row r="2215" spans="1:8" s="212" customFormat="1">
      <c r="A2215" s="150"/>
      <c r="B2215" s="83"/>
      <c r="C2215" s="148"/>
      <c r="D2215" s="84"/>
      <c r="E2215" s="84"/>
      <c r="F2215" s="84"/>
      <c r="G2215" s="224"/>
      <c r="H2215" s="221"/>
    </row>
    <row r="2216" spans="1:8" s="212" customFormat="1">
      <c r="A2216" s="91"/>
      <c r="B2216" s="91"/>
      <c r="C2216" s="91"/>
      <c r="D2216" s="91"/>
      <c r="E2216" s="91"/>
      <c r="G2216" s="213"/>
      <c r="H2216" s="222"/>
    </row>
    <row r="2217" spans="1:8" s="212" customFormat="1">
      <c r="A2217" s="120"/>
      <c r="B2217" s="73"/>
      <c r="C2217" s="73"/>
      <c r="D2217" s="73"/>
      <c r="E2217" s="73"/>
      <c r="G2217" s="73"/>
      <c r="H2217" s="222"/>
    </row>
    <row r="2218" spans="1:8" s="212" customFormat="1">
      <c r="A2218" s="220"/>
      <c r="B2218" s="141"/>
      <c r="C2218" s="141"/>
      <c r="D2218" s="141"/>
      <c r="E2218" s="141"/>
      <c r="F2218" s="141"/>
      <c r="G2218" s="141"/>
      <c r="H2218" s="222"/>
    </row>
    <row r="2219" spans="1:8" s="212" customFormat="1">
      <c r="A2219" s="146"/>
      <c r="B2219" s="83"/>
      <c r="C2219" s="148"/>
      <c r="D2219" s="84"/>
      <c r="E2219" s="84"/>
      <c r="F2219" s="84"/>
      <c r="G2219" s="146"/>
      <c r="H2219" s="221"/>
    </row>
    <row r="2220" spans="1:8" s="212" customFormat="1">
      <c r="A2220" s="91"/>
      <c r="B2220" s="91"/>
      <c r="C2220" s="91"/>
      <c r="D2220" s="91"/>
      <c r="E2220" s="91"/>
      <c r="G2220" s="213"/>
      <c r="H2220" s="222"/>
    </row>
    <row r="2221" spans="1:8" s="212" customFormat="1">
      <c r="A2221" s="120"/>
      <c r="B2221" s="73"/>
      <c r="C2221" s="73"/>
      <c r="D2221" s="73"/>
      <c r="E2221" s="73"/>
      <c r="G2221" s="73"/>
      <c r="H2221" s="222"/>
    </row>
    <row r="2222" spans="1:8" s="212" customFormat="1">
      <c r="A2222" s="220"/>
      <c r="B2222" s="141"/>
      <c r="C2222" s="141"/>
      <c r="D2222" s="141"/>
      <c r="E2222" s="141"/>
      <c r="F2222" s="141"/>
      <c r="G2222" s="141"/>
      <c r="H2222" s="222"/>
    </row>
    <row r="2223" spans="1:8" s="212" customFormat="1">
      <c r="A2223" s="142"/>
      <c r="B2223" s="143"/>
      <c r="C2223" s="143"/>
      <c r="D2223" s="143"/>
      <c r="E2223" s="143"/>
      <c r="F2223" s="84"/>
      <c r="G2223" s="146"/>
      <c r="H2223" s="221"/>
    </row>
    <row r="2224" spans="1:8" s="212" customFormat="1">
      <c r="A2224" s="123"/>
      <c r="B2224" s="95"/>
      <c r="C2224" s="95"/>
      <c r="D2224" s="95"/>
      <c r="E2224" s="95"/>
      <c r="G2224" s="213"/>
      <c r="H2224" s="73"/>
    </row>
    <row r="2225" spans="1:9" s="212" customFormat="1">
      <c r="A2225" s="123"/>
      <c r="B2225" s="95"/>
      <c r="C2225" s="95"/>
      <c r="D2225" s="95"/>
      <c r="E2225" s="95"/>
      <c r="G2225" s="73"/>
      <c r="H2225" s="225"/>
    </row>
    <row r="2226" spans="1:9" s="212" customFormat="1">
      <c r="B2226" s="97"/>
      <c r="C2226" s="98"/>
      <c r="D2226" s="98"/>
      <c r="E2226" s="98"/>
      <c r="G2226" s="220"/>
    </row>
    <row r="2227" spans="1:9" s="212" customFormat="1">
      <c r="B2227" s="97"/>
      <c r="C2227" s="98"/>
      <c r="D2227" s="98"/>
      <c r="E2227" s="98"/>
      <c r="F2227" s="220"/>
      <c r="G2227" s="225"/>
      <c r="H2227" s="226"/>
    </row>
    <row r="2228" spans="1:9" s="212" customFormat="1">
      <c r="A2228" s="633"/>
      <c r="B2228" s="633"/>
      <c r="C2228" s="633"/>
      <c r="D2228" s="633"/>
      <c r="E2228" s="633"/>
      <c r="F2228" s="633"/>
      <c r="G2228" s="633"/>
    </row>
    <row r="2229" spans="1:9" s="212" customFormat="1">
      <c r="H2229" s="227"/>
      <c r="I2229" s="228"/>
    </row>
    <row r="2230" spans="1:9" s="212" customFormat="1">
      <c r="A2230" s="658"/>
      <c r="B2230" s="227"/>
      <c r="C2230" s="227"/>
      <c r="D2230" s="227"/>
      <c r="E2230" s="227"/>
      <c r="F2230" s="227"/>
      <c r="G2230" s="227"/>
      <c r="H2230" s="227"/>
      <c r="I2230" s="229"/>
    </row>
    <row r="2231" spans="1:9" s="212" customFormat="1">
      <c r="A2231" s="658"/>
      <c r="B2231" s="227"/>
      <c r="C2231" s="227"/>
      <c r="D2231" s="227"/>
      <c r="E2231" s="227"/>
      <c r="F2231" s="227"/>
      <c r="G2231" s="227"/>
    </row>
    <row r="2232" spans="1:9" s="212" customFormat="1">
      <c r="A2232" s="69"/>
      <c r="B2232" s="69"/>
      <c r="C2232" s="69"/>
      <c r="D2232" s="69"/>
      <c r="E2232" s="69"/>
    </row>
    <row r="2233" spans="1:9" s="212" customFormat="1">
      <c r="A2233" s="120"/>
      <c r="B2233" s="73"/>
      <c r="C2233" s="73"/>
      <c r="D2233" s="73"/>
      <c r="E2233" s="73"/>
      <c r="F2233" s="73"/>
      <c r="G2233" s="73"/>
      <c r="H2233" s="73"/>
    </row>
    <row r="2234" spans="1:9" s="212" customFormat="1">
      <c r="A2234" s="220"/>
      <c r="B2234" s="141"/>
      <c r="C2234" s="141"/>
      <c r="D2234" s="141"/>
      <c r="E2234" s="141"/>
      <c r="F2234" s="141"/>
      <c r="G2234" s="141"/>
      <c r="H2234" s="73"/>
    </row>
    <row r="2235" spans="1:9" s="212" customFormat="1">
      <c r="A2235" s="150"/>
      <c r="B2235" s="83"/>
      <c r="C2235" s="148"/>
      <c r="D2235" s="84"/>
      <c r="E2235" s="84"/>
      <c r="F2235" s="84"/>
      <c r="G2235" s="224"/>
      <c r="H2235" s="73"/>
    </row>
    <row r="2236" spans="1:9" s="212" customFormat="1">
      <c r="A2236" s="150"/>
      <c r="B2236" s="83"/>
      <c r="C2236" s="148"/>
      <c r="D2236" s="84"/>
      <c r="E2236" s="84"/>
      <c r="F2236" s="84"/>
      <c r="G2236" s="224"/>
      <c r="H2236" s="73"/>
    </row>
    <row r="2237" spans="1:9" s="212" customFormat="1">
      <c r="A2237" s="150"/>
      <c r="B2237" s="83"/>
      <c r="C2237" s="148"/>
      <c r="D2237" s="84"/>
      <c r="E2237" s="84"/>
      <c r="F2237" s="84"/>
      <c r="G2237" s="224"/>
      <c r="H2237" s="221"/>
    </row>
    <row r="2238" spans="1:9" s="212" customFormat="1">
      <c r="A2238" s="84"/>
      <c r="B2238" s="83"/>
      <c r="C2238" s="84"/>
      <c r="D2238" s="84"/>
      <c r="E2238" s="84"/>
      <c r="G2238" s="213"/>
      <c r="H2238" s="222"/>
    </row>
    <row r="2239" spans="1:9" s="212" customFormat="1">
      <c r="A2239" s="120"/>
      <c r="B2239" s="73"/>
      <c r="C2239" s="73"/>
      <c r="D2239" s="73"/>
      <c r="E2239" s="73"/>
      <c r="G2239" s="73"/>
      <c r="H2239" s="222"/>
    </row>
    <row r="2240" spans="1:9" s="212" customFormat="1">
      <c r="A2240" s="220"/>
      <c r="B2240" s="141"/>
      <c r="C2240" s="141"/>
      <c r="D2240" s="141"/>
      <c r="E2240" s="141"/>
      <c r="F2240" s="141"/>
      <c r="G2240" s="141"/>
      <c r="H2240" s="222"/>
    </row>
    <row r="2241" spans="1:8" s="212" customFormat="1">
      <c r="A2241" s="150"/>
      <c r="B2241" s="83"/>
      <c r="C2241" s="148"/>
      <c r="D2241" s="84"/>
      <c r="E2241" s="84"/>
      <c r="F2241" s="84"/>
      <c r="G2241" s="224"/>
      <c r="H2241" s="222"/>
    </row>
    <row r="2242" spans="1:8" s="212" customFormat="1">
      <c r="A2242" s="150"/>
      <c r="B2242" s="83"/>
      <c r="C2242" s="148"/>
      <c r="D2242" s="84"/>
      <c r="E2242" s="84"/>
      <c r="F2242" s="84"/>
      <c r="G2242" s="224"/>
      <c r="H2242" s="222"/>
    </row>
    <row r="2243" spans="1:8" s="212" customFormat="1">
      <c r="A2243" s="150"/>
      <c r="B2243" s="83"/>
      <c r="C2243" s="148"/>
      <c r="D2243" s="84"/>
      <c r="E2243" s="84"/>
      <c r="F2243" s="84"/>
      <c r="G2243" s="224"/>
      <c r="H2243" s="222"/>
    </row>
    <row r="2244" spans="1:8" s="212" customFormat="1">
      <c r="A2244" s="150"/>
      <c r="B2244" s="83"/>
      <c r="C2244" s="148"/>
      <c r="D2244" s="84"/>
      <c r="E2244" s="84"/>
      <c r="F2244" s="84"/>
      <c r="G2244" s="224"/>
      <c r="H2244" s="222"/>
    </row>
    <row r="2245" spans="1:8" s="212" customFormat="1">
      <c r="A2245" s="150"/>
      <c r="B2245" s="83"/>
      <c r="C2245" s="148"/>
      <c r="D2245" s="84"/>
      <c r="E2245" s="84"/>
      <c r="F2245" s="84"/>
      <c r="G2245" s="224"/>
      <c r="H2245" s="222"/>
    </row>
    <row r="2246" spans="1:8" s="212" customFormat="1">
      <c r="A2246" s="150"/>
      <c r="B2246" s="83"/>
      <c r="C2246" s="148"/>
      <c r="D2246" s="84"/>
      <c r="E2246" s="84"/>
      <c r="F2246" s="84"/>
      <c r="G2246" s="224"/>
      <c r="H2246" s="222"/>
    </row>
    <row r="2247" spans="1:8" s="212" customFormat="1">
      <c r="A2247" s="150"/>
      <c r="B2247" s="83"/>
      <c r="C2247" s="148"/>
      <c r="D2247" s="84"/>
      <c r="E2247" s="84"/>
      <c r="F2247" s="84"/>
      <c r="G2247" s="224"/>
      <c r="H2247" s="222"/>
    </row>
    <row r="2248" spans="1:8" s="212" customFormat="1">
      <c r="A2248" s="150"/>
      <c r="B2248" s="83"/>
      <c r="C2248" s="148"/>
      <c r="D2248" s="84"/>
      <c r="E2248" s="84"/>
      <c r="F2248" s="84"/>
      <c r="G2248" s="224"/>
      <c r="H2248" s="221"/>
    </row>
    <row r="2249" spans="1:8" s="212" customFormat="1">
      <c r="A2249" s="91"/>
      <c r="B2249" s="91"/>
      <c r="C2249" s="91"/>
      <c r="D2249" s="91"/>
      <c r="E2249" s="91"/>
      <c r="G2249" s="213"/>
      <c r="H2249" s="222"/>
    </row>
    <row r="2250" spans="1:8" s="212" customFormat="1">
      <c r="A2250" s="120"/>
      <c r="B2250" s="73"/>
      <c r="C2250" s="73"/>
      <c r="D2250" s="73"/>
      <c r="E2250" s="73"/>
      <c r="G2250" s="73"/>
      <c r="H2250" s="222"/>
    </row>
    <row r="2251" spans="1:8" s="212" customFormat="1">
      <c r="A2251" s="220"/>
      <c r="B2251" s="141"/>
      <c r="C2251" s="141"/>
      <c r="D2251" s="141"/>
      <c r="E2251" s="141"/>
      <c r="F2251" s="141"/>
      <c r="G2251" s="141"/>
      <c r="H2251" s="222"/>
    </row>
    <row r="2252" spans="1:8" s="212" customFormat="1">
      <c r="A2252" s="146"/>
      <c r="B2252" s="83"/>
      <c r="C2252" s="148"/>
      <c r="D2252" s="84"/>
      <c r="E2252" s="84"/>
      <c r="F2252" s="84"/>
      <c r="G2252" s="146"/>
      <c r="H2252" s="222"/>
    </row>
    <row r="2253" spans="1:8" s="212" customFormat="1">
      <c r="A2253" s="146"/>
      <c r="B2253" s="83"/>
      <c r="C2253" s="148"/>
      <c r="D2253" s="84"/>
      <c r="E2253" s="84"/>
      <c r="F2253" s="84"/>
      <c r="G2253" s="146"/>
      <c r="H2253" s="222"/>
    </row>
    <row r="2254" spans="1:8" s="212" customFormat="1">
      <c r="A2254" s="146"/>
      <c r="B2254" s="83"/>
      <c r="C2254" s="148"/>
      <c r="D2254" s="84"/>
      <c r="E2254" s="84"/>
      <c r="F2254" s="84"/>
      <c r="G2254" s="146"/>
      <c r="H2254" s="221"/>
    </row>
    <row r="2255" spans="1:8" s="212" customFormat="1">
      <c r="A2255" s="91"/>
      <c r="B2255" s="91"/>
      <c r="C2255" s="91"/>
      <c r="D2255" s="91"/>
      <c r="E2255" s="91"/>
      <c r="G2255" s="213"/>
      <c r="H2255" s="222"/>
    </row>
    <row r="2256" spans="1:8" s="212" customFormat="1">
      <c r="A2256" s="120"/>
      <c r="B2256" s="73"/>
      <c r="C2256" s="73"/>
      <c r="D2256" s="73"/>
      <c r="E2256" s="73"/>
      <c r="G2256" s="73"/>
      <c r="H2256" s="222"/>
    </row>
    <row r="2257" spans="1:9" s="212" customFormat="1">
      <c r="A2257" s="220"/>
      <c r="B2257" s="141"/>
      <c r="C2257" s="141"/>
      <c r="D2257" s="141"/>
      <c r="E2257" s="141"/>
      <c r="F2257" s="141"/>
      <c r="G2257" s="141"/>
      <c r="H2257" s="222"/>
    </row>
    <row r="2258" spans="1:9" s="212" customFormat="1">
      <c r="A2258" s="142"/>
      <c r="B2258" s="143"/>
      <c r="C2258" s="143"/>
      <c r="D2258" s="143"/>
      <c r="E2258" s="143"/>
      <c r="F2258" s="84"/>
      <c r="G2258" s="146"/>
      <c r="H2258" s="221"/>
    </row>
    <row r="2259" spans="1:9" s="212" customFormat="1">
      <c r="A2259" s="123"/>
      <c r="B2259" s="95"/>
      <c r="C2259" s="95"/>
      <c r="D2259" s="95"/>
      <c r="E2259" s="95"/>
      <c r="G2259" s="213"/>
      <c r="H2259" s="73"/>
    </row>
    <row r="2260" spans="1:9" s="212" customFormat="1">
      <c r="A2260" s="123"/>
      <c r="B2260" s="95"/>
      <c r="C2260" s="95"/>
      <c r="D2260" s="95"/>
      <c r="E2260" s="95"/>
      <c r="G2260" s="73"/>
      <c r="H2260" s="225"/>
    </row>
    <row r="2261" spans="1:9" s="212" customFormat="1">
      <c r="B2261" s="97"/>
      <c r="C2261" s="98"/>
      <c r="D2261" s="98"/>
      <c r="E2261" s="98"/>
      <c r="G2261" s="220"/>
    </row>
    <row r="2262" spans="1:9" s="212" customFormat="1">
      <c r="B2262" s="97"/>
      <c r="C2262" s="98"/>
      <c r="D2262" s="98"/>
      <c r="E2262" s="98"/>
      <c r="F2262" s="220"/>
      <c r="G2262" s="225"/>
      <c r="H2262" s="226"/>
    </row>
    <row r="2263" spans="1:9" s="212" customFormat="1">
      <c r="A2263" s="633"/>
      <c r="B2263" s="633"/>
      <c r="C2263" s="633"/>
      <c r="D2263" s="633"/>
      <c r="E2263" s="633"/>
      <c r="F2263" s="633"/>
      <c r="G2263" s="633"/>
    </row>
    <row r="2264" spans="1:9" s="212" customFormat="1">
      <c r="H2264" s="227"/>
      <c r="I2264" s="228"/>
    </row>
    <row r="2265" spans="1:9" s="212" customFormat="1">
      <c r="A2265" s="658"/>
      <c r="B2265" s="227"/>
      <c r="C2265" s="227"/>
      <c r="D2265" s="227"/>
      <c r="E2265" s="227"/>
      <c r="F2265" s="227"/>
      <c r="G2265" s="227"/>
      <c r="H2265" s="227"/>
      <c r="I2265" s="229"/>
    </row>
    <row r="2266" spans="1:9" s="212" customFormat="1">
      <c r="A2266" s="658"/>
      <c r="B2266" s="227"/>
      <c r="C2266" s="227"/>
      <c r="D2266" s="227"/>
      <c r="E2266" s="227"/>
      <c r="F2266" s="227"/>
      <c r="G2266" s="227"/>
    </row>
    <row r="2267" spans="1:9" s="212" customFormat="1">
      <c r="A2267" s="69"/>
      <c r="B2267" s="69"/>
      <c r="C2267" s="69"/>
      <c r="D2267" s="69"/>
      <c r="E2267" s="69"/>
    </row>
    <row r="2268" spans="1:9" s="212" customFormat="1">
      <c r="A2268" s="120"/>
      <c r="B2268" s="73"/>
      <c r="C2268" s="73"/>
      <c r="D2268" s="73"/>
      <c r="E2268" s="73"/>
      <c r="F2268" s="73"/>
      <c r="G2268" s="73"/>
      <c r="H2268" s="73"/>
    </row>
    <row r="2269" spans="1:9" s="212" customFormat="1">
      <c r="A2269" s="220"/>
      <c r="B2269" s="141"/>
      <c r="C2269" s="141"/>
      <c r="D2269" s="141"/>
      <c r="E2269" s="141"/>
      <c r="F2269" s="141"/>
      <c r="G2269" s="141"/>
      <c r="H2269" s="73"/>
    </row>
    <row r="2270" spans="1:9" s="212" customFormat="1">
      <c r="A2270" s="150"/>
      <c r="B2270" s="83"/>
      <c r="C2270" s="148"/>
      <c r="D2270" s="84"/>
      <c r="E2270" s="84"/>
      <c r="F2270" s="84"/>
      <c r="G2270" s="224"/>
      <c r="H2270" s="221"/>
    </row>
    <row r="2271" spans="1:9" s="212" customFormat="1">
      <c r="A2271" s="84"/>
      <c r="B2271" s="83"/>
      <c r="C2271" s="84"/>
      <c r="D2271" s="84"/>
      <c r="E2271" s="84"/>
      <c r="G2271" s="213"/>
      <c r="H2271" s="222"/>
    </row>
    <row r="2272" spans="1:9" s="212" customFormat="1">
      <c r="A2272" s="120"/>
      <c r="B2272" s="73"/>
      <c r="C2272" s="73"/>
      <c r="D2272" s="73"/>
      <c r="E2272" s="73"/>
      <c r="G2272" s="73"/>
      <c r="H2272" s="222"/>
    </row>
    <row r="2273" spans="1:8" s="212" customFormat="1">
      <c r="A2273" s="220"/>
      <c r="B2273" s="141"/>
      <c r="C2273" s="141"/>
      <c r="D2273" s="141"/>
      <c r="E2273" s="141"/>
      <c r="F2273" s="141"/>
      <c r="G2273" s="141"/>
      <c r="H2273" s="222"/>
    </row>
    <row r="2274" spans="1:8" s="212" customFormat="1">
      <c r="A2274" s="150"/>
      <c r="B2274" s="83"/>
      <c r="C2274" s="148"/>
      <c r="D2274" s="84"/>
      <c r="E2274" s="84"/>
      <c r="F2274" s="84"/>
      <c r="G2274" s="224"/>
      <c r="H2274" s="222"/>
    </row>
    <row r="2275" spans="1:8" s="212" customFormat="1">
      <c r="A2275" s="150"/>
      <c r="B2275" s="83"/>
      <c r="C2275" s="148"/>
      <c r="D2275" s="84"/>
      <c r="E2275" s="84"/>
      <c r="F2275" s="84"/>
      <c r="G2275" s="224"/>
      <c r="H2275" s="221"/>
    </row>
    <row r="2276" spans="1:8" s="212" customFormat="1">
      <c r="A2276" s="91"/>
      <c r="B2276" s="91"/>
      <c r="C2276" s="91"/>
      <c r="D2276" s="91"/>
      <c r="E2276" s="91"/>
      <c r="G2276" s="213"/>
      <c r="H2276" s="222"/>
    </row>
    <row r="2277" spans="1:8" s="212" customFormat="1">
      <c r="A2277" s="120"/>
      <c r="B2277" s="73"/>
      <c r="C2277" s="73"/>
      <c r="D2277" s="73"/>
      <c r="E2277" s="73"/>
      <c r="G2277" s="73"/>
      <c r="H2277" s="222"/>
    </row>
    <row r="2278" spans="1:8" s="212" customFormat="1">
      <c r="A2278" s="220"/>
      <c r="B2278" s="141"/>
      <c r="C2278" s="141"/>
      <c r="D2278" s="141"/>
      <c r="E2278" s="141"/>
      <c r="F2278" s="141"/>
      <c r="G2278" s="141"/>
      <c r="H2278" s="222"/>
    </row>
    <row r="2279" spans="1:8" s="212" customFormat="1">
      <c r="A2279" s="146"/>
      <c r="B2279" s="83"/>
      <c r="C2279" s="148"/>
      <c r="D2279" s="84"/>
      <c r="E2279" s="84"/>
      <c r="F2279" s="84"/>
      <c r="G2279" s="146"/>
      <c r="H2279" s="221"/>
    </row>
    <row r="2280" spans="1:8" s="212" customFormat="1">
      <c r="A2280" s="91"/>
      <c r="B2280" s="91"/>
      <c r="C2280" s="91"/>
      <c r="D2280" s="91"/>
      <c r="E2280" s="91"/>
      <c r="G2280" s="213"/>
      <c r="H2280" s="222"/>
    </row>
    <row r="2281" spans="1:8" s="212" customFormat="1">
      <c r="A2281" s="120"/>
      <c r="B2281" s="73"/>
      <c r="C2281" s="73"/>
      <c r="D2281" s="73"/>
      <c r="E2281" s="73"/>
      <c r="G2281" s="73"/>
      <c r="H2281" s="222"/>
    </row>
    <row r="2282" spans="1:8" s="212" customFormat="1">
      <c r="A2282" s="220"/>
      <c r="B2282" s="141"/>
      <c r="C2282" s="141"/>
      <c r="D2282" s="141"/>
      <c r="E2282" s="141"/>
      <c r="F2282" s="141"/>
      <c r="G2282" s="141"/>
      <c r="H2282" s="222"/>
    </row>
    <row r="2283" spans="1:8" s="212" customFormat="1">
      <c r="A2283" s="142"/>
      <c r="B2283" s="143"/>
      <c r="C2283" s="143"/>
      <c r="D2283" s="143"/>
      <c r="E2283" s="143"/>
      <c r="F2283" s="84"/>
      <c r="G2283" s="146"/>
      <c r="H2283" s="221"/>
    </row>
    <row r="2284" spans="1:8" s="212" customFormat="1">
      <c r="A2284" s="123"/>
      <c r="B2284" s="95"/>
      <c r="C2284" s="95"/>
      <c r="D2284" s="95"/>
      <c r="E2284" s="95"/>
      <c r="G2284" s="213"/>
      <c r="H2284" s="73"/>
    </row>
    <row r="2285" spans="1:8" s="212" customFormat="1">
      <c r="A2285" s="123"/>
      <c r="B2285" s="95"/>
      <c r="C2285" s="95"/>
      <c r="D2285" s="95"/>
      <c r="E2285" s="95"/>
      <c r="G2285" s="73"/>
      <c r="H2285" s="225"/>
    </row>
    <row r="2286" spans="1:8" s="212" customFormat="1">
      <c r="B2286" s="97"/>
      <c r="C2286" s="98"/>
      <c r="D2286" s="98"/>
      <c r="E2286" s="98"/>
      <c r="G2286" s="220"/>
    </row>
    <row r="2287" spans="1:8" s="212" customFormat="1">
      <c r="B2287" s="97"/>
      <c r="C2287" s="98"/>
      <c r="D2287" s="98"/>
      <c r="E2287" s="98"/>
      <c r="F2287" s="220"/>
      <c r="G2287" s="225"/>
      <c r="H2287" s="226"/>
    </row>
    <row r="2288" spans="1:8" s="212" customFormat="1">
      <c r="A2288" s="633"/>
      <c r="B2288" s="633"/>
      <c r="C2288" s="633"/>
      <c r="D2288" s="633"/>
      <c r="E2288" s="633"/>
      <c r="F2288" s="633"/>
      <c r="G2288" s="633"/>
    </row>
    <row r="2289" spans="1:9" s="212" customFormat="1">
      <c r="H2289" s="227"/>
      <c r="I2289" s="228"/>
    </row>
    <row r="2290" spans="1:9" s="212" customFormat="1">
      <c r="A2290" s="658"/>
      <c r="B2290" s="227"/>
      <c r="C2290" s="227"/>
      <c r="D2290" s="227"/>
      <c r="E2290" s="227"/>
      <c r="F2290" s="227"/>
      <c r="G2290" s="227"/>
      <c r="H2290" s="227"/>
      <c r="I2290" s="229"/>
    </row>
    <row r="2291" spans="1:9" s="212" customFormat="1">
      <c r="A2291" s="658"/>
      <c r="B2291" s="227"/>
      <c r="C2291" s="227"/>
      <c r="D2291" s="227"/>
      <c r="E2291" s="227"/>
      <c r="F2291" s="227"/>
      <c r="G2291" s="227"/>
    </row>
    <row r="2292" spans="1:9" s="212" customFormat="1">
      <c r="A2292" s="69"/>
      <c r="B2292" s="69"/>
      <c r="C2292" s="69"/>
      <c r="D2292" s="69"/>
      <c r="E2292" s="69"/>
    </row>
    <row r="2293" spans="1:9" s="212" customFormat="1">
      <c r="A2293" s="120"/>
      <c r="B2293" s="73"/>
      <c r="C2293" s="73"/>
      <c r="D2293" s="73"/>
      <c r="E2293" s="73"/>
      <c r="F2293" s="73"/>
      <c r="G2293" s="73"/>
      <c r="H2293" s="73"/>
    </row>
    <row r="2294" spans="1:9" s="212" customFormat="1">
      <c r="A2294" s="220"/>
      <c r="B2294" s="141"/>
      <c r="C2294" s="141"/>
      <c r="D2294" s="141"/>
      <c r="E2294" s="141"/>
      <c r="F2294" s="141"/>
      <c r="G2294" s="141"/>
      <c r="H2294" s="73"/>
    </row>
    <row r="2295" spans="1:9" s="212" customFormat="1">
      <c r="A2295" s="150"/>
      <c r="B2295" s="83"/>
      <c r="C2295" s="148"/>
      <c r="D2295" s="84"/>
      <c r="E2295" s="84"/>
      <c r="F2295" s="84"/>
      <c r="G2295" s="224"/>
      <c r="H2295" s="221"/>
    </row>
    <row r="2296" spans="1:9" s="212" customFormat="1">
      <c r="A2296" s="84"/>
      <c r="B2296" s="83"/>
      <c r="C2296" s="84"/>
      <c r="D2296" s="84"/>
      <c r="E2296" s="84"/>
      <c r="G2296" s="213"/>
      <c r="H2296" s="222"/>
    </row>
    <row r="2297" spans="1:9" s="212" customFormat="1">
      <c r="A2297" s="120"/>
      <c r="B2297" s="73"/>
      <c r="C2297" s="73"/>
      <c r="D2297" s="73"/>
      <c r="E2297" s="73"/>
      <c r="G2297" s="73"/>
      <c r="H2297" s="222"/>
    </row>
    <row r="2298" spans="1:9" s="212" customFormat="1">
      <c r="A2298" s="220"/>
      <c r="B2298" s="141"/>
      <c r="C2298" s="141"/>
      <c r="D2298" s="141"/>
      <c r="E2298" s="141"/>
      <c r="F2298" s="141"/>
      <c r="G2298" s="141"/>
      <c r="H2298" s="222"/>
    </row>
    <row r="2299" spans="1:9" s="212" customFormat="1">
      <c r="A2299" s="150"/>
      <c r="B2299" s="83"/>
      <c r="C2299" s="148"/>
      <c r="D2299" s="84"/>
      <c r="E2299" s="84"/>
      <c r="F2299" s="84"/>
      <c r="G2299" s="224"/>
      <c r="H2299" s="222"/>
    </row>
    <row r="2300" spans="1:9" s="212" customFormat="1">
      <c r="A2300" s="150"/>
      <c r="B2300" s="83"/>
      <c r="C2300" s="148"/>
      <c r="D2300" s="84"/>
      <c r="E2300" s="84"/>
      <c r="F2300" s="84"/>
      <c r="G2300" s="224"/>
      <c r="H2300" s="221"/>
    </row>
    <row r="2301" spans="1:9" s="212" customFormat="1">
      <c r="A2301" s="91"/>
      <c r="B2301" s="91"/>
      <c r="C2301" s="91"/>
      <c r="D2301" s="91"/>
      <c r="E2301" s="91"/>
      <c r="G2301" s="213"/>
      <c r="H2301" s="222"/>
    </row>
    <row r="2302" spans="1:9" s="212" customFormat="1">
      <c r="A2302" s="120"/>
      <c r="B2302" s="73"/>
      <c r="C2302" s="73"/>
      <c r="D2302" s="73"/>
      <c r="E2302" s="73"/>
      <c r="G2302" s="73"/>
      <c r="H2302" s="222"/>
    </row>
    <row r="2303" spans="1:9" s="212" customFormat="1">
      <c r="A2303" s="220"/>
      <c r="B2303" s="141"/>
      <c r="C2303" s="141"/>
      <c r="D2303" s="141"/>
      <c r="E2303" s="141"/>
      <c r="F2303" s="141"/>
      <c r="G2303" s="141"/>
      <c r="H2303" s="222"/>
    </row>
    <row r="2304" spans="1:9" s="212" customFormat="1">
      <c r="A2304" s="146"/>
      <c r="B2304" s="83"/>
      <c r="C2304" s="148"/>
      <c r="D2304" s="84"/>
      <c r="E2304" s="84"/>
      <c r="F2304" s="84"/>
      <c r="G2304" s="146"/>
      <c r="H2304" s="221"/>
    </row>
    <row r="2305" spans="1:9" s="212" customFormat="1">
      <c r="A2305" s="91"/>
      <c r="B2305" s="91"/>
      <c r="C2305" s="91"/>
      <c r="D2305" s="91"/>
      <c r="E2305" s="91"/>
      <c r="G2305" s="213"/>
      <c r="H2305" s="222"/>
    </row>
    <row r="2306" spans="1:9" s="212" customFormat="1">
      <c r="A2306" s="120"/>
      <c r="B2306" s="73"/>
      <c r="C2306" s="73"/>
      <c r="D2306" s="73"/>
      <c r="E2306" s="73"/>
      <c r="G2306" s="73"/>
      <c r="H2306" s="222"/>
    </row>
    <row r="2307" spans="1:9" s="212" customFormat="1">
      <c r="A2307" s="220"/>
      <c r="B2307" s="141"/>
      <c r="C2307" s="141"/>
      <c r="D2307" s="141"/>
      <c r="E2307" s="141"/>
      <c r="F2307" s="141"/>
      <c r="G2307" s="141"/>
      <c r="H2307" s="222"/>
    </row>
    <row r="2308" spans="1:9" s="212" customFormat="1">
      <c r="A2308" s="142"/>
      <c r="B2308" s="143"/>
      <c r="C2308" s="143"/>
      <c r="D2308" s="143"/>
      <c r="E2308" s="143"/>
      <c r="F2308" s="84"/>
      <c r="G2308" s="146"/>
      <c r="H2308" s="221"/>
    </row>
    <row r="2309" spans="1:9" s="212" customFormat="1">
      <c r="A2309" s="123"/>
      <c r="B2309" s="95"/>
      <c r="C2309" s="95"/>
      <c r="D2309" s="95"/>
      <c r="E2309" s="95"/>
      <c r="G2309" s="213"/>
      <c r="H2309" s="73"/>
    </row>
    <row r="2310" spans="1:9" s="212" customFormat="1">
      <c r="A2310" s="123"/>
      <c r="B2310" s="95"/>
      <c r="C2310" s="95"/>
      <c r="D2310" s="95"/>
      <c r="E2310" s="95"/>
      <c r="G2310" s="73"/>
      <c r="H2310" s="225"/>
    </row>
    <row r="2311" spans="1:9" s="212" customFormat="1">
      <c r="B2311" s="97"/>
      <c r="C2311" s="98"/>
      <c r="D2311" s="98"/>
      <c r="E2311" s="98"/>
      <c r="G2311" s="220"/>
    </row>
    <row r="2312" spans="1:9" s="212" customFormat="1">
      <c r="B2312" s="97"/>
      <c r="C2312" s="98"/>
      <c r="D2312" s="98"/>
      <c r="E2312" s="98"/>
      <c r="F2312" s="220"/>
      <c r="G2312" s="225"/>
      <c r="H2312" s="226"/>
    </row>
    <row r="2313" spans="1:9" s="212" customFormat="1">
      <c r="A2313" s="633"/>
      <c r="B2313" s="633"/>
      <c r="C2313" s="633"/>
      <c r="D2313" s="633"/>
      <c r="E2313" s="633"/>
      <c r="F2313" s="633"/>
      <c r="G2313" s="633"/>
    </row>
    <row r="2314" spans="1:9" s="212" customFormat="1">
      <c r="H2314" s="227"/>
      <c r="I2314" s="228"/>
    </row>
    <row r="2315" spans="1:9" s="212" customFormat="1">
      <c r="A2315" s="658"/>
      <c r="B2315" s="227"/>
      <c r="C2315" s="227"/>
      <c r="D2315" s="227"/>
      <c r="E2315" s="227"/>
      <c r="F2315" s="227"/>
      <c r="G2315" s="227"/>
      <c r="H2315" s="227"/>
      <c r="I2315" s="229"/>
    </row>
    <row r="2316" spans="1:9" s="212" customFormat="1">
      <c r="A2316" s="658"/>
      <c r="B2316" s="227"/>
      <c r="C2316" s="227"/>
      <c r="D2316" s="227"/>
      <c r="E2316" s="227"/>
      <c r="F2316" s="227"/>
      <c r="G2316" s="227"/>
    </row>
    <row r="2317" spans="1:9" s="212" customFormat="1">
      <c r="A2317" s="69"/>
      <c r="B2317" s="69"/>
      <c r="C2317" s="69"/>
      <c r="D2317" s="69"/>
      <c r="E2317" s="69"/>
    </row>
    <row r="2318" spans="1:9" s="212" customFormat="1">
      <c r="A2318" s="120"/>
      <c r="B2318" s="73"/>
      <c r="C2318" s="73"/>
      <c r="D2318" s="73"/>
      <c r="E2318" s="73"/>
      <c r="F2318" s="73"/>
      <c r="G2318" s="73"/>
      <c r="H2318" s="73"/>
    </row>
    <row r="2319" spans="1:9" s="212" customFormat="1">
      <c r="A2319" s="220"/>
      <c r="B2319" s="141"/>
      <c r="C2319" s="141"/>
      <c r="D2319" s="141"/>
      <c r="E2319" s="141"/>
      <c r="F2319" s="141"/>
      <c r="G2319" s="141"/>
      <c r="H2319" s="73"/>
    </row>
    <row r="2320" spans="1:9" s="212" customFormat="1">
      <c r="A2320" s="150"/>
      <c r="B2320" s="83"/>
      <c r="C2320" s="148"/>
      <c r="D2320" s="84"/>
      <c r="E2320" s="84"/>
      <c r="F2320" s="84"/>
      <c r="G2320" s="224"/>
      <c r="H2320" s="221"/>
    </row>
    <row r="2321" spans="1:8" s="212" customFormat="1">
      <c r="A2321" s="84"/>
      <c r="B2321" s="83"/>
      <c r="C2321" s="84"/>
      <c r="D2321" s="84"/>
      <c r="E2321" s="84"/>
      <c r="G2321" s="213"/>
      <c r="H2321" s="222"/>
    </row>
    <row r="2322" spans="1:8" s="212" customFormat="1">
      <c r="A2322" s="120"/>
      <c r="B2322" s="73"/>
      <c r="C2322" s="73"/>
      <c r="D2322" s="73"/>
      <c r="E2322" s="73"/>
      <c r="G2322" s="73"/>
      <c r="H2322" s="222"/>
    </row>
    <row r="2323" spans="1:8" s="212" customFormat="1">
      <c r="A2323" s="220"/>
      <c r="B2323" s="141"/>
      <c r="C2323" s="141"/>
      <c r="D2323" s="141"/>
      <c r="E2323" s="141"/>
      <c r="F2323" s="141"/>
      <c r="G2323" s="141"/>
      <c r="H2323" s="222"/>
    </row>
    <row r="2324" spans="1:8" s="212" customFormat="1">
      <c r="A2324" s="150"/>
      <c r="B2324" s="83"/>
      <c r="C2324" s="148"/>
      <c r="D2324" s="84"/>
      <c r="E2324" s="84"/>
      <c r="F2324" s="84"/>
      <c r="G2324" s="224"/>
      <c r="H2324" s="222"/>
    </row>
    <row r="2325" spans="1:8" s="212" customFormat="1">
      <c r="A2325" s="150"/>
      <c r="B2325" s="83"/>
      <c r="C2325" s="148"/>
      <c r="D2325" s="84"/>
      <c r="E2325" s="84"/>
      <c r="F2325" s="84"/>
      <c r="G2325" s="224"/>
      <c r="H2325" s="222"/>
    </row>
    <row r="2326" spans="1:8" s="212" customFormat="1">
      <c r="A2326" s="150"/>
      <c r="B2326" s="83"/>
      <c r="C2326" s="148"/>
      <c r="D2326" s="84"/>
      <c r="E2326" s="84"/>
      <c r="F2326" s="84"/>
      <c r="G2326" s="224"/>
      <c r="H2326" s="222"/>
    </row>
    <row r="2327" spans="1:8" s="212" customFormat="1">
      <c r="A2327" s="150"/>
      <c r="B2327" s="83"/>
      <c r="C2327" s="148"/>
      <c r="D2327" s="84"/>
      <c r="E2327" s="84"/>
      <c r="F2327" s="84"/>
      <c r="G2327" s="224"/>
      <c r="H2327" s="222"/>
    </row>
    <row r="2328" spans="1:8" s="212" customFormat="1">
      <c r="A2328" s="150"/>
      <c r="B2328" s="83"/>
      <c r="C2328" s="148"/>
      <c r="D2328" s="84"/>
      <c r="E2328" s="84"/>
      <c r="F2328" s="84"/>
      <c r="G2328" s="224"/>
      <c r="H2328" s="222"/>
    </row>
    <row r="2329" spans="1:8" s="212" customFormat="1">
      <c r="A2329" s="150"/>
      <c r="B2329" s="83"/>
      <c r="C2329" s="148"/>
      <c r="D2329" s="84"/>
      <c r="E2329" s="84"/>
      <c r="F2329" s="84"/>
      <c r="G2329" s="224"/>
      <c r="H2329" s="222"/>
    </row>
    <row r="2330" spans="1:8" s="212" customFormat="1">
      <c r="A2330" s="150"/>
      <c r="B2330" s="83"/>
      <c r="C2330" s="148"/>
      <c r="D2330" s="84"/>
      <c r="E2330" s="84"/>
      <c r="F2330" s="84"/>
      <c r="G2330" s="224"/>
      <c r="H2330" s="222"/>
    </row>
    <row r="2331" spans="1:8" s="212" customFormat="1">
      <c r="A2331" s="150"/>
      <c r="B2331" s="83"/>
      <c r="C2331" s="148"/>
      <c r="D2331" s="84"/>
      <c r="E2331" s="84"/>
      <c r="F2331" s="84"/>
      <c r="G2331" s="224"/>
      <c r="H2331" s="222"/>
    </row>
    <row r="2332" spans="1:8" s="212" customFormat="1">
      <c r="A2332" s="150"/>
      <c r="B2332" s="83"/>
      <c r="C2332" s="148"/>
      <c r="D2332" s="84"/>
      <c r="E2332" s="84"/>
      <c r="F2332" s="84"/>
      <c r="G2332" s="224"/>
      <c r="H2332" s="222"/>
    </row>
    <row r="2333" spans="1:8" s="212" customFormat="1">
      <c r="A2333" s="150"/>
      <c r="B2333" s="83"/>
      <c r="C2333" s="148"/>
      <c r="D2333" s="84"/>
      <c r="E2333" s="84"/>
      <c r="F2333" s="84"/>
      <c r="G2333" s="224"/>
      <c r="H2333" s="221"/>
    </row>
    <row r="2334" spans="1:8" s="212" customFormat="1">
      <c r="A2334" s="91"/>
      <c r="B2334" s="91"/>
      <c r="C2334" s="91"/>
      <c r="D2334" s="91"/>
      <c r="E2334" s="91"/>
      <c r="G2334" s="213"/>
      <c r="H2334" s="222"/>
    </row>
    <row r="2335" spans="1:8" s="212" customFormat="1">
      <c r="A2335" s="120"/>
      <c r="B2335" s="73"/>
      <c r="C2335" s="73"/>
      <c r="D2335" s="73"/>
      <c r="E2335" s="73"/>
      <c r="G2335" s="73"/>
      <c r="H2335" s="222"/>
    </row>
    <row r="2336" spans="1:8" s="212" customFormat="1">
      <c r="A2336" s="220"/>
      <c r="B2336" s="141"/>
      <c r="C2336" s="141"/>
      <c r="D2336" s="141"/>
      <c r="E2336" s="141"/>
      <c r="F2336" s="141"/>
      <c r="G2336" s="141"/>
      <c r="H2336" s="222"/>
    </row>
    <row r="2337" spans="1:9" s="212" customFormat="1">
      <c r="A2337" s="146"/>
      <c r="B2337" s="83"/>
      <c r="C2337" s="148"/>
      <c r="D2337" s="84"/>
      <c r="E2337" s="84"/>
      <c r="F2337" s="84"/>
      <c r="G2337" s="146"/>
      <c r="H2337" s="221"/>
    </row>
    <row r="2338" spans="1:9" s="212" customFormat="1">
      <c r="A2338" s="91"/>
      <c r="B2338" s="91"/>
      <c r="C2338" s="91"/>
      <c r="D2338" s="91"/>
      <c r="E2338" s="91"/>
      <c r="G2338" s="213"/>
      <c r="H2338" s="222"/>
    </row>
    <row r="2339" spans="1:9" s="212" customFormat="1">
      <c r="A2339" s="120"/>
      <c r="B2339" s="73"/>
      <c r="C2339" s="73"/>
      <c r="D2339" s="73"/>
      <c r="E2339" s="73"/>
      <c r="G2339" s="73"/>
      <c r="H2339" s="222"/>
    </row>
    <row r="2340" spans="1:9" s="212" customFormat="1">
      <c r="A2340" s="220"/>
      <c r="B2340" s="141"/>
      <c r="C2340" s="141"/>
      <c r="D2340" s="141"/>
      <c r="E2340" s="141"/>
      <c r="F2340" s="141"/>
      <c r="G2340" s="141"/>
      <c r="H2340" s="222"/>
    </row>
    <row r="2341" spans="1:9" s="212" customFormat="1">
      <c r="A2341" s="142"/>
      <c r="B2341" s="143"/>
      <c r="C2341" s="143"/>
      <c r="D2341" s="143"/>
      <c r="E2341" s="143"/>
      <c r="F2341" s="84"/>
      <c r="G2341" s="146"/>
      <c r="H2341" s="221"/>
    </row>
    <row r="2342" spans="1:9" s="212" customFormat="1" ht="15" customHeight="1">
      <c r="A2342" s="123"/>
      <c r="B2342" s="95"/>
      <c r="C2342" s="95"/>
      <c r="D2342" s="95"/>
      <c r="E2342" s="95"/>
      <c r="G2342" s="213"/>
      <c r="H2342" s="73"/>
    </row>
    <row r="2343" spans="1:9" s="212" customFormat="1">
      <c r="A2343" s="123"/>
      <c r="B2343" s="95"/>
      <c r="C2343" s="95"/>
      <c r="D2343" s="95"/>
      <c r="E2343" s="95"/>
      <c r="G2343" s="73"/>
      <c r="H2343" s="225"/>
    </row>
    <row r="2344" spans="1:9" s="212" customFormat="1">
      <c r="B2344" s="97"/>
      <c r="C2344" s="98"/>
      <c r="D2344" s="98"/>
      <c r="E2344" s="98"/>
      <c r="G2344" s="220"/>
    </row>
    <row r="2345" spans="1:9" s="212" customFormat="1">
      <c r="B2345" s="97"/>
      <c r="C2345" s="98"/>
      <c r="D2345" s="98"/>
      <c r="E2345" s="98"/>
      <c r="F2345" s="220"/>
      <c r="G2345" s="225"/>
      <c r="H2345" s="226"/>
    </row>
    <row r="2346" spans="1:9" s="212" customFormat="1">
      <c r="A2346" s="633"/>
      <c r="B2346" s="633"/>
      <c r="C2346" s="633"/>
      <c r="D2346" s="633"/>
      <c r="E2346" s="633"/>
      <c r="F2346" s="633"/>
      <c r="G2346" s="633"/>
    </row>
    <row r="2347" spans="1:9" s="212" customFormat="1">
      <c r="H2347" s="227"/>
      <c r="I2347" s="228"/>
    </row>
    <row r="2348" spans="1:9" s="212" customFormat="1">
      <c r="A2348" s="658"/>
      <c r="B2348" s="227"/>
      <c r="C2348" s="227"/>
      <c r="D2348" s="227"/>
      <c r="E2348" s="227"/>
      <c r="F2348" s="227"/>
      <c r="G2348" s="227"/>
      <c r="H2348" s="227"/>
      <c r="I2348" s="229"/>
    </row>
    <row r="2349" spans="1:9" s="212" customFormat="1">
      <c r="A2349" s="658"/>
      <c r="B2349" s="227"/>
      <c r="C2349" s="227"/>
      <c r="D2349" s="227"/>
      <c r="E2349" s="227"/>
      <c r="F2349" s="227"/>
      <c r="G2349" s="227"/>
    </row>
    <row r="2350" spans="1:9" s="212" customFormat="1">
      <c r="A2350" s="69"/>
      <c r="B2350" s="69"/>
      <c r="C2350" s="69"/>
      <c r="D2350" s="69"/>
      <c r="E2350" s="69"/>
    </row>
    <row r="2351" spans="1:9" s="212" customFormat="1">
      <c r="A2351" s="120"/>
      <c r="B2351" s="73"/>
      <c r="C2351" s="73"/>
      <c r="D2351" s="73"/>
      <c r="E2351" s="73"/>
      <c r="F2351" s="73"/>
      <c r="G2351" s="73"/>
      <c r="H2351" s="73"/>
    </row>
    <row r="2352" spans="1:9" s="212" customFormat="1">
      <c r="A2352" s="220"/>
      <c r="B2352" s="141"/>
      <c r="C2352" s="141"/>
      <c r="D2352" s="141"/>
      <c r="E2352" s="141"/>
      <c r="F2352" s="141"/>
      <c r="G2352" s="141"/>
      <c r="H2352" s="73"/>
    </row>
    <row r="2353" spans="1:8" s="212" customFormat="1">
      <c r="A2353" s="150"/>
      <c r="B2353" s="83"/>
      <c r="C2353" s="148"/>
      <c r="D2353" s="84"/>
      <c r="E2353" s="84"/>
      <c r="F2353" s="84"/>
      <c r="G2353" s="224"/>
      <c r="H2353" s="221"/>
    </row>
    <row r="2354" spans="1:8" s="212" customFormat="1">
      <c r="A2354" s="84"/>
      <c r="B2354" s="83"/>
      <c r="C2354" s="84"/>
      <c r="D2354" s="84"/>
      <c r="E2354" s="84"/>
      <c r="G2354" s="213"/>
      <c r="H2354" s="222"/>
    </row>
    <row r="2355" spans="1:8" s="212" customFormat="1">
      <c r="A2355" s="120"/>
      <c r="B2355" s="73"/>
      <c r="C2355" s="73"/>
      <c r="D2355" s="73"/>
      <c r="E2355" s="73"/>
      <c r="G2355" s="73"/>
      <c r="H2355" s="222"/>
    </row>
    <row r="2356" spans="1:8" s="212" customFormat="1">
      <c r="A2356" s="220"/>
      <c r="B2356" s="141"/>
      <c r="C2356" s="141"/>
      <c r="D2356" s="141"/>
      <c r="E2356" s="141"/>
      <c r="F2356" s="141"/>
      <c r="G2356" s="141"/>
      <c r="H2356" s="222"/>
    </row>
    <row r="2357" spans="1:8" s="212" customFormat="1">
      <c r="A2357" s="150"/>
      <c r="B2357" s="83"/>
      <c r="C2357" s="148"/>
      <c r="D2357" s="84"/>
      <c r="E2357" s="84"/>
      <c r="F2357" s="84"/>
      <c r="G2357" s="224"/>
      <c r="H2357" s="222"/>
    </row>
    <row r="2358" spans="1:8" s="212" customFormat="1">
      <c r="A2358" s="150"/>
      <c r="B2358" s="83"/>
      <c r="C2358" s="148"/>
      <c r="D2358" s="84"/>
      <c r="E2358" s="84"/>
      <c r="F2358" s="84"/>
      <c r="G2358" s="224"/>
      <c r="H2358" s="222"/>
    </row>
    <row r="2359" spans="1:8" s="212" customFormat="1">
      <c r="A2359" s="150"/>
      <c r="B2359" s="83"/>
      <c r="C2359" s="148"/>
      <c r="D2359" s="84"/>
      <c r="E2359" s="84"/>
      <c r="F2359" s="84"/>
      <c r="G2359" s="224"/>
      <c r="H2359" s="222"/>
    </row>
    <row r="2360" spans="1:8" s="212" customFormat="1">
      <c r="A2360" s="150"/>
      <c r="B2360" s="83"/>
      <c r="C2360" s="148"/>
      <c r="D2360" s="84"/>
      <c r="E2360" s="84"/>
      <c r="F2360" s="84"/>
      <c r="G2360" s="224"/>
      <c r="H2360" s="222"/>
    </row>
    <row r="2361" spans="1:8" s="212" customFormat="1">
      <c r="A2361" s="150"/>
      <c r="B2361" s="83"/>
      <c r="C2361" s="148"/>
      <c r="D2361" s="84"/>
      <c r="E2361" s="84"/>
      <c r="F2361" s="84"/>
      <c r="G2361" s="224"/>
      <c r="H2361" s="222"/>
    </row>
    <row r="2362" spans="1:8" s="212" customFormat="1">
      <c r="A2362" s="150"/>
      <c r="B2362" s="83"/>
      <c r="C2362" s="148"/>
      <c r="D2362" s="84"/>
      <c r="E2362" s="84"/>
      <c r="F2362" s="84"/>
      <c r="G2362" s="224"/>
      <c r="H2362" s="222"/>
    </row>
    <row r="2363" spans="1:8" s="212" customFormat="1">
      <c r="A2363" s="150"/>
      <c r="B2363" s="83"/>
      <c r="C2363" s="148"/>
      <c r="D2363" s="84"/>
      <c r="E2363" s="84"/>
      <c r="F2363" s="84"/>
      <c r="G2363" s="224"/>
      <c r="H2363" s="222"/>
    </row>
    <row r="2364" spans="1:8" s="212" customFormat="1">
      <c r="A2364" s="150"/>
      <c r="B2364" s="83"/>
      <c r="C2364" s="148"/>
      <c r="D2364" s="84"/>
      <c r="E2364" s="84"/>
      <c r="F2364" s="84"/>
      <c r="G2364" s="224"/>
      <c r="H2364" s="222"/>
    </row>
    <row r="2365" spans="1:8" s="212" customFormat="1">
      <c r="A2365" s="150"/>
      <c r="B2365" s="83"/>
      <c r="C2365" s="148"/>
      <c r="D2365" s="84"/>
      <c r="E2365" s="84"/>
      <c r="F2365" s="84"/>
      <c r="G2365" s="224"/>
      <c r="H2365" s="222"/>
    </row>
    <row r="2366" spans="1:8" s="212" customFormat="1">
      <c r="A2366" s="150"/>
      <c r="B2366" s="83"/>
      <c r="C2366" s="148"/>
      <c r="D2366" s="84"/>
      <c r="E2366" s="84"/>
      <c r="F2366" s="84"/>
      <c r="G2366" s="224"/>
      <c r="H2366" s="221"/>
    </row>
    <row r="2367" spans="1:8" s="212" customFormat="1">
      <c r="A2367" s="91"/>
      <c r="B2367" s="91"/>
      <c r="C2367" s="91"/>
      <c r="D2367" s="91"/>
      <c r="E2367" s="91"/>
      <c r="G2367" s="213"/>
      <c r="H2367" s="222"/>
    </row>
    <row r="2368" spans="1:8" s="212" customFormat="1">
      <c r="A2368" s="120"/>
      <c r="B2368" s="73"/>
      <c r="C2368" s="73"/>
      <c r="D2368" s="73"/>
      <c r="E2368" s="73"/>
      <c r="G2368" s="73"/>
      <c r="H2368" s="222"/>
    </row>
    <row r="2369" spans="1:9" s="212" customFormat="1">
      <c r="A2369" s="220"/>
      <c r="B2369" s="141"/>
      <c r="C2369" s="141"/>
      <c r="D2369" s="141"/>
      <c r="E2369" s="141"/>
      <c r="F2369" s="141"/>
      <c r="G2369" s="141"/>
      <c r="H2369" s="222"/>
    </row>
    <row r="2370" spans="1:9" s="212" customFormat="1">
      <c r="A2370" s="146"/>
      <c r="B2370" s="83"/>
      <c r="C2370" s="148"/>
      <c r="D2370" s="84"/>
      <c r="E2370" s="84"/>
      <c r="F2370" s="84"/>
      <c r="G2370" s="146"/>
      <c r="H2370" s="221"/>
    </row>
    <row r="2371" spans="1:9" s="212" customFormat="1">
      <c r="A2371" s="91"/>
      <c r="B2371" s="91"/>
      <c r="C2371" s="91"/>
      <c r="D2371" s="91"/>
      <c r="E2371" s="91"/>
      <c r="G2371" s="213"/>
      <c r="H2371" s="222"/>
    </row>
    <row r="2372" spans="1:9" s="212" customFormat="1">
      <c r="A2372" s="120"/>
      <c r="B2372" s="73"/>
      <c r="C2372" s="73"/>
      <c r="D2372" s="73"/>
      <c r="E2372" s="73"/>
      <c r="G2372" s="73"/>
      <c r="H2372" s="222"/>
    </row>
    <row r="2373" spans="1:9" s="212" customFormat="1">
      <c r="A2373" s="220"/>
      <c r="B2373" s="141"/>
      <c r="C2373" s="141"/>
      <c r="D2373" s="141"/>
      <c r="E2373" s="141"/>
      <c r="F2373" s="141"/>
      <c r="G2373" s="141"/>
      <c r="H2373" s="222"/>
    </row>
    <row r="2374" spans="1:9" s="212" customFormat="1">
      <c r="A2374" s="142"/>
      <c r="B2374" s="143"/>
      <c r="C2374" s="143"/>
      <c r="D2374" s="143"/>
      <c r="E2374" s="143"/>
      <c r="F2374" s="84"/>
      <c r="G2374" s="146"/>
      <c r="H2374" s="221"/>
    </row>
    <row r="2375" spans="1:9" s="212" customFormat="1">
      <c r="A2375" s="123"/>
      <c r="B2375" s="95"/>
      <c r="C2375" s="95"/>
      <c r="D2375" s="95"/>
      <c r="E2375" s="95"/>
      <c r="G2375" s="213"/>
      <c r="H2375" s="73"/>
    </row>
    <row r="2376" spans="1:9" s="212" customFormat="1">
      <c r="A2376" s="123"/>
      <c r="B2376" s="95"/>
      <c r="C2376" s="95"/>
      <c r="D2376" s="95"/>
      <c r="E2376" s="95"/>
      <c r="G2376" s="73"/>
      <c r="H2376" s="225"/>
    </row>
    <row r="2377" spans="1:9" s="212" customFormat="1">
      <c r="B2377" s="97"/>
      <c r="C2377" s="98"/>
      <c r="D2377" s="98"/>
      <c r="E2377" s="98"/>
      <c r="G2377" s="220"/>
    </row>
    <row r="2378" spans="1:9" s="212" customFormat="1">
      <c r="B2378" s="97"/>
      <c r="C2378" s="98"/>
      <c r="D2378" s="98"/>
      <c r="E2378" s="98"/>
      <c r="F2378" s="220"/>
      <c r="G2378" s="225"/>
      <c r="H2378" s="226"/>
    </row>
    <row r="2379" spans="1:9" s="212" customFormat="1">
      <c r="A2379" s="633"/>
      <c r="B2379" s="633"/>
      <c r="C2379" s="633"/>
      <c r="D2379" s="633"/>
      <c r="E2379" s="633"/>
      <c r="F2379" s="633"/>
      <c r="G2379" s="633"/>
    </row>
    <row r="2380" spans="1:9" s="212" customFormat="1">
      <c r="H2380" s="227"/>
      <c r="I2380" s="228"/>
    </row>
    <row r="2381" spans="1:9" s="212" customFormat="1">
      <c r="A2381" s="658"/>
      <c r="B2381" s="227"/>
      <c r="C2381" s="227"/>
      <c r="D2381" s="227"/>
      <c r="E2381" s="227"/>
      <c r="F2381" s="227"/>
      <c r="G2381" s="227"/>
      <c r="H2381" s="227"/>
      <c r="I2381" s="229"/>
    </row>
    <row r="2382" spans="1:9" s="212" customFormat="1">
      <c r="A2382" s="658"/>
      <c r="B2382" s="227"/>
      <c r="C2382" s="227"/>
      <c r="D2382" s="227"/>
      <c r="E2382" s="227"/>
      <c r="F2382" s="227"/>
      <c r="G2382" s="227"/>
    </row>
    <row r="2383" spans="1:9" s="212" customFormat="1">
      <c r="A2383" s="69"/>
      <c r="B2383" s="69"/>
      <c r="C2383" s="69"/>
      <c r="D2383" s="69"/>
      <c r="E2383" s="69"/>
    </row>
    <row r="2384" spans="1:9" s="212" customFormat="1">
      <c r="A2384" s="120"/>
      <c r="B2384" s="73"/>
      <c r="C2384" s="73"/>
      <c r="D2384" s="73"/>
      <c r="E2384" s="73"/>
      <c r="F2384" s="73"/>
      <c r="G2384" s="73"/>
      <c r="H2384" s="73"/>
    </row>
    <row r="2385" spans="1:8" s="212" customFormat="1">
      <c r="A2385" s="220"/>
      <c r="B2385" s="141"/>
      <c r="C2385" s="141"/>
      <c r="D2385" s="141"/>
      <c r="E2385" s="141"/>
      <c r="F2385" s="141"/>
      <c r="G2385" s="141"/>
      <c r="H2385" s="73"/>
    </row>
    <row r="2386" spans="1:8" s="212" customFormat="1">
      <c r="A2386" s="150"/>
      <c r="B2386" s="83"/>
      <c r="C2386" s="148"/>
      <c r="D2386" s="84"/>
      <c r="E2386" s="84"/>
      <c r="F2386" s="84"/>
      <c r="G2386" s="224"/>
      <c r="H2386" s="221"/>
    </row>
    <row r="2387" spans="1:8" s="212" customFormat="1">
      <c r="A2387" s="84"/>
      <c r="B2387" s="83"/>
      <c r="C2387" s="84"/>
      <c r="D2387" s="84"/>
      <c r="E2387" s="84"/>
      <c r="G2387" s="213"/>
      <c r="H2387" s="222"/>
    </row>
    <row r="2388" spans="1:8" s="212" customFormat="1">
      <c r="A2388" s="120"/>
      <c r="B2388" s="73"/>
      <c r="C2388" s="73"/>
      <c r="D2388" s="73"/>
      <c r="E2388" s="73"/>
      <c r="G2388" s="73"/>
      <c r="H2388" s="222"/>
    </row>
    <row r="2389" spans="1:8" s="212" customFormat="1">
      <c r="A2389" s="220"/>
      <c r="B2389" s="141"/>
      <c r="C2389" s="141"/>
      <c r="D2389" s="141"/>
      <c r="E2389" s="141"/>
      <c r="F2389" s="141"/>
      <c r="G2389" s="141"/>
      <c r="H2389" s="222"/>
    </row>
    <row r="2390" spans="1:8" s="212" customFormat="1">
      <c r="A2390" s="150"/>
      <c r="B2390" s="83"/>
      <c r="C2390" s="148"/>
      <c r="D2390" s="84"/>
      <c r="E2390" s="84"/>
      <c r="F2390" s="84"/>
      <c r="G2390" s="224"/>
      <c r="H2390" s="222"/>
    </row>
    <row r="2391" spans="1:8" s="212" customFormat="1">
      <c r="A2391" s="150"/>
      <c r="B2391" s="83"/>
      <c r="C2391" s="148"/>
      <c r="D2391" s="84"/>
      <c r="E2391" s="84"/>
      <c r="F2391" s="84"/>
      <c r="G2391" s="224"/>
      <c r="H2391" s="222"/>
    </row>
    <row r="2392" spans="1:8" s="212" customFormat="1">
      <c r="A2392" s="150"/>
      <c r="B2392" s="83"/>
      <c r="C2392" s="148"/>
      <c r="D2392" s="84"/>
      <c r="E2392" s="84"/>
      <c r="F2392" s="84"/>
      <c r="G2392" s="224"/>
      <c r="H2392" s="222"/>
    </row>
    <row r="2393" spans="1:8" s="212" customFormat="1">
      <c r="A2393" s="150"/>
      <c r="B2393" s="83"/>
      <c r="C2393" s="148"/>
      <c r="D2393" s="84"/>
      <c r="E2393" s="84"/>
      <c r="F2393" s="84"/>
      <c r="G2393" s="224"/>
      <c r="H2393" s="222"/>
    </row>
    <row r="2394" spans="1:8" s="212" customFormat="1">
      <c r="A2394" s="150"/>
      <c r="B2394" s="83"/>
      <c r="C2394" s="148"/>
      <c r="D2394" s="84"/>
      <c r="E2394" s="84"/>
      <c r="F2394" s="84"/>
      <c r="G2394" s="224"/>
      <c r="H2394" s="222"/>
    </row>
    <row r="2395" spans="1:8" s="212" customFormat="1">
      <c r="A2395" s="150"/>
      <c r="B2395" s="83"/>
      <c r="C2395" s="148"/>
      <c r="D2395" s="84"/>
      <c r="E2395" s="84"/>
      <c r="F2395" s="84"/>
      <c r="G2395" s="224"/>
      <c r="H2395" s="222"/>
    </row>
    <row r="2396" spans="1:8" s="212" customFormat="1">
      <c r="A2396" s="150"/>
      <c r="B2396" s="83"/>
      <c r="C2396" s="148"/>
      <c r="D2396" s="84"/>
      <c r="E2396" s="84"/>
      <c r="F2396" s="84"/>
      <c r="G2396" s="224"/>
      <c r="H2396" s="222"/>
    </row>
    <row r="2397" spans="1:8" s="212" customFormat="1">
      <c r="A2397" s="150"/>
      <c r="B2397" s="83"/>
      <c r="C2397" s="148"/>
      <c r="D2397" s="84"/>
      <c r="E2397" s="84"/>
      <c r="F2397" s="84"/>
      <c r="G2397" s="224"/>
      <c r="H2397" s="222"/>
    </row>
    <row r="2398" spans="1:8" s="212" customFormat="1">
      <c r="A2398" s="150"/>
      <c r="B2398" s="83"/>
      <c r="C2398" s="148"/>
      <c r="D2398" s="84"/>
      <c r="E2398" s="84"/>
      <c r="F2398" s="84"/>
      <c r="G2398" s="224"/>
      <c r="H2398" s="222"/>
    </row>
    <row r="2399" spans="1:8" s="212" customFormat="1">
      <c r="A2399" s="150"/>
      <c r="B2399" s="83"/>
      <c r="C2399" s="148"/>
      <c r="D2399" s="84"/>
      <c r="E2399" s="84"/>
      <c r="F2399" s="84"/>
      <c r="G2399" s="224"/>
      <c r="H2399" s="221"/>
    </row>
    <row r="2400" spans="1:8" s="212" customFormat="1">
      <c r="A2400" s="91"/>
      <c r="B2400" s="91"/>
      <c r="C2400" s="91"/>
      <c r="D2400" s="91"/>
      <c r="E2400" s="91"/>
      <c r="G2400" s="213"/>
      <c r="H2400" s="222"/>
    </row>
    <row r="2401" spans="1:9" s="212" customFormat="1">
      <c r="A2401" s="120"/>
      <c r="B2401" s="73"/>
      <c r="C2401" s="73"/>
      <c r="D2401" s="73"/>
      <c r="E2401" s="73"/>
      <c r="G2401" s="73"/>
      <c r="H2401" s="222"/>
    </row>
    <row r="2402" spans="1:9" s="212" customFormat="1">
      <c r="A2402" s="220"/>
      <c r="B2402" s="141"/>
      <c r="C2402" s="141"/>
      <c r="D2402" s="141"/>
      <c r="E2402" s="141"/>
      <c r="F2402" s="141"/>
      <c r="G2402" s="141"/>
      <c r="H2402" s="222"/>
    </row>
    <row r="2403" spans="1:9" s="212" customFormat="1">
      <c r="A2403" s="146"/>
      <c r="B2403" s="83"/>
      <c r="C2403" s="148"/>
      <c r="D2403" s="84"/>
      <c r="E2403" s="84"/>
      <c r="F2403" s="84"/>
      <c r="G2403" s="146"/>
      <c r="H2403" s="221"/>
    </row>
    <row r="2404" spans="1:9" s="212" customFormat="1">
      <c r="A2404" s="91"/>
      <c r="B2404" s="91"/>
      <c r="C2404" s="91"/>
      <c r="D2404" s="91"/>
      <c r="E2404" s="91"/>
      <c r="G2404" s="213"/>
      <c r="H2404" s="222"/>
    </row>
    <row r="2405" spans="1:9" s="212" customFormat="1">
      <c r="A2405" s="120"/>
      <c r="B2405" s="73"/>
      <c r="C2405" s="73"/>
      <c r="D2405" s="73"/>
      <c r="E2405" s="73"/>
      <c r="G2405" s="73"/>
      <c r="H2405" s="222"/>
    </row>
    <row r="2406" spans="1:9" s="212" customFormat="1">
      <c r="A2406" s="220"/>
      <c r="B2406" s="141"/>
      <c r="C2406" s="141"/>
      <c r="D2406" s="141"/>
      <c r="E2406" s="141"/>
      <c r="F2406" s="141"/>
      <c r="G2406" s="141"/>
      <c r="H2406" s="222"/>
    </row>
    <row r="2407" spans="1:9" s="212" customFormat="1">
      <c r="A2407" s="142"/>
      <c r="B2407" s="143"/>
      <c r="C2407" s="143"/>
      <c r="D2407" s="143"/>
      <c r="E2407" s="143"/>
      <c r="F2407" s="84"/>
      <c r="G2407" s="146"/>
      <c r="H2407" s="221"/>
    </row>
    <row r="2408" spans="1:9" s="212" customFormat="1">
      <c r="A2408" s="123"/>
      <c r="B2408" s="95"/>
      <c r="C2408" s="95"/>
      <c r="D2408" s="95"/>
      <c r="E2408" s="95"/>
      <c r="G2408" s="213"/>
      <c r="H2408" s="73"/>
    </row>
    <row r="2409" spans="1:9" s="212" customFormat="1">
      <c r="A2409" s="123"/>
      <c r="B2409" s="95"/>
      <c r="C2409" s="95"/>
      <c r="D2409" s="95"/>
      <c r="E2409" s="95"/>
      <c r="G2409" s="73"/>
      <c r="H2409" s="225"/>
    </row>
    <row r="2410" spans="1:9" s="212" customFormat="1">
      <c r="B2410" s="97"/>
      <c r="C2410" s="98"/>
      <c r="D2410" s="98"/>
      <c r="E2410" s="98"/>
      <c r="G2410" s="220"/>
    </row>
    <row r="2411" spans="1:9" s="212" customFormat="1">
      <c r="B2411" s="97"/>
      <c r="C2411" s="98"/>
      <c r="D2411" s="98"/>
      <c r="E2411" s="98"/>
      <c r="F2411" s="220"/>
      <c r="G2411" s="225"/>
      <c r="H2411" s="226"/>
    </row>
    <row r="2412" spans="1:9" s="212" customFormat="1">
      <c r="A2412" s="633"/>
      <c r="B2412" s="633"/>
      <c r="C2412" s="633"/>
      <c r="D2412" s="633"/>
      <c r="E2412" s="633"/>
      <c r="F2412" s="633"/>
      <c r="G2412" s="633"/>
    </row>
    <row r="2413" spans="1:9" s="212" customFormat="1">
      <c r="H2413" s="227"/>
      <c r="I2413" s="228"/>
    </row>
    <row r="2414" spans="1:9" s="212" customFormat="1">
      <c r="A2414" s="658"/>
      <c r="B2414" s="227"/>
      <c r="C2414" s="227"/>
      <c r="D2414" s="227"/>
      <c r="E2414" s="227"/>
      <c r="F2414" s="227"/>
      <c r="G2414" s="227"/>
      <c r="H2414" s="227"/>
      <c r="I2414" s="229"/>
    </row>
    <row r="2415" spans="1:9" s="212" customFormat="1">
      <c r="A2415" s="658"/>
      <c r="B2415" s="227"/>
      <c r="C2415" s="227"/>
      <c r="D2415" s="227"/>
      <c r="E2415" s="227"/>
      <c r="F2415" s="227"/>
      <c r="G2415" s="227"/>
    </row>
    <row r="2416" spans="1:9" s="212" customFormat="1">
      <c r="A2416" s="69"/>
      <c r="B2416" s="69"/>
      <c r="C2416" s="69"/>
      <c r="D2416" s="69"/>
      <c r="E2416" s="69"/>
    </row>
    <row r="2417" spans="1:8" s="212" customFormat="1">
      <c r="A2417" s="120"/>
      <c r="B2417" s="73"/>
      <c r="C2417" s="73"/>
      <c r="D2417" s="73"/>
      <c r="E2417" s="73"/>
      <c r="F2417" s="73"/>
      <c r="G2417" s="73"/>
      <c r="H2417" s="73"/>
    </row>
    <row r="2418" spans="1:8" s="212" customFormat="1">
      <c r="A2418" s="220"/>
      <c r="B2418" s="141"/>
      <c r="C2418" s="141"/>
      <c r="D2418" s="141"/>
      <c r="E2418" s="141"/>
      <c r="F2418" s="141"/>
      <c r="G2418" s="141"/>
      <c r="H2418" s="73"/>
    </row>
    <row r="2419" spans="1:8" s="212" customFormat="1">
      <c r="A2419" s="150"/>
      <c r="B2419" s="83"/>
      <c r="C2419" s="148"/>
      <c r="D2419" s="84"/>
      <c r="E2419" s="84"/>
      <c r="F2419" s="84"/>
      <c r="G2419" s="224"/>
      <c r="H2419" s="73"/>
    </row>
    <row r="2420" spans="1:8" s="212" customFormat="1">
      <c r="A2420" s="150"/>
      <c r="B2420" s="83"/>
      <c r="C2420" s="148"/>
      <c r="D2420" s="84"/>
      <c r="E2420" s="84"/>
      <c r="F2420" s="84"/>
      <c r="G2420" s="224"/>
      <c r="H2420" s="73"/>
    </row>
    <row r="2421" spans="1:8" s="212" customFormat="1">
      <c r="A2421" s="150"/>
      <c r="B2421" s="83"/>
      <c r="C2421" s="148"/>
      <c r="D2421" s="84"/>
      <c r="E2421" s="84"/>
      <c r="F2421" s="84"/>
      <c r="G2421" s="224"/>
      <c r="H2421" s="73"/>
    </row>
    <row r="2422" spans="1:8" s="212" customFormat="1">
      <c r="A2422" s="150"/>
      <c r="B2422" s="83"/>
      <c r="C2422" s="148"/>
      <c r="D2422" s="84"/>
      <c r="E2422" s="84"/>
      <c r="F2422" s="84"/>
      <c r="G2422" s="224"/>
      <c r="H2422" s="73"/>
    </row>
    <row r="2423" spans="1:8" s="212" customFormat="1">
      <c r="A2423" s="150"/>
      <c r="B2423" s="83"/>
      <c r="C2423" s="148"/>
      <c r="D2423" s="84"/>
      <c r="E2423" s="84"/>
      <c r="F2423" s="84"/>
      <c r="G2423" s="224"/>
      <c r="H2423" s="221"/>
    </row>
    <row r="2424" spans="1:8" s="212" customFormat="1">
      <c r="A2424" s="84"/>
      <c r="B2424" s="83"/>
      <c r="C2424" s="84"/>
      <c r="D2424" s="84"/>
      <c r="E2424" s="84"/>
      <c r="G2424" s="213"/>
      <c r="H2424" s="222"/>
    </row>
    <row r="2425" spans="1:8" s="212" customFormat="1">
      <c r="A2425" s="120"/>
      <c r="B2425" s="73"/>
      <c r="C2425" s="73"/>
      <c r="D2425" s="73"/>
      <c r="E2425" s="73"/>
      <c r="G2425" s="73"/>
      <c r="H2425" s="222"/>
    </row>
    <row r="2426" spans="1:8" s="212" customFormat="1">
      <c r="A2426" s="220"/>
      <c r="B2426" s="141"/>
      <c r="C2426" s="141"/>
      <c r="D2426" s="141"/>
      <c r="E2426" s="141"/>
      <c r="F2426" s="141"/>
      <c r="G2426" s="141"/>
      <c r="H2426" s="222"/>
    </row>
    <row r="2427" spans="1:8" s="212" customFormat="1">
      <c r="A2427" s="150"/>
      <c r="B2427" s="83"/>
      <c r="C2427" s="148"/>
      <c r="D2427" s="84"/>
      <c r="E2427" s="84"/>
      <c r="F2427" s="84"/>
      <c r="G2427" s="224"/>
      <c r="H2427" s="222"/>
    </row>
    <row r="2428" spans="1:8" s="212" customFormat="1">
      <c r="A2428" s="150"/>
      <c r="B2428" s="83"/>
      <c r="C2428" s="148"/>
      <c r="D2428" s="84"/>
      <c r="E2428" s="84"/>
      <c r="F2428" s="84"/>
      <c r="G2428" s="224"/>
      <c r="H2428" s="222"/>
    </row>
    <row r="2429" spans="1:8" s="212" customFormat="1">
      <c r="A2429" s="150"/>
      <c r="B2429" s="83"/>
      <c r="C2429" s="148"/>
      <c r="D2429" s="84"/>
      <c r="E2429" s="84"/>
      <c r="F2429" s="84"/>
      <c r="G2429" s="224"/>
      <c r="H2429" s="222"/>
    </row>
    <row r="2430" spans="1:8" s="212" customFormat="1">
      <c r="A2430" s="150"/>
      <c r="B2430" s="83"/>
      <c r="C2430" s="148"/>
      <c r="D2430" s="84"/>
      <c r="E2430" s="84"/>
      <c r="F2430" s="84"/>
      <c r="G2430" s="224"/>
      <c r="H2430" s="222"/>
    </row>
    <row r="2431" spans="1:8" s="212" customFormat="1">
      <c r="A2431" s="150"/>
      <c r="B2431" s="83"/>
      <c r="C2431" s="148"/>
      <c r="D2431" s="84"/>
      <c r="E2431" s="84"/>
      <c r="F2431" s="84"/>
      <c r="G2431" s="224"/>
      <c r="H2431" s="222"/>
    </row>
    <row r="2432" spans="1:8" s="212" customFormat="1">
      <c r="A2432" s="150"/>
      <c r="B2432" s="83"/>
      <c r="C2432" s="148"/>
      <c r="D2432" s="84"/>
      <c r="E2432" s="84"/>
      <c r="F2432" s="84"/>
      <c r="G2432" s="224"/>
      <c r="H2432" s="222"/>
    </row>
    <row r="2433" spans="1:9" s="212" customFormat="1">
      <c r="A2433" s="150"/>
      <c r="B2433" s="83"/>
      <c r="C2433" s="148"/>
      <c r="D2433" s="84"/>
      <c r="E2433" s="84"/>
      <c r="F2433" s="84"/>
      <c r="G2433" s="224"/>
      <c r="H2433" s="221"/>
    </row>
    <row r="2434" spans="1:9" s="212" customFormat="1">
      <c r="A2434" s="91"/>
      <c r="B2434" s="91"/>
      <c r="C2434" s="91"/>
      <c r="D2434" s="91"/>
      <c r="E2434" s="91"/>
      <c r="G2434" s="213"/>
      <c r="H2434" s="222"/>
    </row>
    <row r="2435" spans="1:9" s="212" customFormat="1">
      <c r="A2435" s="120"/>
      <c r="B2435" s="73"/>
      <c r="C2435" s="73"/>
      <c r="D2435" s="73"/>
      <c r="E2435" s="73"/>
      <c r="G2435" s="73"/>
      <c r="H2435" s="222"/>
    </row>
    <row r="2436" spans="1:9" s="212" customFormat="1">
      <c r="A2436" s="220"/>
      <c r="B2436" s="141"/>
      <c r="C2436" s="141"/>
      <c r="D2436" s="141"/>
      <c r="E2436" s="141"/>
      <c r="F2436" s="141"/>
      <c r="G2436" s="141"/>
      <c r="H2436" s="222"/>
    </row>
    <row r="2437" spans="1:9" s="212" customFormat="1">
      <c r="A2437" s="146"/>
      <c r="B2437" s="83"/>
      <c r="C2437" s="148"/>
      <c r="D2437" s="84"/>
      <c r="E2437" s="84"/>
      <c r="F2437" s="84"/>
      <c r="G2437" s="146"/>
      <c r="H2437" s="222"/>
    </row>
    <row r="2438" spans="1:9" s="212" customFormat="1">
      <c r="A2438" s="146"/>
      <c r="B2438" s="83"/>
      <c r="C2438" s="148"/>
      <c r="D2438" s="84"/>
      <c r="E2438" s="84"/>
      <c r="F2438" s="84"/>
      <c r="G2438" s="146"/>
      <c r="H2438" s="221"/>
    </row>
    <row r="2439" spans="1:9" s="212" customFormat="1">
      <c r="A2439" s="91"/>
      <c r="B2439" s="91"/>
      <c r="C2439" s="91"/>
      <c r="D2439" s="91"/>
      <c r="E2439" s="91"/>
      <c r="G2439" s="213"/>
      <c r="H2439" s="222"/>
    </row>
    <row r="2440" spans="1:9" s="212" customFormat="1">
      <c r="A2440" s="120"/>
      <c r="B2440" s="73"/>
      <c r="C2440" s="73"/>
      <c r="D2440" s="73"/>
      <c r="E2440" s="73"/>
      <c r="G2440" s="73"/>
      <c r="H2440" s="222"/>
    </row>
    <row r="2441" spans="1:9" s="212" customFormat="1">
      <c r="A2441" s="220"/>
      <c r="B2441" s="141"/>
      <c r="C2441" s="141"/>
      <c r="D2441" s="141"/>
      <c r="E2441" s="141"/>
      <c r="F2441" s="141"/>
      <c r="G2441" s="141"/>
      <c r="H2441" s="222"/>
    </row>
    <row r="2442" spans="1:9" s="212" customFormat="1">
      <c r="A2442" s="142"/>
      <c r="B2442" s="143"/>
      <c r="C2442" s="143"/>
      <c r="D2442" s="143"/>
      <c r="E2442" s="143"/>
      <c r="F2442" s="84"/>
      <c r="G2442" s="146"/>
      <c r="H2442" s="221"/>
    </row>
    <row r="2443" spans="1:9" s="212" customFormat="1">
      <c r="A2443" s="123"/>
      <c r="B2443" s="95"/>
      <c r="C2443" s="95"/>
      <c r="D2443" s="95"/>
      <c r="E2443" s="95"/>
      <c r="G2443" s="213"/>
      <c r="H2443" s="73"/>
    </row>
    <row r="2444" spans="1:9" s="212" customFormat="1">
      <c r="A2444" s="123"/>
      <c r="B2444" s="95"/>
      <c r="C2444" s="95"/>
      <c r="D2444" s="95"/>
      <c r="E2444" s="95"/>
      <c r="G2444" s="73"/>
      <c r="H2444" s="225"/>
    </row>
    <row r="2445" spans="1:9" s="212" customFormat="1">
      <c r="B2445" s="97"/>
      <c r="C2445" s="98"/>
      <c r="D2445" s="98"/>
      <c r="E2445" s="98"/>
      <c r="G2445" s="220"/>
    </row>
    <row r="2446" spans="1:9" s="212" customFormat="1">
      <c r="B2446" s="97"/>
      <c r="C2446" s="98"/>
      <c r="D2446" s="98"/>
      <c r="E2446" s="98"/>
      <c r="F2446" s="220"/>
      <c r="G2446" s="225"/>
      <c r="H2446" s="226"/>
    </row>
    <row r="2447" spans="1:9" s="212" customFormat="1">
      <c r="A2447" s="633"/>
      <c r="B2447" s="633"/>
      <c r="C2447" s="633"/>
      <c r="D2447" s="633"/>
      <c r="E2447" s="633"/>
      <c r="F2447" s="633"/>
      <c r="G2447" s="633"/>
    </row>
    <row r="2448" spans="1:9" s="212" customFormat="1">
      <c r="H2448" s="227"/>
      <c r="I2448" s="228"/>
    </row>
    <row r="2449" spans="1:9" s="212" customFormat="1">
      <c r="A2449" s="658"/>
      <c r="B2449" s="227"/>
      <c r="C2449" s="227"/>
      <c r="D2449" s="227"/>
      <c r="E2449" s="227"/>
      <c r="F2449" s="227"/>
      <c r="G2449" s="227"/>
      <c r="H2449" s="227"/>
      <c r="I2449" s="229"/>
    </row>
    <row r="2450" spans="1:9" s="212" customFormat="1">
      <c r="A2450" s="658"/>
      <c r="B2450" s="227"/>
      <c r="C2450" s="227"/>
      <c r="D2450" s="227"/>
      <c r="E2450" s="227"/>
      <c r="F2450" s="227"/>
      <c r="G2450" s="227"/>
    </row>
    <row r="2451" spans="1:9" s="212" customFormat="1">
      <c r="A2451" s="69"/>
      <c r="B2451" s="69"/>
      <c r="C2451" s="69"/>
      <c r="D2451" s="69"/>
      <c r="E2451" s="69"/>
    </row>
    <row r="2452" spans="1:9" s="212" customFormat="1">
      <c r="A2452" s="120"/>
      <c r="B2452" s="73"/>
      <c r="C2452" s="73"/>
      <c r="D2452" s="73"/>
      <c r="E2452" s="73"/>
      <c r="F2452" s="73"/>
      <c r="G2452" s="73"/>
      <c r="H2452" s="73"/>
    </row>
    <row r="2453" spans="1:9" s="212" customFormat="1">
      <c r="A2453" s="220"/>
      <c r="B2453" s="141"/>
      <c r="C2453" s="141"/>
      <c r="D2453" s="141"/>
      <c r="E2453" s="141"/>
      <c r="F2453" s="141"/>
      <c r="G2453" s="141"/>
      <c r="H2453" s="73"/>
    </row>
    <row r="2454" spans="1:9" s="212" customFormat="1">
      <c r="A2454" s="150"/>
      <c r="B2454" s="83"/>
      <c r="C2454" s="148"/>
      <c r="D2454" s="84"/>
      <c r="E2454" s="84"/>
      <c r="F2454" s="84"/>
      <c r="G2454" s="224"/>
      <c r="H2454" s="73"/>
    </row>
    <row r="2455" spans="1:9" s="212" customFormat="1">
      <c r="A2455" s="150"/>
      <c r="B2455" s="83"/>
      <c r="C2455" s="148"/>
      <c r="D2455" s="84"/>
      <c r="E2455" s="84"/>
      <c r="F2455" s="84"/>
      <c r="G2455" s="224"/>
      <c r="H2455" s="73"/>
    </row>
    <row r="2456" spans="1:9" s="212" customFormat="1">
      <c r="A2456" s="150"/>
      <c r="B2456" s="83"/>
      <c r="C2456" s="148"/>
      <c r="D2456" s="84"/>
      <c r="E2456" s="84"/>
      <c r="F2456" s="84"/>
      <c r="G2456" s="224"/>
      <c r="H2456" s="221"/>
    </row>
    <row r="2457" spans="1:9" s="212" customFormat="1">
      <c r="A2457" s="84"/>
      <c r="B2457" s="83"/>
      <c r="C2457" s="84"/>
      <c r="D2457" s="84"/>
      <c r="E2457" s="84"/>
      <c r="G2457" s="213"/>
      <c r="H2457" s="222"/>
    </row>
    <row r="2458" spans="1:9" s="212" customFormat="1">
      <c r="A2458" s="120"/>
      <c r="B2458" s="73"/>
      <c r="C2458" s="73"/>
      <c r="D2458" s="73"/>
      <c r="E2458" s="73"/>
      <c r="G2458" s="73"/>
      <c r="H2458" s="222"/>
    </row>
    <row r="2459" spans="1:9" s="212" customFormat="1">
      <c r="A2459" s="220"/>
      <c r="B2459" s="141"/>
      <c r="C2459" s="141"/>
      <c r="D2459" s="141"/>
      <c r="E2459" s="141"/>
      <c r="F2459" s="141"/>
      <c r="G2459" s="141"/>
      <c r="H2459" s="222"/>
    </row>
    <row r="2460" spans="1:9" s="212" customFormat="1">
      <c r="A2460" s="150"/>
      <c r="B2460" s="83"/>
      <c r="C2460" s="148"/>
      <c r="D2460" s="84"/>
      <c r="E2460" s="84"/>
      <c r="F2460" s="84"/>
      <c r="G2460" s="224"/>
      <c r="H2460" s="222"/>
    </row>
    <row r="2461" spans="1:9" s="212" customFormat="1">
      <c r="A2461" s="150"/>
      <c r="B2461" s="83"/>
      <c r="C2461" s="148"/>
      <c r="D2461" s="84"/>
      <c r="E2461" s="84"/>
      <c r="F2461" s="84"/>
      <c r="G2461" s="224"/>
      <c r="H2461" s="221"/>
    </row>
    <row r="2462" spans="1:9" s="212" customFormat="1">
      <c r="A2462" s="91"/>
      <c r="B2462" s="91"/>
      <c r="C2462" s="91"/>
      <c r="D2462" s="91"/>
      <c r="E2462" s="91"/>
      <c r="G2462" s="213"/>
      <c r="H2462" s="222"/>
    </row>
    <row r="2463" spans="1:9" s="212" customFormat="1">
      <c r="A2463" s="120"/>
      <c r="B2463" s="73"/>
      <c r="C2463" s="73"/>
      <c r="D2463" s="73"/>
      <c r="E2463" s="73"/>
      <c r="G2463" s="73"/>
      <c r="H2463" s="222"/>
    </row>
    <row r="2464" spans="1:9" s="212" customFormat="1">
      <c r="A2464" s="220"/>
      <c r="B2464" s="141"/>
      <c r="C2464" s="141"/>
      <c r="D2464" s="141"/>
      <c r="E2464" s="141"/>
      <c r="F2464" s="141"/>
      <c r="G2464" s="141"/>
      <c r="H2464" s="222"/>
    </row>
    <row r="2465" spans="1:9" s="212" customFormat="1">
      <c r="A2465" s="146"/>
      <c r="B2465" s="83"/>
      <c r="C2465" s="148"/>
      <c r="D2465" s="84"/>
      <c r="E2465" s="84"/>
      <c r="F2465" s="84"/>
      <c r="G2465" s="146"/>
      <c r="H2465" s="221"/>
    </row>
    <row r="2466" spans="1:9" s="212" customFormat="1">
      <c r="A2466" s="91"/>
      <c r="B2466" s="91"/>
      <c r="C2466" s="91"/>
      <c r="D2466" s="91"/>
      <c r="E2466" s="91"/>
      <c r="G2466" s="213"/>
      <c r="H2466" s="222"/>
    </row>
    <row r="2467" spans="1:9" s="212" customFormat="1">
      <c r="A2467" s="120"/>
      <c r="B2467" s="73"/>
      <c r="C2467" s="73"/>
      <c r="D2467" s="73"/>
      <c r="E2467" s="73"/>
      <c r="G2467" s="73"/>
      <c r="H2467" s="222"/>
    </row>
    <row r="2468" spans="1:9" s="212" customFormat="1">
      <c r="A2468" s="220"/>
      <c r="B2468" s="141"/>
      <c r="C2468" s="141"/>
      <c r="D2468" s="141"/>
      <c r="E2468" s="141"/>
      <c r="F2468" s="141"/>
      <c r="G2468" s="141"/>
      <c r="H2468" s="222"/>
    </row>
    <row r="2469" spans="1:9" s="212" customFormat="1">
      <c r="A2469" s="142"/>
      <c r="B2469" s="143"/>
      <c r="C2469" s="143"/>
      <c r="D2469" s="143"/>
      <c r="E2469" s="143"/>
      <c r="F2469" s="84"/>
      <c r="G2469" s="146"/>
      <c r="H2469" s="221"/>
    </row>
    <row r="2470" spans="1:9" s="212" customFormat="1">
      <c r="A2470" s="123"/>
      <c r="B2470" s="95"/>
      <c r="C2470" s="95"/>
      <c r="D2470" s="95"/>
      <c r="E2470" s="95"/>
      <c r="G2470" s="213"/>
      <c r="H2470" s="73"/>
    </row>
    <row r="2471" spans="1:9" s="212" customFormat="1">
      <c r="A2471" s="123"/>
      <c r="B2471" s="95"/>
      <c r="C2471" s="95"/>
      <c r="D2471" s="95"/>
      <c r="E2471" s="95"/>
      <c r="G2471" s="73"/>
      <c r="H2471" s="225"/>
    </row>
    <row r="2472" spans="1:9" s="212" customFormat="1">
      <c r="B2472" s="97"/>
      <c r="C2472" s="98"/>
      <c r="D2472" s="98"/>
      <c r="E2472" s="98"/>
      <c r="G2472" s="220"/>
    </row>
    <row r="2473" spans="1:9" s="212" customFormat="1">
      <c r="B2473" s="97"/>
      <c r="C2473" s="98"/>
      <c r="D2473" s="98"/>
      <c r="E2473" s="98"/>
      <c r="F2473" s="220"/>
      <c r="G2473" s="225"/>
      <c r="H2473" s="226"/>
    </row>
    <row r="2474" spans="1:9" s="212" customFormat="1">
      <c r="A2474" s="633"/>
      <c r="B2474" s="633"/>
      <c r="C2474" s="633"/>
      <c r="D2474" s="633"/>
      <c r="E2474" s="633"/>
      <c r="F2474" s="633"/>
      <c r="G2474" s="633"/>
    </row>
    <row r="2475" spans="1:9" s="212" customFormat="1">
      <c r="H2475" s="227"/>
      <c r="I2475" s="228"/>
    </row>
    <row r="2476" spans="1:9" s="212" customFormat="1">
      <c r="A2476" s="658"/>
      <c r="B2476" s="227"/>
      <c r="C2476" s="227"/>
      <c r="D2476" s="227"/>
      <c r="E2476" s="227"/>
      <c r="F2476" s="227"/>
      <c r="G2476" s="227"/>
      <c r="H2476" s="227"/>
      <c r="I2476" s="229"/>
    </row>
    <row r="2477" spans="1:9" s="212" customFormat="1">
      <c r="A2477" s="658"/>
      <c r="B2477" s="227"/>
      <c r="C2477" s="227"/>
      <c r="D2477" s="227"/>
      <c r="E2477" s="227"/>
      <c r="F2477" s="227"/>
      <c r="G2477" s="227"/>
    </row>
    <row r="2478" spans="1:9" s="212" customFormat="1">
      <c r="A2478" s="69"/>
      <c r="B2478" s="69"/>
      <c r="C2478" s="69"/>
      <c r="D2478" s="69"/>
      <c r="E2478" s="69"/>
    </row>
    <row r="2479" spans="1:9" s="212" customFormat="1">
      <c r="A2479" s="120"/>
      <c r="B2479" s="73"/>
      <c r="C2479" s="73"/>
      <c r="D2479" s="73"/>
      <c r="E2479" s="73"/>
      <c r="F2479" s="73"/>
      <c r="G2479" s="73"/>
      <c r="H2479" s="73"/>
    </row>
    <row r="2480" spans="1:9" s="212" customFormat="1">
      <c r="A2480" s="220"/>
      <c r="B2480" s="141"/>
      <c r="C2480" s="141"/>
      <c r="D2480" s="141"/>
      <c r="E2480" s="141"/>
      <c r="F2480" s="141"/>
      <c r="G2480" s="141"/>
      <c r="H2480" s="73"/>
    </row>
    <row r="2481" spans="1:8" s="212" customFormat="1">
      <c r="A2481" s="150"/>
      <c r="B2481" s="83"/>
      <c r="C2481" s="148"/>
      <c r="D2481" s="84"/>
      <c r="E2481" s="84"/>
      <c r="F2481" s="84"/>
      <c r="G2481" s="224"/>
      <c r="H2481" s="221"/>
    </row>
    <row r="2482" spans="1:8" s="212" customFormat="1">
      <c r="A2482" s="84"/>
      <c r="B2482" s="83"/>
      <c r="C2482" s="84"/>
      <c r="D2482" s="84"/>
      <c r="E2482" s="84"/>
      <c r="G2482" s="213"/>
      <c r="H2482" s="222"/>
    </row>
    <row r="2483" spans="1:8" s="212" customFormat="1">
      <c r="A2483" s="120"/>
      <c r="B2483" s="73"/>
      <c r="C2483" s="73"/>
      <c r="D2483" s="73"/>
      <c r="E2483" s="73"/>
      <c r="G2483" s="73"/>
      <c r="H2483" s="222"/>
    </row>
    <row r="2484" spans="1:8" s="212" customFormat="1">
      <c r="A2484" s="220"/>
      <c r="B2484" s="141"/>
      <c r="C2484" s="141"/>
      <c r="D2484" s="141"/>
      <c r="E2484" s="141"/>
      <c r="F2484" s="141"/>
      <c r="G2484" s="141"/>
      <c r="H2484" s="222"/>
    </row>
    <row r="2485" spans="1:8" s="212" customFormat="1">
      <c r="A2485" s="150"/>
      <c r="B2485" s="83"/>
      <c r="C2485" s="148"/>
      <c r="D2485" s="84"/>
      <c r="E2485" s="84"/>
      <c r="F2485" s="84"/>
      <c r="G2485" s="224"/>
      <c r="H2485" s="222"/>
    </row>
    <row r="2486" spans="1:8" s="212" customFormat="1">
      <c r="A2486" s="150"/>
      <c r="B2486" s="83"/>
      <c r="C2486" s="148"/>
      <c r="D2486" s="84"/>
      <c r="E2486" s="84"/>
      <c r="F2486" s="84"/>
      <c r="G2486" s="224"/>
      <c r="H2486" s="222"/>
    </row>
    <row r="2487" spans="1:8" s="212" customFormat="1">
      <c r="A2487" s="150"/>
      <c r="B2487" s="83"/>
      <c r="C2487" s="148"/>
      <c r="D2487" s="84"/>
      <c r="E2487" s="84"/>
      <c r="F2487" s="84"/>
      <c r="G2487" s="224"/>
      <c r="H2487" s="221"/>
    </row>
    <row r="2488" spans="1:8" s="212" customFormat="1">
      <c r="A2488" s="91"/>
      <c r="B2488" s="91"/>
      <c r="C2488" s="91"/>
      <c r="D2488" s="91"/>
      <c r="E2488" s="91"/>
      <c r="G2488" s="213"/>
      <c r="H2488" s="222"/>
    </row>
    <row r="2489" spans="1:8" s="212" customFormat="1">
      <c r="A2489" s="120"/>
      <c r="B2489" s="73"/>
      <c r="C2489" s="73"/>
      <c r="D2489" s="73"/>
      <c r="E2489" s="73"/>
      <c r="G2489" s="73"/>
      <c r="H2489" s="222"/>
    </row>
    <row r="2490" spans="1:8" s="212" customFormat="1">
      <c r="A2490" s="220"/>
      <c r="B2490" s="141"/>
      <c r="C2490" s="141"/>
      <c r="D2490" s="141"/>
      <c r="E2490" s="141"/>
      <c r="F2490" s="141"/>
      <c r="G2490" s="141"/>
      <c r="H2490" s="222"/>
    </row>
    <row r="2491" spans="1:8" s="212" customFormat="1">
      <c r="A2491" s="146"/>
      <c r="B2491" s="83"/>
      <c r="C2491" s="148"/>
      <c r="D2491" s="84"/>
      <c r="E2491" s="84"/>
      <c r="F2491" s="84"/>
      <c r="G2491" s="146"/>
      <c r="H2491" s="221"/>
    </row>
    <row r="2492" spans="1:8" s="212" customFormat="1">
      <c r="A2492" s="91"/>
      <c r="B2492" s="91"/>
      <c r="C2492" s="91"/>
      <c r="D2492" s="91"/>
      <c r="E2492" s="91"/>
      <c r="G2492" s="213"/>
      <c r="H2492" s="222"/>
    </row>
    <row r="2493" spans="1:8" s="212" customFormat="1">
      <c r="A2493" s="120"/>
      <c r="B2493" s="73"/>
      <c r="C2493" s="73"/>
      <c r="D2493" s="73"/>
      <c r="E2493" s="73"/>
      <c r="G2493" s="73"/>
      <c r="H2493" s="222"/>
    </row>
    <row r="2494" spans="1:8" s="212" customFormat="1">
      <c r="A2494" s="220"/>
      <c r="B2494" s="141"/>
      <c r="C2494" s="141"/>
      <c r="D2494" s="141"/>
      <c r="E2494" s="141"/>
      <c r="F2494" s="141"/>
      <c r="G2494" s="141"/>
      <c r="H2494" s="222"/>
    </row>
    <row r="2495" spans="1:8" s="212" customFormat="1">
      <c r="A2495" s="142"/>
      <c r="B2495" s="143"/>
      <c r="C2495" s="143"/>
      <c r="D2495" s="143"/>
      <c r="E2495" s="143"/>
      <c r="F2495" s="84"/>
      <c r="G2495" s="146"/>
      <c r="H2495" s="221"/>
    </row>
    <row r="2496" spans="1:8" s="212" customFormat="1">
      <c r="A2496" s="123"/>
      <c r="B2496" s="95"/>
      <c r="C2496" s="95"/>
      <c r="D2496" s="95"/>
      <c r="E2496" s="95"/>
      <c r="G2496" s="213"/>
      <c r="H2496" s="73"/>
    </row>
    <row r="2497" spans="1:9" s="212" customFormat="1">
      <c r="A2497" s="123"/>
      <c r="B2497" s="95"/>
      <c r="C2497" s="95"/>
      <c r="D2497" s="95"/>
      <c r="E2497" s="95"/>
      <c r="G2497" s="73"/>
      <c r="H2497" s="225"/>
    </row>
    <row r="2498" spans="1:9" s="212" customFormat="1">
      <c r="B2498" s="97"/>
      <c r="C2498" s="98"/>
      <c r="D2498" s="98"/>
      <c r="E2498" s="98"/>
      <c r="G2498" s="220"/>
    </row>
    <row r="2499" spans="1:9" s="212" customFormat="1">
      <c r="B2499" s="97"/>
      <c r="C2499" s="98"/>
      <c r="D2499" s="98"/>
      <c r="E2499" s="98"/>
      <c r="F2499" s="220"/>
      <c r="G2499" s="225"/>
      <c r="H2499" s="226"/>
    </row>
    <row r="2500" spans="1:9" s="212" customFormat="1">
      <c r="A2500" s="633"/>
      <c r="B2500" s="633"/>
      <c r="C2500" s="633"/>
      <c r="D2500" s="633"/>
      <c r="E2500" s="633"/>
      <c r="F2500" s="633"/>
      <c r="G2500" s="633"/>
    </row>
    <row r="2501" spans="1:9" s="212" customFormat="1">
      <c r="H2501" s="227"/>
      <c r="I2501" s="228"/>
    </row>
    <row r="2502" spans="1:9" s="212" customFormat="1">
      <c r="A2502" s="658"/>
      <c r="B2502" s="227"/>
      <c r="C2502" s="227"/>
      <c r="D2502" s="227"/>
      <c r="E2502" s="227"/>
      <c r="F2502" s="227"/>
      <c r="G2502" s="227"/>
      <c r="H2502" s="227"/>
      <c r="I2502" s="229"/>
    </row>
    <row r="2503" spans="1:9" s="212" customFormat="1">
      <c r="A2503" s="658"/>
      <c r="B2503" s="227"/>
      <c r="C2503" s="227"/>
      <c r="D2503" s="227"/>
      <c r="E2503" s="227"/>
      <c r="F2503" s="227"/>
      <c r="G2503" s="227"/>
    </row>
    <row r="2504" spans="1:9" s="212" customFormat="1">
      <c r="A2504" s="69"/>
      <c r="B2504" s="69"/>
      <c r="C2504" s="69"/>
      <c r="D2504" s="69"/>
      <c r="E2504" s="69"/>
    </row>
    <row r="2505" spans="1:9" s="212" customFormat="1">
      <c r="A2505" s="120"/>
      <c r="B2505" s="73"/>
      <c r="C2505" s="73"/>
      <c r="D2505" s="73"/>
      <c r="E2505" s="73"/>
      <c r="F2505" s="73"/>
      <c r="G2505" s="73"/>
      <c r="H2505" s="73"/>
    </row>
    <row r="2506" spans="1:9" s="212" customFormat="1">
      <c r="A2506" s="220"/>
      <c r="B2506" s="141"/>
      <c r="C2506" s="141"/>
      <c r="D2506" s="141"/>
      <c r="E2506" s="141"/>
      <c r="F2506" s="141"/>
      <c r="G2506" s="141"/>
      <c r="H2506" s="73"/>
    </row>
    <row r="2507" spans="1:9" s="212" customFormat="1">
      <c r="A2507" s="150"/>
      <c r="B2507" s="83"/>
      <c r="C2507" s="148"/>
      <c r="D2507" s="84"/>
      <c r="E2507" s="84"/>
      <c r="F2507" s="84"/>
      <c r="G2507" s="224"/>
      <c r="H2507" s="73"/>
    </row>
    <row r="2508" spans="1:9" s="212" customFormat="1">
      <c r="A2508" s="150"/>
      <c r="B2508" s="83"/>
      <c r="C2508" s="148"/>
      <c r="D2508" s="84"/>
      <c r="E2508" s="84"/>
      <c r="F2508" s="84"/>
      <c r="G2508" s="224"/>
      <c r="H2508" s="221"/>
    </row>
    <row r="2509" spans="1:9" s="212" customFormat="1">
      <c r="A2509" s="84"/>
      <c r="B2509" s="83"/>
      <c r="C2509" s="84"/>
      <c r="D2509" s="84"/>
      <c r="E2509" s="84"/>
      <c r="G2509" s="213"/>
      <c r="H2509" s="222"/>
    </row>
    <row r="2510" spans="1:9" s="212" customFormat="1">
      <c r="A2510" s="120"/>
      <c r="B2510" s="73"/>
      <c r="C2510" s="73"/>
      <c r="D2510" s="73"/>
      <c r="E2510" s="73"/>
      <c r="G2510" s="73"/>
      <c r="H2510" s="222"/>
    </row>
    <row r="2511" spans="1:9" s="212" customFormat="1">
      <c r="A2511" s="220"/>
      <c r="B2511" s="141"/>
      <c r="C2511" s="141"/>
      <c r="D2511" s="141"/>
      <c r="E2511" s="141"/>
      <c r="F2511" s="141"/>
      <c r="G2511" s="141"/>
      <c r="H2511" s="222"/>
    </row>
    <row r="2512" spans="1:9" s="212" customFormat="1">
      <c r="A2512" s="150"/>
      <c r="B2512" s="83"/>
      <c r="C2512" s="148"/>
      <c r="D2512" s="84"/>
      <c r="E2512" s="84"/>
      <c r="F2512" s="84"/>
      <c r="G2512" s="224"/>
      <c r="H2512" s="222"/>
    </row>
    <row r="2513" spans="1:9" s="212" customFormat="1">
      <c r="A2513" s="150"/>
      <c r="B2513" s="83"/>
      <c r="C2513" s="148"/>
      <c r="D2513" s="84"/>
      <c r="E2513" s="84"/>
      <c r="F2513" s="84"/>
      <c r="G2513" s="224"/>
      <c r="H2513" s="221"/>
    </row>
    <row r="2514" spans="1:9" s="212" customFormat="1">
      <c r="A2514" s="91"/>
      <c r="B2514" s="91"/>
      <c r="C2514" s="91"/>
      <c r="D2514" s="91"/>
      <c r="E2514" s="91"/>
      <c r="G2514" s="213"/>
      <c r="H2514" s="222"/>
    </row>
    <row r="2515" spans="1:9" s="212" customFormat="1">
      <c r="A2515" s="120"/>
      <c r="B2515" s="73"/>
      <c r="C2515" s="73"/>
      <c r="D2515" s="73"/>
      <c r="E2515" s="73"/>
      <c r="G2515" s="73"/>
      <c r="H2515" s="222"/>
    </row>
    <row r="2516" spans="1:9" s="212" customFormat="1">
      <c r="A2516" s="220"/>
      <c r="B2516" s="141"/>
      <c r="C2516" s="141"/>
      <c r="D2516" s="141"/>
      <c r="E2516" s="141"/>
      <c r="F2516" s="141"/>
      <c r="G2516" s="141"/>
      <c r="H2516" s="222"/>
    </row>
    <row r="2517" spans="1:9" s="212" customFormat="1">
      <c r="A2517" s="146"/>
      <c r="B2517" s="83"/>
      <c r="C2517" s="148"/>
      <c r="D2517" s="84"/>
      <c r="E2517" s="84"/>
      <c r="F2517" s="84"/>
      <c r="G2517" s="146"/>
      <c r="H2517" s="221"/>
    </row>
    <row r="2518" spans="1:9" s="212" customFormat="1">
      <c r="A2518" s="91"/>
      <c r="B2518" s="91"/>
      <c r="C2518" s="91"/>
      <c r="D2518" s="91"/>
      <c r="E2518" s="91"/>
      <c r="G2518" s="213"/>
      <c r="H2518" s="222"/>
    </row>
    <row r="2519" spans="1:9" s="212" customFormat="1">
      <c r="A2519" s="120"/>
      <c r="B2519" s="73"/>
      <c r="C2519" s="73"/>
      <c r="D2519" s="73"/>
      <c r="E2519" s="73"/>
      <c r="G2519" s="73"/>
      <c r="H2519" s="222"/>
    </row>
    <row r="2520" spans="1:9" s="212" customFormat="1">
      <c r="A2520" s="220"/>
      <c r="B2520" s="141"/>
      <c r="C2520" s="141"/>
      <c r="D2520" s="141"/>
      <c r="E2520" s="141"/>
      <c r="F2520" s="141"/>
      <c r="G2520" s="141"/>
      <c r="H2520" s="222"/>
    </row>
    <row r="2521" spans="1:9" s="212" customFormat="1">
      <c r="A2521" s="142"/>
      <c r="B2521" s="143"/>
      <c r="C2521" s="143"/>
      <c r="D2521" s="143"/>
      <c r="E2521" s="143"/>
      <c r="F2521" s="84"/>
      <c r="G2521" s="146"/>
      <c r="H2521" s="221"/>
    </row>
    <row r="2522" spans="1:9" s="212" customFormat="1">
      <c r="A2522" s="123"/>
      <c r="B2522" s="95"/>
      <c r="C2522" s="95"/>
      <c r="D2522" s="95"/>
      <c r="E2522" s="95"/>
      <c r="G2522" s="213"/>
      <c r="H2522" s="73"/>
    </row>
    <row r="2523" spans="1:9" s="212" customFormat="1">
      <c r="A2523" s="123"/>
      <c r="B2523" s="95"/>
      <c r="C2523" s="95"/>
      <c r="D2523" s="95"/>
      <c r="E2523" s="95"/>
      <c r="G2523" s="73"/>
      <c r="H2523" s="225"/>
    </row>
    <row r="2524" spans="1:9" s="212" customFormat="1">
      <c r="B2524" s="97"/>
      <c r="C2524" s="98"/>
      <c r="D2524" s="98"/>
      <c r="E2524" s="98"/>
      <c r="G2524" s="220"/>
    </row>
    <row r="2525" spans="1:9" s="212" customFormat="1">
      <c r="B2525" s="97"/>
      <c r="C2525" s="98"/>
      <c r="D2525" s="98"/>
      <c r="E2525" s="98"/>
      <c r="F2525" s="220"/>
      <c r="G2525" s="225"/>
      <c r="H2525" s="226"/>
    </row>
    <row r="2526" spans="1:9" s="212" customFormat="1">
      <c r="A2526" s="633"/>
      <c r="B2526" s="633"/>
      <c r="C2526" s="633"/>
      <c r="D2526" s="633"/>
      <c r="E2526" s="633"/>
      <c r="F2526" s="633"/>
      <c r="G2526" s="633"/>
    </row>
    <row r="2527" spans="1:9" s="212" customFormat="1">
      <c r="H2527" s="227"/>
      <c r="I2527" s="228"/>
    </row>
    <row r="2528" spans="1:9" s="212" customFormat="1">
      <c r="A2528" s="658"/>
      <c r="B2528" s="227"/>
      <c r="C2528" s="227"/>
      <c r="D2528" s="227"/>
      <c r="E2528" s="227"/>
      <c r="F2528" s="227"/>
      <c r="G2528" s="227"/>
      <c r="H2528" s="227"/>
      <c r="I2528" s="229"/>
    </row>
    <row r="2529" spans="1:8" s="212" customFormat="1">
      <c r="A2529" s="658"/>
      <c r="B2529" s="227"/>
      <c r="C2529" s="227"/>
      <c r="D2529" s="227"/>
      <c r="E2529" s="227"/>
      <c r="F2529" s="227"/>
      <c r="G2529" s="227"/>
    </row>
    <row r="2530" spans="1:8" s="212" customFormat="1">
      <c r="A2530" s="69"/>
      <c r="B2530" s="69"/>
      <c r="C2530" s="69"/>
      <c r="D2530" s="69"/>
      <c r="E2530" s="69"/>
    </row>
    <row r="2531" spans="1:8" s="212" customFormat="1">
      <c r="A2531" s="120"/>
      <c r="B2531" s="73"/>
      <c r="C2531" s="73"/>
      <c r="D2531" s="73"/>
      <c r="E2531" s="73"/>
      <c r="F2531" s="73"/>
      <c r="G2531" s="73"/>
      <c r="H2531" s="73"/>
    </row>
    <row r="2532" spans="1:8" s="212" customFormat="1">
      <c r="A2532" s="220"/>
      <c r="B2532" s="141"/>
      <c r="C2532" s="141"/>
      <c r="D2532" s="141"/>
      <c r="E2532" s="141"/>
      <c r="F2532" s="141"/>
      <c r="G2532" s="141"/>
      <c r="H2532" s="73"/>
    </row>
    <row r="2533" spans="1:8" s="212" customFormat="1">
      <c r="A2533" s="150"/>
      <c r="B2533" s="83"/>
      <c r="C2533" s="148"/>
      <c r="D2533" s="84"/>
      <c r="E2533" s="84"/>
      <c r="F2533" s="84"/>
      <c r="G2533" s="224"/>
      <c r="H2533" s="73"/>
    </row>
    <row r="2534" spans="1:8" s="212" customFormat="1">
      <c r="A2534" s="150"/>
      <c r="B2534" s="83"/>
      <c r="C2534" s="148"/>
      <c r="D2534" s="84"/>
      <c r="E2534" s="84"/>
      <c r="F2534" s="84"/>
      <c r="G2534" s="224"/>
      <c r="H2534" s="221"/>
    </row>
    <row r="2535" spans="1:8" s="212" customFormat="1">
      <c r="A2535" s="84"/>
      <c r="B2535" s="83"/>
      <c r="C2535" s="84"/>
      <c r="D2535" s="84"/>
      <c r="E2535" s="84"/>
      <c r="G2535" s="213"/>
      <c r="H2535" s="222"/>
    </row>
    <row r="2536" spans="1:8" s="212" customFormat="1">
      <c r="A2536" s="120"/>
      <c r="B2536" s="73"/>
      <c r="C2536" s="73"/>
      <c r="D2536" s="73"/>
      <c r="E2536" s="73"/>
      <c r="G2536" s="73"/>
      <c r="H2536" s="222"/>
    </row>
    <row r="2537" spans="1:8" s="212" customFormat="1">
      <c r="A2537" s="220"/>
      <c r="B2537" s="141"/>
      <c r="C2537" s="141"/>
      <c r="D2537" s="141"/>
      <c r="E2537" s="141"/>
      <c r="F2537" s="141"/>
      <c r="G2537" s="141"/>
      <c r="H2537" s="222"/>
    </row>
    <row r="2538" spans="1:8" s="212" customFormat="1">
      <c r="A2538" s="150"/>
      <c r="B2538" s="83"/>
      <c r="C2538" s="148"/>
      <c r="D2538" s="84"/>
      <c r="E2538" s="84"/>
      <c r="F2538" s="84"/>
      <c r="G2538" s="224"/>
      <c r="H2538" s="221"/>
    </row>
    <row r="2539" spans="1:8" s="212" customFormat="1">
      <c r="A2539" s="91"/>
      <c r="B2539" s="91"/>
      <c r="C2539" s="91"/>
      <c r="D2539" s="91"/>
      <c r="E2539" s="91"/>
      <c r="G2539" s="213"/>
      <c r="H2539" s="222"/>
    </row>
    <row r="2540" spans="1:8" s="212" customFormat="1">
      <c r="A2540" s="120"/>
      <c r="B2540" s="73"/>
      <c r="C2540" s="73"/>
      <c r="D2540" s="73"/>
      <c r="E2540" s="73"/>
      <c r="G2540" s="73"/>
      <c r="H2540" s="222"/>
    </row>
    <row r="2541" spans="1:8" s="212" customFormat="1">
      <c r="A2541" s="220"/>
      <c r="B2541" s="141"/>
      <c r="C2541" s="141"/>
      <c r="D2541" s="141"/>
      <c r="E2541" s="141"/>
      <c r="F2541" s="141"/>
      <c r="G2541" s="141"/>
      <c r="H2541" s="222"/>
    </row>
    <row r="2542" spans="1:8" s="212" customFormat="1">
      <c r="A2542" s="146"/>
      <c r="B2542" s="83"/>
      <c r="C2542" s="148"/>
      <c r="D2542" s="84"/>
      <c r="E2542" s="84"/>
      <c r="F2542" s="84"/>
      <c r="G2542" s="146"/>
      <c r="H2542" s="221"/>
    </row>
    <row r="2543" spans="1:8" s="212" customFormat="1">
      <c r="A2543" s="91"/>
      <c r="B2543" s="91"/>
      <c r="C2543" s="91"/>
      <c r="D2543" s="91"/>
      <c r="E2543" s="91"/>
      <c r="G2543" s="213"/>
      <c r="H2543" s="222"/>
    </row>
    <row r="2544" spans="1:8" s="212" customFormat="1">
      <c r="A2544" s="120"/>
      <c r="B2544" s="73"/>
      <c r="C2544" s="73"/>
      <c r="D2544" s="73"/>
      <c r="E2544" s="73"/>
      <c r="G2544" s="73"/>
      <c r="H2544" s="222"/>
    </row>
    <row r="2545" spans="1:9" s="212" customFormat="1">
      <c r="A2545" s="220"/>
      <c r="B2545" s="141"/>
      <c r="C2545" s="141"/>
      <c r="D2545" s="141"/>
      <c r="E2545" s="141"/>
      <c r="F2545" s="141"/>
      <c r="G2545" s="141"/>
      <c r="H2545" s="222"/>
    </row>
    <row r="2546" spans="1:9" s="212" customFormat="1">
      <c r="A2546" s="142"/>
      <c r="B2546" s="143"/>
      <c r="C2546" s="143"/>
      <c r="D2546" s="143"/>
      <c r="E2546" s="143"/>
      <c r="F2546" s="84"/>
      <c r="G2546" s="146"/>
      <c r="H2546" s="221"/>
    </row>
    <row r="2547" spans="1:9" s="212" customFormat="1">
      <c r="A2547" s="123"/>
      <c r="B2547" s="95"/>
      <c r="C2547" s="95"/>
      <c r="D2547" s="95"/>
      <c r="E2547" s="95"/>
      <c r="G2547" s="213"/>
      <c r="H2547" s="73"/>
    </row>
    <row r="2548" spans="1:9" s="212" customFormat="1">
      <c r="A2548" s="123"/>
      <c r="B2548" s="95"/>
      <c r="C2548" s="95"/>
      <c r="D2548" s="95"/>
      <c r="E2548" s="95"/>
      <c r="G2548" s="73"/>
      <c r="H2548" s="225"/>
    </row>
    <row r="2549" spans="1:9" s="212" customFormat="1">
      <c r="B2549" s="97"/>
      <c r="C2549" s="98"/>
      <c r="D2549" s="98"/>
      <c r="E2549" s="98"/>
      <c r="G2549" s="220"/>
    </row>
    <row r="2550" spans="1:9" s="212" customFormat="1">
      <c r="B2550" s="97"/>
      <c r="C2550" s="98"/>
      <c r="D2550" s="98"/>
      <c r="E2550" s="98"/>
      <c r="F2550" s="220"/>
      <c r="G2550" s="225"/>
      <c r="H2550" s="226"/>
    </row>
    <row r="2551" spans="1:9" s="212" customFormat="1">
      <c r="A2551" s="633"/>
      <c r="B2551" s="633"/>
      <c r="C2551" s="633"/>
      <c r="D2551" s="633"/>
      <c r="E2551" s="633"/>
      <c r="F2551" s="633"/>
      <c r="G2551" s="633"/>
    </row>
    <row r="2552" spans="1:9" s="212" customFormat="1">
      <c r="H2552" s="227"/>
      <c r="I2552" s="228"/>
    </row>
    <row r="2553" spans="1:9" s="212" customFormat="1">
      <c r="A2553" s="658"/>
      <c r="B2553" s="227"/>
      <c r="C2553" s="227"/>
      <c r="D2553" s="227"/>
      <c r="E2553" s="227"/>
      <c r="F2553" s="227"/>
      <c r="G2553" s="227"/>
      <c r="H2553" s="227"/>
      <c r="I2553" s="229"/>
    </row>
    <row r="2554" spans="1:9" s="212" customFormat="1">
      <c r="A2554" s="658"/>
      <c r="B2554" s="227"/>
      <c r="C2554" s="227"/>
      <c r="D2554" s="227"/>
      <c r="E2554" s="227"/>
      <c r="F2554" s="227"/>
      <c r="G2554" s="227"/>
    </row>
    <row r="2555" spans="1:9" s="212" customFormat="1">
      <c r="A2555" s="69"/>
      <c r="B2555" s="69"/>
      <c r="C2555" s="69"/>
      <c r="D2555" s="69"/>
      <c r="E2555" s="69"/>
    </row>
    <row r="2556" spans="1:9" s="212" customFormat="1">
      <c r="A2556" s="120"/>
      <c r="B2556" s="73"/>
      <c r="C2556" s="73"/>
      <c r="D2556" s="73"/>
      <c r="E2556" s="73"/>
      <c r="F2556" s="73"/>
      <c r="G2556" s="73"/>
      <c r="H2556" s="73"/>
    </row>
    <row r="2557" spans="1:9" s="212" customFormat="1">
      <c r="A2557" s="220"/>
      <c r="B2557" s="141"/>
      <c r="C2557" s="141"/>
      <c r="D2557" s="141"/>
      <c r="E2557" s="141"/>
      <c r="F2557" s="141"/>
      <c r="G2557" s="141"/>
      <c r="H2557" s="73"/>
    </row>
    <row r="2558" spans="1:9" s="212" customFormat="1">
      <c r="A2558" s="150"/>
      <c r="B2558" s="83"/>
      <c r="C2558" s="148"/>
      <c r="D2558" s="84"/>
      <c r="E2558" s="84"/>
      <c r="F2558" s="84"/>
      <c r="G2558" s="224"/>
      <c r="H2558" s="73"/>
    </row>
    <row r="2559" spans="1:9" s="212" customFormat="1">
      <c r="A2559" s="150"/>
      <c r="B2559" s="83"/>
      <c r="C2559" s="148"/>
      <c r="D2559" s="84"/>
      <c r="E2559" s="84"/>
      <c r="F2559" s="84"/>
      <c r="G2559" s="224"/>
      <c r="H2559" s="221"/>
    </row>
    <row r="2560" spans="1:9" s="212" customFormat="1">
      <c r="A2560" s="84"/>
      <c r="B2560" s="83"/>
      <c r="C2560" s="84"/>
      <c r="D2560" s="84"/>
      <c r="E2560" s="84"/>
      <c r="G2560" s="213"/>
      <c r="H2560" s="222"/>
    </row>
    <row r="2561" spans="1:8" s="212" customFormat="1">
      <c r="A2561" s="120"/>
      <c r="B2561" s="73"/>
      <c r="C2561" s="73"/>
      <c r="D2561" s="73"/>
      <c r="E2561" s="73"/>
      <c r="G2561" s="73"/>
      <c r="H2561" s="222"/>
    </row>
    <row r="2562" spans="1:8" s="212" customFormat="1">
      <c r="A2562" s="220"/>
      <c r="B2562" s="141"/>
      <c r="C2562" s="141"/>
      <c r="D2562" s="141"/>
      <c r="E2562" s="141"/>
      <c r="F2562" s="141"/>
      <c r="G2562" s="141"/>
      <c r="H2562" s="222"/>
    </row>
    <row r="2563" spans="1:8" s="212" customFormat="1">
      <c r="A2563" s="150"/>
      <c r="B2563" s="83"/>
      <c r="C2563" s="148"/>
      <c r="D2563" s="84"/>
      <c r="E2563" s="84"/>
      <c r="F2563" s="84"/>
      <c r="G2563" s="224"/>
      <c r="H2563" s="222"/>
    </row>
    <row r="2564" spans="1:8" s="212" customFormat="1">
      <c r="A2564" s="150"/>
      <c r="B2564" s="83"/>
      <c r="C2564" s="148"/>
      <c r="D2564" s="84"/>
      <c r="E2564" s="84"/>
      <c r="F2564" s="84"/>
      <c r="G2564" s="224"/>
      <c r="H2564" s="221"/>
    </row>
    <row r="2565" spans="1:8" s="212" customFormat="1">
      <c r="A2565" s="91"/>
      <c r="B2565" s="91"/>
      <c r="C2565" s="91"/>
      <c r="D2565" s="91"/>
      <c r="E2565" s="91"/>
      <c r="G2565" s="213"/>
      <c r="H2565" s="222"/>
    </row>
    <row r="2566" spans="1:8" s="212" customFormat="1">
      <c r="A2566" s="120"/>
      <c r="B2566" s="73"/>
      <c r="C2566" s="73"/>
      <c r="D2566" s="73"/>
      <c r="E2566" s="73"/>
      <c r="G2566" s="73"/>
      <c r="H2566" s="222"/>
    </row>
    <row r="2567" spans="1:8" s="212" customFormat="1">
      <c r="A2567" s="220"/>
      <c r="B2567" s="141"/>
      <c r="C2567" s="141"/>
      <c r="D2567" s="141"/>
      <c r="E2567" s="141"/>
      <c r="F2567" s="141"/>
      <c r="G2567" s="141"/>
      <c r="H2567" s="222"/>
    </row>
    <row r="2568" spans="1:8" s="212" customFormat="1">
      <c r="A2568" s="146"/>
      <c r="B2568" s="83"/>
      <c r="C2568" s="148"/>
      <c r="D2568" s="84"/>
      <c r="E2568" s="84"/>
      <c r="F2568" s="84"/>
      <c r="G2568" s="146"/>
      <c r="H2568" s="221"/>
    </row>
    <row r="2569" spans="1:8" s="212" customFormat="1">
      <c r="A2569" s="91"/>
      <c r="B2569" s="91"/>
      <c r="C2569" s="91"/>
      <c r="D2569" s="91"/>
      <c r="E2569" s="91"/>
      <c r="G2569" s="213"/>
      <c r="H2569" s="222"/>
    </row>
    <row r="2570" spans="1:8" s="212" customFormat="1">
      <c r="A2570" s="120"/>
      <c r="B2570" s="73"/>
      <c r="C2570" s="73"/>
      <c r="D2570" s="73"/>
      <c r="E2570" s="73"/>
      <c r="G2570" s="73"/>
      <c r="H2570" s="222"/>
    </row>
    <row r="2571" spans="1:8" s="212" customFormat="1">
      <c r="A2571" s="220"/>
      <c r="B2571" s="141"/>
      <c r="C2571" s="141"/>
      <c r="D2571" s="141"/>
      <c r="E2571" s="141"/>
      <c r="F2571" s="141"/>
      <c r="G2571" s="141"/>
      <c r="H2571" s="222"/>
    </row>
    <row r="2572" spans="1:8" s="212" customFormat="1">
      <c r="A2572" s="142"/>
      <c r="B2572" s="143"/>
      <c r="C2572" s="143"/>
      <c r="D2572" s="143"/>
      <c r="E2572" s="143"/>
      <c r="F2572" s="84"/>
      <c r="G2572" s="146"/>
      <c r="H2572" s="221"/>
    </row>
    <row r="2573" spans="1:8" s="212" customFormat="1">
      <c r="A2573" s="123"/>
      <c r="B2573" s="95"/>
      <c r="C2573" s="95"/>
      <c r="D2573" s="95"/>
      <c r="E2573" s="95"/>
      <c r="G2573" s="213"/>
      <c r="H2573" s="73"/>
    </row>
    <row r="2574" spans="1:8" s="212" customFormat="1">
      <c r="A2574" s="123"/>
      <c r="B2574" s="95"/>
      <c r="C2574" s="95"/>
      <c r="D2574" s="95"/>
      <c r="E2574" s="95"/>
      <c r="G2574" s="73"/>
      <c r="H2574" s="225"/>
    </row>
    <row r="2575" spans="1:8" s="212" customFormat="1">
      <c r="B2575" s="97"/>
      <c r="C2575" s="98"/>
      <c r="D2575" s="98"/>
      <c r="E2575" s="98"/>
      <c r="G2575" s="220"/>
    </row>
    <row r="2576" spans="1:8" s="212" customFormat="1">
      <c r="B2576" s="97"/>
      <c r="C2576" s="98"/>
      <c r="D2576" s="98"/>
      <c r="E2576" s="98"/>
      <c r="F2576" s="220"/>
      <c r="G2576" s="225"/>
      <c r="H2576" s="226"/>
    </row>
    <row r="2577" spans="1:9" s="212" customFormat="1">
      <c r="A2577" s="633"/>
      <c r="B2577" s="633"/>
      <c r="C2577" s="633"/>
      <c r="D2577" s="633"/>
      <c r="E2577" s="633"/>
      <c r="F2577" s="633"/>
      <c r="G2577" s="633"/>
    </row>
    <row r="2578" spans="1:9" s="212" customFormat="1">
      <c r="H2578" s="227"/>
      <c r="I2578" s="228"/>
    </row>
    <row r="2579" spans="1:9" s="212" customFormat="1">
      <c r="A2579" s="658"/>
      <c r="B2579" s="227"/>
      <c r="C2579" s="227"/>
      <c r="D2579" s="227"/>
      <c r="E2579" s="227"/>
      <c r="F2579" s="227"/>
      <c r="G2579" s="227"/>
      <c r="H2579" s="227"/>
      <c r="I2579" s="229"/>
    </row>
    <row r="2580" spans="1:9" s="212" customFormat="1">
      <c r="A2580" s="658"/>
      <c r="B2580" s="227"/>
      <c r="C2580" s="227"/>
      <c r="D2580" s="227"/>
      <c r="E2580" s="227"/>
      <c r="F2580" s="227"/>
      <c r="G2580" s="227"/>
    </row>
    <row r="2581" spans="1:9" s="212" customFormat="1">
      <c r="A2581" s="69"/>
      <c r="B2581" s="69"/>
      <c r="C2581" s="69"/>
      <c r="D2581" s="69"/>
      <c r="E2581" s="69"/>
    </row>
    <row r="2582" spans="1:9" s="212" customFormat="1">
      <c r="A2582" s="120"/>
      <c r="B2582" s="73"/>
      <c r="C2582" s="73"/>
      <c r="D2582" s="73"/>
      <c r="E2582" s="73"/>
      <c r="F2582" s="73"/>
      <c r="G2582" s="73"/>
      <c r="H2582" s="73"/>
    </row>
    <row r="2583" spans="1:9" s="212" customFormat="1">
      <c r="A2583" s="220"/>
      <c r="B2583" s="141"/>
      <c r="C2583" s="141"/>
      <c r="D2583" s="141"/>
      <c r="E2583" s="141"/>
      <c r="F2583" s="141"/>
      <c r="G2583" s="141"/>
      <c r="H2583" s="73"/>
    </row>
    <row r="2584" spans="1:9" s="212" customFormat="1">
      <c r="A2584" s="150"/>
      <c r="B2584" s="83"/>
      <c r="C2584" s="148"/>
      <c r="D2584" s="84"/>
      <c r="E2584" s="84"/>
      <c r="F2584" s="84"/>
      <c r="G2584" s="224"/>
      <c r="H2584" s="221"/>
    </row>
    <row r="2585" spans="1:9" s="212" customFormat="1">
      <c r="A2585" s="84"/>
      <c r="B2585" s="83"/>
      <c r="C2585" s="84"/>
      <c r="D2585" s="84"/>
      <c r="E2585" s="84"/>
      <c r="G2585" s="213"/>
      <c r="H2585" s="222"/>
    </row>
    <row r="2586" spans="1:9" s="212" customFormat="1">
      <c r="A2586" s="120"/>
      <c r="B2586" s="73"/>
      <c r="C2586" s="73"/>
      <c r="D2586" s="73"/>
      <c r="E2586" s="73"/>
      <c r="G2586" s="73"/>
      <c r="H2586" s="222"/>
    </row>
    <row r="2587" spans="1:9" s="212" customFormat="1">
      <c r="A2587" s="220"/>
      <c r="B2587" s="141"/>
      <c r="C2587" s="141"/>
      <c r="D2587" s="141"/>
      <c r="E2587" s="141"/>
      <c r="F2587" s="141"/>
      <c r="G2587" s="141"/>
      <c r="H2587" s="222"/>
    </row>
    <row r="2588" spans="1:9" s="212" customFormat="1">
      <c r="A2588" s="150"/>
      <c r="B2588" s="83"/>
      <c r="C2588" s="148"/>
      <c r="D2588" s="84"/>
      <c r="E2588" s="84"/>
      <c r="F2588" s="84"/>
      <c r="G2588" s="224"/>
      <c r="H2588" s="222"/>
    </row>
    <row r="2589" spans="1:9" s="212" customFormat="1">
      <c r="A2589" s="150"/>
      <c r="B2589" s="83"/>
      <c r="C2589" s="148"/>
      <c r="D2589" s="84"/>
      <c r="E2589" s="84"/>
      <c r="F2589" s="84"/>
      <c r="G2589" s="224"/>
      <c r="H2589" s="222"/>
    </row>
    <row r="2590" spans="1:9" s="212" customFormat="1">
      <c r="A2590" s="150"/>
      <c r="B2590" s="83"/>
      <c r="C2590" s="148"/>
      <c r="D2590" s="84"/>
      <c r="E2590" s="84"/>
      <c r="F2590" s="84"/>
      <c r="G2590" s="224"/>
      <c r="H2590" s="222"/>
    </row>
    <row r="2591" spans="1:9" s="212" customFormat="1">
      <c r="A2591" s="150"/>
      <c r="B2591" s="83"/>
      <c r="C2591" s="148"/>
      <c r="D2591" s="84"/>
      <c r="E2591" s="84"/>
      <c r="F2591" s="84"/>
      <c r="G2591" s="224"/>
      <c r="H2591" s="222"/>
    </row>
    <row r="2592" spans="1:9" s="212" customFormat="1">
      <c r="A2592" s="150"/>
      <c r="B2592" s="83"/>
      <c r="C2592" s="148"/>
      <c r="D2592" s="84"/>
      <c r="E2592" s="84"/>
      <c r="F2592" s="84"/>
      <c r="G2592" s="224"/>
      <c r="H2592" s="221"/>
    </row>
    <row r="2593" spans="1:9" s="212" customFormat="1">
      <c r="A2593" s="91"/>
      <c r="B2593" s="91"/>
      <c r="C2593" s="91"/>
      <c r="D2593" s="91"/>
      <c r="E2593" s="91"/>
      <c r="G2593" s="213"/>
      <c r="H2593" s="222"/>
    </row>
    <row r="2594" spans="1:9" s="212" customFormat="1">
      <c r="A2594" s="120"/>
      <c r="B2594" s="73"/>
      <c r="C2594" s="73"/>
      <c r="D2594" s="73"/>
      <c r="E2594" s="73"/>
      <c r="G2594" s="73"/>
      <c r="H2594" s="222"/>
    </row>
    <row r="2595" spans="1:9" s="212" customFormat="1">
      <c r="A2595" s="220"/>
      <c r="B2595" s="141"/>
      <c r="C2595" s="141"/>
      <c r="D2595" s="141"/>
      <c r="E2595" s="141"/>
      <c r="F2595" s="141"/>
      <c r="G2595" s="141"/>
      <c r="H2595" s="222"/>
    </row>
    <row r="2596" spans="1:9" s="212" customFormat="1">
      <c r="A2596" s="146"/>
      <c r="B2596" s="83"/>
      <c r="C2596" s="148"/>
      <c r="D2596" s="84"/>
      <c r="E2596" s="84"/>
      <c r="F2596" s="84"/>
      <c r="G2596" s="146"/>
      <c r="H2596" s="221"/>
    </row>
    <row r="2597" spans="1:9" s="212" customFormat="1">
      <c r="A2597" s="91"/>
      <c r="B2597" s="91"/>
      <c r="C2597" s="91"/>
      <c r="D2597" s="91"/>
      <c r="E2597" s="91"/>
      <c r="G2597" s="213"/>
      <c r="H2597" s="222"/>
    </row>
    <row r="2598" spans="1:9" s="212" customFormat="1">
      <c r="A2598" s="120"/>
      <c r="B2598" s="73"/>
      <c r="C2598" s="73"/>
      <c r="D2598" s="73"/>
      <c r="E2598" s="73"/>
      <c r="G2598" s="73"/>
      <c r="H2598" s="222"/>
    </row>
    <row r="2599" spans="1:9" s="212" customFormat="1">
      <c r="A2599" s="220"/>
      <c r="B2599" s="141"/>
      <c r="C2599" s="141"/>
      <c r="D2599" s="141"/>
      <c r="E2599" s="141"/>
      <c r="F2599" s="141"/>
      <c r="G2599" s="141"/>
      <c r="H2599" s="222"/>
    </row>
    <row r="2600" spans="1:9" s="212" customFormat="1">
      <c r="A2600" s="142"/>
      <c r="B2600" s="143"/>
      <c r="C2600" s="143"/>
      <c r="D2600" s="143"/>
      <c r="E2600" s="143"/>
      <c r="F2600" s="84"/>
      <c r="G2600" s="146"/>
      <c r="H2600" s="221"/>
    </row>
    <row r="2601" spans="1:9" s="212" customFormat="1">
      <c r="A2601" s="123"/>
      <c r="B2601" s="95"/>
      <c r="C2601" s="95"/>
      <c r="D2601" s="95"/>
      <c r="E2601" s="95"/>
      <c r="G2601" s="213"/>
      <c r="H2601" s="73"/>
    </row>
    <row r="2602" spans="1:9" s="212" customFormat="1">
      <c r="A2602" s="123"/>
      <c r="B2602" s="95"/>
      <c r="C2602" s="95"/>
      <c r="D2602" s="95"/>
      <c r="E2602" s="95"/>
      <c r="G2602" s="73"/>
      <c r="H2602" s="225"/>
    </row>
    <row r="2603" spans="1:9" s="212" customFormat="1">
      <c r="B2603" s="97"/>
      <c r="C2603" s="98"/>
      <c r="D2603" s="98"/>
      <c r="E2603" s="98"/>
      <c r="G2603" s="220"/>
    </row>
    <row r="2604" spans="1:9" s="212" customFormat="1">
      <c r="B2604" s="97"/>
      <c r="C2604" s="98"/>
      <c r="D2604" s="98"/>
      <c r="E2604" s="98"/>
      <c r="F2604" s="220"/>
      <c r="G2604" s="225"/>
      <c r="H2604" s="226"/>
    </row>
    <row r="2605" spans="1:9" s="212" customFormat="1">
      <c r="A2605" s="633"/>
      <c r="B2605" s="633"/>
      <c r="C2605" s="633"/>
      <c r="D2605" s="633"/>
      <c r="E2605" s="633"/>
      <c r="F2605" s="633"/>
      <c r="G2605" s="633"/>
    </row>
    <row r="2606" spans="1:9" s="212" customFormat="1">
      <c r="H2606" s="227"/>
      <c r="I2606" s="228"/>
    </row>
    <row r="2607" spans="1:9" s="212" customFormat="1">
      <c r="A2607" s="658"/>
      <c r="B2607" s="227"/>
      <c r="C2607" s="227"/>
      <c r="D2607" s="227"/>
      <c r="E2607" s="227"/>
      <c r="F2607" s="227"/>
      <c r="G2607" s="227"/>
      <c r="H2607" s="227"/>
      <c r="I2607" s="229"/>
    </row>
    <row r="2608" spans="1:9" s="212" customFormat="1">
      <c r="A2608" s="658"/>
      <c r="B2608" s="227"/>
      <c r="C2608" s="227"/>
      <c r="D2608" s="227"/>
      <c r="E2608" s="227"/>
      <c r="F2608" s="227"/>
      <c r="G2608" s="227"/>
    </row>
    <row r="2609" spans="1:8" s="212" customFormat="1">
      <c r="A2609" s="69"/>
      <c r="B2609" s="69"/>
      <c r="C2609" s="69"/>
      <c r="D2609" s="69"/>
      <c r="E2609" s="69"/>
    </row>
    <row r="2610" spans="1:8" s="212" customFormat="1">
      <c r="A2610" s="120"/>
      <c r="B2610" s="73"/>
      <c r="C2610" s="73"/>
      <c r="D2610" s="73"/>
      <c r="E2610" s="73"/>
      <c r="F2610" s="73"/>
      <c r="G2610" s="73"/>
      <c r="H2610" s="73"/>
    </row>
    <row r="2611" spans="1:8" s="212" customFormat="1">
      <c r="A2611" s="220"/>
      <c r="B2611" s="141"/>
      <c r="C2611" s="141"/>
      <c r="D2611" s="141"/>
      <c r="E2611" s="141"/>
      <c r="F2611" s="141"/>
      <c r="G2611" s="141"/>
      <c r="H2611" s="73"/>
    </row>
    <row r="2612" spans="1:8" s="212" customFormat="1">
      <c r="A2612" s="150"/>
      <c r="B2612" s="83"/>
      <c r="C2612" s="148"/>
      <c r="D2612" s="84"/>
      <c r="E2612" s="84"/>
      <c r="F2612" s="84"/>
      <c r="G2612" s="224"/>
      <c r="H2612" s="221"/>
    </row>
    <row r="2613" spans="1:8" s="212" customFormat="1">
      <c r="A2613" s="84"/>
      <c r="B2613" s="83"/>
      <c r="C2613" s="84"/>
      <c r="D2613" s="84"/>
      <c r="E2613" s="84"/>
      <c r="G2613" s="213"/>
      <c r="H2613" s="222"/>
    </row>
    <row r="2614" spans="1:8" s="212" customFormat="1">
      <c r="A2614" s="120"/>
      <c r="B2614" s="73"/>
      <c r="C2614" s="73"/>
      <c r="D2614" s="73"/>
      <c r="E2614" s="73"/>
      <c r="G2614" s="73"/>
      <c r="H2614" s="222"/>
    </row>
    <row r="2615" spans="1:8" s="212" customFormat="1">
      <c r="A2615" s="220"/>
      <c r="B2615" s="141"/>
      <c r="C2615" s="141"/>
      <c r="D2615" s="141"/>
      <c r="E2615" s="141"/>
      <c r="F2615" s="141"/>
      <c r="G2615" s="141"/>
      <c r="H2615" s="222"/>
    </row>
    <row r="2616" spans="1:8" s="212" customFormat="1">
      <c r="A2616" s="150"/>
      <c r="B2616" s="83"/>
      <c r="C2616" s="148"/>
      <c r="D2616" s="84"/>
      <c r="E2616" s="84"/>
      <c r="F2616" s="84"/>
      <c r="G2616" s="224"/>
      <c r="H2616" s="222"/>
    </row>
    <row r="2617" spans="1:8" s="212" customFormat="1">
      <c r="A2617" s="150"/>
      <c r="B2617" s="83"/>
      <c r="C2617" s="148"/>
      <c r="D2617" s="84"/>
      <c r="E2617" s="84"/>
      <c r="F2617" s="84"/>
      <c r="G2617" s="224"/>
      <c r="H2617" s="222"/>
    </row>
    <row r="2618" spans="1:8" s="212" customFormat="1">
      <c r="A2618" s="150"/>
      <c r="B2618" s="83"/>
      <c r="C2618" s="148"/>
      <c r="D2618" s="84"/>
      <c r="E2618" s="84"/>
      <c r="F2618" s="84"/>
      <c r="G2618" s="224"/>
      <c r="H2618" s="222"/>
    </row>
    <row r="2619" spans="1:8" s="212" customFormat="1">
      <c r="A2619" s="150"/>
      <c r="B2619" s="83"/>
      <c r="C2619" s="148"/>
      <c r="D2619" s="84"/>
      <c r="E2619" s="84"/>
      <c r="F2619" s="84"/>
      <c r="G2619" s="224"/>
      <c r="H2619" s="222"/>
    </row>
    <row r="2620" spans="1:8" s="212" customFormat="1">
      <c r="A2620" s="150"/>
      <c r="B2620" s="83"/>
      <c r="C2620" s="148"/>
      <c r="D2620" s="84"/>
      <c r="E2620" s="84"/>
      <c r="F2620" s="84"/>
      <c r="G2620" s="224"/>
      <c r="H2620" s="222"/>
    </row>
    <row r="2621" spans="1:8" s="212" customFormat="1">
      <c r="A2621" s="150"/>
      <c r="B2621" s="83"/>
      <c r="C2621" s="148"/>
      <c r="D2621" s="84"/>
      <c r="E2621" s="84"/>
      <c r="F2621" s="84"/>
      <c r="G2621" s="224"/>
      <c r="H2621" s="222"/>
    </row>
    <row r="2622" spans="1:8" s="212" customFormat="1">
      <c r="A2622" s="150"/>
      <c r="B2622" s="83"/>
      <c r="C2622" s="148"/>
      <c r="D2622" s="84"/>
      <c r="E2622" s="84"/>
      <c r="F2622" s="84"/>
      <c r="G2622" s="224"/>
      <c r="H2622" s="222"/>
    </row>
    <row r="2623" spans="1:8" s="212" customFormat="1">
      <c r="A2623" s="150"/>
      <c r="B2623" s="83"/>
      <c r="C2623" s="148"/>
      <c r="D2623" s="84"/>
      <c r="E2623" s="84"/>
      <c r="F2623" s="84"/>
      <c r="G2623" s="224"/>
      <c r="H2623" s="222"/>
    </row>
    <row r="2624" spans="1:8" s="212" customFormat="1">
      <c r="A2624" s="150"/>
      <c r="B2624" s="83"/>
      <c r="C2624" s="148"/>
      <c r="D2624" s="84"/>
      <c r="E2624" s="84"/>
      <c r="F2624" s="84"/>
      <c r="G2624" s="224"/>
      <c r="H2624" s="221"/>
    </row>
    <row r="2625" spans="1:9" s="212" customFormat="1">
      <c r="A2625" s="91"/>
      <c r="B2625" s="91"/>
      <c r="C2625" s="91"/>
      <c r="D2625" s="91"/>
      <c r="E2625" s="91"/>
      <c r="G2625" s="213"/>
      <c r="H2625" s="222"/>
    </row>
    <row r="2626" spans="1:9" s="212" customFormat="1">
      <c r="A2626" s="120"/>
      <c r="B2626" s="73"/>
      <c r="C2626" s="73"/>
      <c r="D2626" s="73"/>
      <c r="E2626" s="73"/>
      <c r="G2626" s="73"/>
      <c r="H2626" s="222"/>
    </row>
    <row r="2627" spans="1:9" s="212" customFormat="1">
      <c r="A2627" s="220"/>
      <c r="B2627" s="141"/>
      <c r="C2627" s="141"/>
      <c r="D2627" s="141"/>
      <c r="E2627" s="141"/>
      <c r="F2627" s="141"/>
      <c r="G2627" s="141"/>
      <c r="H2627" s="222"/>
    </row>
    <row r="2628" spans="1:9" s="212" customFormat="1">
      <c r="A2628" s="146"/>
      <c r="B2628" s="83"/>
      <c r="C2628" s="148"/>
      <c r="D2628" s="84"/>
      <c r="E2628" s="84"/>
      <c r="F2628" s="84"/>
      <c r="G2628" s="146"/>
      <c r="H2628" s="222"/>
    </row>
    <row r="2629" spans="1:9" s="212" customFormat="1">
      <c r="A2629" s="146"/>
      <c r="B2629" s="83"/>
      <c r="C2629" s="148"/>
      <c r="D2629" s="84"/>
      <c r="E2629" s="84"/>
      <c r="F2629" s="84"/>
      <c r="G2629" s="146"/>
      <c r="H2629" s="221"/>
    </row>
    <row r="2630" spans="1:9" s="212" customFormat="1">
      <c r="A2630" s="91"/>
      <c r="B2630" s="91"/>
      <c r="C2630" s="91"/>
      <c r="D2630" s="91"/>
      <c r="E2630" s="91"/>
      <c r="G2630" s="213"/>
      <c r="H2630" s="222"/>
    </row>
    <row r="2631" spans="1:9" s="212" customFormat="1">
      <c r="A2631" s="120"/>
      <c r="B2631" s="73"/>
      <c r="C2631" s="73"/>
      <c r="D2631" s="73"/>
      <c r="E2631" s="73"/>
      <c r="G2631" s="73"/>
      <c r="H2631" s="222"/>
    </row>
    <row r="2632" spans="1:9" s="212" customFormat="1">
      <c r="A2632" s="220"/>
      <c r="B2632" s="141"/>
      <c r="C2632" s="141"/>
      <c r="D2632" s="141"/>
      <c r="E2632" s="141"/>
      <c r="F2632" s="141"/>
      <c r="G2632" s="141"/>
      <c r="H2632" s="222"/>
    </row>
    <row r="2633" spans="1:9" s="212" customFormat="1">
      <c r="A2633" s="142"/>
      <c r="B2633" s="143"/>
      <c r="C2633" s="143"/>
      <c r="D2633" s="143"/>
      <c r="E2633" s="143"/>
      <c r="F2633" s="84"/>
      <c r="G2633" s="146"/>
      <c r="H2633" s="221"/>
    </row>
    <row r="2634" spans="1:9" s="212" customFormat="1">
      <c r="A2634" s="123"/>
      <c r="B2634" s="95"/>
      <c r="C2634" s="95"/>
      <c r="D2634" s="95"/>
      <c r="E2634" s="95"/>
      <c r="G2634" s="213"/>
      <c r="H2634" s="73"/>
    </row>
    <row r="2635" spans="1:9" s="212" customFormat="1">
      <c r="A2635" s="123"/>
      <c r="B2635" s="95"/>
      <c r="C2635" s="95"/>
      <c r="D2635" s="95"/>
      <c r="E2635" s="95"/>
      <c r="G2635" s="73"/>
      <c r="H2635" s="225"/>
    </row>
    <row r="2636" spans="1:9" s="212" customFormat="1">
      <c r="B2636" s="97"/>
      <c r="C2636" s="98"/>
      <c r="D2636" s="98"/>
      <c r="E2636" s="98"/>
      <c r="G2636" s="220"/>
    </row>
    <row r="2637" spans="1:9" s="212" customFormat="1">
      <c r="B2637" s="97"/>
      <c r="C2637" s="98"/>
      <c r="D2637" s="98"/>
      <c r="E2637" s="98"/>
      <c r="F2637" s="220"/>
      <c r="G2637" s="225"/>
      <c r="H2637" s="226"/>
    </row>
    <row r="2638" spans="1:9" s="212" customFormat="1">
      <c r="A2638" s="633"/>
      <c r="B2638" s="633"/>
      <c r="C2638" s="633"/>
      <c r="D2638" s="633"/>
      <c r="E2638" s="633"/>
      <c r="F2638" s="633"/>
      <c r="G2638" s="633"/>
    </row>
    <row r="2639" spans="1:9" s="212" customFormat="1">
      <c r="H2639" s="227"/>
      <c r="I2639" s="228"/>
    </row>
    <row r="2640" spans="1:9" s="212" customFormat="1">
      <c r="A2640" s="658"/>
      <c r="B2640" s="227"/>
      <c r="C2640" s="227"/>
      <c r="D2640" s="227"/>
      <c r="E2640" s="227"/>
      <c r="F2640" s="227"/>
      <c r="G2640" s="227"/>
      <c r="H2640" s="227"/>
      <c r="I2640" s="229"/>
    </row>
    <row r="2641" spans="1:8" s="212" customFormat="1">
      <c r="A2641" s="658"/>
      <c r="B2641" s="227"/>
      <c r="C2641" s="227"/>
      <c r="D2641" s="227"/>
      <c r="E2641" s="227"/>
      <c r="F2641" s="227"/>
      <c r="G2641" s="227"/>
    </row>
    <row r="2642" spans="1:8" s="212" customFormat="1">
      <c r="A2642" s="69"/>
      <c r="B2642" s="69"/>
      <c r="C2642" s="69"/>
      <c r="D2642" s="69"/>
      <c r="E2642" s="69"/>
    </row>
    <row r="2643" spans="1:8" s="212" customFormat="1">
      <c r="A2643" s="120"/>
      <c r="B2643" s="73"/>
      <c r="C2643" s="73"/>
      <c r="D2643" s="73"/>
      <c r="E2643" s="73"/>
      <c r="F2643" s="73"/>
      <c r="G2643" s="73"/>
      <c r="H2643" s="73"/>
    </row>
    <row r="2644" spans="1:8" s="212" customFormat="1">
      <c r="A2644" s="220"/>
      <c r="B2644" s="141"/>
      <c r="C2644" s="141"/>
      <c r="D2644" s="141"/>
      <c r="E2644" s="141"/>
      <c r="F2644" s="141"/>
      <c r="G2644" s="141"/>
      <c r="H2644" s="73"/>
    </row>
    <row r="2645" spans="1:8" s="212" customFormat="1">
      <c r="A2645" s="150"/>
      <c r="B2645" s="83"/>
      <c r="C2645" s="148"/>
      <c r="D2645" s="84"/>
      <c r="E2645" s="84"/>
      <c r="F2645" s="84"/>
      <c r="G2645" s="224"/>
      <c r="H2645" s="221"/>
    </row>
    <row r="2646" spans="1:8" s="212" customFormat="1">
      <c r="A2646" s="84"/>
      <c r="B2646" s="83"/>
      <c r="C2646" s="84"/>
      <c r="D2646" s="84"/>
      <c r="E2646" s="84"/>
      <c r="G2646" s="213"/>
      <c r="H2646" s="222"/>
    </row>
    <row r="2647" spans="1:8" s="212" customFormat="1">
      <c r="A2647" s="120"/>
      <c r="B2647" s="73"/>
      <c r="C2647" s="73"/>
      <c r="D2647" s="73"/>
      <c r="E2647" s="73"/>
      <c r="G2647" s="73"/>
      <c r="H2647" s="222"/>
    </row>
    <row r="2648" spans="1:8" s="212" customFormat="1">
      <c r="A2648" s="220"/>
      <c r="B2648" s="141"/>
      <c r="C2648" s="141"/>
      <c r="D2648" s="141"/>
      <c r="E2648" s="141"/>
      <c r="F2648" s="141"/>
      <c r="G2648" s="141"/>
      <c r="H2648" s="222"/>
    </row>
    <row r="2649" spans="1:8" s="212" customFormat="1">
      <c r="A2649" s="150"/>
      <c r="B2649" s="83"/>
      <c r="C2649" s="148"/>
      <c r="D2649" s="84"/>
      <c r="E2649" s="84"/>
      <c r="F2649" s="84"/>
      <c r="G2649" s="224"/>
      <c r="H2649" s="222"/>
    </row>
    <row r="2650" spans="1:8" s="212" customFormat="1">
      <c r="A2650" s="150"/>
      <c r="B2650" s="83"/>
      <c r="C2650" s="148"/>
      <c r="D2650" s="84"/>
      <c r="E2650" s="84"/>
      <c r="F2650" s="84"/>
      <c r="G2650" s="224"/>
      <c r="H2650" s="222"/>
    </row>
    <row r="2651" spans="1:8" s="212" customFormat="1">
      <c r="A2651" s="150"/>
      <c r="B2651" s="83"/>
      <c r="C2651" s="148"/>
      <c r="D2651" s="84"/>
      <c r="E2651" s="84"/>
      <c r="F2651" s="84"/>
      <c r="G2651" s="224"/>
      <c r="H2651" s="222"/>
    </row>
    <row r="2652" spans="1:8" s="212" customFormat="1">
      <c r="A2652" s="150"/>
      <c r="B2652" s="83"/>
      <c r="C2652" s="148"/>
      <c r="D2652" s="84"/>
      <c r="E2652" s="84"/>
      <c r="F2652" s="84"/>
      <c r="G2652" s="224"/>
      <c r="H2652" s="222"/>
    </row>
    <row r="2653" spans="1:8" s="212" customFormat="1">
      <c r="A2653" s="150"/>
      <c r="B2653" s="83"/>
      <c r="C2653" s="148"/>
      <c r="D2653" s="84"/>
      <c r="E2653" s="84"/>
      <c r="F2653" s="84"/>
      <c r="G2653" s="224"/>
      <c r="H2653" s="222"/>
    </row>
    <row r="2654" spans="1:8" s="212" customFormat="1">
      <c r="A2654" s="150"/>
      <c r="B2654" s="83"/>
      <c r="C2654" s="148"/>
      <c r="D2654" s="84"/>
      <c r="E2654" s="84"/>
      <c r="F2654" s="84"/>
      <c r="G2654" s="224"/>
      <c r="H2654" s="221"/>
    </row>
    <row r="2655" spans="1:8" s="212" customFormat="1">
      <c r="A2655" s="91"/>
      <c r="B2655" s="91"/>
      <c r="C2655" s="91"/>
      <c r="D2655" s="91"/>
      <c r="E2655" s="91"/>
      <c r="G2655" s="213"/>
      <c r="H2655" s="222"/>
    </row>
    <row r="2656" spans="1:8" s="212" customFormat="1">
      <c r="A2656" s="120"/>
      <c r="B2656" s="73"/>
      <c r="C2656" s="73"/>
      <c r="D2656" s="73"/>
      <c r="E2656" s="73"/>
      <c r="G2656" s="73"/>
      <c r="H2656" s="222"/>
    </row>
    <row r="2657" spans="1:9" s="212" customFormat="1">
      <c r="A2657" s="220"/>
      <c r="B2657" s="141"/>
      <c r="C2657" s="141"/>
      <c r="D2657" s="141"/>
      <c r="E2657" s="141"/>
      <c r="F2657" s="141"/>
      <c r="G2657" s="141"/>
      <c r="H2657" s="222"/>
    </row>
    <row r="2658" spans="1:9" s="212" customFormat="1">
      <c r="A2658" s="146"/>
      <c r="B2658" s="83"/>
      <c r="C2658" s="148"/>
      <c r="D2658" s="84"/>
      <c r="E2658" s="84"/>
      <c r="F2658" s="84"/>
      <c r="G2658" s="146"/>
      <c r="H2658" s="221"/>
    </row>
    <row r="2659" spans="1:9" s="212" customFormat="1">
      <c r="A2659" s="91"/>
      <c r="B2659" s="91"/>
      <c r="C2659" s="91"/>
      <c r="D2659" s="91"/>
      <c r="E2659" s="91"/>
      <c r="G2659" s="213"/>
      <c r="H2659" s="222"/>
    </row>
    <row r="2660" spans="1:9" s="212" customFormat="1">
      <c r="A2660" s="120"/>
      <c r="B2660" s="73"/>
      <c r="C2660" s="73"/>
      <c r="D2660" s="73"/>
      <c r="E2660" s="73"/>
      <c r="G2660" s="73"/>
      <c r="H2660" s="222"/>
    </row>
    <row r="2661" spans="1:9" s="212" customFormat="1">
      <c r="A2661" s="220"/>
      <c r="B2661" s="141"/>
      <c r="C2661" s="141"/>
      <c r="D2661" s="141"/>
      <c r="E2661" s="141"/>
      <c r="F2661" s="141"/>
      <c r="G2661" s="141"/>
      <c r="H2661" s="222"/>
    </row>
    <row r="2662" spans="1:9" s="212" customFormat="1">
      <c r="A2662" s="142"/>
      <c r="B2662" s="143"/>
      <c r="C2662" s="143"/>
      <c r="D2662" s="143"/>
      <c r="E2662" s="143"/>
      <c r="F2662" s="84"/>
      <c r="G2662" s="146"/>
      <c r="H2662" s="221"/>
    </row>
    <row r="2663" spans="1:9" s="212" customFormat="1">
      <c r="A2663" s="123"/>
      <c r="B2663" s="95"/>
      <c r="C2663" s="95"/>
      <c r="D2663" s="95"/>
      <c r="E2663" s="95"/>
      <c r="G2663" s="213"/>
      <c r="H2663" s="73"/>
    </row>
    <row r="2664" spans="1:9" s="212" customFormat="1">
      <c r="A2664" s="123"/>
      <c r="B2664" s="95"/>
      <c r="C2664" s="95"/>
      <c r="D2664" s="95"/>
      <c r="E2664" s="95"/>
      <c r="G2664" s="73"/>
      <c r="H2664" s="225"/>
    </row>
    <row r="2665" spans="1:9" s="212" customFormat="1">
      <c r="B2665" s="97"/>
      <c r="C2665" s="98"/>
      <c r="D2665" s="98"/>
      <c r="E2665" s="98"/>
      <c r="G2665" s="220"/>
    </row>
    <row r="2666" spans="1:9" s="212" customFormat="1">
      <c r="B2666" s="97"/>
      <c r="C2666" s="98"/>
      <c r="D2666" s="98"/>
      <c r="E2666" s="98"/>
      <c r="F2666" s="220"/>
      <c r="G2666" s="225"/>
      <c r="H2666" s="226"/>
    </row>
    <row r="2667" spans="1:9" s="212" customFormat="1">
      <c r="A2667" s="633"/>
      <c r="B2667" s="633"/>
      <c r="C2667" s="633"/>
      <c r="D2667" s="633"/>
      <c r="E2667" s="633"/>
      <c r="F2667" s="633"/>
      <c r="G2667" s="633"/>
    </row>
    <row r="2668" spans="1:9" s="212" customFormat="1">
      <c r="H2668" s="227"/>
      <c r="I2668" s="228"/>
    </row>
    <row r="2669" spans="1:9" s="212" customFormat="1">
      <c r="A2669" s="658"/>
      <c r="B2669" s="227"/>
      <c r="C2669" s="227"/>
      <c r="D2669" s="227"/>
      <c r="E2669" s="227"/>
      <c r="F2669" s="227"/>
      <c r="G2669" s="227"/>
      <c r="H2669" s="227"/>
      <c r="I2669" s="229"/>
    </row>
    <row r="2670" spans="1:9" s="212" customFormat="1">
      <c r="A2670" s="658"/>
      <c r="B2670" s="227"/>
      <c r="C2670" s="227"/>
      <c r="D2670" s="227"/>
      <c r="E2670" s="227"/>
      <c r="F2670" s="227"/>
      <c r="G2670" s="227"/>
    </row>
    <row r="2671" spans="1:9" s="212" customFormat="1">
      <c r="A2671" s="69"/>
      <c r="B2671" s="69"/>
      <c r="C2671" s="69"/>
      <c r="D2671" s="69"/>
      <c r="E2671" s="69"/>
    </row>
    <row r="2672" spans="1:9" s="212" customFormat="1">
      <c r="A2672" s="120"/>
      <c r="B2672" s="73"/>
      <c r="C2672" s="73"/>
      <c r="D2672" s="73"/>
      <c r="E2672" s="73"/>
      <c r="F2672" s="73"/>
      <c r="G2672" s="73"/>
      <c r="H2672" s="73"/>
    </row>
    <row r="2673" spans="1:8" s="212" customFormat="1">
      <c r="A2673" s="220"/>
      <c r="B2673" s="141"/>
      <c r="C2673" s="141"/>
      <c r="D2673" s="141"/>
      <c r="E2673" s="141"/>
      <c r="F2673" s="141"/>
      <c r="G2673" s="141"/>
      <c r="H2673" s="73"/>
    </row>
    <row r="2674" spans="1:8" s="212" customFormat="1">
      <c r="A2674" s="150"/>
      <c r="B2674" s="83"/>
      <c r="C2674" s="148"/>
      <c r="D2674" s="84"/>
      <c r="E2674" s="84"/>
      <c r="F2674" s="84"/>
      <c r="G2674" s="224"/>
      <c r="H2674" s="73"/>
    </row>
    <row r="2675" spans="1:8" s="212" customFormat="1">
      <c r="A2675" s="150"/>
      <c r="B2675" s="83"/>
      <c r="C2675" s="148"/>
      <c r="D2675" s="84"/>
      <c r="E2675" s="84"/>
      <c r="F2675" s="84"/>
      <c r="G2675" s="224"/>
      <c r="H2675" s="73"/>
    </row>
    <row r="2676" spans="1:8" s="212" customFormat="1">
      <c r="A2676" s="150"/>
      <c r="B2676" s="83"/>
      <c r="C2676" s="148"/>
      <c r="D2676" s="84"/>
      <c r="E2676" s="84"/>
      <c r="F2676" s="84"/>
      <c r="G2676" s="224"/>
      <c r="H2676" s="73"/>
    </row>
    <row r="2677" spans="1:8" s="212" customFormat="1">
      <c r="A2677" s="150"/>
      <c r="B2677" s="83"/>
      <c r="C2677" s="148"/>
      <c r="D2677" s="84"/>
      <c r="E2677" s="84"/>
      <c r="F2677" s="84"/>
      <c r="G2677" s="224"/>
      <c r="H2677" s="221"/>
    </row>
    <row r="2678" spans="1:8" s="212" customFormat="1">
      <c r="A2678" s="84"/>
      <c r="B2678" s="83"/>
      <c r="C2678" s="84"/>
      <c r="D2678" s="84"/>
      <c r="E2678" s="84"/>
      <c r="G2678" s="213"/>
      <c r="H2678" s="222"/>
    </row>
    <row r="2679" spans="1:8" s="212" customFormat="1">
      <c r="A2679" s="120"/>
      <c r="B2679" s="73"/>
      <c r="C2679" s="73"/>
      <c r="D2679" s="73"/>
      <c r="E2679" s="73"/>
      <c r="G2679" s="73"/>
      <c r="H2679" s="222"/>
    </row>
    <row r="2680" spans="1:8" s="212" customFormat="1">
      <c r="A2680" s="220"/>
      <c r="B2680" s="141"/>
      <c r="C2680" s="141"/>
      <c r="D2680" s="141"/>
      <c r="E2680" s="141"/>
      <c r="F2680" s="141"/>
      <c r="G2680" s="141"/>
      <c r="H2680" s="222"/>
    </row>
    <row r="2681" spans="1:8" s="212" customFormat="1">
      <c r="A2681" s="150"/>
      <c r="B2681" s="83"/>
      <c r="C2681" s="148"/>
      <c r="D2681" s="84"/>
      <c r="E2681" s="84"/>
      <c r="F2681" s="84"/>
      <c r="G2681" s="224"/>
      <c r="H2681" s="222"/>
    </row>
    <row r="2682" spans="1:8" s="212" customFormat="1">
      <c r="A2682" s="150"/>
      <c r="B2682" s="83"/>
      <c r="C2682" s="148"/>
      <c r="D2682" s="84"/>
      <c r="E2682" s="84"/>
      <c r="F2682" s="84"/>
      <c r="G2682" s="224"/>
      <c r="H2682" s="222"/>
    </row>
    <row r="2683" spans="1:8" s="212" customFormat="1">
      <c r="A2683" s="150"/>
      <c r="B2683" s="83"/>
      <c r="C2683" s="148"/>
      <c r="D2683" s="84"/>
      <c r="E2683" s="84"/>
      <c r="F2683" s="84"/>
      <c r="G2683" s="224"/>
      <c r="H2683" s="222"/>
    </row>
    <row r="2684" spans="1:8" s="212" customFormat="1">
      <c r="A2684" s="150"/>
      <c r="B2684" s="83"/>
      <c r="C2684" s="148"/>
      <c r="D2684" s="84"/>
      <c r="E2684" s="84"/>
      <c r="F2684" s="84"/>
      <c r="G2684" s="224"/>
      <c r="H2684" s="222"/>
    </row>
    <row r="2685" spans="1:8" s="212" customFormat="1">
      <c r="A2685" s="150"/>
      <c r="B2685" s="83"/>
      <c r="C2685" s="148"/>
      <c r="D2685" s="84"/>
      <c r="E2685" s="84"/>
      <c r="F2685" s="84"/>
      <c r="G2685" s="224"/>
      <c r="H2685" s="222"/>
    </row>
    <row r="2686" spans="1:8" s="212" customFormat="1">
      <c r="A2686" s="150"/>
      <c r="B2686" s="83"/>
      <c r="C2686" s="148"/>
      <c r="D2686" s="84"/>
      <c r="E2686" s="84"/>
      <c r="F2686" s="84"/>
      <c r="G2686" s="224"/>
      <c r="H2686" s="222"/>
    </row>
    <row r="2687" spans="1:8" s="212" customFormat="1">
      <c r="A2687" s="150"/>
      <c r="B2687" s="83"/>
      <c r="C2687" s="148"/>
      <c r="D2687" s="84"/>
      <c r="E2687" s="84"/>
      <c r="F2687" s="84"/>
      <c r="G2687" s="224"/>
      <c r="H2687" s="222"/>
    </row>
    <row r="2688" spans="1:8" s="212" customFormat="1">
      <c r="A2688" s="150"/>
      <c r="B2688" s="83"/>
      <c r="C2688" s="148"/>
      <c r="D2688" s="84"/>
      <c r="E2688" s="84"/>
      <c r="F2688" s="84"/>
      <c r="G2688" s="224"/>
      <c r="H2688" s="221"/>
    </row>
    <row r="2689" spans="1:9" s="212" customFormat="1">
      <c r="A2689" s="91"/>
      <c r="B2689" s="91"/>
      <c r="C2689" s="91"/>
      <c r="D2689" s="91"/>
      <c r="E2689" s="91"/>
      <c r="G2689" s="213"/>
      <c r="H2689" s="222"/>
    </row>
    <row r="2690" spans="1:9" s="212" customFormat="1">
      <c r="A2690" s="120"/>
      <c r="B2690" s="73"/>
      <c r="C2690" s="73"/>
      <c r="D2690" s="73"/>
      <c r="E2690" s="73"/>
      <c r="G2690" s="73"/>
      <c r="H2690" s="222"/>
    </row>
    <row r="2691" spans="1:9" s="212" customFormat="1">
      <c r="A2691" s="220"/>
      <c r="B2691" s="141"/>
      <c r="C2691" s="141"/>
      <c r="D2691" s="141"/>
      <c r="E2691" s="141"/>
      <c r="F2691" s="141"/>
      <c r="G2691" s="141"/>
      <c r="H2691" s="222"/>
    </row>
    <row r="2692" spans="1:9" s="212" customFormat="1">
      <c r="A2692" s="146"/>
      <c r="B2692" s="83"/>
      <c r="C2692" s="148"/>
      <c r="D2692" s="84"/>
      <c r="E2692" s="84"/>
      <c r="F2692" s="84"/>
      <c r="G2692" s="146"/>
      <c r="H2692" s="222"/>
    </row>
    <row r="2693" spans="1:9" s="212" customFormat="1">
      <c r="A2693" s="146"/>
      <c r="B2693" s="83"/>
      <c r="C2693" s="148"/>
      <c r="D2693" s="84"/>
      <c r="E2693" s="84"/>
      <c r="F2693" s="84"/>
      <c r="G2693" s="146"/>
      <c r="H2693" s="221"/>
    </row>
    <row r="2694" spans="1:9" s="212" customFormat="1">
      <c r="A2694" s="91"/>
      <c r="B2694" s="91"/>
      <c r="C2694" s="91"/>
      <c r="D2694" s="91"/>
      <c r="E2694" s="91"/>
      <c r="G2694" s="213"/>
      <c r="H2694" s="222"/>
    </row>
    <row r="2695" spans="1:9" s="212" customFormat="1">
      <c r="A2695" s="120"/>
      <c r="B2695" s="73"/>
      <c r="C2695" s="73"/>
      <c r="D2695" s="73"/>
      <c r="E2695" s="73"/>
      <c r="G2695" s="73"/>
      <c r="H2695" s="222"/>
    </row>
    <row r="2696" spans="1:9" s="212" customFormat="1">
      <c r="A2696" s="220"/>
      <c r="B2696" s="141"/>
      <c r="C2696" s="141"/>
      <c r="D2696" s="141"/>
      <c r="E2696" s="141"/>
      <c r="F2696" s="141"/>
      <c r="G2696" s="141"/>
      <c r="H2696" s="222"/>
    </row>
    <row r="2697" spans="1:9" s="212" customFormat="1">
      <c r="A2697" s="142"/>
      <c r="B2697" s="143"/>
      <c r="C2697" s="143"/>
      <c r="D2697" s="143"/>
      <c r="E2697" s="143"/>
      <c r="F2697" s="84"/>
      <c r="G2697" s="146"/>
      <c r="H2697" s="221"/>
    </row>
    <row r="2698" spans="1:9" s="212" customFormat="1">
      <c r="A2698" s="123"/>
      <c r="B2698" s="95"/>
      <c r="C2698" s="95"/>
      <c r="D2698" s="95"/>
      <c r="E2698" s="95"/>
      <c r="G2698" s="213"/>
      <c r="H2698" s="73"/>
    </row>
    <row r="2699" spans="1:9" s="212" customFormat="1">
      <c r="A2699" s="123"/>
      <c r="B2699" s="95"/>
      <c r="C2699" s="95"/>
      <c r="D2699" s="95"/>
      <c r="E2699" s="95"/>
      <c r="G2699" s="73"/>
      <c r="H2699" s="225"/>
    </row>
    <row r="2700" spans="1:9" s="212" customFormat="1">
      <c r="B2700" s="97"/>
      <c r="C2700" s="98"/>
      <c r="D2700" s="98"/>
      <c r="E2700" s="98"/>
      <c r="G2700" s="220"/>
    </row>
    <row r="2701" spans="1:9" s="212" customFormat="1">
      <c r="B2701" s="97"/>
      <c r="C2701" s="98"/>
      <c r="D2701" s="98"/>
      <c r="E2701" s="98"/>
      <c r="F2701" s="220"/>
      <c r="G2701" s="225"/>
      <c r="H2701" s="226"/>
    </row>
    <row r="2702" spans="1:9" s="212" customFormat="1">
      <c r="A2702" s="633"/>
      <c r="B2702" s="633"/>
      <c r="C2702" s="633"/>
      <c r="D2702" s="633"/>
      <c r="E2702" s="633"/>
      <c r="F2702" s="633"/>
      <c r="G2702" s="633"/>
    </row>
    <row r="2703" spans="1:9" s="212" customFormat="1">
      <c r="H2703" s="227"/>
      <c r="I2703" s="228"/>
    </row>
    <row r="2704" spans="1:9" s="212" customFormat="1">
      <c r="A2704" s="658"/>
      <c r="B2704" s="227"/>
      <c r="C2704" s="227"/>
      <c r="D2704" s="227"/>
      <c r="E2704" s="227"/>
      <c r="F2704" s="227"/>
      <c r="G2704" s="227"/>
      <c r="H2704" s="227"/>
      <c r="I2704" s="229"/>
    </row>
    <row r="2705" spans="1:8" s="212" customFormat="1">
      <c r="A2705" s="658"/>
      <c r="B2705" s="227"/>
      <c r="C2705" s="227"/>
      <c r="D2705" s="227"/>
      <c r="E2705" s="227"/>
      <c r="F2705" s="227"/>
      <c r="G2705" s="227"/>
    </row>
    <row r="2706" spans="1:8" s="212" customFormat="1">
      <c r="A2706" s="69"/>
      <c r="B2706" s="69"/>
      <c r="C2706" s="69"/>
      <c r="D2706" s="69"/>
      <c r="E2706" s="69"/>
    </row>
    <row r="2707" spans="1:8" s="212" customFormat="1">
      <c r="A2707" s="120"/>
      <c r="B2707" s="73"/>
      <c r="C2707" s="73"/>
      <c r="D2707" s="73"/>
      <c r="E2707" s="73"/>
      <c r="F2707" s="73"/>
      <c r="G2707" s="73"/>
      <c r="H2707" s="73"/>
    </row>
    <row r="2708" spans="1:8" s="212" customFormat="1">
      <c r="A2708" s="220"/>
      <c r="B2708" s="141"/>
      <c r="C2708" s="141"/>
      <c r="D2708" s="141"/>
      <c r="E2708" s="141"/>
      <c r="F2708" s="141"/>
      <c r="G2708" s="141"/>
      <c r="H2708" s="73"/>
    </row>
    <row r="2709" spans="1:8" s="212" customFormat="1">
      <c r="A2709" s="150"/>
      <c r="B2709" s="83"/>
      <c r="C2709" s="148"/>
      <c r="D2709" s="84"/>
      <c r="E2709" s="84"/>
      <c r="F2709" s="84"/>
      <c r="G2709" s="224"/>
      <c r="H2709" s="221"/>
    </row>
    <row r="2710" spans="1:8" s="212" customFormat="1">
      <c r="A2710" s="84"/>
      <c r="B2710" s="83"/>
      <c r="C2710" s="84"/>
      <c r="D2710" s="84"/>
      <c r="E2710" s="84"/>
      <c r="G2710" s="213"/>
      <c r="H2710" s="222"/>
    </row>
    <row r="2711" spans="1:8" s="212" customFormat="1">
      <c r="A2711" s="120"/>
      <c r="B2711" s="73"/>
      <c r="C2711" s="73"/>
      <c r="D2711" s="73"/>
      <c r="E2711" s="73"/>
      <c r="G2711" s="73"/>
      <c r="H2711" s="222"/>
    </row>
    <row r="2712" spans="1:8" s="212" customFormat="1">
      <c r="A2712" s="220"/>
      <c r="B2712" s="141"/>
      <c r="C2712" s="141"/>
      <c r="D2712" s="141"/>
      <c r="E2712" s="141"/>
      <c r="F2712" s="141"/>
      <c r="G2712" s="141"/>
      <c r="H2712" s="222"/>
    </row>
    <row r="2713" spans="1:8" s="212" customFormat="1">
      <c r="A2713" s="150"/>
      <c r="B2713" s="83"/>
      <c r="C2713" s="148"/>
      <c r="D2713" s="84"/>
      <c r="E2713" s="84"/>
      <c r="F2713" s="84"/>
      <c r="G2713" s="224"/>
      <c r="H2713" s="221"/>
    </row>
    <row r="2714" spans="1:8" s="212" customFormat="1">
      <c r="A2714" s="91"/>
      <c r="B2714" s="91"/>
      <c r="C2714" s="91"/>
      <c r="D2714" s="91"/>
      <c r="E2714" s="91"/>
      <c r="G2714" s="213"/>
      <c r="H2714" s="222"/>
    </row>
    <row r="2715" spans="1:8" s="212" customFormat="1">
      <c r="A2715" s="120"/>
      <c r="B2715" s="73"/>
      <c r="C2715" s="73"/>
      <c r="D2715" s="73"/>
      <c r="E2715" s="73"/>
      <c r="G2715" s="73"/>
      <c r="H2715" s="222"/>
    </row>
    <row r="2716" spans="1:8" s="212" customFormat="1">
      <c r="A2716" s="220"/>
      <c r="B2716" s="141"/>
      <c r="C2716" s="141"/>
      <c r="D2716" s="141"/>
      <c r="E2716" s="141"/>
      <c r="F2716" s="141"/>
      <c r="G2716" s="141"/>
      <c r="H2716" s="222"/>
    </row>
    <row r="2717" spans="1:8" s="212" customFormat="1">
      <c r="A2717" s="146"/>
      <c r="B2717" s="83"/>
      <c r="C2717" s="148"/>
      <c r="D2717" s="84"/>
      <c r="E2717" s="84"/>
      <c r="F2717" s="84"/>
      <c r="G2717" s="146"/>
      <c r="H2717" s="221"/>
    </row>
    <row r="2718" spans="1:8" s="212" customFormat="1">
      <c r="A2718" s="91"/>
      <c r="B2718" s="91"/>
      <c r="C2718" s="91"/>
      <c r="D2718" s="91"/>
      <c r="E2718" s="91"/>
      <c r="G2718" s="213"/>
      <c r="H2718" s="222"/>
    </row>
    <row r="2719" spans="1:8" s="212" customFormat="1">
      <c r="A2719" s="120"/>
      <c r="B2719" s="73"/>
      <c r="C2719" s="73"/>
      <c r="D2719" s="73"/>
      <c r="E2719" s="73"/>
      <c r="G2719" s="73"/>
      <c r="H2719" s="222"/>
    </row>
    <row r="2720" spans="1:8" s="212" customFormat="1">
      <c r="A2720" s="220"/>
      <c r="B2720" s="141"/>
      <c r="C2720" s="141"/>
      <c r="D2720" s="141"/>
      <c r="E2720" s="141"/>
      <c r="F2720" s="141"/>
      <c r="G2720" s="141"/>
      <c r="H2720" s="222"/>
    </row>
    <row r="2721" spans="1:9" s="212" customFormat="1">
      <c r="A2721" s="142"/>
      <c r="B2721" s="143"/>
      <c r="C2721" s="143"/>
      <c r="D2721" s="143"/>
      <c r="E2721" s="143"/>
      <c r="F2721" s="84"/>
      <c r="G2721" s="146"/>
      <c r="H2721" s="221"/>
    </row>
    <row r="2722" spans="1:9" s="212" customFormat="1">
      <c r="A2722" s="123"/>
      <c r="B2722" s="95"/>
      <c r="C2722" s="95"/>
      <c r="D2722" s="95"/>
      <c r="E2722" s="95"/>
      <c r="G2722" s="213"/>
      <c r="H2722" s="73"/>
    </row>
    <row r="2723" spans="1:9" s="212" customFormat="1">
      <c r="A2723" s="123"/>
      <c r="B2723" s="95"/>
      <c r="C2723" s="95"/>
      <c r="D2723" s="95"/>
      <c r="E2723" s="95"/>
      <c r="G2723" s="73"/>
      <c r="H2723" s="225"/>
    </row>
    <row r="2724" spans="1:9" s="212" customFormat="1">
      <c r="B2724" s="97"/>
      <c r="C2724" s="98"/>
      <c r="D2724" s="98"/>
      <c r="E2724" s="98"/>
      <c r="G2724" s="220"/>
    </row>
    <row r="2725" spans="1:9" s="212" customFormat="1">
      <c r="B2725" s="97"/>
      <c r="C2725" s="98"/>
      <c r="D2725" s="98"/>
      <c r="E2725" s="98"/>
      <c r="F2725" s="220"/>
      <c r="G2725" s="225"/>
      <c r="H2725" s="226"/>
    </row>
    <row r="2726" spans="1:9" s="212" customFormat="1">
      <c r="A2726" s="633"/>
      <c r="B2726" s="633"/>
      <c r="C2726" s="633"/>
      <c r="D2726" s="633"/>
      <c r="E2726" s="633"/>
      <c r="F2726" s="633"/>
      <c r="G2726" s="633"/>
    </row>
    <row r="2727" spans="1:9" s="212" customFormat="1">
      <c r="H2727" s="227"/>
      <c r="I2727" s="228"/>
    </row>
    <row r="2728" spans="1:9" s="212" customFormat="1">
      <c r="A2728" s="658"/>
      <c r="B2728" s="227"/>
      <c r="C2728" s="227"/>
      <c r="D2728" s="227"/>
      <c r="E2728" s="227"/>
      <c r="F2728" s="227"/>
      <c r="G2728" s="227"/>
      <c r="H2728" s="227"/>
      <c r="I2728" s="229"/>
    </row>
    <row r="2729" spans="1:9" s="212" customFormat="1">
      <c r="A2729" s="658"/>
      <c r="B2729" s="227"/>
      <c r="C2729" s="227"/>
      <c r="D2729" s="227"/>
      <c r="E2729" s="227"/>
      <c r="F2729" s="227"/>
      <c r="G2729" s="227"/>
    </row>
    <row r="2730" spans="1:9" s="212" customFormat="1">
      <c r="A2730" s="69"/>
      <c r="B2730" s="69"/>
      <c r="C2730" s="69"/>
      <c r="D2730" s="69"/>
      <c r="E2730" s="69"/>
    </row>
    <row r="2731" spans="1:9" s="212" customFormat="1">
      <c r="A2731" s="120"/>
      <c r="B2731" s="73"/>
      <c r="C2731" s="73"/>
      <c r="D2731" s="73"/>
      <c r="E2731" s="73"/>
      <c r="F2731" s="73"/>
      <c r="G2731" s="73"/>
      <c r="H2731" s="73"/>
    </row>
    <row r="2732" spans="1:9" s="212" customFormat="1">
      <c r="A2732" s="220"/>
      <c r="B2732" s="141"/>
      <c r="C2732" s="141"/>
      <c r="D2732" s="141"/>
      <c r="E2732" s="141"/>
      <c r="F2732" s="141"/>
      <c r="G2732" s="141"/>
      <c r="H2732" s="73"/>
    </row>
    <row r="2733" spans="1:9" s="212" customFormat="1">
      <c r="A2733" s="150"/>
      <c r="B2733" s="83"/>
      <c r="C2733" s="148"/>
      <c r="D2733" s="84"/>
      <c r="E2733" s="84"/>
      <c r="F2733" s="84"/>
      <c r="G2733" s="224"/>
      <c r="H2733" s="221"/>
    </row>
    <row r="2734" spans="1:9" s="212" customFormat="1">
      <c r="A2734" s="84"/>
      <c r="B2734" s="83"/>
      <c r="C2734" s="84"/>
      <c r="D2734" s="84"/>
      <c r="E2734" s="84"/>
      <c r="G2734" s="213"/>
      <c r="H2734" s="222"/>
    </row>
    <row r="2735" spans="1:9" s="212" customFormat="1">
      <c r="A2735" s="120"/>
      <c r="B2735" s="73"/>
      <c r="C2735" s="73"/>
      <c r="D2735" s="73"/>
      <c r="E2735" s="73"/>
      <c r="G2735" s="73"/>
      <c r="H2735" s="222"/>
    </row>
    <row r="2736" spans="1:9" s="212" customFormat="1">
      <c r="A2736" s="220"/>
      <c r="B2736" s="141"/>
      <c r="C2736" s="141"/>
      <c r="D2736" s="141"/>
      <c r="E2736" s="141"/>
      <c r="F2736" s="141"/>
      <c r="G2736" s="141"/>
      <c r="H2736" s="222"/>
    </row>
    <row r="2737" spans="1:8" s="212" customFormat="1">
      <c r="A2737" s="150"/>
      <c r="B2737" s="83"/>
      <c r="C2737" s="148"/>
      <c r="D2737" s="84"/>
      <c r="E2737" s="84"/>
      <c r="F2737" s="84"/>
      <c r="G2737" s="224"/>
      <c r="H2737" s="222"/>
    </row>
    <row r="2738" spans="1:8" s="212" customFormat="1">
      <c r="A2738" s="150"/>
      <c r="B2738" s="83"/>
      <c r="C2738" s="148"/>
      <c r="D2738" s="84"/>
      <c r="E2738" s="84"/>
      <c r="F2738" s="84"/>
      <c r="G2738" s="224"/>
      <c r="H2738" s="222"/>
    </row>
    <row r="2739" spans="1:8" s="212" customFormat="1">
      <c r="A2739" s="150"/>
      <c r="B2739" s="83"/>
      <c r="C2739" s="148"/>
      <c r="D2739" s="84"/>
      <c r="E2739" s="84"/>
      <c r="F2739" s="84"/>
      <c r="G2739" s="224"/>
      <c r="H2739" s="222"/>
    </row>
    <row r="2740" spans="1:8" s="212" customFormat="1">
      <c r="A2740" s="150"/>
      <c r="B2740" s="83"/>
      <c r="C2740" s="148"/>
      <c r="D2740" s="84"/>
      <c r="E2740" s="84"/>
      <c r="F2740" s="84"/>
      <c r="G2740" s="224"/>
      <c r="H2740" s="222"/>
    </row>
    <row r="2741" spans="1:8" s="212" customFormat="1">
      <c r="A2741" s="150"/>
      <c r="B2741" s="83"/>
      <c r="C2741" s="148"/>
      <c r="D2741" s="84"/>
      <c r="E2741" s="84"/>
      <c r="F2741" s="84"/>
      <c r="G2741" s="224"/>
      <c r="H2741" s="222"/>
    </row>
    <row r="2742" spans="1:8" s="212" customFormat="1">
      <c r="A2742" s="150"/>
      <c r="B2742" s="83"/>
      <c r="C2742" s="148"/>
      <c r="D2742" s="84"/>
      <c r="E2742" s="84"/>
      <c r="F2742" s="84"/>
      <c r="G2742" s="224"/>
      <c r="H2742" s="222"/>
    </row>
    <row r="2743" spans="1:8" s="212" customFormat="1">
      <c r="A2743" s="150"/>
      <c r="B2743" s="83"/>
      <c r="C2743" s="148"/>
      <c r="D2743" s="84"/>
      <c r="E2743" s="84"/>
      <c r="F2743" s="84"/>
      <c r="G2743" s="224"/>
      <c r="H2743" s="221"/>
    </row>
    <row r="2744" spans="1:8" s="212" customFormat="1">
      <c r="A2744" s="91"/>
      <c r="B2744" s="91"/>
      <c r="C2744" s="91"/>
      <c r="D2744" s="91"/>
      <c r="E2744" s="91"/>
      <c r="G2744" s="213"/>
      <c r="H2744" s="222"/>
    </row>
    <row r="2745" spans="1:8" s="212" customFormat="1">
      <c r="A2745" s="120"/>
      <c r="B2745" s="73"/>
      <c r="C2745" s="73"/>
      <c r="D2745" s="73"/>
      <c r="E2745" s="73"/>
      <c r="G2745" s="73"/>
      <c r="H2745" s="222"/>
    </row>
    <row r="2746" spans="1:8" s="212" customFormat="1">
      <c r="A2746" s="220"/>
      <c r="B2746" s="141"/>
      <c r="C2746" s="141"/>
      <c r="D2746" s="141"/>
      <c r="E2746" s="141"/>
      <c r="F2746" s="141"/>
      <c r="G2746" s="141"/>
      <c r="H2746" s="222"/>
    </row>
    <row r="2747" spans="1:8" s="212" customFormat="1">
      <c r="A2747" s="146"/>
      <c r="B2747" s="83"/>
      <c r="C2747" s="148"/>
      <c r="D2747" s="84"/>
      <c r="E2747" s="84"/>
      <c r="F2747" s="84"/>
      <c r="G2747" s="146"/>
      <c r="H2747" s="222"/>
    </row>
    <row r="2748" spans="1:8" s="212" customFormat="1">
      <c r="A2748" s="146"/>
      <c r="B2748" s="83"/>
      <c r="C2748" s="148"/>
      <c r="D2748" s="84"/>
      <c r="E2748" s="84"/>
      <c r="F2748" s="84"/>
      <c r="G2748" s="146"/>
      <c r="H2748" s="221"/>
    </row>
    <row r="2749" spans="1:8" s="212" customFormat="1">
      <c r="A2749" s="91"/>
      <c r="B2749" s="91"/>
      <c r="C2749" s="91"/>
      <c r="D2749" s="91"/>
      <c r="E2749" s="91"/>
      <c r="G2749" s="213"/>
      <c r="H2749" s="222"/>
    </row>
    <row r="2750" spans="1:8" s="212" customFormat="1">
      <c r="A2750" s="120"/>
      <c r="B2750" s="73"/>
      <c r="C2750" s="73"/>
      <c r="D2750" s="73"/>
      <c r="E2750" s="73"/>
      <c r="G2750" s="73"/>
      <c r="H2750" s="222"/>
    </row>
    <row r="2751" spans="1:8" s="212" customFormat="1">
      <c r="A2751" s="220"/>
      <c r="B2751" s="141"/>
      <c r="C2751" s="141"/>
      <c r="D2751" s="141"/>
      <c r="E2751" s="141"/>
      <c r="F2751" s="141"/>
      <c r="G2751" s="141"/>
      <c r="H2751" s="222"/>
    </row>
    <row r="2752" spans="1:8" s="212" customFormat="1">
      <c r="A2752" s="142"/>
      <c r="B2752" s="143"/>
      <c r="C2752" s="143"/>
      <c r="D2752" s="143"/>
      <c r="E2752" s="143"/>
      <c r="F2752" s="84"/>
      <c r="G2752" s="146"/>
      <c r="H2752" s="221"/>
    </row>
    <row r="2753" spans="1:9" s="212" customFormat="1">
      <c r="A2753" s="123"/>
      <c r="B2753" s="95"/>
      <c r="C2753" s="95"/>
      <c r="D2753" s="95"/>
      <c r="E2753" s="95"/>
      <c r="G2753" s="213"/>
      <c r="H2753" s="73"/>
    </row>
    <row r="2754" spans="1:9" s="212" customFormat="1">
      <c r="A2754" s="123"/>
      <c r="B2754" s="95"/>
      <c r="C2754" s="95"/>
      <c r="D2754" s="95"/>
      <c r="E2754" s="95"/>
      <c r="G2754" s="73"/>
      <c r="H2754" s="225"/>
    </row>
    <row r="2755" spans="1:9" s="212" customFormat="1">
      <c r="B2755" s="97"/>
      <c r="C2755" s="98"/>
      <c r="D2755" s="98"/>
      <c r="E2755" s="98"/>
      <c r="G2755" s="220"/>
    </row>
    <row r="2756" spans="1:9" s="212" customFormat="1">
      <c r="B2756" s="97"/>
      <c r="C2756" s="98"/>
      <c r="D2756" s="98"/>
      <c r="E2756" s="98"/>
      <c r="F2756" s="220"/>
      <c r="G2756" s="225"/>
      <c r="H2756" s="226"/>
    </row>
    <row r="2757" spans="1:9" s="212" customFormat="1">
      <c r="A2757" s="633"/>
      <c r="B2757" s="633"/>
      <c r="C2757" s="633"/>
      <c r="D2757" s="633"/>
      <c r="E2757" s="633"/>
      <c r="F2757" s="633"/>
      <c r="G2757" s="633"/>
    </row>
    <row r="2758" spans="1:9" s="212" customFormat="1">
      <c r="H2758" s="227"/>
      <c r="I2758" s="228"/>
    </row>
    <row r="2759" spans="1:9" s="212" customFormat="1">
      <c r="A2759" s="658"/>
      <c r="B2759" s="227"/>
      <c r="C2759" s="227"/>
      <c r="D2759" s="227"/>
      <c r="E2759" s="227"/>
      <c r="F2759" s="227"/>
      <c r="G2759" s="227"/>
      <c r="H2759" s="227"/>
      <c r="I2759" s="229"/>
    </row>
    <row r="2760" spans="1:9" s="212" customFormat="1">
      <c r="A2760" s="658"/>
      <c r="B2760" s="227"/>
      <c r="C2760" s="227"/>
      <c r="D2760" s="227"/>
      <c r="E2760" s="227"/>
      <c r="F2760" s="227"/>
      <c r="G2760" s="227"/>
    </row>
    <row r="2761" spans="1:9" s="212" customFormat="1">
      <c r="A2761" s="69"/>
      <c r="B2761" s="69"/>
      <c r="C2761" s="69"/>
      <c r="D2761" s="69"/>
      <c r="E2761" s="69"/>
    </row>
    <row r="2762" spans="1:9" s="212" customFormat="1">
      <c r="A2762" s="120"/>
      <c r="B2762" s="73"/>
      <c r="C2762" s="73"/>
      <c r="D2762" s="73"/>
      <c r="E2762" s="73"/>
      <c r="F2762" s="73"/>
      <c r="G2762" s="73"/>
      <c r="H2762" s="73"/>
    </row>
    <row r="2763" spans="1:9" s="212" customFormat="1">
      <c r="A2763" s="220"/>
      <c r="B2763" s="141"/>
      <c r="C2763" s="141"/>
      <c r="D2763" s="141"/>
      <c r="E2763" s="141"/>
      <c r="F2763" s="141"/>
      <c r="G2763" s="141"/>
      <c r="H2763" s="73"/>
    </row>
    <row r="2764" spans="1:9" s="212" customFormat="1">
      <c r="A2764" s="150"/>
      <c r="B2764" s="83"/>
      <c r="C2764" s="148"/>
      <c r="D2764" s="84"/>
      <c r="E2764" s="84"/>
      <c r="F2764" s="84"/>
      <c r="G2764" s="224"/>
      <c r="H2764" s="221"/>
    </row>
    <row r="2765" spans="1:9" s="212" customFormat="1">
      <c r="A2765" s="84"/>
      <c r="B2765" s="83"/>
      <c r="C2765" s="84"/>
      <c r="D2765" s="84"/>
      <c r="E2765" s="84"/>
      <c r="G2765" s="213"/>
      <c r="H2765" s="222"/>
    </row>
    <row r="2766" spans="1:9" s="212" customFormat="1">
      <c r="A2766" s="120"/>
      <c r="B2766" s="73"/>
      <c r="C2766" s="73"/>
      <c r="D2766" s="73"/>
      <c r="E2766" s="73"/>
      <c r="G2766" s="73"/>
      <c r="H2766" s="222"/>
    </row>
    <row r="2767" spans="1:9" s="212" customFormat="1">
      <c r="A2767" s="220"/>
      <c r="B2767" s="141"/>
      <c r="C2767" s="141"/>
      <c r="D2767" s="141"/>
      <c r="E2767" s="141"/>
      <c r="F2767" s="141"/>
      <c r="G2767" s="141"/>
      <c r="H2767" s="222"/>
    </row>
    <row r="2768" spans="1:9" s="212" customFormat="1">
      <c r="A2768" s="150"/>
      <c r="B2768" s="83"/>
      <c r="C2768" s="148"/>
      <c r="D2768" s="84"/>
      <c r="E2768" s="84"/>
      <c r="F2768" s="84"/>
      <c r="G2768" s="224"/>
      <c r="H2768" s="222"/>
    </row>
    <row r="2769" spans="1:9" s="212" customFormat="1">
      <c r="A2769" s="150"/>
      <c r="B2769" s="83"/>
      <c r="C2769" s="148"/>
      <c r="D2769" s="84"/>
      <c r="E2769" s="84"/>
      <c r="F2769" s="84"/>
      <c r="G2769" s="224"/>
      <c r="H2769" s="221"/>
    </row>
    <row r="2770" spans="1:9" s="212" customFormat="1">
      <c r="A2770" s="91"/>
      <c r="B2770" s="91"/>
      <c r="C2770" s="91"/>
      <c r="D2770" s="91"/>
      <c r="E2770" s="91"/>
      <c r="G2770" s="213"/>
      <c r="H2770" s="222"/>
    </row>
    <row r="2771" spans="1:9" s="212" customFormat="1">
      <c r="A2771" s="120"/>
      <c r="B2771" s="73"/>
      <c r="C2771" s="73"/>
      <c r="D2771" s="73"/>
      <c r="E2771" s="73"/>
      <c r="G2771" s="73"/>
      <c r="H2771" s="222"/>
    </row>
    <row r="2772" spans="1:9" s="212" customFormat="1">
      <c r="A2772" s="220"/>
      <c r="B2772" s="141"/>
      <c r="C2772" s="141"/>
      <c r="D2772" s="141"/>
      <c r="E2772" s="141"/>
      <c r="F2772" s="141"/>
      <c r="G2772" s="141"/>
      <c r="H2772" s="222"/>
    </row>
    <row r="2773" spans="1:9" s="212" customFormat="1">
      <c r="A2773" s="146"/>
      <c r="B2773" s="83"/>
      <c r="C2773" s="148"/>
      <c r="D2773" s="84"/>
      <c r="E2773" s="84"/>
      <c r="F2773" s="84"/>
      <c r="G2773" s="146"/>
      <c r="H2773" s="221"/>
    </row>
    <row r="2774" spans="1:9" s="212" customFormat="1">
      <c r="A2774" s="91"/>
      <c r="B2774" s="91"/>
      <c r="C2774" s="91"/>
      <c r="D2774" s="91"/>
      <c r="E2774" s="91"/>
      <c r="G2774" s="213"/>
      <c r="H2774" s="222"/>
    </row>
    <row r="2775" spans="1:9" s="212" customFormat="1">
      <c r="A2775" s="120"/>
      <c r="B2775" s="73"/>
      <c r="C2775" s="73"/>
      <c r="D2775" s="73"/>
      <c r="E2775" s="73"/>
      <c r="G2775" s="73"/>
      <c r="H2775" s="222"/>
    </row>
    <row r="2776" spans="1:9" s="212" customFormat="1">
      <c r="A2776" s="220"/>
      <c r="B2776" s="141"/>
      <c r="C2776" s="141"/>
      <c r="D2776" s="141"/>
      <c r="E2776" s="141"/>
      <c r="F2776" s="141"/>
      <c r="G2776" s="141"/>
      <c r="H2776" s="222"/>
    </row>
    <row r="2777" spans="1:9" s="212" customFormat="1">
      <c r="A2777" s="142"/>
      <c r="B2777" s="143"/>
      <c r="C2777" s="143"/>
      <c r="D2777" s="143"/>
      <c r="E2777" s="143"/>
      <c r="F2777" s="84"/>
      <c r="G2777" s="146"/>
      <c r="H2777" s="221"/>
    </row>
    <row r="2778" spans="1:9" s="212" customFormat="1">
      <c r="A2778" s="123"/>
      <c r="B2778" s="95"/>
      <c r="C2778" s="95"/>
      <c r="D2778" s="95"/>
      <c r="E2778" s="95"/>
      <c r="G2778" s="213"/>
      <c r="H2778" s="73"/>
    </row>
    <row r="2779" spans="1:9" s="212" customFormat="1">
      <c r="A2779" s="123"/>
      <c r="B2779" s="95"/>
      <c r="C2779" s="95"/>
      <c r="D2779" s="95"/>
      <c r="E2779" s="95"/>
      <c r="G2779" s="73"/>
      <c r="H2779" s="225"/>
    </row>
    <row r="2780" spans="1:9" s="212" customFormat="1">
      <c r="B2780" s="97"/>
      <c r="C2780" s="98"/>
      <c r="D2780" s="98"/>
      <c r="E2780" s="98"/>
      <c r="G2780" s="220"/>
    </row>
    <row r="2781" spans="1:9" s="212" customFormat="1">
      <c r="B2781" s="97"/>
      <c r="C2781" s="98"/>
      <c r="D2781" s="98"/>
      <c r="E2781" s="98"/>
      <c r="F2781" s="220"/>
      <c r="G2781" s="225"/>
      <c r="H2781" s="226"/>
    </row>
    <row r="2782" spans="1:9" s="212" customFormat="1">
      <c r="A2782" s="633"/>
      <c r="B2782" s="633"/>
      <c r="C2782" s="633"/>
      <c r="D2782" s="633"/>
      <c r="E2782" s="633"/>
      <c r="F2782" s="633"/>
      <c r="G2782" s="633"/>
    </row>
    <row r="2783" spans="1:9" s="212" customFormat="1">
      <c r="H2783" s="227"/>
      <c r="I2783" s="228"/>
    </row>
    <row r="2784" spans="1:9" s="212" customFormat="1">
      <c r="A2784" s="658"/>
      <c r="B2784" s="227"/>
      <c r="C2784" s="227"/>
      <c r="D2784" s="227"/>
      <c r="E2784" s="227"/>
      <c r="F2784" s="227"/>
      <c r="G2784" s="227"/>
      <c r="H2784" s="227"/>
      <c r="I2784" s="229"/>
    </row>
    <row r="2785" spans="1:8" s="212" customFormat="1">
      <c r="A2785" s="658"/>
      <c r="B2785" s="227"/>
      <c r="C2785" s="227"/>
      <c r="D2785" s="227"/>
      <c r="E2785" s="227"/>
      <c r="F2785" s="227"/>
      <c r="G2785" s="227"/>
    </row>
    <row r="2786" spans="1:8" s="212" customFormat="1">
      <c r="A2786" s="69"/>
      <c r="B2786" s="69"/>
      <c r="C2786" s="69"/>
      <c r="D2786" s="69"/>
      <c r="E2786" s="69"/>
    </row>
    <row r="2787" spans="1:8" s="212" customFormat="1">
      <c r="A2787" s="120"/>
      <c r="B2787" s="73"/>
      <c r="C2787" s="73"/>
      <c r="D2787" s="73"/>
      <c r="E2787" s="73"/>
      <c r="F2787" s="73"/>
      <c r="G2787" s="73"/>
      <c r="H2787" s="73"/>
    </row>
    <row r="2788" spans="1:8" s="212" customFormat="1">
      <c r="A2788" s="220"/>
      <c r="B2788" s="141"/>
      <c r="C2788" s="141"/>
      <c r="D2788" s="141"/>
      <c r="E2788" s="141"/>
      <c r="F2788" s="141"/>
      <c r="G2788" s="141"/>
      <c r="H2788" s="73"/>
    </row>
    <row r="2789" spans="1:8" s="212" customFormat="1">
      <c r="A2789" s="150"/>
      <c r="B2789" s="83"/>
      <c r="C2789" s="148"/>
      <c r="D2789" s="84"/>
      <c r="E2789" s="84"/>
      <c r="F2789" s="84"/>
      <c r="G2789" s="224"/>
      <c r="H2789" s="221"/>
    </row>
    <row r="2790" spans="1:8" s="212" customFormat="1">
      <c r="A2790" s="84"/>
      <c r="B2790" s="83"/>
      <c r="C2790" s="84"/>
      <c r="D2790" s="84"/>
      <c r="E2790" s="84"/>
      <c r="G2790" s="213"/>
      <c r="H2790" s="222"/>
    </row>
    <row r="2791" spans="1:8" s="212" customFormat="1">
      <c r="A2791" s="120"/>
      <c r="B2791" s="73"/>
      <c r="C2791" s="73"/>
      <c r="D2791" s="73"/>
      <c r="E2791" s="73"/>
      <c r="G2791" s="73"/>
      <c r="H2791" s="222"/>
    </row>
    <row r="2792" spans="1:8" s="212" customFormat="1">
      <c r="A2792" s="220"/>
      <c r="B2792" s="141"/>
      <c r="C2792" s="141"/>
      <c r="D2792" s="141"/>
      <c r="E2792" s="141"/>
      <c r="F2792" s="141"/>
      <c r="G2792" s="141"/>
      <c r="H2792" s="222"/>
    </row>
    <row r="2793" spans="1:8" s="212" customFormat="1">
      <c r="A2793" s="150"/>
      <c r="B2793" s="83"/>
      <c r="C2793" s="148"/>
      <c r="D2793" s="84"/>
      <c r="E2793" s="84"/>
      <c r="F2793" s="84"/>
      <c r="G2793" s="224"/>
      <c r="H2793" s="221"/>
    </row>
    <row r="2794" spans="1:8" s="212" customFormat="1">
      <c r="A2794" s="91"/>
      <c r="B2794" s="91"/>
      <c r="C2794" s="91"/>
      <c r="D2794" s="91"/>
      <c r="E2794" s="91"/>
      <c r="G2794" s="213"/>
      <c r="H2794" s="222"/>
    </row>
    <row r="2795" spans="1:8" s="212" customFormat="1">
      <c r="A2795" s="120"/>
      <c r="B2795" s="73"/>
      <c r="C2795" s="73"/>
      <c r="D2795" s="73"/>
      <c r="E2795" s="73"/>
      <c r="G2795" s="73"/>
      <c r="H2795" s="222"/>
    </row>
    <row r="2796" spans="1:8" s="212" customFormat="1">
      <c r="A2796" s="220"/>
      <c r="B2796" s="141"/>
      <c r="C2796" s="141"/>
      <c r="D2796" s="141"/>
      <c r="E2796" s="141"/>
      <c r="F2796" s="141"/>
      <c r="G2796" s="141"/>
      <c r="H2796" s="222"/>
    </row>
    <row r="2797" spans="1:8" s="212" customFormat="1">
      <c r="A2797" s="146"/>
      <c r="B2797" s="83"/>
      <c r="C2797" s="148"/>
      <c r="D2797" s="84"/>
      <c r="E2797" s="84"/>
      <c r="F2797" s="84"/>
      <c r="G2797" s="146"/>
      <c r="H2797" s="221"/>
    </row>
    <row r="2798" spans="1:8" s="212" customFormat="1">
      <c r="A2798" s="91"/>
      <c r="B2798" s="91"/>
      <c r="C2798" s="91"/>
      <c r="D2798" s="91"/>
      <c r="E2798" s="91"/>
      <c r="G2798" s="213"/>
      <c r="H2798" s="222"/>
    </row>
    <row r="2799" spans="1:8" s="212" customFormat="1">
      <c r="A2799" s="120"/>
      <c r="B2799" s="73"/>
      <c r="C2799" s="73"/>
      <c r="D2799" s="73"/>
      <c r="E2799" s="73"/>
      <c r="G2799" s="73"/>
      <c r="H2799" s="222"/>
    </row>
    <row r="2800" spans="1:8" s="212" customFormat="1">
      <c r="A2800" s="220"/>
      <c r="B2800" s="141"/>
      <c r="C2800" s="141"/>
      <c r="D2800" s="141"/>
      <c r="E2800" s="141"/>
      <c r="F2800" s="141"/>
      <c r="G2800" s="141"/>
      <c r="H2800" s="222"/>
    </row>
    <row r="2801" spans="1:9" s="212" customFormat="1">
      <c r="A2801" s="142"/>
      <c r="B2801" s="143"/>
      <c r="C2801" s="143"/>
      <c r="D2801" s="143"/>
      <c r="E2801" s="143"/>
      <c r="F2801" s="84"/>
      <c r="G2801" s="146"/>
      <c r="H2801" s="221"/>
    </row>
    <row r="2802" spans="1:9" s="212" customFormat="1">
      <c r="A2802" s="123"/>
      <c r="B2802" s="95"/>
      <c r="C2802" s="95"/>
      <c r="D2802" s="95"/>
      <c r="E2802" s="95"/>
      <c r="G2802" s="213"/>
      <c r="H2802" s="73"/>
    </row>
    <row r="2803" spans="1:9" s="212" customFormat="1">
      <c r="A2803" s="123"/>
      <c r="B2803" s="95"/>
      <c r="C2803" s="95"/>
      <c r="D2803" s="95"/>
      <c r="E2803" s="95"/>
      <c r="G2803" s="73"/>
      <c r="H2803" s="225"/>
    </row>
    <row r="2804" spans="1:9" s="212" customFormat="1">
      <c r="B2804" s="97"/>
      <c r="C2804" s="98"/>
      <c r="D2804" s="98"/>
      <c r="E2804" s="98"/>
      <c r="G2804" s="220"/>
    </row>
    <row r="2805" spans="1:9" s="212" customFormat="1">
      <c r="B2805" s="97"/>
      <c r="C2805" s="98"/>
      <c r="D2805" s="98"/>
      <c r="E2805" s="98"/>
      <c r="F2805" s="220"/>
      <c r="G2805" s="225"/>
      <c r="H2805" s="226"/>
    </row>
    <row r="2806" spans="1:9" s="212" customFormat="1">
      <c r="A2806" s="633"/>
      <c r="B2806" s="633"/>
      <c r="C2806" s="633"/>
      <c r="D2806" s="633"/>
      <c r="E2806" s="633"/>
      <c r="F2806" s="633"/>
      <c r="G2806" s="633"/>
    </row>
    <row r="2807" spans="1:9" s="212" customFormat="1">
      <c r="H2807" s="227"/>
      <c r="I2807" s="228"/>
    </row>
    <row r="2808" spans="1:9" s="212" customFormat="1">
      <c r="A2808" s="658"/>
      <c r="B2808" s="227"/>
      <c r="C2808" s="227"/>
      <c r="D2808" s="227"/>
      <c r="E2808" s="227"/>
      <c r="F2808" s="227"/>
      <c r="G2808" s="227"/>
      <c r="H2808" s="227"/>
      <c r="I2808" s="229"/>
    </row>
    <row r="2809" spans="1:9" s="212" customFormat="1">
      <c r="A2809" s="658"/>
      <c r="B2809" s="227"/>
      <c r="C2809" s="227"/>
      <c r="D2809" s="227"/>
      <c r="E2809" s="227"/>
      <c r="F2809" s="227"/>
      <c r="G2809" s="227"/>
    </row>
    <row r="2810" spans="1:9" s="212" customFormat="1">
      <c r="A2810" s="69"/>
      <c r="B2810" s="69"/>
      <c r="C2810" s="69"/>
      <c r="D2810" s="69"/>
      <c r="E2810" s="69"/>
    </row>
    <row r="2811" spans="1:9" s="212" customFormat="1">
      <c r="A2811" s="120"/>
      <c r="B2811" s="73"/>
      <c r="C2811" s="73"/>
      <c r="D2811" s="73"/>
      <c r="E2811" s="73"/>
      <c r="F2811" s="73"/>
      <c r="G2811" s="73"/>
      <c r="H2811" s="73"/>
    </row>
    <row r="2812" spans="1:9" s="212" customFormat="1">
      <c r="A2812" s="220"/>
      <c r="B2812" s="141"/>
      <c r="C2812" s="141"/>
      <c r="D2812" s="141"/>
      <c r="E2812" s="141"/>
      <c r="F2812" s="141"/>
      <c r="G2812" s="141"/>
      <c r="H2812" s="73"/>
    </row>
    <row r="2813" spans="1:9" s="212" customFormat="1">
      <c r="A2813" s="150"/>
      <c r="B2813" s="83"/>
      <c r="C2813" s="148"/>
      <c r="D2813" s="84"/>
      <c r="E2813" s="84"/>
      <c r="F2813" s="84"/>
      <c r="G2813" s="224"/>
      <c r="H2813" s="221"/>
    </row>
    <row r="2814" spans="1:9" s="212" customFormat="1">
      <c r="A2814" s="84"/>
      <c r="B2814" s="83"/>
      <c r="C2814" s="84"/>
      <c r="D2814" s="84"/>
      <c r="E2814" s="84"/>
      <c r="G2814" s="213"/>
      <c r="H2814" s="222"/>
    </row>
    <row r="2815" spans="1:9" s="212" customFormat="1">
      <c r="A2815" s="120"/>
      <c r="B2815" s="73"/>
      <c r="C2815" s="73"/>
      <c r="D2815" s="73"/>
      <c r="E2815" s="73"/>
      <c r="G2815" s="73"/>
      <c r="H2815" s="222"/>
    </row>
    <row r="2816" spans="1:9" s="212" customFormat="1">
      <c r="A2816" s="220"/>
      <c r="B2816" s="141"/>
      <c r="C2816" s="141"/>
      <c r="D2816" s="141"/>
      <c r="E2816" s="141"/>
      <c r="F2816" s="141"/>
      <c r="G2816" s="141"/>
      <c r="H2816" s="222"/>
    </row>
    <row r="2817" spans="1:9" s="212" customFormat="1">
      <c r="A2817" s="150"/>
      <c r="B2817" s="83"/>
      <c r="C2817" s="148"/>
      <c r="D2817" s="84"/>
      <c r="E2817" s="84"/>
      <c r="F2817" s="84"/>
      <c r="G2817" s="224"/>
      <c r="H2817" s="221"/>
    </row>
    <row r="2818" spans="1:9" s="212" customFormat="1">
      <c r="A2818" s="91"/>
      <c r="B2818" s="91"/>
      <c r="C2818" s="91"/>
      <c r="D2818" s="91"/>
      <c r="E2818" s="91"/>
      <c r="G2818" s="213"/>
      <c r="H2818" s="222"/>
    </row>
    <row r="2819" spans="1:9" s="212" customFormat="1">
      <c r="A2819" s="120"/>
      <c r="B2819" s="73"/>
      <c r="C2819" s="73"/>
      <c r="D2819" s="73"/>
      <c r="E2819" s="73"/>
      <c r="G2819" s="73"/>
      <c r="H2819" s="222"/>
    </row>
    <row r="2820" spans="1:9" s="212" customFormat="1">
      <c r="A2820" s="220"/>
      <c r="B2820" s="141"/>
      <c r="C2820" s="141"/>
      <c r="D2820" s="141"/>
      <c r="E2820" s="141"/>
      <c r="F2820" s="141"/>
      <c r="G2820" s="141"/>
      <c r="H2820" s="222"/>
    </row>
    <row r="2821" spans="1:9" s="212" customFormat="1">
      <c r="A2821" s="146"/>
      <c r="B2821" s="83"/>
      <c r="C2821" s="148"/>
      <c r="D2821" s="84"/>
      <c r="E2821" s="84"/>
      <c r="F2821" s="84"/>
      <c r="G2821" s="146"/>
      <c r="H2821" s="221"/>
    </row>
    <row r="2822" spans="1:9" s="212" customFormat="1">
      <c r="A2822" s="91"/>
      <c r="B2822" s="91"/>
      <c r="C2822" s="91"/>
      <c r="D2822" s="91"/>
      <c r="E2822" s="91"/>
      <c r="G2822" s="213"/>
      <c r="H2822" s="222"/>
    </row>
    <row r="2823" spans="1:9" s="212" customFormat="1">
      <c r="A2823" s="120"/>
      <c r="B2823" s="73"/>
      <c r="C2823" s="73"/>
      <c r="D2823" s="73"/>
      <c r="E2823" s="73"/>
      <c r="G2823" s="73"/>
      <c r="H2823" s="222"/>
    </row>
    <row r="2824" spans="1:9" s="212" customFormat="1">
      <c r="A2824" s="220"/>
      <c r="B2824" s="141"/>
      <c r="C2824" s="141"/>
      <c r="D2824" s="141"/>
      <c r="E2824" s="141"/>
      <c r="F2824" s="141"/>
      <c r="G2824" s="141"/>
      <c r="H2824" s="222"/>
    </row>
    <row r="2825" spans="1:9" s="212" customFormat="1">
      <c r="A2825" s="142"/>
      <c r="B2825" s="143"/>
      <c r="C2825" s="143"/>
      <c r="D2825" s="143"/>
      <c r="E2825" s="143"/>
      <c r="F2825" s="84"/>
      <c r="G2825" s="146"/>
      <c r="H2825" s="221"/>
    </row>
    <row r="2826" spans="1:9" s="212" customFormat="1">
      <c r="A2826" s="123"/>
      <c r="B2826" s="95"/>
      <c r="C2826" s="95"/>
      <c r="D2826" s="95"/>
      <c r="E2826" s="95"/>
      <c r="G2826" s="213"/>
      <c r="H2826" s="73"/>
    </row>
    <row r="2827" spans="1:9" s="212" customFormat="1">
      <c r="A2827" s="123"/>
      <c r="B2827" s="95"/>
      <c r="C2827" s="95"/>
      <c r="D2827" s="95"/>
      <c r="E2827" s="95"/>
      <c r="G2827" s="73"/>
      <c r="H2827" s="225"/>
    </row>
    <row r="2828" spans="1:9" s="212" customFormat="1">
      <c r="B2828" s="97"/>
      <c r="C2828" s="98"/>
      <c r="D2828" s="98"/>
      <c r="E2828" s="98"/>
      <c r="G2828" s="220"/>
    </row>
    <row r="2829" spans="1:9" s="212" customFormat="1">
      <c r="B2829" s="97"/>
      <c r="C2829" s="98"/>
      <c r="D2829" s="98"/>
      <c r="E2829" s="98"/>
      <c r="F2829" s="220"/>
      <c r="G2829" s="225"/>
      <c r="H2829" s="226"/>
    </row>
    <row r="2830" spans="1:9" s="212" customFormat="1">
      <c r="A2830" s="633"/>
      <c r="B2830" s="633"/>
      <c r="C2830" s="633"/>
      <c r="D2830" s="633"/>
      <c r="E2830" s="633"/>
      <c r="F2830" s="633"/>
      <c r="G2830" s="633"/>
    </row>
    <row r="2831" spans="1:9" s="212" customFormat="1">
      <c r="H2831" s="227"/>
      <c r="I2831" s="228"/>
    </row>
    <row r="2832" spans="1:9" s="212" customFormat="1">
      <c r="A2832" s="658"/>
      <c r="B2832" s="227"/>
      <c r="C2832" s="227"/>
      <c r="D2832" s="227"/>
      <c r="E2832" s="227"/>
      <c r="F2832" s="227"/>
      <c r="G2832" s="227"/>
      <c r="H2832" s="227"/>
      <c r="I2832" s="229"/>
    </row>
    <row r="2833" spans="1:8" s="212" customFormat="1">
      <c r="A2833" s="658"/>
      <c r="B2833" s="227"/>
      <c r="C2833" s="227"/>
      <c r="D2833" s="227"/>
      <c r="E2833" s="227"/>
      <c r="F2833" s="227"/>
      <c r="G2833" s="227"/>
    </row>
    <row r="2834" spans="1:8" s="212" customFormat="1">
      <c r="A2834" s="69"/>
      <c r="B2834" s="69"/>
      <c r="C2834" s="69"/>
      <c r="D2834" s="69"/>
      <c r="E2834" s="69"/>
    </row>
    <row r="2835" spans="1:8" s="212" customFormat="1">
      <c r="A2835" s="120"/>
      <c r="B2835" s="73"/>
      <c r="C2835" s="73"/>
      <c r="D2835" s="73"/>
      <c r="E2835" s="73"/>
      <c r="F2835" s="73"/>
      <c r="G2835" s="73"/>
      <c r="H2835" s="73"/>
    </row>
    <row r="2836" spans="1:8" s="212" customFormat="1">
      <c r="A2836" s="220"/>
      <c r="B2836" s="141"/>
      <c r="C2836" s="141"/>
      <c r="D2836" s="141"/>
      <c r="E2836" s="141"/>
      <c r="F2836" s="141"/>
      <c r="G2836" s="141"/>
      <c r="H2836" s="73"/>
    </row>
    <row r="2837" spans="1:8" s="212" customFormat="1">
      <c r="A2837" s="150"/>
      <c r="B2837" s="83"/>
      <c r="C2837" s="148"/>
      <c r="D2837" s="84"/>
      <c r="E2837" s="84"/>
      <c r="F2837" s="84"/>
      <c r="G2837" s="224"/>
      <c r="H2837" s="221"/>
    </row>
    <row r="2838" spans="1:8" s="212" customFormat="1">
      <c r="A2838" s="84"/>
      <c r="B2838" s="83"/>
      <c r="C2838" s="84"/>
      <c r="D2838" s="84"/>
      <c r="E2838" s="84"/>
      <c r="G2838" s="213"/>
      <c r="H2838" s="222"/>
    </row>
    <row r="2839" spans="1:8" s="212" customFormat="1">
      <c r="A2839" s="120"/>
      <c r="B2839" s="73"/>
      <c r="C2839" s="73"/>
      <c r="D2839" s="73"/>
      <c r="E2839" s="73"/>
      <c r="G2839" s="73"/>
      <c r="H2839" s="222"/>
    </row>
    <row r="2840" spans="1:8" s="212" customFormat="1">
      <c r="A2840" s="220"/>
      <c r="B2840" s="141"/>
      <c r="C2840" s="141"/>
      <c r="D2840" s="141"/>
      <c r="E2840" s="141"/>
      <c r="F2840" s="141"/>
      <c r="G2840" s="141"/>
      <c r="H2840" s="222"/>
    </row>
    <row r="2841" spans="1:8" s="212" customFormat="1">
      <c r="A2841" s="150"/>
      <c r="B2841" s="83"/>
      <c r="C2841" s="148"/>
      <c r="D2841" s="84"/>
      <c r="E2841" s="84"/>
      <c r="F2841" s="84"/>
      <c r="G2841" s="224"/>
      <c r="H2841" s="221"/>
    </row>
    <row r="2842" spans="1:8" s="212" customFormat="1">
      <c r="A2842" s="91"/>
      <c r="B2842" s="91"/>
      <c r="C2842" s="91"/>
      <c r="D2842" s="91"/>
      <c r="E2842" s="91"/>
      <c r="G2842" s="213"/>
      <c r="H2842" s="222"/>
    </row>
    <row r="2843" spans="1:8" s="212" customFormat="1">
      <c r="A2843" s="120"/>
      <c r="B2843" s="73"/>
      <c r="C2843" s="73"/>
      <c r="D2843" s="73"/>
      <c r="E2843" s="73"/>
      <c r="G2843" s="73"/>
      <c r="H2843" s="222"/>
    </row>
    <row r="2844" spans="1:8" s="212" customFormat="1">
      <c r="A2844" s="220"/>
      <c r="B2844" s="141"/>
      <c r="C2844" s="141"/>
      <c r="D2844" s="141"/>
      <c r="E2844" s="141"/>
      <c r="F2844" s="141"/>
      <c r="G2844" s="141"/>
      <c r="H2844" s="222"/>
    </row>
    <row r="2845" spans="1:8" s="212" customFormat="1">
      <c r="A2845" s="146"/>
      <c r="B2845" s="83"/>
      <c r="C2845" s="148"/>
      <c r="D2845" s="84"/>
      <c r="E2845" s="84"/>
      <c r="F2845" s="84"/>
      <c r="G2845" s="146"/>
      <c r="H2845" s="221"/>
    </row>
    <row r="2846" spans="1:8" s="212" customFormat="1">
      <c r="A2846" s="91"/>
      <c r="B2846" s="91"/>
      <c r="C2846" s="91"/>
      <c r="D2846" s="91"/>
      <c r="E2846" s="91"/>
      <c r="G2846" s="213"/>
      <c r="H2846" s="222"/>
    </row>
    <row r="2847" spans="1:8" s="212" customFormat="1">
      <c r="A2847" s="120"/>
      <c r="B2847" s="73"/>
      <c r="C2847" s="73"/>
      <c r="D2847" s="73"/>
      <c r="E2847" s="73"/>
      <c r="G2847" s="73"/>
      <c r="H2847" s="222"/>
    </row>
    <row r="2848" spans="1:8" s="212" customFormat="1">
      <c r="A2848" s="220"/>
      <c r="B2848" s="141"/>
      <c r="C2848" s="141"/>
      <c r="D2848" s="141"/>
      <c r="E2848" s="141"/>
      <c r="F2848" s="141"/>
      <c r="G2848" s="141"/>
      <c r="H2848" s="222"/>
    </row>
    <row r="2849" spans="1:9" s="212" customFormat="1">
      <c r="A2849" s="142"/>
      <c r="B2849" s="143"/>
      <c r="C2849" s="143"/>
      <c r="D2849" s="143"/>
      <c r="E2849" s="143"/>
      <c r="F2849" s="84"/>
      <c r="G2849" s="146"/>
      <c r="H2849" s="221"/>
    </row>
    <row r="2850" spans="1:9" s="212" customFormat="1">
      <c r="A2850" s="123"/>
      <c r="B2850" s="95"/>
      <c r="C2850" s="95"/>
      <c r="D2850" s="95"/>
      <c r="E2850" s="95"/>
      <c r="G2850" s="213"/>
      <c r="H2850" s="73"/>
    </row>
    <row r="2851" spans="1:9" s="212" customFormat="1">
      <c r="A2851" s="123"/>
      <c r="B2851" s="95"/>
      <c r="C2851" s="95"/>
      <c r="D2851" s="95"/>
      <c r="E2851" s="95"/>
      <c r="G2851" s="73"/>
      <c r="H2851" s="225"/>
    </row>
    <row r="2852" spans="1:9" s="212" customFormat="1">
      <c r="B2852" s="97"/>
      <c r="C2852" s="98"/>
      <c r="D2852" s="98"/>
      <c r="E2852" s="98"/>
      <c r="G2852" s="220"/>
    </row>
    <row r="2853" spans="1:9" s="212" customFormat="1">
      <c r="B2853" s="97"/>
      <c r="C2853" s="98"/>
      <c r="D2853" s="98"/>
      <c r="E2853" s="98"/>
      <c r="F2853" s="220"/>
      <c r="G2853" s="225"/>
      <c r="H2853" s="226"/>
    </row>
    <row r="2854" spans="1:9" s="212" customFormat="1">
      <c r="A2854" s="633"/>
      <c r="B2854" s="633"/>
      <c r="C2854" s="633"/>
      <c r="D2854" s="633"/>
      <c r="E2854" s="633"/>
      <c r="F2854" s="633"/>
      <c r="G2854" s="633"/>
    </row>
    <row r="2855" spans="1:9" s="212" customFormat="1">
      <c r="H2855" s="227"/>
      <c r="I2855" s="228"/>
    </row>
    <row r="2856" spans="1:9" s="212" customFormat="1">
      <c r="A2856" s="658"/>
      <c r="B2856" s="227"/>
      <c r="C2856" s="227"/>
      <c r="D2856" s="227"/>
      <c r="E2856" s="227"/>
      <c r="F2856" s="227"/>
      <c r="G2856" s="227"/>
      <c r="H2856" s="227"/>
      <c r="I2856" s="229"/>
    </row>
    <row r="2857" spans="1:9" s="212" customFormat="1">
      <c r="A2857" s="658"/>
      <c r="B2857" s="227"/>
      <c r="C2857" s="227"/>
      <c r="D2857" s="227"/>
      <c r="E2857" s="227"/>
      <c r="F2857" s="227"/>
      <c r="G2857" s="227"/>
    </row>
    <row r="2858" spans="1:9" s="212" customFormat="1">
      <c r="A2858" s="69"/>
      <c r="B2858" s="69"/>
      <c r="C2858" s="69"/>
      <c r="D2858" s="69"/>
      <c r="E2858" s="69"/>
    </row>
    <row r="2859" spans="1:9" s="212" customFormat="1">
      <c r="A2859" s="120"/>
      <c r="B2859" s="73"/>
      <c r="C2859" s="73"/>
      <c r="D2859" s="73"/>
      <c r="E2859" s="73"/>
      <c r="F2859" s="73"/>
      <c r="G2859" s="73"/>
      <c r="H2859" s="73"/>
    </row>
    <row r="2860" spans="1:9" s="212" customFormat="1">
      <c r="A2860" s="220"/>
      <c r="B2860" s="141"/>
      <c r="C2860" s="141"/>
      <c r="D2860" s="141"/>
      <c r="E2860" s="141"/>
      <c r="F2860" s="141"/>
      <c r="G2860" s="141"/>
      <c r="H2860" s="73"/>
    </row>
    <row r="2861" spans="1:9" s="212" customFormat="1">
      <c r="A2861" s="150"/>
      <c r="B2861" s="83"/>
      <c r="C2861" s="148"/>
      <c r="D2861" s="84"/>
      <c r="E2861" s="84"/>
      <c r="F2861" s="84"/>
      <c r="G2861" s="224"/>
      <c r="H2861" s="73"/>
    </row>
    <row r="2862" spans="1:9" s="212" customFormat="1">
      <c r="A2862" s="150"/>
      <c r="B2862" s="83"/>
      <c r="C2862" s="148"/>
      <c r="D2862" s="84"/>
      <c r="E2862" s="84"/>
      <c r="F2862" s="84"/>
      <c r="G2862" s="224"/>
      <c r="H2862" s="221"/>
    </row>
    <row r="2863" spans="1:9" s="212" customFormat="1">
      <c r="A2863" s="84"/>
      <c r="B2863" s="83"/>
      <c r="C2863" s="84"/>
      <c r="D2863" s="84"/>
      <c r="E2863" s="84"/>
      <c r="G2863" s="213"/>
      <c r="H2863" s="222"/>
    </row>
    <row r="2864" spans="1:9" s="212" customFormat="1">
      <c r="A2864" s="120"/>
      <c r="B2864" s="73"/>
      <c r="C2864" s="73"/>
      <c r="D2864" s="73"/>
      <c r="E2864" s="73"/>
      <c r="G2864" s="73"/>
      <c r="H2864" s="222"/>
    </row>
    <row r="2865" spans="1:8" s="212" customFormat="1">
      <c r="A2865" s="220"/>
      <c r="B2865" s="141"/>
      <c r="C2865" s="141"/>
      <c r="D2865" s="141"/>
      <c r="E2865" s="141"/>
      <c r="F2865" s="141"/>
      <c r="G2865" s="141"/>
      <c r="H2865" s="222"/>
    </row>
    <row r="2866" spans="1:8" s="212" customFormat="1">
      <c r="A2866" s="150"/>
      <c r="B2866" s="83"/>
      <c r="C2866" s="148"/>
      <c r="D2866" s="84"/>
      <c r="E2866" s="84"/>
      <c r="F2866" s="84"/>
      <c r="G2866" s="224"/>
      <c r="H2866" s="222"/>
    </row>
    <row r="2867" spans="1:8" s="212" customFormat="1">
      <c r="A2867" s="150"/>
      <c r="B2867" s="83"/>
      <c r="C2867" s="148"/>
      <c r="D2867" s="84"/>
      <c r="E2867" s="84"/>
      <c r="F2867" s="84"/>
      <c r="G2867" s="224"/>
      <c r="H2867" s="222"/>
    </row>
    <row r="2868" spans="1:8" s="212" customFormat="1">
      <c r="A2868" s="150"/>
      <c r="B2868" s="83"/>
      <c r="C2868" s="148"/>
      <c r="D2868" s="84"/>
      <c r="E2868" s="84"/>
      <c r="F2868" s="84"/>
      <c r="G2868" s="224"/>
      <c r="H2868" s="222"/>
    </row>
    <row r="2869" spans="1:8" s="212" customFormat="1">
      <c r="A2869" s="150"/>
      <c r="B2869" s="83"/>
      <c r="C2869" s="148"/>
      <c r="D2869" s="84"/>
      <c r="E2869" s="84"/>
      <c r="F2869" s="84"/>
      <c r="G2869" s="224"/>
      <c r="H2869" s="222"/>
    </row>
    <row r="2870" spans="1:8" s="212" customFormat="1">
      <c r="A2870" s="150"/>
      <c r="B2870" s="83"/>
      <c r="C2870" s="148"/>
      <c r="D2870" s="84"/>
      <c r="E2870" s="84"/>
      <c r="F2870" s="84"/>
      <c r="G2870" s="224"/>
      <c r="H2870" s="222"/>
    </row>
    <row r="2871" spans="1:8" s="212" customFormat="1">
      <c r="A2871" s="150"/>
      <c r="B2871" s="83"/>
      <c r="C2871" s="148"/>
      <c r="D2871" s="84"/>
      <c r="E2871" s="84"/>
      <c r="F2871" s="84"/>
      <c r="G2871" s="224"/>
      <c r="H2871" s="222"/>
    </row>
    <row r="2872" spans="1:8" s="212" customFormat="1">
      <c r="A2872" s="150"/>
      <c r="B2872" s="83"/>
      <c r="C2872" s="148"/>
      <c r="D2872" s="84"/>
      <c r="E2872" s="84"/>
      <c r="F2872" s="84"/>
      <c r="G2872" s="224"/>
      <c r="H2872" s="222"/>
    </row>
    <row r="2873" spans="1:8" s="212" customFormat="1">
      <c r="A2873" s="150"/>
      <c r="B2873" s="83"/>
      <c r="C2873" s="148"/>
      <c r="D2873" s="84"/>
      <c r="E2873" s="84"/>
      <c r="F2873" s="84"/>
      <c r="G2873" s="224"/>
      <c r="H2873" s="221"/>
    </row>
    <row r="2874" spans="1:8" s="212" customFormat="1">
      <c r="A2874" s="91"/>
      <c r="B2874" s="91"/>
      <c r="C2874" s="91"/>
      <c r="D2874" s="91"/>
      <c r="E2874" s="91"/>
      <c r="G2874" s="213"/>
      <c r="H2874" s="222"/>
    </row>
    <row r="2875" spans="1:8" s="212" customFormat="1">
      <c r="A2875" s="120"/>
      <c r="B2875" s="73"/>
      <c r="C2875" s="73"/>
      <c r="D2875" s="73"/>
      <c r="E2875" s="73"/>
      <c r="G2875" s="73"/>
      <c r="H2875" s="222"/>
    </row>
    <row r="2876" spans="1:8" s="212" customFormat="1">
      <c r="A2876" s="220"/>
      <c r="B2876" s="141"/>
      <c r="C2876" s="141"/>
      <c r="D2876" s="141"/>
      <c r="E2876" s="141"/>
      <c r="F2876" s="141"/>
      <c r="G2876" s="141"/>
      <c r="H2876" s="222"/>
    </row>
    <row r="2877" spans="1:8" s="212" customFormat="1">
      <c r="A2877" s="146"/>
      <c r="B2877" s="83"/>
      <c r="C2877" s="148"/>
      <c r="D2877" s="84"/>
      <c r="E2877" s="84"/>
      <c r="F2877" s="84"/>
      <c r="G2877" s="146"/>
      <c r="H2877" s="222"/>
    </row>
    <row r="2878" spans="1:8" s="212" customFormat="1">
      <c r="A2878" s="146"/>
      <c r="B2878" s="83"/>
      <c r="C2878" s="148"/>
      <c r="D2878" s="84"/>
      <c r="E2878" s="84"/>
      <c r="F2878" s="84"/>
      <c r="G2878" s="146"/>
      <c r="H2878" s="221"/>
    </row>
    <row r="2879" spans="1:8" s="212" customFormat="1">
      <c r="A2879" s="91"/>
      <c r="B2879" s="91"/>
      <c r="C2879" s="91"/>
      <c r="D2879" s="91"/>
      <c r="E2879" s="91"/>
      <c r="G2879" s="213"/>
      <c r="H2879" s="222"/>
    </row>
    <row r="2880" spans="1:8" s="212" customFormat="1">
      <c r="A2880" s="120"/>
      <c r="B2880" s="73"/>
      <c r="C2880" s="73"/>
      <c r="D2880" s="73"/>
      <c r="E2880" s="73"/>
      <c r="G2880" s="73"/>
      <c r="H2880" s="222"/>
    </row>
    <row r="2881" spans="1:9" s="212" customFormat="1">
      <c r="A2881" s="220"/>
      <c r="B2881" s="141"/>
      <c r="C2881" s="141"/>
      <c r="D2881" s="141"/>
      <c r="E2881" s="141"/>
      <c r="F2881" s="141"/>
      <c r="G2881" s="141"/>
      <c r="H2881" s="222"/>
    </row>
    <row r="2882" spans="1:9" s="212" customFormat="1">
      <c r="A2882" s="142"/>
      <c r="B2882" s="143"/>
      <c r="C2882" s="143"/>
      <c r="D2882" s="143"/>
      <c r="E2882" s="143"/>
      <c r="F2882" s="84"/>
      <c r="G2882" s="146"/>
      <c r="H2882" s="221"/>
    </row>
    <row r="2883" spans="1:9" s="212" customFormat="1">
      <c r="A2883" s="123"/>
      <c r="B2883" s="95"/>
      <c r="C2883" s="95"/>
      <c r="D2883" s="95"/>
      <c r="E2883" s="95"/>
      <c r="G2883" s="213"/>
      <c r="H2883" s="73"/>
    </row>
    <row r="2884" spans="1:9" s="212" customFormat="1">
      <c r="A2884" s="123"/>
      <c r="B2884" s="95"/>
      <c r="C2884" s="95"/>
      <c r="D2884" s="95"/>
      <c r="E2884" s="95"/>
      <c r="G2884" s="73"/>
      <c r="H2884" s="225"/>
    </row>
    <row r="2885" spans="1:9" s="212" customFormat="1">
      <c r="B2885" s="97"/>
      <c r="C2885" s="98"/>
      <c r="D2885" s="98"/>
      <c r="E2885" s="98"/>
      <c r="G2885" s="220"/>
    </row>
    <row r="2886" spans="1:9" s="212" customFormat="1">
      <c r="B2886" s="97"/>
      <c r="C2886" s="98"/>
      <c r="D2886" s="98"/>
      <c r="E2886" s="98"/>
      <c r="F2886" s="220"/>
      <c r="G2886" s="225"/>
      <c r="H2886" s="226"/>
    </row>
    <row r="2887" spans="1:9" s="212" customFormat="1">
      <c r="A2887" s="633"/>
      <c r="B2887" s="633"/>
      <c r="C2887" s="633"/>
      <c r="D2887" s="633"/>
      <c r="E2887" s="633"/>
      <c r="F2887" s="633"/>
      <c r="G2887" s="633"/>
    </row>
    <row r="2888" spans="1:9" s="212" customFormat="1">
      <c r="H2888" s="227"/>
      <c r="I2888" s="228"/>
    </row>
    <row r="2889" spans="1:9" s="212" customFormat="1">
      <c r="A2889" s="658"/>
      <c r="B2889" s="227"/>
      <c r="C2889" s="227"/>
      <c r="D2889" s="227"/>
      <c r="E2889" s="227"/>
      <c r="F2889" s="227"/>
      <c r="G2889" s="227"/>
      <c r="H2889" s="227"/>
      <c r="I2889" s="229"/>
    </row>
    <row r="2890" spans="1:9" s="212" customFormat="1">
      <c r="A2890" s="658"/>
      <c r="B2890" s="227"/>
      <c r="C2890" s="227"/>
      <c r="D2890" s="227"/>
      <c r="E2890" s="227"/>
      <c r="F2890" s="227"/>
      <c r="G2890" s="227"/>
    </row>
    <row r="2891" spans="1:9" s="212" customFormat="1">
      <c r="A2891" s="69"/>
      <c r="B2891" s="69"/>
      <c r="C2891" s="69"/>
      <c r="D2891" s="69"/>
      <c r="E2891" s="69"/>
    </row>
    <row r="2892" spans="1:9" s="212" customFormat="1">
      <c r="A2892" s="120"/>
      <c r="B2892" s="73"/>
      <c r="C2892" s="73"/>
      <c r="D2892" s="73"/>
      <c r="E2892" s="73"/>
      <c r="F2892" s="73"/>
      <c r="G2892" s="73"/>
      <c r="H2892" s="73"/>
    </row>
    <row r="2893" spans="1:9" s="212" customFormat="1">
      <c r="A2893" s="220"/>
      <c r="B2893" s="141"/>
      <c r="C2893" s="141"/>
      <c r="D2893" s="141"/>
      <c r="E2893" s="141"/>
      <c r="F2893" s="141"/>
      <c r="G2893" s="141"/>
      <c r="H2893" s="73"/>
    </row>
    <row r="2894" spans="1:9" s="212" customFormat="1">
      <c r="A2894" s="150"/>
      <c r="B2894" s="83"/>
      <c r="C2894" s="148"/>
      <c r="D2894" s="84"/>
      <c r="E2894" s="84"/>
      <c r="F2894" s="84"/>
      <c r="G2894" s="224"/>
      <c r="H2894" s="221"/>
    </row>
    <row r="2895" spans="1:9" s="212" customFormat="1">
      <c r="A2895" s="84"/>
      <c r="B2895" s="83"/>
      <c r="C2895" s="84"/>
      <c r="D2895" s="84"/>
      <c r="E2895" s="84"/>
      <c r="G2895" s="213"/>
      <c r="H2895" s="222"/>
    </row>
    <row r="2896" spans="1:9" s="212" customFormat="1">
      <c r="A2896" s="120"/>
      <c r="B2896" s="73"/>
      <c r="C2896" s="73"/>
      <c r="D2896" s="73"/>
      <c r="E2896" s="73"/>
      <c r="G2896" s="73"/>
      <c r="H2896" s="222"/>
    </row>
    <row r="2897" spans="1:9" s="212" customFormat="1">
      <c r="A2897" s="220"/>
      <c r="B2897" s="141"/>
      <c r="C2897" s="141"/>
      <c r="D2897" s="141"/>
      <c r="E2897" s="141"/>
      <c r="F2897" s="141"/>
      <c r="G2897" s="141"/>
      <c r="H2897" s="222"/>
    </row>
    <row r="2898" spans="1:9" s="212" customFormat="1">
      <c r="A2898" s="150"/>
      <c r="B2898" s="83"/>
      <c r="C2898" s="148"/>
      <c r="D2898" s="84"/>
      <c r="E2898" s="84"/>
      <c r="F2898" s="84"/>
      <c r="G2898" s="224"/>
      <c r="H2898" s="221"/>
    </row>
    <row r="2899" spans="1:9" s="212" customFormat="1">
      <c r="A2899" s="91"/>
      <c r="B2899" s="91"/>
      <c r="C2899" s="91"/>
      <c r="D2899" s="91"/>
      <c r="E2899" s="91"/>
      <c r="G2899" s="213"/>
      <c r="H2899" s="222"/>
    </row>
    <row r="2900" spans="1:9" s="212" customFormat="1">
      <c r="A2900" s="120"/>
      <c r="B2900" s="73"/>
      <c r="C2900" s="73"/>
      <c r="D2900" s="73"/>
      <c r="E2900" s="73"/>
      <c r="G2900" s="73"/>
      <c r="H2900" s="222"/>
    </row>
    <row r="2901" spans="1:9" s="212" customFormat="1">
      <c r="A2901" s="220"/>
      <c r="B2901" s="141"/>
      <c r="C2901" s="141"/>
      <c r="D2901" s="141"/>
      <c r="E2901" s="141"/>
      <c r="F2901" s="141"/>
      <c r="G2901" s="141"/>
      <c r="H2901" s="222"/>
    </row>
    <row r="2902" spans="1:9" s="212" customFormat="1">
      <c r="A2902" s="146"/>
      <c r="B2902" s="83"/>
      <c r="C2902" s="148"/>
      <c r="D2902" s="84"/>
      <c r="E2902" s="84"/>
      <c r="F2902" s="84"/>
      <c r="G2902" s="146"/>
      <c r="H2902" s="221"/>
    </row>
    <row r="2903" spans="1:9" s="212" customFormat="1">
      <c r="A2903" s="91"/>
      <c r="B2903" s="91"/>
      <c r="C2903" s="91"/>
      <c r="D2903" s="91"/>
      <c r="E2903" s="91"/>
      <c r="G2903" s="213"/>
      <c r="H2903" s="222"/>
    </row>
    <row r="2904" spans="1:9" s="212" customFormat="1">
      <c r="A2904" s="120"/>
      <c r="B2904" s="73"/>
      <c r="C2904" s="73"/>
      <c r="D2904" s="73"/>
      <c r="E2904" s="73"/>
      <c r="G2904" s="73"/>
      <c r="H2904" s="222"/>
    </row>
    <row r="2905" spans="1:9" s="212" customFormat="1">
      <c r="A2905" s="220"/>
      <c r="B2905" s="141"/>
      <c r="C2905" s="141"/>
      <c r="D2905" s="141"/>
      <c r="E2905" s="141"/>
      <c r="F2905" s="141"/>
      <c r="G2905" s="141"/>
      <c r="H2905" s="222"/>
    </row>
    <row r="2906" spans="1:9" s="212" customFormat="1">
      <c r="A2906" s="142"/>
      <c r="B2906" s="143"/>
      <c r="C2906" s="143"/>
      <c r="D2906" s="143"/>
      <c r="E2906" s="143"/>
      <c r="F2906" s="84"/>
      <c r="G2906" s="146"/>
      <c r="H2906" s="221"/>
    </row>
    <row r="2907" spans="1:9" s="212" customFormat="1">
      <c r="A2907" s="123"/>
      <c r="B2907" s="95"/>
      <c r="C2907" s="95"/>
      <c r="D2907" s="95"/>
      <c r="E2907" s="95"/>
      <c r="G2907" s="213"/>
      <c r="H2907" s="73"/>
    </row>
    <row r="2908" spans="1:9" s="212" customFormat="1">
      <c r="A2908" s="123"/>
      <c r="B2908" s="95"/>
      <c r="C2908" s="95"/>
      <c r="D2908" s="95"/>
      <c r="E2908" s="95"/>
      <c r="G2908" s="73"/>
      <c r="H2908" s="225"/>
    </row>
    <row r="2909" spans="1:9" s="212" customFormat="1">
      <c r="B2909" s="97"/>
      <c r="C2909" s="98"/>
      <c r="D2909" s="98"/>
      <c r="E2909" s="98"/>
      <c r="G2909" s="220"/>
    </row>
    <row r="2910" spans="1:9" s="212" customFormat="1">
      <c r="B2910" s="97"/>
      <c r="C2910" s="98"/>
      <c r="D2910" s="98"/>
      <c r="E2910" s="98"/>
      <c r="F2910" s="220"/>
      <c r="G2910" s="225"/>
      <c r="H2910" s="226"/>
    </row>
    <row r="2911" spans="1:9" s="212" customFormat="1">
      <c r="A2911" s="633"/>
      <c r="B2911" s="633"/>
      <c r="C2911" s="633"/>
      <c r="D2911" s="633"/>
      <c r="E2911" s="633"/>
      <c r="F2911" s="633"/>
      <c r="G2911" s="633"/>
    </row>
    <row r="2912" spans="1:9" s="212" customFormat="1">
      <c r="H2912" s="227"/>
      <c r="I2912" s="228"/>
    </row>
    <row r="2913" spans="1:9" s="212" customFormat="1">
      <c r="A2913" s="658"/>
      <c r="B2913" s="227"/>
      <c r="C2913" s="227"/>
      <c r="D2913" s="227"/>
      <c r="E2913" s="227"/>
      <c r="F2913" s="227"/>
      <c r="G2913" s="227"/>
      <c r="H2913" s="227"/>
      <c r="I2913" s="229"/>
    </row>
    <row r="2914" spans="1:9" s="212" customFormat="1">
      <c r="A2914" s="658"/>
      <c r="B2914" s="227"/>
      <c r="C2914" s="227"/>
      <c r="D2914" s="227"/>
      <c r="E2914" s="227"/>
      <c r="F2914" s="227"/>
      <c r="G2914" s="227"/>
    </row>
    <row r="2915" spans="1:9" s="212" customFormat="1">
      <c r="A2915" s="69"/>
      <c r="B2915" s="69"/>
      <c r="C2915" s="69"/>
      <c r="D2915" s="69"/>
      <c r="E2915" s="69"/>
    </row>
    <row r="2916" spans="1:9" s="212" customFormat="1">
      <c r="A2916" s="120"/>
      <c r="B2916" s="73"/>
      <c r="C2916" s="73"/>
      <c r="D2916" s="73"/>
      <c r="E2916" s="73"/>
      <c r="F2916" s="73"/>
      <c r="G2916" s="73"/>
      <c r="H2916" s="73"/>
    </row>
    <row r="2917" spans="1:9" s="212" customFormat="1">
      <c r="A2917" s="220"/>
      <c r="B2917" s="141"/>
      <c r="C2917" s="141"/>
      <c r="D2917" s="141"/>
      <c r="E2917" s="141"/>
      <c r="F2917" s="141"/>
      <c r="G2917" s="141"/>
      <c r="H2917" s="73"/>
    </row>
    <row r="2918" spans="1:9" s="212" customFormat="1">
      <c r="A2918" s="150"/>
      <c r="B2918" s="83"/>
      <c r="C2918" s="148"/>
      <c r="D2918" s="84"/>
      <c r="E2918" s="84"/>
      <c r="F2918" s="84"/>
      <c r="G2918" s="224"/>
      <c r="H2918" s="221"/>
    </row>
    <row r="2919" spans="1:9" s="212" customFormat="1">
      <c r="A2919" s="84"/>
      <c r="B2919" s="83"/>
      <c r="C2919" s="84"/>
      <c r="D2919" s="84"/>
      <c r="E2919" s="84"/>
      <c r="G2919" s="213"/>
      <c r="H2919" s="222"/>
    </row>
    <row r="2920" spans="1:9" s="212" customFormat="1">
      <c r="A2920" s="120"/>
      <c r="B2920" s="73"/>
      <c r="C2920" s="73"/>
      <c r="D2920" s="73"/>
      <c r="E2920" s="73"/>
      <c r="G2920" s="73"/>
      <c r="H2920" s="222"/>
    </row>
    <row r="2921" spans="1:9" s="212" customFormat="1">
      <c r="A2921" s="220"/>
      <c r="B2921" s="141"/>
      <c r="C2921" s="141"/>
      <c r="D2921" s="141"/>
      <c r="E2921" s="141"/>
      <c r="F2921" s="141"/>
      <c r="G2921" s="141"/>
      <c r="H2921" s="222"/>
    </row>
    <row r="2922" spans="1:9" s="212" customFormat="1">
      <c r="A2922" s="150"/>
      <c r="B2922" s="83"/>
      <c r="C2922" s="148"/>
      <c r="D2922" s="84"/>
      <c r="E2922" s="84"/>
      <c r="F2922" s="84"/>
      <c r="G2922" s="224"/>
      <c r="H2922" s="221"/>
    </row>
    <row r="2923" spans="1:9" s="212" customFormat="1">
      <c r="A2923" s="91"/>
      <c r="B2923" s="91"/>
      <c r="C2923" s="91"/>
      <c r="D2923" s="91"/>
      <c r="E2923" s="91"/>
      <c r="G2923" s="213"/>
      <c r="H2923" s="222"/>
    </row>
    <row r="2924" spans="1:9" s="212" customFormat="1">
      <c r="A2924" s="120"/>
      <c r="B2924" s="73"/>
      <c r="C2924" s="73"/>
      <c r="D2924" s="73"/>
      <c r="E2924" s="73"/>
      <c r="G2924" s="73"/>
      <c r="H2924" s="222"/>
    </row>
    <row r="2925" spans="1:9" s="212" customFormat="1">
      <c r="A2925" s="220"/>
      <c r="B2925" s="141"/>
      <c r="C2925" s="141"/>
      <c r="D2925" s="141"/>
      <c r="E2925" s="141"/>
      <c r="F2925" s="141"/>
      <c r="G2925" s="141"/>
      <c r="H2925" s="222"/>
    </row>
    <row r="2926" spans="1:9" s="212" customFormat="1">
      <c r="A2926" s="146"/>
      <c r="B2926" s="83"/>
      <c r="C2926" s="148"/>
      <c r="D2926" s="84"/>
      <c r="E2926" s="84"/>
      <c r="F2926" s="84"/>
      <c r="G2926" s="146"/>
      <c r="H2926" s="221"/>
    </row>
    <row r="2927" spans="1:9" s="212" customFormat="1">
      <c r="A2927" s="91"/>
      <c r="B2927" s="91"/>
      <c r="C2927" s="91"/>
      <c r="D2927" s="91"/>
      <c r="E2927" s="91"/>
      <c r="G2927" s="213"/>
      <c r="H2927" s="222"/>
    </row>
    <row r="2928" spans="1:9" s="212" customFormat="1">
      <c r="A2928" s="120"/>
      <c r="B2928" s="73"/>
      <c r="C2928" s="73"/>
      <c r="D2928" s="73"/>
      <c r="E2928" s="73"/>
      <c r="G2928" s="73"/>
      <c r="H2928" s="222"/>
    </row>
    <row r="2929" spans="1:9" s="212" customFormat="1">
      <c r="A2929" s="220"/>
      <c r="B2929" s="141"/>
      <c r="C2929" s="141"/>
      <c r="D2929" s="141"/>
      <c r="E2929" s="141"/>
      <c r="F2929" s="141"/>
      <c r="G2929" s="141"/>
      <c r="H2929" s="222"/>
    </row>
    <row r="2930" spans="1:9" s="212" customFormat="1">
      <c r="A2930" s="142"/>
      <c r="B2930" s="143"/>
      <c r="C2930" s="143"/>
      <c r="D2930" s="143"/>
      <c r="E2930" s="143"/>
      <c r="F2930" s="84"/>
      <c r="G2930" s="146"/>
      <c r="H2930" s="221"/>
    </row>
    <row r="2931" spans="1:9" s="212" customFormat="1">
      <c r="A2931" s="123"/>
      <c r="B2931" s="95"/>
      <c r="C2931" s="95"/>
      <c r="D2931" s="95"/>
      <c r="E2931" s="95"/>
      <c r="G2931" s="213"/>
      <c r="H2931" s="73"/>
    </row>
    <row r="2932" spans="1:9" s="212" customFormat="1">
      <c r="A2932" s="123"/>
      <c r="B2932" s="95"/>
      <c r="C2932" s="95"/>
      <c r="D2932" s="95"/>
      <c r="E2932" s="95"/>
      <c r="G2932" s="73"/>
      <c r="H2932" s="225"/>
    </row>
    <row r="2933" spans="1:9" s="212" customFormat="1">
      <c r="B2933" s="97"/>
      <c r="C2933" s="98"/>
      <c r="D2933" s="98"/>
      <c r="E2933" s="98"/>
      <c r="G2933" s="220"/>
    </row>
    <row r="2934" spans="1:9" s="212" customFormat="1">
      <c r="B2934" s="97"/>
      <c r="C2934" s="98"/>
      <c r="D2934" s="98"/>
      <c r="E2934" s="98"/>
      <c r="F2934" s="220"/>
      <c r="G2934" s="225"/>
      <c r="H2934" s="226"/>
    </row>
    <row r="2935" spans="1:9" s="212" customFormat="1">
      <c r="A2935" s="633"/>
      <c r="B2935" s="633"/>
      <c r="C2935" s="633"/>
      <c r="D2935" s="633"/>
      <c r="E2935" s="633"/>
      <c r="F2935" s="633"/>
      <c r="G2935" s="633"/>
    </row>
    <row r="2936" spans="1:9" s="212" customFormat="1">
      <c r="H2936" s="227"/>
      <c r="I2936" s="228"/>
    </row>
    <row r="2937" spans="1:9" s="212" customFormat="1">
      <c r="A2937" s="658"/>
      <c r="B2937" s="227"/>
      <c r="C2937" s="227"/>
      <c r="D2937" s="227"/>
      <c r="E2937" s="227"/>
      <c r="F2937" s="227"/>
      <c r="G2937" s="227"/>
      <c r="H2937" s="227"/>
      <c r="I2937" s="229"/>
    </row>
    <row r="2938" spans="1:9" s="212" customFormat="1">
      <c r="A2938" s="658"/>
      <c r="B2938" s="227"/>
      <c r="C2938" s="227"/>
      <c r="D2938" s="227"/>
      <c r="E2938" s="227"/>
      <c r="F2938" s="227"/>
      <c r="G2938" s="227"/>
    </row>
    <row r="2939" spans="1:9" s="212" customFormat="1">
      <c r="A2939" s="69"/>
      <c r="B2939" s="69"/>
      <c r="C2939" s="69"/>
      <c r="D2939" s="69"/>
      <c r="E2939" s="69"/>
    </row>
    <row r="2940" spans="1:9" s="212" customFormat="1">
      <c r="A2940" s="120"/>
      <c r="B2940" s="73"/>
      <c r="C2940" s="73"/>
      <c r="D2940" s="73"/>
      <c r="E2940" s="73"/>
      <c r="F2940" s="73"/>
      <c r="G2940" s="73"/>
      <c r="H2940" s="73"/>
    </row>
    <row r="2941" spans="1:9" s="212" customFormat="1">
      <c r="A2941" s="220"/>
      <c r="B2941" s="141"/>
      <c r="C2941" s="141"/>
      <c r="D2941" s="141"/>
      <c r="E2941" s="141"/>
      <c r="F2941" s="141"/>
      <c r="G2941" s="141"/>
      <c r="H2941" s="73"/>
    </row>
    <row r="2942" spans="1:9" s="212" customFormat="1">
      <c r="A2942" s="150"/>
      <c r="B2942" s="83"/>
      <c r="C2942" s="148"/>
      <c r="D2942" s="84"/>
      <c r="E2942" s="84"/>
      <c r="F2942" s="84"/>
      <c r="G2942" s="224"/>
      <c r="H2942" s="221"/>
    </row>
    <row r="2943" spans="1:9" s="212" customFormat="1">
      <c r="A2943" s="84"/>
      <c r="B2943" s="83"/>
      <c r="C2943" s="84"/>
      <c r="D2943" s="84"/>
      <c r="E2943" s="84"/>
      <c r="G2943" s="213"/>
      <c r="H2943" s="222"/>
    </row>
    <row r="2944" spans="1:9" s="212" customFormat="1">
      <c r="A2944" s="120"/>
      <c r="B2944" s="73"/>
      <c r="C2944" s="73"/>
      <c r="D2944" s="73"/>
      <c r="E2944" s="73"/>
      <c r="G2944" s="73"/>
      <c r="H2944" s="222"/>
    </row>
    <row r="2945" spans="1:8" s="212" customFormat="1">
      <c r="A2945" s="220"/>
      <c r="B2945" s="141"/>
      <c r="C2945" s="141"/>
      <c r="D2945" s="141"/>
      <c r="E2945" s="141"/>
      <c r="F2945" s="141"/>
      <c r="G2945" s="141"/>
      <c r="H2945" s="222"/>
    </row>
    <row r="2946" spans="1:8" s="212" customFormat="1">
      <c r="A2946" s="150"/>
      <c r="B2946" s="83"/>
      <c r="C2946" s="148"/>
      <c r="D2946" s="84"/>
      <c r="E2946" s="84"/>
      <c r="F2946" s="84"/>
      <c r="G2946" s="224"/>
      <c r="H2946" s="222"/>
    </row>
    <row r="2947" spans="1:8" s="212" customFormat="1">
      <c r="A2947" s="150"/>
      <c r="B2947" s="83"/>
      <c r="C2947" s="148"/>
      <c r="D2947" s="84"/>
      <c r="E2947" s="84"/>
      <c r="F2947" s="84"/>
      <c r="G2947" s="224"/>
      <c r="H2947" s="222"/>
    </row>
    <row r="2948" spans="1:8" s="212" customFormat="1">
      <c r="A2948" s="150"/>
      <c r="B2948" s="83"/>
      <c r="C2948" s="148"/>
      <c r="D2948" s="84"/>
      <c r="E2948" s="84"/>
      <c r="F2948" s="84"/>
      <c r="G2948" s="224"/>
      <c r="H2948" s="222"/>
    </row>
    <row r="2949" spans="1:8" s="212" customFormat="1">
      <c r="A2949" s="150"/>
      <c r="B2949" s="83"/>
      <c r="C2949" s="148"/>
      <c r="D2949" s="84"/>
      <c r="E2949" s="84"/>
      <c r="F2949" s="84"/>
      <c r="G2949" s="224"/>
      <c r="H2949" s="221"/>
    </row>
    <row r="2950" spans="1:8" s="212" customFormat="1">
      <c r="A2950" s="91"/>
      <c r="B2950" s="91"/>
      <c r="C2950" s="91"/>
      <c r="D2950" s="91"/>
      <c r="E2950" s="91"/>
      <c r="G2950" s="213"/>
      <c r="H2950" s="222"/>
    </row>
    <row r="2951" spans="1:8" s="212" customFormat="1">
      <c r="A2951" s="120"/>
      <c r="B2951" s="73"/>
      <c r="C2951" s="73"/>
      <c r="D2951" s="73"/>
      <c r="E2951" s="73"/>
      <c r="G2951" s="73"/>
      <c r="H2951" s="222"/>
    </row>
    <row r="2952" spans="1:8" s="212" customFormat="1">
      <c r="A2952" s="220"/>
      <c r="B2952" s="141"/>
      <c r="C2952" s="141"/>
      <c r="D2952" s="141"/>
      <c r="E2952" s="141"/>
      <c r="F2952" s="141"/>
      <c r="G2952" s="141"/>
      <c r="H2952" s="222"/>
    </row>
    <row r="2953" spans="1:8" s="212" customFormat="1">
      <c r="A2953" s="146"/>
      <c r="B2953" s="83"/>
      <c r="C2953" s="148"/>
      <c r="D2953" s="84"/>
      <c r="E2953" s="84"/>
      <c r="F2953" s="84"/>
      <c r="G2953" s="146"/>
      <c r="H2953" s="221"/>
    </row>
    <row r="2954" spans="1:8" s="212" customFormat="1">
      <c r="A2954" s="91"/>
      <c r="B2954" s="91"/>
      <c r="C2954" s="91"/>
      <c r="D2954" s="91"/>
      <c r="E2954" s="91"/>
      <c r="G2954" s="213"/>
      <c r="H2954" s="222"/>
    </row>
    <row r="2955" spans="1:8" s="212" customFormat="1">
      <c r="A2955" s="120"/>
      <c r="B2955" s="73"/>
      <c r="C2955" s="73"/>
      <c r="D2955" s="73"/>
      <c r="E2955" s="73"/>
      <c r="G2955" s="73"/>
      <c r="H2955" s="222"/>
    </row>
    <row r="2956" spans="1:8" s="212" customFormat="1">
      <c r="A2956" s="220"/>
      <c r="B2956" s="141"/>
      <c r="C2956" s="141"/>
      <c r="D2956" s="141"/>
      <c r="E2956" s="141"/>
      <c r="F2956" s="141"/>
      <c r="G2956" s="141"/>
      <c r="H2956" s="222"/>
    </row>
    <row r="2957" spans="1:8" s="212" customFormat="1">
      <c r="A2957" s="142"/>
      <c r="B2957" s="143"/>
      <c r="C2957" s="143"/>
      <c r="D2957" s="143"/>
      <c r="E2957" s="143"/>
      <c r="F2957" s="84"/>
      <c r="G2957" s="146"/>
      <c r="H2957" s="221"/>
    </row>
    <row r="2958" spans="1:8" s="212" customFormat="1">
      <c r="A2958" s="123"/>
      <c r="B2958" s="95"/>
      <c r="C2958" s="95"/>
      <c r="D2958" s="95"/>
      <c r="E2958" s="95"/>
      <c r="G2958" s="213"/>
      <c r="H2958" s="73"/>
    </row>
    <row r="2959" spans="1:8" s="212" customFormat="1">
      <c r="A2959" s="123"/>
      <c r="B2959" s="95"/>
      <c r="C2959" s="95"/>
      <c r="D2959" s="95"/>
      <c r="E2959" s="95"/>
      <c r="G2959" s="73"/>
      <c r="H2959" s="225"/>
    </row>
    <row r="2960" spans="1:8" s="212" customFormat="1">
      <c r="B2960" s="97"/>
      <c r="C2960" s="98"/>
      <c r="D2960" s="98"/>
      <c r="E2960" s="98"/>
      <c r="G2960" s="220"/>
    </row>
    <row r="2961" spans="1:9" s="212" customFormat="1">
      <c r="B2961" s="97"/>
      <c r="C2961" s="98"/>
      <c r="D2961" s="98"/>
      <c r="E2961" s="98"/>
      <c r="F2961" s="220"/>
      <c r="G2961" s="225"/>
      <c r="H2961" s="226"/>
    </row>
    <row r="2962" spans="1:9" s="212" customFormat="1">
      <c r="A2962" s="633"/>
      <c r="B2962" s="633"/>
      <c r="C2962" s="633"/>
      <c r="D2962" s="633"/>
      <c r="E2962" s="633"/>
      <c r="F2962" s="633"/>
      <c r="G2962" s="633"/>
    </row>
    <row r="2963" spans="1:9" s="212" customFormat="1">
      <c r="H2963" s="227"/>
      <c r="I2963" s="228"/>
    </row>
    <row r="2964" spans="1:9" s="212" customFormat="1">
      <c r="A2964" s="658"/>
      <c r="B2964" s="227"/>
      <c r="C2964" s="227"/>
      <c r="D2964" s="227"/>
      <c r="E2964" s="227"/>
      <c r="F2964" s="227"/>
      <c r="G2964" s="227"/>
      <c r="H2964" s="227"/>
      <c r="I2964" s="229"/>
    </row>
    <row r="2965" spans="1:9" s="212" customFormat="1">
      <c r="A2965" s="658"/>
      <c r="B2965" s="227"/>
      <c r="C2965" s="227"/>
      <c r="D2965" s="227"/>
      <c r="E2965" s="227"/>
      <c r="F2965" s="227"/>
      <c r="G2965" s="227"/>
    </row>
    <row r="2966" spans="1:9" s="212" customFormat="1">
      <c r="A2966" s="69"/>
      <c r="B2966" s="69"/>
      <c r="C2966" s="69"/>
      <c r="D2966" s="69"/>
      <c r="E2966" s="69"/>
    </row>
    <row r="2967" spans="1:9" s="212" customFormat="1">
      <c r="A2967" s="120"/>
      <c r="B2967" s="73"/>
      <c r="C2967" s="73"/>
      <c r="D2967" s="73"/>
      <c r="E2967" s="73"/>
      <c r="F2967" s="73"/>
      <c r="G2967" s="73"/>
      <c r="H2967" s="73"/>
    </row>
    <row r="2968" spans="1:9" s="212" customFormat="1">
      <c r="A2968" s="220"/>
      <c r="B2968" s="141"/>
      <c r="C2968" s="141"/>
      <c r="D2968" s="141"/>
      <c r="E2968" s="141"/>
      <c r="F2968" s="141"/>
      <c r="G2968" s="141"/>
      <c r="H2968" s="73"/>
    </row>
    <row r="2969" spans="1:9" s="212" customFormat="1">
      <c r="A2969" s="150"/>
      <c r="B2969" s="83"/>
      <c r="C2969" s="148"/>
      <c r="D2969" s="84"/>
      <c r="E2969" s="84"/>
      <c r="F2969" s="84"/>
      <c r="G2969" s="224"/>
      <c r="H2969" s="221"/>
    </row>
    <row r="2970" spans="1:9" s="212" customFormat="1">
      <c r="A2970" s="84"/>
      <c r="B2970" s="83"/>
      <c r="C2970" s="84"/>
      <c r="D2970" s="84"/>
      <c r="E2970" s="84"/>
      <c r="G2970" s="213"/>
      <c r="H2970" s="222"/>
    </row>
    <row r="2971" spans="1:9" s="212" customFormat="1">
      <c r="A2971" s="120"/>
      <c r="B2971" s="73"/>
      <c r="C2971" s="73"/>
      <c r="D2971" s="73"/>
      <c r="E2971" s="73"/>
      <c r="G2971" s="73"/>
      <c r="H2971" s="222"/>
    </row>
    <row r="2972" spans="1:9" s="212" customFormat="1">
      <c r="A2972" s="220"/>
      <c r="B2972" s="141"/>
      <c r="C2972" s="141"/>
      <c r="D2972" s="141"/>
      <c r="E2972" s="141"/>
      <c r="F2972" s="141"/>
      <c r="G2972" s="141"/>
      <c r="H2972" s="222"/>
    </row>
    <row r="2973" spans="1:9" s="212" customFormat="1">
      <c r="A2973" s="150"/>
      <c r="B2973" s="83"/>
      <c r="C2973" s="148"/>
      <c r="D2973" s="84"/>
      <c r="E2973" s="84"/>
      <c r="F2973" s="84"/>
      <c r="G2973" s="224"/>
      <c r="H2973" s="222"/>
    </row>
    <row r="2974" spans="1:9" s="212" customFormat="1">
      <c r="A2974" s="150"/>
      <c r="B2974" s="83"/>
      <c r="C2974" s="148"/>
      <c r="D2974" s="84"/>
      <c r="E2974" s="84"/>
      <c r="F2974" s="84"/>
      <c r="G2974" s="224"/>
      <c r="H2974" s="222"/>
    </row>
    <row r="2975" spans="1:9" s="212" customFormat="1">
      <c r="A2975" s="150"/>
      <c r="B2975" s="83"/>
      <c r="C2975" s="148"/>
      <c r="D2975" s="84"/>
      <c r="E2975" s="84"/>
      <c r="F2975" s="84"/>
      <c r="G2975" s="224"/>
      <c r="H2975" s="221"/>
    </row>
    <row r="2976" spans="1:9" s="212" customFormat="1">
      <c r="A2976" s="91"/>
      <c r="B2976" s="91"/>
      <c r="C2976" s="91"/>
      <c r="D2976" s="91"/>
      <c r="E2976" s="91"/>
      <c r="G2976" s="213"/>
      <c r="H2976" s="222"/>
    </row>
    <row r="2977" spans="1:9" s="212" customFormat="1">
      <c r="A2977" s="120"/>
      <c r="B2977" s="73"/>
      <c r="C2977" s="73"/>
      <c r="D2977" s="73"/>
      <c r="E2977" s="73"/>
      <c r="G2977" s="73"/>
      <c r="H2977" s="222"/>
    </row>
    <row r="2978" spans="1:9" s="212" customFormat="1">
      <c r="A2978" s="220"/>
      <c r="B2978" s="141"/>
      <c r="C2978" s="141"/>
      <c r="D2978" s="141"/>
      <c r="E2978" s="141"/>
      <c r="F2978" s="141"/>
      <c r="G2978" s="141"/>
      <c r="H2978" s="222"/>
    </row>
    <row r="2979" spans="1:9" s="212" customFormat="1">
      <c r="A2979" s="146"/>
      <c r="B2979" s="83"/>
      <c r="C2979" s="148"/>
      <c r="D2979" s="84"/>
      <c r="E2979" s="84"/>
      <c r="F2979" s="84"/>
      <c r="G2979" s="146"/>
      <c r="H2979" s="221"/>
    </row>
    <row r="2980" spans="1:9" s="212" customFormat="1">
      <c r="A2980" s="91"/>
      <c r="B2980" s="91"/>
      <c r="C2980" s="91"/>
      <c r="D2980" s="91"/>
      <c r="E2980" s="91"/>
      <c r="G2980" s="213"/>
      <c r="H2980" s="222"/>
    </row>
    <row r="2981" spans="1:9" s="212" customFormat="1">
      <c r="A2981" s="120"/>
      <c r="B2981" s="73"/>
      <c r="C2981" s="73"/>
      <c r="D2981" s="73"/>
      <c r="E2981" s="73"/>
      <c r="G2981" s="73"/>
      <c r="H2981" s="222"/>
    </row>
    <row r="2982" spans="1:9" s="212" customFormat="1">
      <c r="A2982" s="220"/>
      <c r="B2982" s="141"/>
      <c r="C2982" s="141"/>
      <c r="D2982" s="141"/>
      <c r="E2982" s="141"/>
      <c r="F2982" s="141"/>
      <c r="G2982" s="141"/>
      <c r="H2982" s="222"/>
    </row>
    <row r="2983" spans="1:9" s="212" customFormat="1">
      <c r="A2983" s="142"/>
      <c r="B2983" s="143"/>
      <c r="C2983" s="143"/>
      <c r="D2983" s="143"/>
      <c r="E2983" s="143"/>
      <c r="F2983" s="84"/>
      <c r="G2983" s="146"/>
      <c r="H2983" s="221"/>
    </row>
    <row r="2984" spans="1:9" s="212" customFormat="1">
      <c r="A2984" s="123"/>
      <c r="B2984" s="95"/>
      <c r="C2984" s="95"/>
      <c r="D2984" s="95"/>
      <c r="E2984" s="95"/>
      <c r="G2984" s="213"/>
      <c r="H2984" s="73"/>
    </row>
    <row r="2985" spans="1:9" s="212" customFormat="1">
      <c r="A2985" s="123"/>
      <c r="B2985" s="95"/>
      <c r="C2985" s="95"/>
      <c r="D2985" s="95"/>
      <c r="E2985" s="95"/>
      <c r="G2985" s="73"/>
      <c r="H2985" s="225"/>
    </row>
    <row r="2986" spans="1:9" s="212" customFormat="1">
      <c r="B2986" s="97"/>
      <c r="C2986" s="98"/>
      <c r="D2986" s="98"/>
      <c r="E2986" s="98"/>
      <c r="G2986" s="220"/>
    </row>
    <row r="2987" spans="1:9" s="212" customFormat="1">
      <c r="B2987" s="97"/>
      <c r="C2987" s="98"/>
      <c r="D2987" s="98"/>
      <c r="E2987" s="98"/>
      <c r="F2987" s="220"/>
      <c r="G2987" s="225"/>
      <c r="H2987" s="226"/>
    </row>
    <row r="2988" spans="1:9" s="212" customFormat="1">
      <c r="A2988" s="633"/>
      <c r="B2988" s="633"/>
      <c r="C2988" s="633"/>
      <c r="D2988" s="633"/>
      <c r="E2988" s="633"/>
      <c r="F2988" s="633"/>
      <c r="G2988" s="633"/>
    </row>
    <row r="2989" spans="1:9" s="212" customFormat="1">
      <c r="H2989" s="227"/>
      <c r="I2989" s="228"/>
    </row>
    <row r="2990" spans="1:9" s="212" customFormat="1">
      <c r="A2990" s="658"/>
      <c r="B2990" s="227"/>
      <c r="C2990" s="227"/>
      <c r="D2990" s="227"/>
      <c r="E2990" s="227"/>
      <c r="F2990" s="227"/>
      <c r="G2990" s="227"/>
      <c r="H2990" s="227"/>
      <c r="I2990" s="229"/>
    </row>
    <row r="2991" spans="1:9" s="212" customFormat="1">
      <c r="A2991" s="658"/>
      <c r="B2991" s="227"/>
      <c r="C2991" s="227"/>
      <c r="D2991" s="227"/>
      <c r="E2991" s="227"/>
      <c r="F2991" s="227"/>
      <c r="G2991" s="227"/>
    </row>
    <row r="2992" spans="1:9" s="212" customFormat="1">
      <c r="A2992" s="69"/>
      <c r="B2992" s="69"/>
      <c r="C2992" s="69"/>
      <c r="D2992" s="69"/>
      <c r="E2992" s="69"/>
    </row>
    <row r="2993" spans="1:8" s="212" customFormat="1">
      <c r="A2993" s="120"/>
      <c r="B2993" s="73"/>
      <c r="C2993" s="73"/>
      <c r="D2993" s="73"/>
      <c r="E2993" s="73"/>
      <c r="F2993" s="73"/>
      <c r="G2993" s="73"/>
      <c r="H2993" s="73"/>
    </row>
    <row r="2994" spans="1:8" s="212" customFormat="1">
      <c r="A2994" s="220"/>
      <c r="B2994" s="141"/>
      <c r="C2994" s="141"/>
      <c r="D2994" s="141"/>
      <c r="E2994" s="141"/>
      <c r="F2994" s="141"/>
      <c r="G2994" s="141"/>
      <c r="H2994" s="73"/>
    </row>
    <row r="2995" spans="1:8" s="212" customFormat="1">
      <c r="A2995" s="150"/>
      <c r="B2995" s="83"/>
      <c r="C2995" s="148"/>
      <c r="D2995" s="84"/>
      <c r="E2995" s="84"/>
      <c r="F2995" s="84"/>
      <c r="G2995" s="224"/>
      <c r="H2995" s="221"/>
    </row>
    <row r="2996" spans="1:8" s="212" customFormat="1">
      <c r="A2996" s="84"/>
      <c r="B2996" s="83"/>
      <c r="C2996" s="84"/>
      <c r="D2996" s="84"/>
      <c r="E2996" s="84"/>
      <c r="G2996" s="213"/>
      <c r="H2996" s="222"/>
    </row>
    <row r="2997" spans="1:8" s="212" customFormat="1">
      <c r="A2997" s="120"/>
      <c r="B2997" s="73"/>
      <c r="C2997" s="73"/>
      <c r="D2997" s="73"/>
      <c r="E2997" s="73"/>
      <c r="G2997" s="73"/>
      <c r="H2997" s="222"/>
    </row>
    <row r="2998" spans="1:8" s="212" customFormat="1">
      <c r="A2998" s="220"/>
      <c r="B2998" s="141"/>
      <c r="C2998" s="141"/>
      <c r="D2998" s="141"/>
      <c r="E2998" s="141"/>
      <c r="F2998" s="141"/>
      <c r="G2998" s="141"/>
      <c r="H2998" s="222"/>
    </row>
    <row r="2999" spans="1:8" s="212" customFormat="1">
      <c r="A2999" s="150"/>
      <c r="B2999" s="83"/>
      <c r="C2999" s="148"/>
      <c r="D2999" s="84"/>
      <c r="E2999" s="84"/>
      <c r="F2999" s="84"/>
      <c r="G2999" s="224"/>
      <c r="H2999" s="222"/>
    </row>
    <row r="3000" spans="1:8" s="212" customFormat="1">
      <c r="A3000" s="150"/>
      <c r="B3000" s="83"/>
      <c r="C3000" s="148"/>
      <c r="D3000" s="84"/>
      <c r="E3000" s="84"/>
      <c r="F3000" s="84"/>
      <c r="G3000" s="224"/>
      <c r="H3000" s="222"/>
    </row>
    <row r="3001" spans="1:8" s="212" customFormat="1">
      <c r="A3001" s="150"/>
      <c r="B3001" s="83"/>
      <c r="C3001" s="148"/>
      <c r="D3001" s="84"/>
      <c r="E3001" s="84"/>
      <c r="F3001" s="84"/>
      <c r="G3001" s="224"/>
      <c r="H3001" s="221"/>
    </row>
    <row r="3002" spans="1:8" s="212" customFormat="1">
      <c r="A3002" s="91"/>
      <c r="B3002" s="91"/>
      <c r="C3002" s="91"/>
      <c r="D3002" s="91"/>
      <c r="E3002" s="91"/>
      <c r="G3002" s="213"/>
      <c r="H3002" s="222"/>
    </row>
    <row r="3003" spans="1:8" s="212" customFormat="1">
      <c r="A3003" s="120"/>
      <c r="B3003" s="73"/>
      <c r="C3003" s="73"/>
      <c r="D3003" s="73"/>
      <c r="E3003" s="73"/>
      <c r="G3003" s="73"/>
      <c r="H3003" s="222"/>
    </row>
    <row r="3004" spans="1:8" s="212" customFormat="1">
      <c r="A3004" s="220"/>
      <c r="B3004" s="141"/>
      <c r="C3004" s="141"/>
      <c r="D3004" s="141"/>
      <c r="E3004" s="141"/>
      <c r="F3004" s="141"/>
      <c r="G3004" s="141"/>
      <c r="H3004" s="222"/>
    </row>
    <row r="3005" spans="1:8" s="212" customFormat="1">
      <c r="A3005" s="146"/>
      <c r="B3005" s="83"/>
      <c r="C3005" s="148"/>
      <c r="D3005" s="84"/>
      <c r="E3005" s="84"/>
      <c r="F3005" s="84"/>
      <c r="G3005" s="146"/>
      <c r="H3005" s="221"/>
    </row>
    <row r="3006" spans="1:8" s="212" customFormat="1">
      <c r="A3006" s="91"/>
      <c r="B3006" s="91"/>
      <c r="C3006" s="91"/>
      <c r="D3006" s="91"/>
      <c r="E3006" s="91"/>
      <c r="G3006" s="213"/>
      <c r="H3006" s="222"/>
    </row>
    <row r="3007" spans="1:8" s="212" customFormat="1">
      <c r="A3007" s="120"/>
      <c r="B3007" s="73"/>
      <c r="C3007" s="73"/>
      <c r="D3007" s="73"/>
      <c r="E3007" s="73"/>
      <c r="G3007" s="73"/>
      <c r="H3007" s="222"/>
    </row>
    <row r="3008" spans="1:8" s="212" customFormat="1">
      <c r="A3008" s="220"/>
      <c r="B3008" s="141"/>
      <c r="C3008" s="141"/>
      <c r="D3008" s="141"/>
      <c r="E3008" s="141"/>
      <c r="F3008" s="141"/>
      <c r="G3008" s="141"/>
      <c r="H3008" s="222"/>
    </row>
    <row r="3009" spans="1:9" s="212" customFormat="1">
      <c r="A3009" s="142"/>
      <c r="B3009" s="143"/>
      <c r="C3009" s="143"/>
      <c r="D3009" s="143"/>
      <c r="E3009" s="143"/>
      <c r="F3009" s="84"/>
      <c r="G3009" s="146"/>
      <c r="H3009" s="221"/>
    </row>
    <row r="3010" spans="1:9" s="212" customFormat="1">
      <c r="A3010" s="123"/>
      <c r="B3010" s="95"/>
      <c r="C3010" s="95"/>
      <c r="D3010" s="95"/>
      <c r="E3010" s="95"/>
      <c r="G3010" s="213"/>
      <c r="H3010" s="73"/>
    </row>
    <row r="3011" spans="1:9" s="212" customFormat="1">
      <c r="A3011" s="123"/>
      <c r="B3011" s="95"/>
      <c r="C3011" s="95"/>
      <c r="D3011" s="95"/>
      <c r="E3011" s="95"/>
      <c r="G3011" s="73"/>
      <c r="H3011" s="225"/>
    </row>
    <row r="3012" spans="1:9" s="212" customFormat="1">
      <c r="B3012" s="97"/>
      <c r="C3012" s="98"/>
      <c r="D3012" s="98"/>
      <c r="E3012" s="98"/>
      <c r="G3012" s="220"/>
    </row>
    <row r="3013" spans="1:9" s="212" customFormat="1">
      <c r="B3013" s="97"/>
      <c r="C3013" s="98"/>
      <c r="D3013" s="98"/>
      <c r="E3013" s="98"/>
      <c r="F3013" s="220"/>
      <c r="G3013" s="225"/>
      <c r="H3013" s="226"/>
    </row>
    <row r="3014" spans="1:9" s="212" customFormat="1">
      <c r="A3014" s="633"/>
      <c r="B3014" s="633"/>
      <c r="C3014" s="633"/>
      <c r="D3014" s="633"/>
      <c r="E3014" s="633"/>
      <c r="F3014" s="633"/>
      <c r="G3014" s="633"/>
    </row>
    <row r="3015" spans="1:9" s="212" customFormat="1">
      <c r="H3015" s="227"/>
      <c r="I3015" s="228"/>
    </row>
    <row r="3016" spans="1:9" s="212" customFormat="1">
      <c r="A3016" s="658"/>
      <c r="B3016" s="227"/>
      <c r="C3016" s="227"/>
      <c r="D3016" s="227"/>
      <c r="E3016" s="227"/>
      <c r="F3016" s="227"/>
      <c r="G3016" s="227"/>
      <c r="H3016" s="227"/>
      <c r="I3016" s="229"/>
    </row>
    <row r="3017" spans="1:9" s="212" customFormat="1">
      <c r="A3017" s="658"/>
      <c r="B3017" s="227"/>
      <c r="C3017" s="227"/>
      <c r="D3017" s="227"/>
      <c r="E3017" s="227"/>
      <c r="F3017" s="227"/>
      <c r="G3017" s="227"/>
    </row>
    <row r="3018" spans="1:9" s="212" customFormat="1">
      <c r="A3018" s="69"/>
      <c r="B3018" s="69"/>
      <c r="C3018" s="69"/>
      <c r="D3018" s="69"/>
      <c r="E3018" s="69"/>
    </row>
    <row r="3019" spans="1:9" s="212" customFormat="1">
      <c r="A3019" s="120"/>
      <c r="B3019" s="73"/>
      <c r="C3019" s="73"/>
      <c r="D3019" s="73"/>
      <c r="E3019" s="73"/>
      <c r="F3019" s="73"/>
      <c r="G3019" s="73"/>
      <c r="H3019" s="73"/>
    </row>
    <row r="3020" spans="1:9" s="212" customFormat="1">
      <c r="A3020" s="220"/>
      <c r="B3020" s="141"/>
      <c r="C3020" s="141"/>
      <c r="D3020" s="141"/>
      <c r="E3020" s="141"/>
      <c r="F3020" s="141"/>
      <c r="G3020" s="141"/>
      <c r="H3020" s="73"/>
    </row>
    <row r="3021" spans="1:9" s="212" customFormat="1">
      <c r="A3021" s="150"/>
      <c r="B3021" s="83"/>
      <c r="C3021" s="148"/>
      <c r="D3021" s="84"/>
      <c r="E3021" s="84"/>
      <c r="F3021" s="84"/>
      <c r="G3021" s="224"/>
      <c r="H3021" s="221"/>
    </row>
    <row r="3022" spans="1:9" s="212" customFormat="1">
      <c r="A3022" s="84"/>
      <c r="B3022" s="83"/>
      <c r="C3022" s="84"/>
      <c r="D3022" s="84"/>
      <c r="E3022" s="84"/>
      <c r="G3022" s="213"/>
      <c r="H3022" s="222"/>
    </row>
    <row r="3023" spans="1:9" s="212" customFormat="1">
      <c r="A3023" s="120"/>
      <c r="B3023" s="73"/>
      <c r="C3023" s="73"/>
      <c r="D3023" s="73"/>
      <c r="E3023" s="73"/>
      <c r="G3023" s="73"/>
      <c r="H3023" s="222"/>
    </row>
    <row r="3024" spans="1:9" s="212" customFormat="1">
      <c r="A3024" s="220"/>
      <c r="B3024" s="141"/>
      <c r="C3024" s="141"/>
      <c r="D3024" s="141"/>
      <c r="E3024" s="141"/>
      <c r="F3024" s="141"/>
      <c r="G3024" s="141"/>
      <c r="H3024" s="222"/>
    </row>
    <row r="3025" spans="1:8" s="212" customFormat="1">
      <c r="A3025" s="150"/>
      <c r="B3025" s="83"/>
      <c r="C3025" s="148"/>
      <c r="D3025" s="84"/>
      <c r="E3025" s="84"/>
      <c r="F3025" s="84"/>
      <c r="G3025" s="224"/>
      <c r="H3025" s="222"/>
    </row>
    <row r="3026" spans="1:8" s="212" customFormat="1">
      <c r="A3026" s="150"/>
      <c r="B3026" s="83"/>
      <c r="C3026" s="148"/>
      <c r="D3026" s="84"/>
      <c r="E3026" s="84"/>
      <c r="F3026" s="84"/>
      <c r="G3026" s="224"/>
      <c r="H3026" s="222"/>
    </row>
    <row r="3027" spans="1:8" s="212" customFormat="1">
      <c r="A3027" s="150"/>
      <c r="B3027" s="83"/>
      <c r="C3027" s="148"/>
      <c r="D3027" s="84"/>
      <c r="E3027" s="84"/>
      <c r="F3027" s="84"/>
      <c r="G3027" s="224"/>
      <c r="H3027" s="221"/>
    </row>
    <row r="3028" spans="1:8" s="212" customFormat="1">
      <c r="A3028" s="91"/>
      <c r="B3028" s="91"/>
      <c r="C3028" s="91"/>
      <c r="D3028" s="91"/>
      <c r="E3028" s="91"/>
      <c r="G3028" s="213"/>
      <c r="H3028" s="222"/>
    </row>
    <row r="3029" spans="1:8" s="212" customFormat="1">
      <c r="A3029" s="120"/>
      <c r="B3029" s="73"/>
      <c r="C3029" s="73"/>
      <c r="D3029" s="73"/>
      <c r="E3029" s="73"/>
      <c r="G3029" s="73"/>
      <c r="H3029" s="222"/>
    </row>
    <row r="3030" spans="1:8" s="212" customFormat="1">
      <c r="A3030" s="220"/>
      <c r="B3030" s="141"/>
      <c r="C3030" s="141"/>
      <c r="D3030" s="141"/>
      <c r="E3030" s="141"/>
      <c r="F3030" s="141"/>
      <c r="G3030" s="141"/>
      <c r="H3030" s="222"/>
    </row>
    <row r="3031" spans="1:8" s="212" customFormat="1">
      <c r="A3031" s="146"/>
      <c r="B3031" s="83"/>
      <c r="C3031" s="148"/>
      <c r="D3031" s="84"/>
      <c r="E3031" s="84"/>
      <c r="F3031" s="84"/>
      <c r="G3031" s="146"/>
      <c r="H3031" s="221"/>
    </row>
    <row r="3032" spans="1:8" s="212" customFormat="1">
      <c r="A3032" s="91"/>
      <c r="B3032" s="91"/>
      <c r="C3032" s="91"/>
      <c r="D3032" s="91"/>
      <c r="E3032" s="91"/>
      <c r="G3032" s="213"/>
      <c r="H3032" s="222"/>
    </row>
    <row r="3033" spans="1:8" s="212" customFormat="1">
      <c r="A3033" s="120"/>
      <c r="B3033" s="73"/>
      <c r="C3033" s="73"/>
      <c r="D3033" s="73"/>
      <c r="E3033" s="73"/>
      <c r="G3033" s="73"/>
      <c r="H3033" s="222"/>
    </row>
    <row r="3034" spans="1:8" s="212" customFormat="1">
      <c r="A3034" s="220"/>
      <c r="B3034" s="141"/>
      <c r="C3034" s="141"/>
      <c r="D3034" s="141"/>
      <c r="E3034" s="141"/>
      <c r="F3034" s="141"/>
      <c r="G3034" s="141"/>
      <c r="H3034" s="222"/>
    </row>
    <row r="3035" spans="1:8" s="212" customFormat="1">
      <c r="A3035" s="142"/>
      <c r="B3035" s="143"/>
      <c r="C3035" s="143"/>
      <c r="D3035" s="143"/>
      <c r="E3035" s="143"/>
      <c r="F3035" s="84"/>
      <c r="G3035" s="146"/>
      <c r="H3035" s="221"/>
    </row>
    <row r="3036" spans="1:8" s="212" customFormat="1">
      <c r="A3036" s="123"/>
      <c r="B3036" s="95"/>
      <c r="C3036" s="95"/>
      <c r="D3036" s="95"/>
      <c r="E3036" s="95"/>
      <c r="G3036" s="213"/>
      <c r="H3036" s="73"/>
    </row>
    <row r="3037" spans="1:8" s="212" customFormat="1">
      <c r="A3037" s="123"/>
      <c r="B3037" s="95"/>
      <c r="C3037" s="95"/>
      <c r="D3037" s="95"/>
      <c r="E3037" s="95"/>
      <c r="G3037" s="73"/>
      <c r="H3037" s="225"/>
    </row>
    <row r="3038" spans="1:8" s="212" customFormat="1">
      <c r="B3038" s="97"/>
      <c r="C3038" s="98"/>
      <c r="D3038" s="98"/>
      <c r="E3038" s="98"/>
      <c r="G3038" s="220"/>
    </row>
    <row r="3039" spans="1:8" s="212" customFormat="1">
      <c r="B3039" s="97"/>
      <c r="C3039" s="98"/>
      <c r="D3039" s="98"/>
      <c r="E3039" s="98"/>
      <c r="F3039" s="220"/>
      <c r="G3039" s="225"/>
      <c r="H3039" s="226"/>
    </row>
    <row r="3040" spans="1:8" s="212" customFormat="1">
      <c r="A3040" s="633"/>
      <c r="B3040" s="633"/>
      <c r="C3040" s="633"/>
      <c r="D3040" s="633"/>
      <c r="E3040" s="633"/>
      <c r="F3040" s="633"/>
      <c r="G3040" s="633"/>
    </row>
    <row r="3041" spans="1:9" s="212" customFormat="1">
      <c r="H3041" s="227"/>
      <c r="I3041" s="228"/>
    </row>
    <row r="3042" spans="1:9" s="212" customFormat="1">
      <c r="A3042" s="658"/>
      <c r="B3042" s="227"/>
      <c r="C3042" s="227"/>
      <c r="D3042" s="227"/>
      <c r="E3042" s="227"/>
      <c r="F3042" s="227"/>
      <c r="G3042" s="227"/>
      <c r="H3042" s="227"/>
      <c r="I3042" s="229"/>
    </row>
    <row r="3043" spans="1:9" s="212" customFormat="1">
      <c r="A3043" s="658"/>
      <c r="B3043" s="227"/>
      <c r="C3043" s="227"/>
      <c r="D3043" s="227"/>
      <c r="E3043" s="227"/>
      <c r="F3043" s="227"/>
      <c r="G3043" s="227"/>
    </row>
    <row r="3044" spans="1:9" s="212" customFormat="1">
      <c r="A3044" s="69"/>
      <c r="B3044" s="69"/>
      <c r="C3044" s="69"/>
      <c r="D3044" s="69"/>
      <c r="E3044" s="69"/>
    </row>
    <row r="3045" spans="1:9" s="212" customFormat="1">
      <c r="A3045" s="120"/>
      <c r="B3045" s="73"/>
      <c r="C3045" s="73"/>
      <c r="D3045" s="73"/>
      <c r="E3045" s="73"/>
      <c r="F3045" s="73"/>
      <c r="G3045" s="73"/>
      <c r="H3045" s="73"/>
    </row>
    <row r="3046" spans="1:9" s="212" customFormat="1">
      <c r="A3046" s="220"/>
      <c r="B3046" s="141"/>
      <c r="C3046" s="141"/>
      <c r="D3046" s="141"/>
      <c r="E3046" s="141"/>
      <c r="F3046" s="141"/>
      <c r="G3046" s="141"/>
      <c r="H3046" s="73"/>
    </row>
    <row r="3047" spans="1:9" s="212" customFormat="1">
      <c r="A3047" s="150"/>
      <c r="B3047" s="83"/>
      <c r="C3047" s="148"/>
      <c r="D3047" s="84"/>
      <c r="E3047" s="84"/>
      <c r="F3047" s="84"/>
      <c r="G3047" s="224"/>
      <c r="H3047" s="221"/>
    </row>
    <row r="3048" spans="1:9" s="212" customFormat="1">
      <c r="A3048" s="84"/>
      <c r="B3048" s="83"/>
      <c r="C3048" s="84"/>
      <c r="D3048" s="84"/>
      <c r="E3048" s="84"/>
      <c r="G3048" s="213"/>
      <c r="H3048" s="222"/>
    </row>
    <row r="3049" spans="1:9" s="212" customFormat="1">
      <c r="A3049" s="120"/>
      <c r="B3049" s="73"/>
      <c r="C3049" s="73"/>
      <c r="D3049" s="73"/>
      <c r="E3049" s="73"/>
      <c r="G3049" s="73"/>
      <c r="H3049" s="222"/>
    </row>
    <row r="3050" spans="1:9" s="212" customFormat="1">
      <c r="A3050" s="220"/>
      <c r="B3050" s="141"/>
      <c r="C3050" s="141"/>
      <c r="D3050" s="141"/>
      <c r="E3050" s="141"/>
      <c r="F3050" s="141"/>
      <c r="G3050" s="141"/>
      <c r="H3050" s="222"/>
    </row>
    <row r="3051" spans="1:9" s="212" customFormat="1">
      <c r="A3051" s="150"/>
      <c r="B3051" s="83"/>
      <c r="C3051" s="148"/>
      <c r="D3051" s="84"/>
      <c r="E3051" s="84"/>
      <c r="F3051" s="84"/>
      <c r="G3051" s="224"/>
      <c r="H3051" s="222"/>
    </row>
    <row r="3052" spans="1:9" s="212" customFormat="1">
      <c r="A3052" s="150"/>
      <c r="B3052" s="83"/>
      <c r="C3052" s="148"/>
      <c r="D3052" s="84"/>
      <c r="E3052" s="84"/>
      <c r="F3052" s="84"/>
      <c r="G3052" s="224"/>
      <c r="H3052" s="222"/>
    </row>
    <row r="3053" spans="1:9" s="212" customFormat="1">
      <c r="A3053" s="150"/>
      <c r="B3053" s="83"/>
      <c r="C3053" s="148"/>
      <c r="D3053" s="84"/>
      <c r="E3053" s="84"/>
      <c r="F3053" s="84"/>
      <c r="G3053" s="224"/>
      <c r="H3053" s="221"/>
    </row>
    <row r="3054" spans="1:9" s="212" customFormat="1">
      <c r="A3054" s="91"/>
      <c r="B3054" s="91"/>
      <c r="C3054" s="91"/>
      <c r="D3054" s="91"/>
      <c r="E3054" s="91"/>
      <c r="G3054" s="213"/>
      <c r="H3054" s="222"/>
    </row>
    <row r="3055" spans="1:9" s="212" customFormat="1">
      <c r="A3055" s="120"/>
      <c r="B3055" s="73"/>
      <c r="C3055" s="73"/>
      <c r="D3055" s="73"/>
      <c r="E3055" s="73"/>
      <c r="G3055" s="73"/>
      <c r="H3055" s="222"/>
    </row>
    <row r="3056" spans="1:9" s="212" customFormat="1">
      <c r="A3056" s="220"/>
      <c r="B3056" s="141"/>
      <c r="C3056" s="141"/>
      <c r="D3056" s="141"/>
      <c r="E3056" s="141"/>
      <c r="F3056" s="141"/>
      <c r="G3056" s="141"/>
      <c r="H3056" s="222"/>
    </row>
    <row r="3057" spans="1:9" s="212" customFormat="1">
      <c r="A3057" s="146"/>
      <c r="B3057" s="83"/>
      <c r="C3057" s="148"/>
      <c r="D3057" s="84"/>
      <c r="E3057" s="84"/>
      <c r="F3057" s="84"/>
      <c r="G3057" s="146"/>
      <c r="H3057" s="221"/>
    </row>
    <row r="3058" spans="1:9" s="212" customFormat="1">
      <c r="A3058" s="91"/>
      <c r="B3058" s="91"/>
      <c r="C3058" s="91"/>
      <c r="D3058" s="91"/>
      <c r="E3058" s="91"/>
      <c r="G3058" s="213"/>
      <c r="H3058" s="222"/>
    </row>
    <row r="3059" spans="1:9" s="212" customFormat="1">
      <c r="A3059" s="120"/>
      <c r="B3059" s="73"/>
      <c r="C3059" s="73"/>
      <c r="D3059" s="73"/>
      <c r="E3059" s="73"/>
      <c r="G3059" s="73"/>
      <c r="H3059" s="222"/>
    </row>
    <row r="3060" spans="1:9" s="212" customFormat="1" ht="15.75" customHeight="1">
      <c r="A3060" s="220"/>
      <c r="B3060" s="141"/>
      <c r="C3060" s="141"/>
      <c r="D3060" s="141"/>
      <c r="E3060" s="141"/>
      <c r="F3060" s="141"/>
      <c r="G3060" s="141"/>
      <c r="H3060" s="222"/>
    </row>
    <row r="3061" spans="1:9" s="212" customFormat="1">
      <c r="A3061" s="142"/>
      <c r="B3061" s="143"/>
      <c r="C3061" s="143"/>
      <c r="D3061" s="143"/>
      <c r="E3061" s="143"/>
      <c r="F3061" s="84"/>
      <c r="G3061" s="146"/>
      <c r="H3061" s="221"/>
    </row>
    <row r="3062" spans="1:9" s="212" customFormat="1">
      <c r="A3062" s="123"/>
      <c r="B3062" s="95"/>
      <c r="C3062" s="95"/>
      <c r="D3062" s="95"/>
      <c r="E3062" s="95"/>
      <c r="G3062" s="213"/>
      <c r="H3062" s="73"/>
    </row>
    <row r="3063" spans="1:9" s="212" customFormat="1">
      <c r="A3063" s="123"/>
      <c r="B3063" s="95"/>
      <c r="C3063" s="95"/>
      <c r="D3063" s="95"/>
      <c r="E3063" s="95"/>
      <c r="G3063" s="73"/>
      <c r="H3063" s="225"/>
    </row>
    <row r="3064" spans="1:9" s="212" customFormat="1">
      <c r="B3064" s="97"/>
      <c r="C3064" s="98"/>
      <c r="D3064" s="98"/>
      <c r="E3064" s="98"/>
      <c r="G3064" s="220"/>
    </row>
    <row r="3065" spans="1:9" s="212" customFormat="1">
      <c r="B3065" s="97"/>
      <c r="C3065" s="98"/>
      <c r="D3065" s="98"/>
      <c r="E3065" s="98"/>
      <c r="F3065" s="220"/>
      <c r="G3065" s="225"/>
      <c r="H3065" s="226"/>
    </row>
    <row r="3066" spans="1:9" s="212" customFormat="1">
      <c r="A3066" s="633"/>
      <c r="B3066" s="633"/>
      <c r="C3066" s="633"/>
      <c r="D3066" s="633"/>
      <c r="E3066" s="633"/>
      <c r="F3066" s="633"/>
      <c r="G3066" s="633"/>
    </row>
    <row r="3067" spans="1:9" s="212" customFormat="1">
      <c r="H3067" s="227"/>
      <c r="I3067" s="228"/>
    </row>
    <row r="3068" spans="1:9" s="212" customFormat="1">
      <c r="A3068" s="658"/>
      <c r="B3068" s="227"/>
      <c r="C3068" s="227"/>
      <c r="D3068" s="227"/>
      <c r="E3068" s="227"/>
      <c r="F3068" s="227"/>
      <c r="G3068" s="227"/>
      <c r="H3068" s="227"/>
      <c r="I3068" s="229"/>
    </row>
    <row r="3069" spans="1:9" s="212" customFormat="1">
      <c r="A3069" s="658"/>
      <c r="B3069" s="227"/>
      <c r="C3069" s="227"/>
      <c r="D3069" s="227"/>
      <c r="E3069" s="227"/>
      <c r="F3069" s="227"/>
      <c r="G3069" s="227"/>
    </row>
    <row r="3070" spans="1:9" s="212" customFormat="1">
      <c r="A3070" s="69"/>
      <c r="B3070" s="69"/>
      <c r="C3070" s="69"/>
      <c r="D3070" s="69"/>
      <c r="E3070" s="69"/>
    </row>
    <row r="3071" spans="1:9" s="212" customFormat="1">
      <c r="A3071" s="120"/>
      <c r="B3071" s="73"/>
      <c r="C3071" s="73"/>
      <c r="D3071" s="73"/>
      <c r="E3071" s="73"/>
      <c r="F3071" s="73"/>
      <c r="G3071" s="73"/>
      <c r="H3071" s="73"/>
    </row>
    <row r="3072" spans="1:9" s="212" customFormat="1">
      <c r="A3072" s="220"/>
      <c r="B3072" s="141"/>
      <c r="C3072" s="141"/>
      <c r="D3072" s="141"/>
      <c r="E3072" s="141"/>
      <c r="F3072" s="141"/>
      <c r="G3072" s="141"/>
      <c r="H3072" s="73"/>
    </row>
    <row r="3073" spans="1:8" s="212" customFormat="1">
      <c r="A3073" s="150"/>
      <c r="B3073" s="83"/>
      <c r="C3073" s="148"/>
      <c r="D3073" s="84"/>
      <c r="E3073" s="84"/>
      <c r="F3073" s="84"/>
      <c r="G3073" s="224"/>
      <c r="H3073" s="221"/>
    </row>
    <row r="3074" spans="1:8" s="212" customFormat="1">
      <c r="A3074" s="84"/>
      <c r="B3074" s="83"/>
      <c r="C3074" s="84"/>
      <c r="D3074" s="84"/>
      <c r="E3074" s="84"/>
      <c r="G3074" s="213"/>
      <c r="H3074" s="222"/>
    </row>
    <row r="3075" spans="1:8" s="212" customFormat="1">
      <c r="A3075" s="120"/>
      <c r="B3075" s="73"/>
      <c r="C3075" s="73"/>
      <c r="D3075" s="73"/>
      <c r="E3075" s="73"/>
      <c r="G3075" s="73"/>
      <c r="H3075" s="222"/>
    </row>
    <row r="3076" spans="1:8" s="212" customFormat="1">
      <c r="A3076" s="220"/>
      <c r="B3076" s="141"/>
      <c r="C3076" s="141"/>
      <c r="D3076" s="141"/>
      <c r="E3076" s="141"/>
      <c r="F3076" s="141"/>
      <c r="G3076" s="141"/>
      <c r="H3076" s="222"/>
    </row>
    <row r="3077" spans="1:8" s="212" customFormat="1">
      <c r="A3077" s="150"/>
      <c r="B3077" s="83"/>
      <c r="C3077" s="148"/>
      <c r="D3077" s="84"/>
      <c r="E3077" s="84"/>
      <c r="F3077" s="84"/>
      <c r="G3077" s="224"/>
      <c r="H3077" s="222"/>
    </row>
    <row r="3078" spans="1:8" s="212" customFormat="1">
      <c r="A3078" s="150"/>
      <c r="B3078" s="83"/>
      <c r="C3078" s="148"/>
      <c r="D3078" s="84"/>
      <c r="E3078" s="84"/>
      <c r="F3078" s="84"/>
      <c r="G3078" s="224"/>
      <c r="H3078" s="222"/>
    </row>
    <row r="3079" spans="1:8" s="212" customFormat="1">
      <c r="A3079" s="150"/>
      <c r="B3079" s="83"/>
      <c r="C3079" s="148"/>
      <c r="D3079" s="84"/>
      <c r="E3079" s="84"/>
      <c r="F3079" s="84"/>
      <c r="G3079" s="224"/>
      <c r="H3079" s="221"/>
    </row>
    <row r="3080" spans="1:8" s="212" customFormat="1">
      <c r="A3080" s="91"/>
      <c r="B3080" s="91"/>
      <c r="C3080" s="91"/>
      <c r="D3080" s="91"/>
      <c r="E3080" s="91"/>
      <c r="G3080" s="213"/>
      <c r="H3080" s="222"/>
    </row>
    <row r="3081" spans="1:8" s="212" customFormat="1">
      <c r="A3081" s="120"/>
      <c r="B3081" s="73"/>
      <c r="C3081" s="73"/>
      <c r="D3081" s="73"/>
      <c r="E3081" s="73"/>
      <c r="G3081" s="73"/>
      <c r="H3081" s="222"/>
    </row>
    <row r="3082" spans="1:8" s="212" customFormat="1">
      <c r="A3082" s="220"/>
      <c r="B3082" s="141"/>
      <c r="C3082" s="141"/>
      <c r="D3082" s="141"/>
      <c r="E3082" s="141"/>
      <c r="F3082" s="141"/>
      <c r="G3082" s="141"/>
      <c r="H3082" s="222"/>
    </row>
    <row r="3083" spans="1:8" s="212" customFormat="1">
      <c r="A3083" s="146"/>
      <c r="B3083" s="83"/>
      <c r="C3083" s="148"/>
      <c r="D3083" s="84"/>
      <c r="E3083" s="84"/>
      <c r="F3083" s="84"/>
      <c r="G3083" s="146"/>
      <c r="H3083" s="222"/>
    </row>
    <row r="3084" spans="1:8" s="212" customFormat="1">
      <c r="A3084" s="146"/>
      <c r="B3084" s="83"/>
      <c r="C3084" s="148"/>
      <c r="D3084" s="84"/>
      <c r="E3084" s="84"/>
      <c r="F3084" s="84"/>
      <c r="G3084" s="146"/>
      <c r="H3084" s="221"/>
    </row>
    <row r="3085" spans="1:8" s="212" customFormat="1">
      <c r="A3085" s="91"/>
      <c r="B3085" s="91"/>
      <c r="C3085" s="91"/>
      <c r="D3085" s="91"/>
      <c r="E3085" s="91"/>
      <c r="G3085" s="213"/>
      <c r="H3085" s="222"/>
    </row>
    <row r="3086" spans="1:8" s="212" customFormat="1">
      <c r="A3086" s="120"/>
      <c r="B3086" s="73"/>
      <c r="C3086" s="73"/>
      <c r="D3086" s="73"/>
      <c r="E3086" s="73"/>
      <c r="G3086" s="73"/>
      <c r="H3086" s="222"/>
    </row>
    <row r="3087" spans="1:8" s="212" customFormat="1">
      <c r="A3087" s="220"/>
      <c r="B3087" s="141"/>
      <c r="C3087" s="141"/>
      <c r="D3087" s="141"/>
      <c r="E3087" s="141"/>
      <c r="F3087" s="141"/>
      <c r="G3087" s="141"/>
      <c r="H3087" s="222"/>
    </row>
    <row r="3088" spans="1:8" s="212" customFormat="1">
      <c r="A3088" s="142"/>
      <c r="B3088" s="143"/>
      <c r="C3088" s="143"/>
      <c r="D3088" s="143"/>
      <c r="E3088" s="143"/>
      <c r="F3088" s="84"/>
      <c r="G3088" s="146"/>
      <c r="H3088" s="221"/>
    </row>
    <row r="3089" spans="1:9" s="212" customFormat="1">
      <c r="A3089" s="123"/>
      <c r="B3089" s="95"/>
      <c r="C3089" s="95"/>
      <c r="D3089" s="95"/>
      <c r="E3089" s="95"/>
      <c r="G3089" s="213"/>
      <c r="H3089" s="73"/>
    </row>
    <row r="3090" spans="1:9" s="212" customFormat="1">
      <c r="A3090" s="123"/>
      <c r="B3090" s="95"/>
      <c r="C3090" s="95"/>
      <c r="D3090" s="95"/>
      <c r="E3090" s="95"/>
      <c r="G3090" s="73"/>
      <c r="H3090" s="225"/>
    </row>
    <row r="3091" spans="1:9" s="212" customFormat="1">
      <c r="B3091" s="97"/>
      <c r="C3091" s="98"/>
      <c r="D3091" s="98"/>
      <c r="E3091" s="98"/>
      <c r="G3091" s="220"/>
    </row>
    <row r="3092" spans="1:9" s="212" customFormat="1">
      <c r="B3092" s="97"/>
      <c r="C3092" s="98"/>
      <c r="D3092" s="98"/>
      <c r="E3092" s="98"/>
      <c r="F3092" s="220"/>
      <c r="G3092" s="225"/>
      <c r="H3092" s="226"/>
    </row>
    <row r="3093" spans="1:9" s="212" customFormat="1">
      <c r="A3093" s="633"/>
      <c r="B3093" s="633"/>
      <c r="C3093" s="633"/>
      <c r="D3093" s="633"/>
      <c r="E3093" s="633"/>
      <c r="F3093" s="633"/>
      <c r="G3093" s="633"/>
    </row>
    <row r="3094" spans="1:9" s="212" customFormat="1">
      <c r="H3094" s="227"/>
      <c r="I3094" s="228"/>
    </row>
    <row r="3095" spans="1:9" s="212" customFormat="1">
      <c r="A3095" s="658"/>
      <c r="B3095" s="227"/>
      <c r="C3095" s="227"/>
      <c r="D3095" s="227"/>
      <c r="E3095" s="227"/>
      <c r="F3095" s="227"/>
      <c r="G3095" s="227"/>
      <c r="H3095" s="227"/>
      <c r="I3095" s="229"/>
    </row>
    <row r="3096" spans="1:9" s="212" customFormat="1">
      <c r="A3096" s="658"/>
      <c r="B3096" s="227"/>
      <c r="C3096" s="227"/>
      <c r="D3096" s="227"/>
      <c r="E3096" s="227"/>
      <c r="F3096" s="227"/>
      <c r="G3096" s="227"/>
    </row>
    <row r="3097" spans="1:9" s="212" customFormat="1">
      <c r="A3097" s="69"/>
      <c r="B3097" s="69"/>
      <c r="C3097" s="69"/>
      <c r="D3097" s="69"/>
      <c r="E3097" s="69"/>
    </row>
    <row r="3098" spans="1:9" s="212" customFormat="1">
      <c r="A3098" s="120"/>
      <c r="B3098" s="73"/>
      <c r="C3098" s="73"/>
      <c r="D3098" s="73"/>
      <c r="E3098" s="73"/>
      <c r="F3098" s="73"/>
      <c r="G3098" s="73"/>
      <c r="H3098" s="73"/>
    </row>
    <row r="3099" spans="1:9" s="212" customFormat="1">
      <c r="A3099" s="220"/>
      <c r="B3099" s="141"/>
      <c r="C3099" s="141"/>
      <c r="D3099" s="141"/>
      <c r="E3099" s="141"/>
      <c r="F3099" s="141"/>
      <c r="G3099" s="141"/>
      <c r="H3099" s="73"/>
    </row>
    <row r="3100" spans="1:9" s="212" customFormat="1">
      <c r="A3100" s="150"/>
      <c r="B3100" s="83"/>
      <c r="C3100" s="148"/>
      <c r="D3100" s="84"/>
      <c r="E3100" s="84"/>
      <c r="F3100" s="84"/>
      <c r="G3100" s="224"/>
      <c r="H3100" s="73"/>
    </row>
    <row r="3101" spans="1:9" s="212" customFormat="1">
      <c r="A3101" s="150"/>
      <c r="B3101" s="83"/>
      <c r="C3101" s="148"/>
      <c r="D3101" s="84"/>
      <c r="E3101" s="84"/>
      <c r="F3101" s="84"/>
      <c r="G3101" s="224"/>
      <c r="H3101" s="73"/>
    </row>
    <row r="3102" spans="1:9" s="212" customFormat="1">
      <c r="A3102" s="150"/>
      <c r="B3102" s="83"/>
      <c r="C3102" s="148"/>
      <c r="D3102" s="84"/>
      <c r="E3102" s="84"/>
      <c r="F3102" s="84"/>
      <c r="G3102" s="224"/>
      <c r="H3102" s="221"/>
    </row>
    <row r="3103" spans="1:9" s="212" customFormat="1">
      <c r="A3103" s="84"/>
      <c r="B3103" s="83"/>
      <c r="C3103" s="84"/>
      <c r="D3103" s="84"/>
      <c r="E3103" s="84"/>
      <c r="G3103" s="213"/>
      <c r="H3103" s="222"/>
    </row>
    <row r="3104" spans="1:9" s="212" customFormat="1">
      <c r="A3104" s="120"/>
      <c r="B3104" s="73"/>
      <c r="C3104" s="73"/>
      <c r="D3104" s="73"/>
      <c r="E3104" s="73"/>
      <c r="G3104" s="73"/>
      <c r="H3104" s="222"/>
    </row>
    <row r="3105" spans="1:9" s="212" customFormat="1">
      <c r="A3105" s="220"/>
      <c r="B3105" s="141"/>
      <c r="C3105" s="141"/>
      <c r="D3105" s="141"/>
      <c r="E3105" s="141"/>
      <c r="F3105" s="141"/>
      <c r="G3105" s="141"/>
      <c r="H3105" s="222"/>
    </row>
    <row r="3106" spans="1:9" s="212" customFormat="1">
      <c r="A3106" s="150"/>
      <c r="B3106" s="83"/>
      <c r="C3106" s="148"/>
      <c r="D3106" s="84"/>
      <c r="E3106" s="84"/>
      <c r="F3106" s="84"/>
      <c r="G3106" s="224"/>
      <c r="H3106" s="221"/>
    </row>
    <row r="3107" spans="1:9" s="212" customFormat="1">
      <c r="A3107" s="91"/>
      <c r="B3107" s="91"/>
      <c r="C3107" s="91"/>
      <c r="D3107" s="91"/>
      <c r="E3107" s="91"/>
      <c r="G3107" s="213"/>
      <c r="H3107" s="222"/>
    </row>
    <row r="3108" spans="1:9" s="212" customFormat="1">
      <c r="A3108" s="120"/>
      <c r="B3108" s="73"/>
      <c r="C3108" s="73"/>
      <c r="D3108" s="73"/>
      <c r="E3108" s="73"/>
      <c r="G3108" s="73"/>
      <c r="H3108" s="222"/>
    </row>
    <row r="3109" spans="1:9" s="212" customFormat="1">
      <c r="A3109" s="220"/>
      <c r="B3109" s="141"/>
      <c r="C3109" s="141"/>
      <c r="D3109" s="141"/>
      <c r="E3109" s="141"/>
      <c r="F3109" s="141"/>
      <c r="G3109" s="141"/>
      <c r="H3109" s="222"/>
    </row>
    <row r="3110" spans="1:9" s="212" customFormat="1">
      <c r="A3110" s="146"/>
      <c r="B3110" s="83"/>
      <c r="C3110" s="148"/>
      <c r="D3110" s="84"/>
      <c r="E3110" s="84"/>
      <c r="F3110" s="84"/>
      <c r="G3110" s="146"/>
      <c r="H3110" s="221"/>
    </row>
    <row r="3111" spans="1:9" s="212" customFormat="1">
      <c r="A3111" s="91"/>
      <c r="B3111" s="91"/>
      <c r="C3111" s="91"/>
      <c r="D3111" s="91"/>
      <c r="E3111" s="91"/>
      <c r="G3111" s="213"/>
      <c r="H3111" s="222"/>
    </row>
    <row r="3112" spans="1:9" s="212" customFormat="1">
      <c r="A3112" s="120"/>
      <c r="B3112" s="73"/>
      <c r="C3112" s="73"/>
      <c r="D3112" s="73"/>
      <c r="E3112" s="73"/>
      <c r="G3112" s="73"/>
      <c r="H3112" s="222"/>
    </row>
    <row r="3113" spans="1:9" s="212" customFormat="1">
      <c r="A3113" s="220"/>
      <c r="B3113" s="141"/>
      <c r="C3113" s="141"/>
      <c r="D3113" s="141"/>
      <c r="E3113" s="141"/>
      <c r="F3113" s="141"/>
      <c r="G3113" s="141"/>
      <c r="H3113" s="222"/>
    </row>
    <row r="3114" spans="1:9" s="212" customFormat="1">
      <c r="A3114" s="142"/>
      <c r="B3114" s="143"/>
      <c r="C3114" s="143"/>
      <c r="D3114" s="143"/>
      <c r="E3114" s="143"/>
      <c r="F3114" s="84"/>
      <c r="G3114" s="146"/>
      <c r="H3114" s="221"/>
    </row>
    <row r="3115" spans="1:9" s="212" customFormat="1">
      <c r="A3115" s="123"/>
      <c r="B3115" s="95"/>
      <c r="C3115" s="95"/>
      <c r="D3115" s="95"/>
      <c r="E3115" s="95"/>
      <c r="G3115" s="213"/>
      <c r="H3115" s="73"/>
    </row>
    <row r="3116" spans="1:9" s="212" customFormat="1">
      <c r="A3116" s="123"/>
      <c r="B3116" s="95"/>
      <c r="C3116" s="95"/>
      <c r="D3116" s="95"/>
      <c r="E3116" s="95"/>
      <c r="G3116" s="73"/>
      <c r="H3116" s="225"/>
    </row>
    <row r="3117" spans="1:9" s="212" customFormat="1">
      <c r="B3117" s="97"/>
      <c r="C3117" s="98"/>
      <c r="D3117" s="98"/>
      <c r="E3117" s="98"/>
      <c r="G3117" s="220"/>
    </row>
    <row r="3118" spans="1:9" s="212" customFormat="1">
      <c r="B3118" s="97"/>
      <c r="C3118" s="98"/>
      <c r="D3118" s="98"/>
      <c r="E3118" s="98"/>
      <c r="F3118" s="220"/>
      <c r="G3118" s="225"/>
      <c r="H3118" s="226"/>
    </row>
    <row r="3119" spans="1:9" s="212" customFormat="1">
      <c r="A3119" s="633"/>
      <c r="B3119" s="633"/>
      <c r="C3119" s="633"/>
      <c r="D3119" s="633"/>
      <c r="E3119" s="633"/>
      <c r="F3119" s="633"/>
      <c r="G3119" s="633"/>
    </row>
    <row r="3120" spans="1:9" s="212" customFormat="1">
      <c r="H3120" s="227"/>
      <c r="I3120" s="228"/>
    </row>
    <row r="3121" spans="1:9" s="212" customFormat="1">
      <c r="A3121" s="658"/>
      <c r="B3121" s="227"/>
      <c r="C3121" s="227"/>
      <c r="D3121" s="227"/>
      <c r="E3121" s="227"/>
      <c r="F3121" s="227"/>
      <c r="G3121" s="227"/>
      <c r="H3121" s="227"/>
      <c r="I3121" s="229"/>
    </row>
    <row r="3122" spans="1:9" s="212" customFormat="1">
      <c r="A3122" s="658"/>
      <c r="B3122" s="227"/>
      <c r="C3122" s="227"/>
      <c r="D3122" s="227"/>
      <c r="E3122" s="227"/>
      <c r="F3122" s="227"/>
      <c r="G3122" s="227"/>
    </row>
    <row r="3123" spans="1:9" s="212" customFormat="1">
      <c r="A3123" s="69"/>
      <c r="B3123" s="69"/>
      <c r="C3123" s="69"/>
      <c r="D3123" s="69"/>
      <c r="E3123" s="69"/>
    </row>
    <row r="3124" spans="1:9" s="212" customFormat="1">
      <c r="A3124" s="120"/>
      <c r="B3124" s="73"/>
      <c r="C3124" s="73"/>
      <c r="D3124" s="73"/>
      <c r="E3124" s="73"/>
      <c r="F3124" s="73"/>
      <c r="G3124" s="73"/>
      <c r="H3124" s="73"/>
    </row>
    <row r="3125" spans="1:9" s="212" customFormat="1">
      <c r="A3125" s="220"/>
      <c r="B3125" s="141"/>
      <c r="C3125" s="141"/>
      <c r="D3125" s="141"/>
      <c r="E3125" s="141"/>
      <c r="F3125" s="141"/>
      <c r="G3125" s="141"/>
      <c r="H3125" s="73"/>
    </row>
    <row r="3126" spans="1:9" s="212" customFormat="1">
      <c r="A3126" s="150"/>
      <c r="B3126" s="83"/>
      <c r="C3126" s="148"/>
      <c r="D3126" s="84"/>
      <c r="E3126" s="84"/>
      <c r="F3126" s="84"/>
      <c r="G3126" s="224"/>
      <c r="H3126" s="73"/>
    </row>
    <row r="3127" spans="1:9" s="212" customFormat="1">
      <c r="A3127" s="150"/>
      <c r="B3127" s="83"/>
      <c r="C3127" s="148"/>
      <c r="D3127" s="84"/>
      <c r="E3127" s="84"/>
      <c r="F3127" s="84"/>
      <c r="G3127" s="224"/>
      <c r="H3127" s="221"/>
    </row>
    <row r="3128" spans="1:9" s="212" customFormat="1">
      <c r="A3128" s="84"/>
      <c r="B3128" s="83"/>
      <c r="C3128" s="84"/>
      <c r="D3128" s="84"/>
      <c r="E3128" s="84"/>
      <c r="G3128" s="213"/>
      <c r="H3128" s="222"/>
    </row>
    <row r="3129" spans="1:9" s="212" customFormat="1">
      <c r="A3129" s="120"/>
      <c r="B3129" s="73"/>
      <c r="C3129" s="73"/>
      <c r="D3129" s="73"/>
      <c r="E3129" s="73"/>
      <c r="G3129" s="73"/>
      <c r="H3129" s="222"/>
    </row>
    <row r="3130" spans="1:9" s="212" customFormat="1">
      <c r="A3130" s="220"/>
      <c r="B3130" s="141"/>
      <c r="C3130" s="141"/>
      <c r="D3130" s="141"/>
      <c r="E3130" s="141"/>
      <c r="F3130" s="141"/>
      <c r="G3130" s="141"/>
      <c r="H3130" s="222"/>
    </row>
    <row r="3131" spans="1:9" s="212" customFormat="1">
      <c r="A3131" s="150"/>
      <c r="B3131" s="83"/>
      <c r="C3131" s="148"/>
      <c r="D3131" s="84"/>
      <c r="E3131" s="84"/>
      <c r="F3131" s="84"/>
      <c r="G3131" s="224"/>
      <c r="H3131" s="221"/>
    </row>
    <row r="3132" spans="1:9" s="212" customFormat="1">
      <c r="A3132" s="91"/>
      <c r="B3132" s="91"/>
      <c r="C3132" s="91"/>
      <c r="D3132" s="91"/>
      <c r="E3132" s="91"/>
      <c r="G3132" s="213"/>
      <c r="H3132" s="222"/>
    </row>
    <row r="3133" spans="1:9" s="212" customFormat="1">
      <c r="A3133" s="120"/>
      <c r="B3133" s="73"/>
      <c r="C3133" s="73"/>
      <c r="D3133" s="73"/>
      <c r="E3133" s="73"/>
      <c r="G3133" s="73"/>
      <c r="H3133" s="222"/>
    </row>
    <row r="3134" spans="1:9" s="212" customFormat="1">
      <c r="A3134" s="220"/>
      <c r="B3134" s="141"/>
      <c r="C3134" s="141"/>
      <c r="D3134" s="141"/>
      <c r="E3134" s="141"/>
      <c r="F3134" s="141"/>
      <c r="G3134" s="141"/>
      <c r="H3134" s="222"/>
    </row>
    <row r="3135" spans="1:9" s="212" customFormat="1">
      <c r="A3135" s="146"/>
      <c r="B3135" s="83"/>
      <c r="C3135" s="148"/>
      <c r="D3135" s="84"/>
      <c r="E3135" s="84"/>
      <c r="F3135" s="84"/>
      <c r="G3135" s="146"/>
      <c r="H3135" s="221"/>
    </row>
    <row r="3136" spans="1:9" s="212" customFormat="1">
      <c r="A3136" s="91"/>
      <c r="B3136" s="91"/>
      <c r="C3136" s="91"/>
      <c r="D3136" s="91"/>
      <c r="E3136" s="91"/>
      <c r="G3136" s="213"/>
      <c r="H3136" s="222"/>
    </row>
    <row r="3137" spans="1:9" s="212" customFormat="1">
      <c r="A3137" s="120"/>
      <c r="B3137" s="73"/>
      <c r="C3137" s="73"/>
      <c r="D3137" s="73"/>
      <c r="E3137" s="73"/>
      <c r="G3137" s="73"/>
      <c r="H3137" s="222"/>
    </row>
    <row r="3138" spans="1:9" s="212" customFormat="1">
      <c r="A3138" s="220"/>
      <c r="B3138" s="141"/>
      <c r="C3138" s="141"/>
      <c r="D3138" s="141"/>
      <c r="E3138" s="141"/>
      <c r="F3138" s="141"/>
      <c r="G3138" s="141"/>
      <c r="H3138" s="222"/>
    </row>
    <row r="3139" spans="1:9" s="212" customFormat="1">
      <c r="A3139" s="142"/>
      <c r="B3139" s="143"/>
      <c r="C3139" s="143"/>
      <c r="D3139" s="143"/>
      <c r="E3139" s="143"/>
      <c r="F3139" s="84"/>
      <c r="G3139" s="146"/>
      <c r="H3139" s="221"/>
    </row>
    <row r="3140" spans="1:9" s="212" customFormat="1">
      <c r="A3140" s="123"/>
      <c r="B3140" s="95"/>
      <c r="C3140" s="95"/>
      <c r="D3140" s="95"/>
      <c r="E3140" s="95"/>
      <c r="G3140" s="213"/>
      <c r="H3140" s="73"/>
    </row>
    <row r="3141" spans="1:9" s="212" customFormat="1">
      <c r="A3141" s="123"/>
      <c r="B3141" s="95"/>
      <c r="C3141" s="95"/>
      <c r="D3141" s="95"/>
      <c r="E3141" s="95"/>
      <c r="G3141" s="73"/>
      <c r="H3141" s="225"/>
    </row>
    <row r="3142" spans="1:9" s="212" customFormat="1">
      <c r="B3142" s="97"/>
      <c r="C3142" s="98"/>
      <c r="D3142" s="98"/>
      <c r="E3142" s="98"/>
      <c r="G3142" s="220"/>
    </row>
    <row r="3143" spans="1:9" s="212" customFormat="1">
      <c r="B3143" s="97"/>
      <c r="C3143" s="98"/>
      <c r="D3143" s="98"/>
      <c r="E3143" s="98"/>
      <c r="F3143" s="220"/>
      <c r="G3143" s="225"/>
      <c r="H3143" s="226"/>
    </row>
    <row r="3144" spans="1:9" s="212" customFormat="1">
      <c r="A3144" s="633"/>
      <c r="B3144" s="633"/>
      <c r="C3144" s="633"/>
      <c r="D3144" s="633"/>
      <c r="E3144" s="633"/>
      <c r="F3144" s="633"/>
      <c r="G3144" s="633"/>
    </row>
    <row r="3145" spans="1:9" s="212" customFormat="1">
      <c r="H3145" s="227"/>
      <c r="I3145" s="228"/>
    </row>
    <row r="3146" spans="1:9" s="212" customFormat="1">
      <c r="A3146" s="658"/>
      <c r="B3146" s="227"/>
      <c r="C3146" s="227"/>
      <c r="D3146" s="227"/>
      <c r="E3146" s="227"/>
      <c r="F3146" s="227"/>
      <c r="G3146" s="227"/>
      <c r="H3146" s="227"/>
      <c r="I3146" s="229"/>
    </row>
    <row r="3147" spans="1:9" s="212" customFormat="1">
      <c r="A3147" s="658"/>
      <c r="B3147" s="227"/>
      <c r="C3147" s="227"/>
      <c r="D3147" s="227"/>
      <c r="E3147" s="227"/>
      <c r="F3147" s="227"/>
      <c r="G3147" s="227"/>
    </row>
    <row r="3148" spans="1:9" s="212" customFormat="1">
      <c r="A3148" s="69"/>
      <c r="B3148" s="69"/>
      <c r="C3148" s="69"/>
      <c r="D3148" s="69"/>
      <c r="E3148" s="69"/>
    </row>
    <row r="3149" spans="1:9" s="212" customFormat="1">
      <c r="A3149" s="120"/>
      <c r="B3149" s="73"/>
      <c r="C3149" s="73"/>
      <c r="D3149" s="73"/>
      <c r="E3149" s="73"/>
      <c r="F3149" s="73"/>
      <c r="G3149" s="73"/>
      <c r="H3149" s="73"/>
    </row>
    <row r="3150" spans="1:9" s="212" customFormat="1">
      <c r="A3150" s="220"/>
      <c r="B3150" s="141"/>
      <c r="C3150" s="141"/>
      <c r="D3150" s="141"/>
      <c r="E3150" s="141"/>
      <c r="F3150" s="141"/>
      <c r="G3150" s="141"/>
      <c r="H3150" s="73"/>
    </row>
    <row r="3151" spans="1:9" s="212" customFormat="1">
      <c r="A3151" s="150"/>
      <c r="B3151" s="83"/>
      <c r="C3151" s="148"/>
      <c r="D3151" s="84"/>
      <c r="E3151" s="84"/>
      <c r="F3151" s="84"/>
      <c r="G3151" s="224"/>
      <c r="H3151" s="221"/>
    </row>
    <row r="3152" spans="1:9" s="212" customFormat="1">
      <c r="A3152" s="84"/>
      <c r="B3152" s="83"/>
      <c r="C3152" s="84"/>
      <c r="D3152" s="84"/>
      <c r="E3152" s="84"/>
      <c r="G3152" s="213"/>
      <c r="H3152" s="222"/>
    </row>
    <row r="3153" spans="1:8" s="212" customFormat="1">
      <c r="A3153" s="120"/>
      <c r="B3153" s="73"/>
      <c r="C3153" s="73"/>
      <c r="D3153" s="73"/>
      <c r="E3153" s="73"/>
      <c r="G3153" s="73"/>
      <c r="H3153" s="222"/>
    </row>
    <row r="3154" spans="1:8" s="212" customFormat="1">
      <c r="A3154" s="220"/>
      <c r="B3154" s="141"/>
      <c r="C3154" s="141"/>
      <c r="D3154" s="141"/>
      <c r="E3154" s="141"/>
      <c r="F3154" s="141"/>
      <c r="G3154" s="141"/>
      <c r="H3154" s="222"/>
    </row>
    <row r="3155" spans="1:8" s="212" customFormat="1">
      <c r="A3155" s="150"/>
      <c r="B3155" s="83"/>
      <c r="C3155" s="148"/>
      <c r="D3155" s="84"/>
      <c r="E3155" s="84"/>
      <c r="F3155" s="84"/>
      <c r="G3155" s="224"/>
      <c r="H3155" s="222"/>
    </row>
    <row r="3156" spans="1:8" s="212" customFormat="1">
      <c r="A3156" s="150"/>
      <c r="B3156" s="83"/>
      <c r="C3156" s="148"/>
      <c r="D3156" s="84"/>
      <c r="E3156" s="84"/>
      <c r="F3156" s="84"/>
      <c r="G3156" s="224"/>
      <c r="H3156" s="222"/>
    </row>
    <row r="3157" spans="1:8" s="212" customFormat="1">
      <c r="A3157" s="150"/>
      <c r="B3157" s="83"/>
      <c r="C3157" s="148"/>
      <c r="D3157" s="84"/>
      <c r="E3157" s="84"/>
      <c r="F3157" s="84"/>
      <c r="G3157" s="224"/>
      <c r="H3157" s="222"/>
    </row>
    <row r="3158" spans="1:8" s="212" customFormat="1">
      <c r="A3158" s="150"/>
      <c r="B3158" s="83"/>
      <c r="C3158" s="148"/>
      <c r="D3158" s="84"/>
      <c r="E3158" s="84"/>
      <c r="F3158" s="84"/>
      <c r="G3158" s="224"/>
      <c r="H3158" s="222"/>
    </row>
    <row r="3159" spans="1:8" s="212" customFormat="1">
      <c r="A3159" s="150"/>
      <c r="B3159" s="83"/>
      <c r="C3159" s="148"/>
      <c r="D3159" s="84"/>
      <c r="E3159" s="84"/>
      <c r="F3159" s="84"/>
      <c r="G3159" s="224"/>
      <c r="H3159" s="222"/>
    </row>
    <row r="3160" spans="1:8" s="212" customFormat="1">
      <c r="A3160" s="150"/>
      <c r="B3160" s="83"/>
      <c r="C3160" s="148"/>
      <c r="D3160" s="84"/>
      <c r="E3160" s="84"/>
      <c r="F3160" s="84"/>
      <c r="G3160" s="224"/>
      <c r="H3160" s="222"/>
    </row>
    <row r="3161" spans="1:8" s="212" customFormat="1">
      <c r="A3161" s="150"/>
      <c r="B3161" s="83"/>
      <c r="C3161" s="148"/>
      <c r="D3161" s="84"/>
      <c r="E3161" s="84"/>
      <c r="F3161" s="84"/>
      <c r="G3161" s="224"/>
      <c r="H3161" s="221"/>
    </row>
    <row r="3162" spans="1:8" s="212" customFormat="1">
      <c r="A3162" s="91"/>
      <c r="B3162" s="91"/>
      <c r="C3162" s="91"/>
      <c r="D3162" s="91"/>
      <c r="E3162" s="91"/>
      <c r="G3162" s="213"/>
      <c r="H3162" s="222"/>
    </row>
    <row r="3163" spans="1:8" s="212" customFormat="1">
      <c r="A3163" s="120"/>
      <c r="B3163" s="73"/>
      <c r="C3163" s="73"/>
      <c r="D3163" s="73"/>
      <c r="E3163" s="73"/>
      <c r="G3163" s="73"/>
      <c r="H3163" s="222"/>
    </row>
    <row r="3164" spans="1:8" s="212" customFormat="1">
      <c r="A3164" s="220"/>
      <c r="B3164" s="141"/>
      <c r="C3164" s="141"/>
      <c r="D3164" s="141"/>
      <c r="E3164" s="141"/>
      <c r="F3164" s="141"/>
      <c r="G3164" s="141"/>
      <c r="H3164" s="222"/>
    </row>
    <row r="3165" spans="1:8" s="212" customFormat="1">
      <c r="A3165" s="146"/>
      <c r="B3165" s="83"/>
      <c r="C3165" s="148"/>
      <c r="D3165" s="84"/>
      <c r="E3165" s="84"/>
      <c r="F3165" s="84"/>
      <c r="G3165" s="146"/>
      <c r="H3165" s="222"/>
    </row>
    <row r="3166" spans="1:8" s="212" customFormat="1">
      <c r="A3166" s="146"/>
      <c r="B3166" s="83"/>
      <c r="C3166" s="148"/>
      <c r="D3166" s="84"/>
      <c r="E3166" s="84"/>
      <c r="F3166" s="84"/>
      <c r="G3166" s="146"/>
      <c r="H3166" s="221"/>
    </row>
    <row r="3167" spans="1:8" s="212" customFormat="1">
      <c r="A3167" s="91"/>
      <c r="B3167" s="91"/>
      <c r="C3167" s="91"/>
      <c r="D3167" s="91"/>
      <c r="E3167" s="91"/>
      <c r="G3167" s="213"/>
      <c r="H3167" s="222"/>
    </row>
    <row r="3168" spans="1:8" s="212" customFormat="1">
      <c r="A3168" s="120"/>
      <c r="B3168" s="73"/>
      <c r="C3168" s="73"/>
      <c r="D3168" s="73"/>
      <c r="E3168" s="73"/>
      <c r="G3168" s="73"/>
      <c r="H3168" s="222"/>
    </row>
    <row r="3169" spans="1:9" s="212" customFormat="1">
      <c r="A3169" s="220"/>
      <c r="B3169" s="141"/>
      <c r="C3169" s="141"/>
      <c r="D3169" s="141"/>
      <c r="E3169" s="141"/>
      <c r="F3169" s="141"/>
      <c r="G3169" s="141"/>
      <c r="H3169" s="222"/>
    </row>
    <row r="3170" spans="1:9" s="212" customFormat="1">
      <c r="A3170" s="142"/>
      <c r="B3170" s="143"/>
      <c r="C3170" s="143"/>
      <c r="D3170" s="143"/>
      <c r="E3170" s="143"/>
      <c r="F3170" s="84"/>
      <c r="G3170" s="146"/>
      <c r="H3170" s="221"/>
    </row>
    <row r="3171" spans="1:9" s="212" customFormat="1">
      <c r="A3171" s="123"/>
      <c r="B3171" s="95"/>
      <c r="C3171" s="95"/>
      <c r="D3171" s="95"/>
      <c r="E3171" s="95"/>
      <c r="G3171" s="213"/>
      <c r="H3171" s="73"/>
    </row>
    <row r="3172" spans="1:9" s="212" customFormat="1">
      <c r="A3172" s="123"/>
      <c r="B3172" s="95"/>
      <c r="C3172" s="95"/>
      <c r="D3172" s="95"/>
      <c r="E3172" s="95"/>
      <c r="G3172" s="73"/>
      <c r="H3172" s="225"/>
    </row>
    <row r="3173" spans="1:9" s="212" customFormat="1">
      <c r="B3173" s="97"/>
      <c r="C3173" s="98"/>
      <c r="D3173" s="98"/>
      <c r="E3173" s="98"/>
      <c r="G3173" s="220"/>
    </row>
    <row r="3174" spans="1:9" s="212" customFormat="1">
      <c r="B3174" s="97"/>
      <c r="C3174" s="98"/>
      <c r="D3174" s="98"/>
      <c r="E3174" s="98"/>
      <c r="F3174" s="220"/>
      <c r="G3174" s="225"/>
      <c r="H3174" s="226"/>
    </row>
    <row r="3175" spans="1:9" s="212" customFormat="1">
      <c r="A3175" s="633"/>
      <c r="B3175" s="633"/>
      <c r="C3175" s="633"/>
      <c r="D3175" s="633"/>
      <c r="E3175" s="633"/>
      <c r="F3175" s="633"/>
      <c r="G3175" s="633"/>
    </row>
    <row r="3176" spans="1:9" s="212" customFormat="1">
      <c r="H3176" s="227"/>
      <c r="I3176" s="228"/>
    </row>
    <row r="3177" spans="1:9" s="212" customFormat="1">
      <c r="A3177" s="658"/>
      <c r="B3177" s="227"/>
      <c r="C3177" s="227"/>
      <c r="D3177" s="227"/>
      <c r="E3177" s="227"/>
      <c r="F3177" s="227"/>
      <c r="G3177" s="227"/>
      <c r="H3177" s="227"/>
      <c r="I3177" s="229"/>
    </row>
    <row r="3178" spans="1:9" s="212" customFormat="1">
      <c r="A3178" s="658"/>
      <c r="B3178" s="227"/>
      <c r="C3178" s="227"/>
      <c r="D3178" s="227"/>
      <c r="E3178" s="227"/>
      <c r="F3178" s="227"/>
      <c r="G3178" s="227"/>
    </row>
    <row r="3179" spans="1:9" s="212" customFormat="1">
      <c r="A3179" s="69"/>
      <c r="B3179" s="69"/>
      <c r="C3179" s="69"/>
      <c r="D3179" s="69"/>
      <c r="E3179" s="69"/>
    </row>
    <row r="3180" spans="1:9" s="212" customFormat="1">
      <c r="A3180" s="120"/>
      <c r="B3180" s="73"/>
      <c r="C3180" s="73"/>
      <c r="D3180" s="73"/>
      <c r="E3180" s="73"/>
      <c r="F3180" s="73"/>
      <c r="G3180" s="73"/>
      <c r="H3180" s="73"/>
    </row>
    <row r="3181" spans="1:9" s="212" customFormat="1">
      <c r="A3181" s="220"/>
      <c r="B3181" s="141"/>
      <c r="C3181" s="141"/>
      <c r="D3181" s="141"/>
      <c r="E3181" s="141"/>
      <c r="F3181" s="141"/>
      <c r="G3181" s="141"/>
      <c r="H3181" s="73"/>
    </row>
    <row r="3182" spans="1:9" s="212" customFormat="1">
      <c r="A3182" s="150"/>
      <c r="B3182" s="83"/>
      <c r="C3182" s="148"/>
      <c r="D3182" s="84"/>
      <c r="E3182" s="84"/>
      <c r="F3182" s="84"/>
      <c r="G3182" s="224"/>
      <c r="H3182" s="221"/>
    </row>
    <row r="3183" spans="1:9" s="212" customFormat="1">
      <c r="A3183" s="84"/>
      <c r="B3183" s="83"/>
      <c r="C3183" s="84"/>
      <c r="D3183" s="84"/>
      <c r="E3183" s="84"/>
      <c r="G3183" s="213"/>
      <c r="H3183" s="222"/>
    </row>
    <row r="3184" spans="1:9" s="212" customFormat="1">
      <c r="A3184" s="120"/>
      <c r="B3184" s="73"/>
      <c r="C3184" s="73"/>
      <c r="D3184" s="73"/>
      <c r="E3184" s="73"/>
      <c r="G3184" s="73"/>
      <c r="H3184" s="222"/>
    </row>
    <row r="3185" spans="1:8" s="212" customFormat="1">
      <c r="A3185" s="220"/>
      <c r="B3185" s="141"/>
      <c r="C3185" s="141"/>
      <c r="D3185" s="141"/>
      <c r="E3185" s="141"/>
      <c r="F3185" s="141"/>
      <c r="G3185" s="141"/>
      <c r="H3185" s="222"/>
    </row>
    <row r="3186" spans="1:8" s="212" customFormat="1">
      <c r="A3186" s="150"/>
      <c r="B3186" s="83"/>
      <c r="C3186" s="148"/>
      <c r="D3186" s="84"/>
      <c r="E3186" s="84"/>
      <c r="F3186" s="84"/>
      <c r="G3186" s="224"/>
      <c r="H3186" s="222"/>
    </row>
    <row r="3187" spans="1:8" s="212" customFormat="1">
      <c r="A3187" s="150"/>
      <c r="B3187" s="83"/>
      <c r="C3187" s="148"/>
      <c r="D3187" s="84"/>
      <c r="E3187" s="84"/>
      <c r="F3187" s="84"/>
      <c r="G3187" s="224"/>
      <c r="H3187" s="222"/>
    </row>
    <row r="3188" spans="1:8" s="212" customFormat="1">
      <c r="A3188" s="150"/>
      <c r="B3188" s="83"/>
      <c r="C3188" s="148"/>
      <c r="D3188" s="84"/>
      <c r="E3188" s="84"/>
      <c r="F3188" s="84"/>
      <c r="G3188" s="224"/>
      <c r="H3188" s="222"/>
    </row>
    <row r="3189" spans="1:8" s="212" customFormat="1">
      <c r="A3189" s="150"/>
      <c r="B3189" s="83"/>
      <c r="C3189" s="148"/>
      <c r="D3189" s="84"/>
      <c r="E3189" s="84"/>
      <c r="F3189" s="84"/>
      <c r="G3189" s="224"/>
      <c r="H3189" s="222"/>
    </row>
    <row r="3190" spans="1:8" s="212" customFormat="1">
      <c r="A3190" s="150"/>
      <c r="B3190" s="83"/>
      <c r="C3190" s="148"/>
      <c r="D3190" s="84"/>
      <c r="E3190" s="84"/>
      <c r="F3190" s="84"/>
      <c r="G3190" s="224"/>
      <c r="H3190" s="221"/>
    </row>
    <row r="3191" spans="1:8" s="212" customFormat="1">
      <c r="A3191" s="91"/>
      <c r="B3191" s="91"/>
      <c r="C3191" s="91"/>
      <c r="D3191" s="91"/>
      <c r="E3191" s="91"/>
      <c r="G3191" s="213"/>
      <c r="H3191" s="222"/>
    </row>
    <row r="3192" spans="1:8" s="212" customFormat="1">
      <c r="A3192" s="120"/>
      <c r="B3192" s="73"/>
      <c r="C3192" s="73"/>
      <c r="D3192" s="73"/>
      <c r="E3192" s="73"/>
      <c r="G3192" s="73"/>
      <c r="H3192" s="222"/>
    </row>
    <row r="3193" spans="1:8" s="212" customFormat="1">
      <c r="A3193" s="220"/>
      <c r="B3193" s="141"/>
      <c r="C3193" s="141"/>
      <c r="D3193" s="141"/>
      <c r="E3193" s="141"/>
      <c r="F3193" s="141"/>
      <c r="G3193" s="141"/>
      <c r="H3193" s="222"/>
    </row>
    <row r="3194" spans="1:8" s="212" customFormat="1">
      <c r="A3194" s="146"/>
      <c r="B3194" s="83"/>
      <c r="C3194" s="148"/>
      <c r="D3194" s="84"/>
      <c r="E3194" s="84"/>
      <c r="F3194" s="84"/>
      <c r="G3194" s="146"/>
      <c r="H3194" s="222"/>
    </row>
    <row r="3195" spans="1:8" s="212" customFormat="1">
      <c r="A3195" s="146"/>
      <c r="B3195" s="83"/>
      <c r="C3195" s="148"/>
      <c r="D3195" s="84"/>
      <c r="E3195" s="84"/>
      <c r="F3195" s="84"/>
      <c r="G3195" s="146"/>
      <c r="H3195" s="221"/>
    </row>
    <row r="3196" spans="1:8" s="212" customFormat="1">
      <c r="A3196" s="91"/>
      <c r="B3196" s="91"/>
      <c r="C3196" s="91"/>
      <c r="D3196" s="91"/>
      <c r="E3196" s="91"/>
      <c r="G3196" s="213"/>
      <c r="H3196" s="222"/>
    </row>
    <row r="3197" spans="1:8" s="212" customFormat="1">
      <c r="A3197" s="120"/>
      <c r="B3197" s="73"/>
      <c r="C3197" s="73"/>
      <c r="D3197" s="73"/>
      <c r="E3197" s="73"/>
      <c r="G3197" s="73"/>
      <c r="H3197" s="222"/>
    </row>
    <row r="3198" spans="1:8" s="212" customFormat="1">
      <c r="A3198" s="220"/>
      <c r="B3198" s="141"/>
      <c r="C3198" s="141"/>
      <c r="D3198" s="141"/>
      <c r="E3198" s="141"/>
      <c r="F3198" s="141"/>
      <c r="G3198" s="141"/>
      <c r="H3198" s="222"/>
    </row>
    <row r="3199" spans="1:8" s="212" customFormat="1">
      <c r="A3199" s="142"/>
      <c r="B3199" s="143"/>
      <c r="C3199" s="143"/>
      <c r="D3199" s="143"/>
      <c r="E3199" s="143"/>
      <c r="F3199" s="84"/>
      <c r="G3199" s="146"/>
      <c r="H3199" s="221"/>
    </row>
    <row r="3200" spans="1:8" s="212" customFormat="1">
      <c r="A3200" s="123"/>
      <c r="B3200" s="95"/>
      <c r="C3200" s="95"/>
      <c r="D3200" s="95"/>
      <c r="E3200" s="95"/>
      <c r="G3200" s="213"/>
      <c r="H3200" s="73"/>
    </row>
    <row r="3201" spans="1:9" s="212" customFormat="1">
      <c r="A3201" s="123"/>
      <c r="B3201" s="95"/>
      <c r="C3201" s="95"/>
      <c r="D3201" s="95"/>
      <c r="E3201" s="95"/>
      <c r="G3201" s="73"/>
      <c r="H3201" s="225"/>
    </row>
    <row r="3202" spans="1:9" s="212" customFormat="1">
      <c r="B3202" s="97"/>
      <c r="C3202" s="98"/>
      <c r="D3202" s="98"/>
      <c r="E3202" s="98"/>
      <c r="G3202" s="220"/>
    </row>
    <row r="3203" spans="1:9" s="212" customFormat="1">
      <c r="B3203" s="97"/>
      <c r="C3203" s="98"/>
      <c r="D3203" s="98"/>
      <c r="E3203" s="98"/>
      <c r="F3203" s="220"/>
      <c r="G3203" s="225"/>
      <c r="H3203" s="226"/>
    </row>
    <row r="3204" spans="1:9" s="212" customFormat="1">
      <c r="A3204" s="633"/>
      <c r="B3204" s="633"/>
      <c r="C3204" s="633"/>
      <c r="D3204" s="633"/>
      <c r="E3204" s="633"/>
      <c r="F3204" s="633"/>
      <c r="G3204" s="633"/>
    </row>
    <row r="3205" spans="1:9" s="212" customFormat="1">
      <c r="H3205" s="227"/>
      <c r="I3205" s="228"/>
    </row>
    <row r="3206" spans="1:9" s="212" customFormat="1">
      <c r="A3206" s="658"/>
      <c r="B3206" s="227"/>
      <c r="C3206" s="227"/>
      <c r="D3206" s="227"/>
      <c r="E3206" s="227"/>
      <c r="F3206" s="227"/>
      <c r="G3206" s="227"/>
      <c r="H3206" s="227"/>
      <c r="I3206" s="229"/>
    </row>
    <row r="3207" spans="1:9" s="212" customFormat="1">
      <c r="A3207" s="658"/>
      <c r="B3207" s="227"/>
      <c r="C3207" s="227"/>
      <c r="D3207" s="227"/>
      <c r="E3207" s="227"/>
      <c r="F3207" s="227"/>
      <c r="G3207" s="227"/>
    </row>
    <row r="3208" spans="1:9" s="212" customFormat="1">
      <c r="A3208" s="69"/>
      <c r="B3208" s="69"/>
      <c r="C3208" s="69"/>
      <c r="D3208" s="69"/>
      <c r="E3208" s="69"/>
    </row>
    <row r="3209" spans="1:9" s="212" customFormat="1">
      <c r="A3209" s="120"/>
      <c r="B3209" s="73"/>
      <c r="C3209" s="73"/>
      <c r="D3209" s="73"/>
      <c r="E3209" s="73"/>
      <c r="F3209" s="73"/>
      <c r="G3209" s="73"/>
      <c r="H3209" s="73"/>
    </row>
    <row r="3210" spans="1:9" s="212" customFormat="1">
      <c r="A3210" s="220"/>
      <c r="B3210" s="141"/>
      <c r="C3210" s="141"/>
      <c r="D3210" s="141"/>
      <c r="E3210" s="141"/>
      <c r="F3210" s="141"/>
      <c r="G3210" s="141"/>
      <c r="H3210" s="73"/>
    </row>
    <row r="3211" spans="1:9" s="212" customFormat="1">
      <c r="A3211" s="150"/>
      <c r="B3211" s="83"/>
      <c r="C3211" s="148"/>
      <c r="D3211" s="84"/>
      <c r="E3211" s="84"/>
      <c r="F3211" s="84"/>
      <c r="G3211" s="224"/>
      <c r="H3211" s="73"/>
    </row>
    <row r="3212" spans="1:9" s="212" customFormat="1">
      <c r="A3212" s="150"/>
      <c r="B3212" s="83"/>
      <c r="C3212" s="148"/>
      <c r="D3212" s="84"/>
      <c r="E3212" s="84"/>
      <c r="F3212" s="84"/>
      <c r="G3212" s="224"/>
      <c r="H3212" s="221"/>
    </row>
    <row r="3213" spans="1:9" s="212" customFormat="1">
      <c r="A3213" s="84"/>
      <c r="B3213" s="83"/>
      <c r="C3213" s="84"/>
      <c r="D3213" s="84"/>
      <c r="E3213" s="84"/>
      <c r="G3213" s="213"/>
      <c r="H3213" s="222"/>
    </row>
    <row r="3214" spans="1:9" s="212" customFormat="1">
      <c r="A3214" s="120"/>
      <c r="B3214" s="73"/>
      <c r="C3214" s="73"/>
      <c r="D3214" s="73"/>
      <c r="E3214" s="73"/>
      <c r="G3214" s="73"/>
      <c r="H3214" s="222"/>
    </row>
    <row r="3215" spans="1:9" s="212" customFormat="1">
      <c r="A3215" s="220"/>
      <c r="B3215" s="141"/>
      <c r="C3215" s="141"/>
      <c r="D3215" s="141"/>
      <c r="E3215" s="141"/>
      <c r="F3215" s="141"/>
      <c r="G3215" s="141"/>
      <c r="H3215" s="222"/>
    </row>
    <row r="3216" spans="1:9" s="212" customFormat="1">
      <c r="A3216" s="150"/>
      <c r="B3216" s="83"/>
      <c r="C3216" s="148"/>
      <c r="D3216" s="84"/>
      <c r="E3216" s="84"/>
      <c r="F3216" s="84"/>
      <c r="G3216" s="224"/>
      <c r="H3216" s="222"/>
    </row>
    <row r="3217" spans="1:8" s="212" customFormat="1">
      <c r="A3217" s="150"/>
      <c r="B3217" s="83"/>
      <c r="C3217" s="148"/>
      <c r="D3217" s="84"/>
      <c r="E3217" s="84"/>
      <c r="F3217" s="84"/>
      <c r="G3217" s="224"/>
      <c r="H3217" s="222"/>
    </row>
    <row r="3218" spans="1:8" s="212" customFormat="1">
      <c r="A3218" s="150"/>
      <c r="B3218" s="83"/>
      <c r="C3218" s="148"/>
      <c r="D3218" s="84"/>
      <c r="E3218" s="84"/>
      <c r="F3218" s="84"/>
      <c r="G3218" s="224"/>
      <c r="H3218" s="222"/>
    </row>
    <row r="3219" spans="1:8" s="212" customFormat="1">
      <c r="A3219" s="150"/>
      <c r="B3219" s="83"/>
      <c r="C3219" s="148"/>
      <c r="D3219" s="84"/>
      <c r="E3219" s="84"/>
      <c r="F3219" s="84"/>
      <c r="G3219" s="224"/>
      <c r="H3219" s="221"/>
    </row>
    <row r="3220" spans="1:8" s="212" customFormat="1">
      <c r="A3220" s="91"/>
      <c r="B3220" s="91"/>
      <c r="C3220" s="91"/>
      <c r="D3220" s="91"/>
      <c r="E3220" s="91"/>
      <c r="G3220" s="213"/>
      <c r="H3220" s="222"/>
    </row>
    <row r="3221" spans="1:8" s="212" customFormat="1">
      <c r="A3221" s="120"/>
      <c r="B3221" s="73"/>
      <c r="C3221" s="73"/>
      <c r="D3221" s="73"/>
      <c r="E3221" s="73"/>
      <c r="G3221" s="73"/>
      <c r="H3221" s="222"/>
    </row>
    <row r="3222" spans="1:8" s="212" customFormat="1">
      <c r="A3222" s="220"/>
      <c r="B3222" s="141"/>
      <c r="C3222" s="141"/>
      <c r="D3222" s="141"/>
      <c r="E3222" s="141"/>
      <c r="F3222" s="141"/>
      <c r="G3222" s="141"/>
      <c r="H3222" s="222"/>
    </row>
    <row r="3223" spans="1:8" s="212" customFormat="1">
      <c r="A3223" s="146"/>
      <c r="B3223" s="83"/>
      <c r="C3223" s="148"/>
      <c r="D3223" s="84"/>
      <c r="E3223" s="84"/>
      <c r="F3223" s="84"/>
      <c r="G3223" s="146"/>
      <c r="H3223" s="222"/>
    </row>
    <row r="3224" spans="1:8" s="212" customFormat="1">
      <c r="A3224" s="146"/>
      <c r="B3224" s="83"/>
      <c r="C3224" s="148"/>
      <c r="D3224" s="84"/>
      <c r="E3224" s="84"/>
      <c r="F3224" s="84"/>
      <c r="G3224" s="146"/>
      <c r="H3224" s="221"/>
    </row>
    <row r="3225" spans="1:8" s="212" customFormat="1">
      <c r="A3225" s="91"/>
      <c r="B3225" s="91"/>
      <c r="C3225" s="91"/>
      <c r="D3225" s="91"/>
      <c r="E3225" s="91"/>
      <c r="G3225" s="213"/>
      <c r="H3225" s="222"/>
    </row>
    <row r="3226" spans="1:8" s="212" customFormat="1">
      <c r="A3226" s="120"/>
      <c r="B3226" s="73"/>
      <c r="C3226" s="73"/>
      <c r="D3226" s="73"/>
      <c r="E3226" s="73"/>
      <c r="G3226" s="73"/>
      <c r="H3226" s="222"/>
    </row>
    <row r="3227" spans="1:8" s="212" customFormat="1">
      <c r="A3227" s="220"/>
      <c r="B3227" s="141"/>
      <c r="C3227" s="141"/>
      <c r="D3227" s="141"/>
      <c r="E3227" s="141"/>
      <c r="F3227" s="141"/>
      <c r="G3227" s="141"/>
      <c r="H3227" s="222"/>
    </row>
    <row r="3228" spans="1:8" s="212" customFormat="1">
      <c r="A3228" s="142"/>
      <c r="B3228" s="143"/>
      <c r="C3228" s="143"/>
      <c r="D3228" s="143"/>
      <c r="E3228" s="143"/>
      <c r="F3228" s="84"/>
      <c r="G3228" s="146"/>
      <c r="H3228" s="221"/>
    </row>
    <row r="3229" spans="1:8" s="212" customFormat="1">
      <c r="A3229" s="123"/>
      <c r="B3229" s="95"/>
      <c r="C3229" s="95"/>
      <c r="D3229" s="95"/>
      <c r="E3229" s="95"/>
      <c r="G3229" s="213"/>
      <c r="H3229" s="73"/>
    </row>
    <row r="3230" spans="1:8" s="212" customFormat="1">
      <c r="A3230" s="123"/>
      <c r="B3230" s="95"/>
      <c r="C3230" s="95"/>
      <c r="D3230" s="95"/>
      <c r="E3230" s="95"/>
      <c r="G3230" s="73"/>
      <c r="H3230" s="225"/>
    </row>
    <row r="3231" spans="1:8" s="212" customFormat="1">
      <c r="B3231" s="97"/>
      <c r="C3231" s="98"/>
      <c r="D3231" s="98"/>
      <c r="E3231" s="98"/>
      <c r="G3231" s="220"/>
    </row>
    <row r="3232" spans="1:8" s="212" customFormat="1">
      <c r="B3232" s="97"/>
      <c r="C3232" s="98"/>
      <c r="D3232" s="98"/>
      <c r="E3232" s="98"/>
      <c r="F3232" s="220"/>
      <c r="G3232" s="225"/>
      <c r="H3232" s="226"/>
    </row>
    <row r="3233" spans="1:9" s="212" customFormat="1">
      <c r="A3233" s="633"/>
      <c r="B3233" s="633"/>
      <c r="C3233" s="633"/>
      <c r="D3233" s="633"/>
      <c r="E3233" s="633"/>
      <c r="F3233" s="633"/>
      <c r="G3233" s="633"/>
    </row>
    <row r="3234" spans="1:9" s="212" customFormat="1">
      <c r="H3234" s="227"/>
      <c r="I3234" s="228"/>
    </row>
    <row r="3235" spans="1:9" s="212" customFormat="1">
      <c r="A3235" s="658"/>
      <c r="B3235" s="227"/>
      <c r="C3235" s="227"/>
      <c r="D3235" s="227"/>
      <c r="E3235" s="227"/>
      <c r="F3235" s="227"/>
      <c r="G3235" s="227"/>
      <c r="H3235" s="227"/>
      <c r="I3235" s="229"/>
    </row>
    <row r="3236" spans="1:9" s="212" customFormat="1">
      <c r="A3236" s="658"/>
      <c r="B3236" s="227"/>
      <c r="C3236" s="227"/>
      <c r="D3236" s="227"/>
      <c r="E3236" s="227"/>
      <c r="F3236" s="227"/>
      <c r="G3236" s="227"/>
    </row>
    <row r="3237" spans="1:9" s="212" customFormat="1">
      <c r="A3237" s="69"/>
      <c r="B3237" s="69"/>
      <c r="C3237" s="69"/>
      <c r="D3237" s="69"/>
      <c r="E3237" s="69"/>
    </row>
    <row r="3238" spans="1:9" s="212" customFormat="1">
      <c r="A3238" s="120"/>
      <c r="B3238" s="73"/>
      <c r="C3238" s="73"/>
      <c r="D3238" s="73"/>
      <c r="E3238" s="73"/>
      <c r="F3238" s="73"/>
      <c r="G3238" s="73"/>
      <c r="H3238" s="73"/>
    </row>
    <row r="3239" spans="1:9" s="212" customFormat="1">
      <c r="A3239" s="220"/>
      <c r="B3239" s="141"/>
      <c r="C3239" s="141"/>
      <c r="D3239" s="141"/>
      <c r="E3239" s="141"/>
      <c r="F3239" s="141"/>
      <c r="G3239" s="141"/>
      <c r="H3239" s="73"/>
    </row>
    <row r="3240" spans="1:9" s="212" customFormat="1">
      <c r="A3240" s="150"/>
      <c r="B3240" s="83"/>
      <c r="C3240" s="148"/>
      <c r="D3240" s="84"/>
      <c r="E3240" s="84"/>
      <c r="F3240" s="84"/>
      <c r="G3240" s="224"/>
      <c r="H3240" s="221"/>
    </row>
    <row r="3241" spans="1:9" s="212" customFormat="1">
      <c r="A3241" s="84"/>
      <c r="B3241" s="83"/>
      <c r="C3241" s="84"/>
      <c r="D3241" s="84"/>
      <c r="E3241" s="84"/>
      <c r="G3241" s="213"/>
      <c r="H3241" s="222"/>
    </row>
    <row r="3242" spans="1:9" s="212" customFormat="1">
      <c r="A3242" s="120"/>
      <c r="B3242" s="73"/>
      <c r="C3242" s="73"/>
      <c r="D3242" s="73"/>
      <c r="E3242" s="73"/>
      <c r="G3242" s="73"/>
      <c r="H3242" s="222"/>
    </row>
    <row r="3243" spans="1:9" s="212" customFormat="1">
      <c r="A3243" s="220"/>
      <c r="B3243" s="141"/>
      <c r="C3243" s="141"/>
      <c r="D3243" s="141"/>
      <c r="E3243" s="141"/>
      <c r="F3243" s="141"/>
      <c r="G3243" s="141"/>
      <c r="H3243" s="222"/>
    </row>
    <row r="3244" spans="1:9" s="212" customFormat="1">
      <c r="A3244" s="150"/>
      <c r="B3244" s="83"/>
      <c r="C3244" s="148"/>
      <c r="D3244" s="84"/>
      <c r="E3244" s="84"/>
      <c r="F3244" s="84"/>
      <c r="G3244" s="224"/>
      <c r="H3244" s="222"/>
    </row>
    <row r="3245" spans="1:9" s="212" customFormat="1">
      <c r="A3245" s="150"/>
      <c r="B3245" s="83"/>
      <c r="C3245" s="148"/>
      <c r="D3245" s="84"/>
      <c r="E3245" s="84"/>
      <c r="F3245" s="84"/>
      <c r="G3245" s="224"/>
      <c r="H3245" s="222"/>
    </row>
    <row r="3246" spans="1:9" s="212" customFormat="1">
      <c r="A3246" s="150"/>
      <c r="B3246" s="83"/>
      <c r="C3246" s="148"/>
      <c r="D3246" s="84"/>
      <c r="E3246" s="84"/>
      <c r="F3246" s="84"/>
      <c r="G3246" s="224"/>
      <c r="H3246" s="221"/>
    </row>
    <row r="3247" spans="1:9" s="212" customFormat="1">
      <c r="A3247" s="91"/>
      <c r="B3247" s="91"/>
      <c r="C3247" s="91"/>
      <c r="D3247" s="91"/>
      <c r="E3247" s="91"/>
      <c r="G3247" s="213"/>
      <c r="H3247" s="222"/>
    </row>
    <row r="3248" spans="1:9" s="212" customFormat="1">
      <c r="A3248" s="120"/>
      <c r="B3248" s="73"/>
      <c r="C3248" s="73"/>
      <c r="D3248" s="73"/>
      <c r="E3248" s="73"/>
      <c r="G3248" s="73"/>
      <c r="H3248" s="222"/>
    </row>
    <row r="3249" spans="1:9" s="212" customFormat="1">
      <c r="A3249" s="220"/>
      <c r="B3249" s="141"/>
      <c r="C3249" s="141"/>
      <c r="D3249" s="141"/>
      <c r="E3249" s="141"/>
      <c r="F3249" s="141"/>
      <c r="G3249" s="141"/>
      <c r="H3249" s="222"/>
    </row>
    <row r="3250" spans="1:9" s="212" customFormat="1">
      <c r="A3250" s="146"/>
      <c r="B3250" s="83"/>
      <c r="C3250" s="148"/>
      <c r="D3250" s="84"/>
      <c r="E3250" s="84"/>
      <c r="F3250" s="84"/>
      <c r="G3250" s="146"/>
      <c r="H3250" s="222"/>
    </row>
    <row r="3251" spans="1:9" s="212" customFormat="1">
      <c r="A3251" s="146"/>
      <c r="B3251" s="83"/>
      <c r="C3251" s="148"/>
      <c r="D3251" s="84"/>
      <c r="E3251" s="84"/>
      <c r="F3251" s="84"/>
      <c r="G3251" s="146"/>
      <c r="H3251" s="221"/>
    </row>
    <row r="3252" spans="1:9" s="212" customFormat="1">
      <c r="A3252" s="91"/>
      <c r="B3252" s="91"/>
      <c r="C3252" s="91"/>
      <c r="D3252" s="91"/>
      <c r="E3252" s="91"/>
      <c r="G3252" s="213"/>
      <c r="H3252" s="222"/>
    </row>
    <row r="3253" spans="1:9" s="212" customFormat="1">
      <c r="A3253" s="120"/>
      <c r="B3253" s="73"/>
      <c r="C3253" s="73"/>
      <c r="D3253" s="73"/>
      <c r="E3253" s="73"/>
      <c r="G3253" s="73"/>
      <c r="H3253" s="222"/>
    </row>
    <row r="3254" spans="1:9" s="212" customFormat="1">
      <c r="A3254" s="220"/>
      <c r="B3254" s="141"/>
      <c r="C3254" s="141"/>
      <c r="D3254" s="141"/>
      <c r="E3254" s="141"/>
      <c r="F3254" s="141"/>
      <c r="G3254" s="141"/>
      <c r="H3254" s="222"/>
    </row>
    <row r="3255" spans="1:9" s="212" customFormat="1">
      <c r="A3255" s="142"/>
      <c r="B3255" s="143"/>
      <c r="C3255" s="143"/>
      <c r="D3255" s="143"/>
      <c r="E3255" s="143"/>
      <c r="F3255" s="84"/>
      <c r="G3255" s="146"/>
      <c r="H3255" s="221"/>
    </row>
    <row r="3256" spans="1:9" s="212" customFormat="1">
      <c r="A3256" s="123"/>
      <c r="B3256" s="95"/>
      <c r="C3256" s="95"/>
      <c r="D3256" s="95"/>
      <c r="E3256" s="95"/>
      <c r="G3256" s="213"/>
      <c r="H3256" s="73"/>
    </row>
    <row r="3257" spans="1:9" s="212" customFormat="1">
      <c r="A3257" s="123"/>
      <c r="B3257" s="95"/>
      <c r="C3257" s="95"/>
      <c r="D3257" s="95"/>
      <c r="E3257" s="95"/>
      <c r="G3257" s="73"/>
      <c r="H3257" s="225"/>
    </row>
    <row r="3258" spans="1:9" s="212" customFormat="1">
      <c r="B3258" s="97"/>
      <c r="C3258" s="98"/>
      <c r="D3258" s="98"/>
      <c r="E3258" s="98"/>
      <c r="G3258" s="220"/>
    </row>
    <row r="3259" spans="1:9" s="212" customFormat="1">
      <c r="B3259" s="97"/>
      <c r="C3259" s="98"/>
      <c r="D3259" s="98"/>
      <c r="E3259" s="98"/>
      <c r="F3259" s="220"/>
      <c r="G3259" s="225"/>
      <c r="H3259" s="226"/>
    </row>
    <row r="3260" spans="1:9" s="212" customFormat="1">
      <c r="A3260" s="633"/>
      <c r="B3260" s="633"/>
      <c r="C3260" s="633"/>
      <c r="D3260" s="633"/>
      <c r="E3260" s="633"/>
      <c r="F3260" s="633"/>
      <c r="G3260" s="633"/>
    </row>
    <row r="3261" spans="1:9" s="212" customFormat="1">
      <c r="H3261" s="227"/>
      <c r="I3261" s="228"/>
    </row>
    <row r="3262" spans="1:9" s="212" customFormat="1">
      <c r="A3262" s="658"/>
      <c r="B3262" s="227"/>
      <c r="C3262" s="227"/>
      <c r="D3262" s="227"/>
      <c r="E3262" s="227"/>
      <c r="F3262" s="227"/>
      <c r="G3262" s="227"/>
      <c r="H3262" s="227"/>
      <c r="I3262" s="229"/>
    </row>
    <row r="3263" spans="1:9" s="212" customFormat="1">
      <c r="A3263" s="658"/>
      <c r="B3263" s="227"/>
      <c r="C3263" s="227"/>
      <c r="D3263" s="227"/>
      <c r="E3263" s="227"/>
      <c r="F3263" s="227"/>
      <c r="G3263" s="227"/>
    </row>
    <row r="3264" spans="1:9" s="212" customFormat="1">
      <c r="A3264" s="69"/>
      <c r="B3264" s="69"/>
      <c r="C3264" s="69"/>
      <c r="D3264" s="69"/>
      <c r="E3264" s="69"/>
    </row>
    <row r="3265" spans="1:8" s="212" customFormat="1">
      <c r="A3265" s="120"/>
      <c r="B3265" s="73"/>
      <c r="C3265" s="73"/>
      <c r="D3265" s="73"/>
      <c r="E3265" s="73"/>
      <c r="F3265" s="73"/>
      <c r="G3265" s="73"/>
      <c r="H3265" s="73"/>
    </row>
    <row r="3266" spans="1:8" s="212" customFormat="1">
      <c r="A3266" s="220"/>
      <c r="B3266" s="141"/>
      <c r="C3266" s="141"/>
      <c r="D3266" s="141"/>
      <c r="E3266" s="141"/>
      <c r="F3266" s="141"/>
      <c r="G3266" s="141"/>
      <c r="H3266" s="73"/>
    </row>
    <row r="3267" spans="1:8" s="212" customFormat="1">
      <c r="A3267" s="150"/>
      <c r="B3267" s="83"/>
      <c r="C3267" s="148"/>
      <c r="D3267" s="84"/>
      <c r="E3267" s="84"/>
      <c r="F3267" s="84"/>
      <c r="G3267" s="224"/>
      <c r="H3267" s="221"/>
    </row>
    <row r="3268" spans="1:8" s="212" customFormat="1">
      <c r="A3268" s="84"/>
      <c r="B3268" s="83"/>
      <c r="C3268" s="84"/>
      <c r="D3268" s="84"/>
      <c r="E3268" s="84"/>
      <c r="G3268" s="213"/>
      <c r="H3268" s="222"/>
    </row>
    <row r="3269" spans="1:8" s="212" customFormat="1">
      <c r="A3269" s="120"/>
      <c r="B3269" s="73"/>
      <c r="C3269" s="73"/>
      <c r="D3269" s="73"/>
      <c r="E3269" s="73"/>
      <c r="G3269" s="73"/>
      <c r="H3269" s="222"/>
    </row>
    <row r="3270" spans="1:8" s="212" customFormat="1">
      <c r="A3270" s="220"/>
      <c r="B3270" s="141"/>
      <c r="C3270" s="141"/>
      <c r="D3270" s="141"/>
      <c r="E3270" s="141"/>
      <c r="F3270" s="141"/>
      <c r="G3270" s="141"/>
      <c r="H3270" s="222"/>
    </row>
    <row r="3271" spans="1:8" s="212" customFormat="1">
      <c r="A3271" s="150"/>
      <c r="B3271" s="83"/>
      <c r="C3271" s="148"/>
      <c r="D3271" s="84"/>
      <c r="E3271" s="84"/>
      <c r="F3271" s="84"/>
      <c r="G3271" s="224"/>
      <c r="H3271" s="222"/>
    </row>
    <row r="3272" spans="1:8" s="212" customFormat="1">
      <c r="A3272" s="150"/>
      <c r="B3272" s="83"/>
      <c r="C3272" s="148"/>
      <c r="D3272" s="84"/>
      <c r="E3272" s="84"/>
      <c r="F3272" s="84"/>
      <c r="G3272" s="224"/>
      <c r="H3272" s="221"/>
    </row>
    <row r="3273" spans="1:8" s="212" customFormat="1">
      <c r="A3273" s="91"/>
      <c r="B3273" s="91"/>
      <c r="C3273" s="91"/>
      <c r="D3273" s="91"/>
      <c r="E3273" s="91"/>
      <c r="G3273" s="213"/>
      <c r="H3273" s="222"/>
    </row>
    <row r="3274" spans="1:8" s="212" customFormat="1">
      <c r="A3274" s="120"/>
      <c r="B3274" s="73"/>
      <c r="C3274" s="73"/>
      <c r="D3274" s="73"/>
      <c r="E3274" s="73"/>
      <c r="G3274" s="73"/>
      <c r="H3274" s="222"/>
    </row>
    <row r="3275" spans="1:8" s="212" customFormat="1">
      <c r="A3275" s="220"/>
      <c r="B3275" s="141"/>
      <c r="C3275" s="141"/>
      <c r="D3275" s="141"/>
      <c r="E3275" s="141"/>
      <c r="F3275" s="141"/>
      <c r="G3275" s="141"/>
      <c r="H3275" s="222"/>
    </row>
    <row r="3276" spans="1:8" s="212" customFormat="1">
      <c r="A3276" s="146"/>
      <c r="B3276" s="83"/>
      <c r="C3276" s="148"/>
      <c r="D3276" s="84"/>
      <c r="E3276" s="84"/>
      <c r="F3276" s="84"/>
      <c r="G3276" s="146"/>
      <c r="H3276" s="222"/>
    </row>
    <row r="3277" spans="1:8" s="212" customFormat="1">
      <c r="A3277" s="146"/>
      <c r="B3277" s="83"/>
      <c r="C3277" s="148"/>
      <c r="D3277" s="84"/>
      <c r="E3277" s="84"/>
      <c r="F3277" s="84"/>
      <c r="G3277" s="146"/>
      <c r="H3277" s="221"/>
    </row>
    <row r="3278" spans="1:8" s="212" customFormat="1">
      <c r="A3278" s="91"/>
      <c r="B3278" s="91"/>
      <c r="C3278" s="91"/>
      <c r="D3278" s="91"/>
      <c r="E3278" s="91"/>
      <c r="G3278" s="213"/>
      <c r="H3278" s="222"/>
    </row>
    <row r="3279" spans="1:8" s="212" customFormat="1">
      <c r="A3279" s="120"/>
      <c r="B3279" s="73"/>
      <c r="C3279" s="73"/>
      <c r="D3279" s="73"/>
      <c r="E3279" s="73"/>
      <c r="G3279" s="73"/>
      <c r="H3279" s="222"/>
    </row>
    <row r="3280" spans="1:8" s="212" customFormat="1">
      <c r="A3280" s="220"/>
      <c r="B3280" s="141"/>
      <c r="C3280" s="141"/>
      <c r="D3280" s="141"/>
      <c r="E3280" s="141"/>
      <c r="F3280" s="141"/>
      <c r="G3280" s="141"/>
      <c r="H3280" s="222"/>
    </row>
    <row r="3281" spans="1:9" s="212" customFormat="1">
      <c r="A3281" s="142"/>
      <c r="B3281" s="143"/>
      <c r="C3281" s="143"/>
      <c r="D3281" s="143"/>
      <c r="E3281" s="143"/>
      <c r="F3281" s="84"/>
      <c r="G3281" s="146"/>
      <c r="H3281" s="221"/>
    </row>
    <row r="3282" spans="1:9" s="212" customFormat="1">
      <c r="A3282" s="123"/>
      <c r="B3282" s="95"/>
      <c r="C3282" s="95"/>
      <c r="D3282" s="95"/>
      <c r="E3282" s="95"/>
      <c r="G3282" s="213"/>
      <c r="H3282" s="73"/>
    </row>
    <row r="3283" spans="1:9" s="212" customFormat="1">
      <c r="A3283" s="123"/>
      <c r="B3283" s="95"/>
      <c r="C3283" s="95"/>
      <c r="D3283" s="95"/>
      <c r="E3283" s="95"/>
      <c r="G3283" s="73"/>
      <c r="H3283" s="225"/>
    </row>
    <row r="3284" spans="1:9" s="212" customFormat="1">
      <c r="B3284" s="97"/>
      <c r="C3284" s="98"/>
      <c r="D3284" s="98"/>
      <c r="E3284" s="98"/>
      <c r="G3284" s="220"/>
    </row>
    <row r="3285" spans="1:9" s="212" customFormat="1">
      <c r="B3285" s="97"/>
      <c r="C3285" s="98"/>
      <c r="D3285" s="98"/>
      <c r="E3285" s="98"/>
      <c r="F3285" s="220"/>
      <c r="G3285" s="225"/>
      <c r="H3285" s="226"/>
    </row>
    <row r="3286" spans="1:9" s="212" customFormat="1">
      <c r="A3286" s="633"/>
      <c r="B3286" s="633"/>
      <c r="C3286" s="633"/>
      <c r="D3286" s="633"/>
      <c r="E3286" s="633"/>
      <c r="F3286" s="633"/>
      <c r="G3286" s="633"/>
    </row>
    <row r="3287" spans="1:9" s="212" customFormat="1">
      <c r="H3287" s="227"/>
      <c r="I3287" s="228"/>
    </row>
    <row r="3288" spans="1:9" s="212" customFormat="1">
      <c r="A3288" s="658"/>
      <c r="B3288" s="227"/>
      <c r="C3288" s="227"/>
      <c r="D3288" s="227"/>
      <c r="E3288" s="227"/>
      <c r="F3288" s="227"/>
      <c r="G3288" s="227"/>
      <c r="H3288" s="227"/>
      <c r="I3288" s="229"/>
    </row>
    <row r="3289" spans="1:9" s="212" customFormat="1">
      <c r="A3289" s="658"/>
      <c r="B3289" s="227"/>
      <c r="C3289" s="227"/>
      <c r="D3289" s="227"/>
      <c r="E3289" s="227"/>
      <c r="F3289" s="227"/>
      <c r="G3289" s="227"/>
    </row>
    <row r="3290" spans="1:9" s="212" customFormat="1">
      <c r="A3290" s="69"/>
      <c r="B3290" s="69"/>
      <c r="C3290" s="69"/>
      <c r="D3290" s="69"/>
      <c r="E3290" s="69"/>
    </row>
    <row r="3291" spans="1:9" s="212" customFormat="1">
      <c r="A3291" s="120"/>
      <c r="B3291" s="73"/>
      <c r="C3291" s="73"/>
      <c r="D3291" s="73"/>
      <c r="E3291" s="73"/>
      <c r="F3291" s="73"/>
      <c r="G3291" s="73"/>
      <c r="H3291" s="73"/>
    </row>
    <row r="3292" spans="1:9" s="212" customFormat="1">
      <c r="A3292" s="220"/>
      <c r="B3292" s="141"/>
      <c r="C3292" s="141"/>
      <c r="D3292" s="141"/>
      <c r="E3292" s="141"/>
      <c r="F3292" s="141"/>
      <c r="G3292" s="141"/>
      <c r="H3292" s="73"/>
    </row>
    <row r="3293" spans="1:9" s="212" customFormat="1">
      <c r="A3293" s="142"/>
      <c r="B3293" s="143"/>
      <c r="C3293" s="143"/>
      <c r="D3293" s="143"/>
      <c r="E3293" s="143"/>
      <c r="F3293" s="84"/>
      <c r="G3293" s="146"/>
      <c r="H3293" s="221"/>
    </row>
    <row r="3294" spans="1:9" s="212" customFormat="1">
      <c r="A3294" s="84"/>
      <c r="B3294" s="83"/>
      <c r="C3294" s="84"/>
      <c r="D3294" s="84"/>
      <c r="E3294" s="84"/>
      <c r="G3294" s="213"/>
      <c r="H3294" s="222"/>
    </row>
    <row r="3295" spans="1:9" s="212" customFormat="1">
      <c r="A3295" s="120"/>
      <c r="B3295" s="73"/>
      <c r="C3295" s="73"/>
      <c r="D3295" s="73"/>
      <c r="E3295" s="73"/>
      <c r="G3295" s="73"/>
      <c r="H3295" s="222"/>
    </row>
    <row r="3296" spans="1:9" s="212" customFormat="1">
      <c r="A3296" s="220"/>
      <c r="B3296" s="141"/>
      <c r="C3296" s="141"/>
      <c r="D3296" s="141"/>
      <c r="E3296" s="141"/>
      <c r="F3296" s="141"/>
      <c r="G3296" s="141"/>
      <c r="H3296" s="222"/>
    </row>
    <row r="3297" spans="1:9" s="212" customFormat="1">
      <c r="A3297" s="150"/>
      <c r="B3297" s="83"/>
      <c r="C3297" s="148"/>
      <c r="D3297" s="84"/>
      <c r="E3297" s="84"/>
      <c r="F3297" s="84"/>
      <c r="G3297" s="224"/>
      <c r="H3297" s="221"/>
    </row>
    <row r="3298" spans="1:9" s="212" customFormat="1">
      <c r="A3298" s="91"/>
      <c r="B3298" s="91"/>
      <c r="C3298" s="91"/>
      <c r="D3298" s="91"/>
      <c r="E3298" s="91"/>
      <c r="G3298" s="213"/>
      <c r="H3298" s="222"/>
    </row>
    <row r="3299" spans="1:9" s="212" customFormat="1">
      <c r="A3299" s="120"/>
      <c r="B3299" s="73"/>
      <c r="C3299" s="73"/>
      <c r="D3299" s="73"/>
      <c r="E3299" s="73"/>
      <c r="G3299" s="73"/>
      <c r="H3299" s="222"/>
    </row>
    <row r="3300" spans="1:9" s="212" customFormat="1">
      <c r="A3300" s="220"/>
      <c r="B3300" s="141"/>
      <c r="C3300" s="141"/>
      <c r="D3300" s="141"/>
      <c r="E3300" s="141"/>
      <c r="F3300" s="141"/>
      <c r="G3300" s="141"/>
      <c r="H3300" s="222"/>
    </row>
    <row r="3301" spans="1:9" s="212" customFormat="1">
      <c r="A3301" s="146"/>
      <c r="B3301" s="83"/>
      <c r="C3301" s="148"/>
      <c r="D3301" s="84"/>
      <c r="E3301" s="84"/>
      <c r="F3301" s="84"/>
      <c r="G3301" s="146"/>
      <c r="H3301" s="221"/>
    </row>
    <row r="3302" spans="1:9" s="212" customFormat="1">
      <c r="A3302" s="91"/>
      <c r="B3302" s="91"/>
      <c r="C3302" s="91"/>
      <c r="D3302" s="91"/>
      <c r="E3302" s="91"/>
      <c r="G3302" s="213"/>
      <c r="H3302" s="222"/>
    </row>
    <row r="3303" spans="1:9" s="212" customFormat="1">
      <c r="A3303" s="120"/>
      <c r="B3303" s="73"/>
      <c r="C3303" s="73"/>
      <c r="D3303" s="73"/>
      <c r="E3303" s="73"/>
      <c r="G3303" s="73"/>
      <c r="H3303" s="222"/>
    </row>
    <row r="3304" spans="1:9" s="212" customFormat="1">
      <c r="A3304" s="220"/>
      <c r="B3304" s="141"/>
      <c r="C3304" s="141"/>
      <c r="D3304" s="141"/>
      <c r="E3304" s="141"/>
      <c r="F3304" s="141"/>
      <c r="G3304" s="141"/>
      <c r="H3304" s="222"/>
    </row>
    <row r="3305" spans="1:9" s="212" customFormat="1">
      <c r="A3305" s="142"/>
      <c r="B3305" s="143"/>
      <c r="C3305" s="143"/>
      <c r="D3305" s="143"/>
      <c r="E3305" s="143"/>
      <c r="F3305" s="84"/>
      <c r="G3305" s="146"/>
      <c r="H3305" s="221"/>
    </row>
    <row r="3306" spans="1:9" s="212" customFormat="1">
      <c r="A3306" s="123"/>
      <c r="B3306" s="95"/>
      <c r="C3306" s="95"/>
      <c r="D3306" s="95"/>
      <c r="E3306" s="95"/>
      <c r="G3306" s="213"/>
      <c r="H3306" s="73"/>
    </row>
    <row r="3307" spans="1:9" s="212" customFormat="1">
      <c r="A3307" s="123"/>
      <c r="B3307" s="95"/>
      <c r="C3307" s="95"/>
      <c r="D3307" s="95"/>
      <c r="E3307" s="95"/>
      <c r="G3307" s="73"/>
      <c r="H3307" s="225"/>
    </row>
    <row r="3308" spans="1:9" s="212" customFormat="1">
      <c r="B3308" s="97"/>
      <c r="C3308" s="98"/>
      <c r="D3308" s="98"/>
      <c r="E3308" s="98"/>
      <c r="G3308" s="220"/>
    </row>
    <row r="3309" spans="1:9" s="212" customFormat="1">
      <c r="B3309" s="97"/>
      <c r="C3309" s="98"/>
      <c r="D3309" s="98"/>
      <c r="E3309" s="98"/>
      <c r="F3309" s="220"/>
      <c r="G3309" s="225"/>
      <c r="H3309" s="226"/>
    </row>
    <row r="3310" spans="1:9" s="212" customFormat="1">
      <c r="A3310" s="633"/>
      <c r="B3310" s="633"/>
      <c r="C3310" s="633"/>
      <c r="D3310" s="633"/>
      <c r="E3310" s="633"/>
      <c r="F3310" s="633"/>
      <c r="G3310" s="633"/>
    </row>
    <row r="3311" spans="1:9" s="212" customFormat="1">
      <c r="H3311" s="227"/>
      <c r="I3311" s="228"/>
    </row>
    <row r="3312" spans="1:9" s="212" customFormat="1">
      <c r="A3312" s="658"/>
      <c r="B3312" s="227"/>
      <c r="C3312" s="227"/>
      <c r="D3312" s="227"/>
      <c r="E3312" s="227"/>
      <c r="F3312" s="227"/>
      <c r="G3312" s="227"/>
      <c r="H3312" s="227"/>
      <c r="I3312" s="229"/>
    </row>
    <row r="3313" spans="1:8" s="212" customFormat="1">
      <c r="A3313" s="658"/>
      <c r="B3313" s="227"/>
      <c r="C3313" s="227"/>
      <c r="D3313" s="227"/>
      <c r="E3313" s="227"/>
      <c r="F3313" s="227"/>
      <c r="G3313" s="227"/>
    </row>
    <row r="3314" spans="1:8" s="212" customFormat="1">
      <c r="A3314" s="69"/>
      <c r="B3314" s="69"/>
      <c r="C3314" s="69"/>
      <c r="D3314" s="69"/>
      <c r="E3314" s="69"/>
    </row>
    <row r="3315" spans="1:8" s="212" customFormat="1">
      <c r="A3315" s="120"/>
      <c r="B3315" s="73"/>
      <c r="C3315" s="73"/>
      <c r="D3315" s="73"/>
      <c r="E3315" s="73"/>
      <c r="F3315" s="73"/>
      <c r="G3315" s="73"/>
      <c r="H3315" s="73"/>
    </row>
    <row r="3316" spans="1:8" s="212" customFormat="1">
      <c r="A3316" s="220"/>
      <c r="B3316" s="141"/>
      <c r="C3316" s="141"/>
      <c r="D3316" s="141"/>
      <c r="E3316" s="141"/>
      <c r="F3316" s="141"/>
      <c r="G3316" s="141"/>
      <c r="H3316" s="73"/>
    </row>
    <row r="3317" spans="1:8" s="212" customFormat="1">
      <c r="A3317" s="150"/>
      <c r="B3317" s="83"/>
      <c r="C3317" s="148"/>
      <c r="D3317" s="84"/>
      <c r="E3317" s="84"/>
      <c r="F3317" s="84"/>
      <c r="G3317" s="224"/>
      <c r="H3317" s="73"/>
    </row>
    <row r="3318" spans="1:8" s="212" customFormat="1">
      <c r="A3318" s="150"/>
      <c r="B3318" s="83"/>
      <c r="C3318" s="148"/>
      <c r="D3318" s="84"/>
      <c r="E3318" s="84"/>
      <c r="F3318" s="84"/>
      <c r="G3318" s="224"/>
      <c r="H3318" s="73"/>
    </row>
    <row r="3319" spans="1:8" s="212" customFormat="1">
      <c r="A3319" s="150"/>
      <c r="B3319" s="83"/>
      <c r="C3319" s="148"/>
      <c r="D3319" s="84"/>
      <c r="E3319" s="84"/>
      <c r="F3319" s="84"/>
      <c r="G3319" s="224"/>
      <c r="H3319" s="73"/>
    </row>
    <row r="3320" spans="1:8" s="212" customFormat="1">
      <c r="A3320" s="150"/>
      <c r="B3320" s="83"/>
      <c r="C3320" s="148"/>
      <c r="D3320" s="84"/>
      <c r="E3320" s="84"/>
      <c r="F3320" s="84"/>
      <c r="G3320" s="224"/>
      <c r="H3320" s="221"/>
    </row>
    <row r="3321" spans="1:8" s="212" customFormat="1">
      <c r="A3321" s="84"/>
      <c r="B3321" s="83"/>
      <c r="C3321" s="84"/>
      <c r="D3321" s="84"/>
      <c r="E3321" s="84"/>
      <c r="G3321" s="213"/>
      <c r="H3321" s="222"/>
    </row>
    <row r="3322" spans="1:8" s="212" customFormat="1">
      <c r="A3322" s="120"/>
      <c r="B3322" s="73"/>
      <c r="C3322" s="73"/>
      <c r="D3322" s="73"/>
      <c r="E3322" s="73"/>
      <c r="G3322" s="73"/>
      <c r="H3322" s="222"/>
    </row>
    <row r="3323" spans="1:8" s="212" customFormat="1">
      <c r="A3323" s="220"/>
      <c r="B3323" s="141"/>
      <c r="C3323" s="141"/>
      <c r="D3323" s="141"/>
      <c r="E3323" s="141"/>
      <c r="F3323" s="141"/>
      <c r="G3323" s="141"/>
      <c r="H3323" s="222"/>
    </row>
    <row r="3324" spans="1:8" s="212" customFormat="1">
      <c r="A3324" s="150"/>
      <c r="B3324" s="83"/>
      <c r="C3324" s="148"/>
      <c r="D3324" s="84"/>
      <c r="E3324" s="84"/>
      <c r="F3324" s="84"/>
      <c r="G3324" s="224"/>
      <c r="H3324" s="221"/>
    </row>
    <row r="3325" spans="1:8" s="212" customFormat="1">
      <c r="A3325" s="91"/>
      <c r="B3325" s="91"/>
      <c r="C3325" s="91"/>
      <c r="D3325" s="91"/>
      <c r="E3325" s="91"/>
      <c r="G3325" s="213"/>
      <c r="H3325" s="222"/>
    </row>
    <row r="3326" spans="1:8" s="212" customFormat="1" ht="17.25" customHeight="1">
      <c r="A3326" s="120"/>
      <c r="B3326" s="73"/>
      <c r="C3326" s="73"/>
      <c r="D3326" s="73"/>
      <c r="E3326" s="73"/>
      <c r="G3326" s="73"/>
      <c r="H3326" s="222"/>
    </row>
    <row r="3327" spans="1:8" s="212" customFormat="1">
      <c r="A3327" s="220"/>
      <c r="B3327" s="141"/>
      <c r="C3327" s="141"/>
      <c r="D3327" s="141"/>
      <c r="E3327" s="141"/>
      <c r="F3327" s="141"/>
      <c r="G3327" s="141"/>
      <c r="H3327" s="222"/>
    </row>
    <row r="3328" spans="1:8" s="212" customFormat="1">
      <c r="A3328" s="146"/>
      <c r="B3328" s="83"/>
      <c r="C3328" s="148"/>
      <c r="D3328" s="84"/>
      <c r="E3328" s="84"/>
      <c r="F3328" s="84"/>
      <c r="G3328" s="146"/>
      <c r="H3328" s="221"/>
    </row>
    <row r="3329" spans="1:9" s="212" customFormat="1">
      <c r="A3329" s="91"/>
      <c r="B3329" s="91"/>
      <c r="C3329" s="91"/>
      <c r="D3329" s="91"/>
      <c r="E3329" s="91"/>
      <c r="G3329" s="213"/>
      <c r="H3329" s="222"/>
    </row>
    <row r="3330" spans="1:9" s="212" customFormat="1">
      <c r="A3330" s="120"/>
      <c r="B3330" s="73"/>
      <c r="C3330" s="73"/>
      <c r="D3330" s="73"/>
      <c r="E3330" s="73"/>
      <c r="G3330" s="73"/>
      <c r="H3330" s="222"/>
    </row>
    <row r="3331" spans="1:9" s="212" customFormat="1">
      <c r="A3331" s="220"/>
      <c r="B3331" s="141"/>
      <c r="C3331" s="141"/>
      <c r="D3331" s="141"/>
      <c r="E3331" s="141"/>
      <c r="F3331" s="141"/>
      <c r="G3331" s="141"/>
      <c r="H3331" s="222"/>
    </row>
    <row r="3332" spans="1:9" s="212" customFormat="1">
      <c r="A3332" s="142"/>
      <c r="B3332" s="143"/>
      <c r="C3332" s="143"/>
      <c r="D3332" s="143"/>
      <c r="E3332" s="143"/>
      <c r="F3332" s="84"/>
      <c r="G3332" s="146"/>
      <c r="H3332" s="221"/>
    </row>
    <row r="3333" spans="1:9" s="212" customFormat="1">
      <c r="A3333" s="123"/>
      <c r="B3333" s="95"/>
      <c r="C3333" s="95"/>
      <c r="D3333" s="95"/>
      <c r="E3333" s="95"/>
      <c r="G3333" s="213"/>
      <c r="H3333" s="73"/>
    </row>
    <row r="3334" spans="1:9" s="212" customFormat="1">
      <c r="A3334" s="123"/>
      <c r="B3334" s="95"/>
      <c r="C3334" s="95"/>
      <c r="D3334" s="95"/>
      <c r="E3334" s="95"/>
      <c r="G3334" s="73"/>
      <c r="H3334" s="225"/>
    </row>
    <row r="3335" spans="1:9" s="212" customFormat="1">
      <c r="B3335" s="97"/>
      <c r="C3335" s="98"/>
      <c r="D3335" s="98"/>
      <c r="E3335" s="98"/>
      <c r="G3335" s="220"/>
    </row>
    <row r="3336" spans="1:9" s="212" customFormat="1">
      <c r="B3336" s="97"/>
      <c r="C3336" s="98"/>
      <c r="D3336" s="98"/>
      <c r="E3336" s="98"/>
      <c r="F3336" s="220"/>
      <c r="G3336" s="225"/>
      <c r="H3336" s="226"/>
    </row>
    <row r="3337" spans="1:9" s="212" customFormat="1">
      <c r="A3337" s="633"/>
      <c r="B3337" s="633"/>
      <c r="C3337" s="633"/>
      <c r="D3337" s="633"/>
      <c r="E3337" s="633"/>
      <c r="F3337" s="633"/>
      <c r="G3337" s="633"/>
    </row>
    <row r="3338" spans="1:9" s="212" customFormat="1">
      <c r="H3338" s="227"/>
      <c r="I3338" s="228"/>
    </row>
    <row r="3339" spans="1:9" s="212" customFormat="1">
      <c r="A3339" s="658"/>
      <c r="B3339" s="227"/>
      <c r="C3339" s="227"/>
      <c r="D3339" s="227"/>
      <c r="E3339" s="227"/>
      <c r="F3339" s="227"/>
      <c r="G3339" s="227"/>
      <c r="H3339" s="227"/>
      <c r="I3339" s="229"/>
    </row>
    <row r="3340" spans="1:9" s="212" customFormat="1">
      <c r="A3340" s="658"/>
      <c r="B3340" s="227"/>
      <c r="C3340" s="227"/>
      <c r="D3340" s="227"/>
      <c r="E3340" s="227"/>
      <c r="F3340" s="227"/>
      <c r="G3340" s="227"/>
    </row>
    <row r="3341" spans="1:9" s="212" customFormat="1">
      <c r="A3341" s="69"/>
      <c r="B3341" s="69"/>
      <c r="C3341" s="69"/>
      <c r="D3341" s="69"/>
      <c r="E3341" s="69"/>
    </row>
    <row r="3342" spans="1:9" s="212" customFormat="1">
      <c r="A3342" s="120"/>
      <c r="B3342" s="73"/>
      <c r="C3342" s="73"/>
      <c r="D3342" s="73"/>
      <c r="E3342" s="73"/>
      <c r="F3342" s="73"/>
      <c r="G3342" s="73"/>
      <c r="H3342" s="73"/>
    </row>
    <row r="3343" spans="1:9" s="212" customFormat="1">
      <c r="A3343" s="220"/>
      <c r="B3343" s="141"/>
      <c r="C3343" s="141"/>
      <c r="D3343" s="141"/>
      <c r="E3343" s="141"/>
      <c r="F3343" s="141"/>
      <c r="G3343" s="141"/>
      <c r="H3343" s="73"/>
    </row>
    <row r="3344" spans="1:9" s="212" customFormat="1">
      <c r="A3344" s="150"/>
      <c r="B3344" s="83"/>
      <c r="C3344" s="148"/>
      <c r="D3344" s="84"/>
      <c r="E3344" s="84"/>
      <c r="F3344" s="84"/>
      <c r="G3344" s="224"/>
      <c r="H3344" s="73"/>
    </row>
    <row r="3345" spans="1:8" s="212" customFormat="1">
      <c r="A3345" s="150"/>
      <c r="B3345" s="83"/>
      <c r="C3345" s="148"/>
      <c r="D3345" s="84"/>
      <c r="E3345" s="84"/>
      <c r="F3345" s="84"/>
      <c r="G3345" s="224"/>
      <c r="H3345" s="73"/>
    </row>
    <row r="3346" spans="1:8" s="212" customFormat="1">
      <c r="A3346" s="150"/>
      <c r="B3346" s="83"/>
      <c r="C3346" s="148"/>
      <c r="D3346" s="84"/>
      <c r="E3346" s="84"/>
      <c r="F3346" s="84"/>
      <c r="G3346" s="224"/>
      <c r="H3346" s="73"/>
    </row>
    <row r="3347" spans="1:8" s="212" customFormat="1">
      <c r="A3347" s="150"/>
      <c r="B3347" s="83"/>
      <c r="C3347" s="148"/>
      <c r="D3347" s="84"/>
      <c r="E3347" s="84"/>
      <c r="F3347" s="84"/>
      <c r="G3347" s="224"/>
      <c r="H3347" s="221"/>
    </row>
    <row r="3348" spans="1:8" s="212" customFormat="1">
      <c r="A3348" s="84"/>
      <c r="B3348" s="83"/>
      <c r="C3348" s="84"/>
      <c r="D3348" s="84"/>
      <c r="E3348" s="84"/>
      <c r="G3348" s="213"/>
      <c r="H3348" s="222"/>
    </row>
    <row r="3349" spans="1:8" s="212" customFormat="1">
      <c r="A3349" s="120"/>
      <c r="B3349" s="73"/>
      <c r="C3349" s="73"/>
      <c r="D3349" s="73"/>
      <c r="E3349" s="73"/>
      <c r="G3349" s="73"/>
      <c r="H3349" s="222"/>
    </row>
    <row r="3350" spans="1:8" s="212" customFormat="1">
      <c r="A3350" s="220"/>
      <c r="B3350" s="141"/>
      <c r="C3350" s="141"/>
      <c r="D3350" s="141"/>
      <c r="E3350" s="141"/>
      <c r="F3350" s="141"/>
      <c r="G3350" s="141"/>
      <c r="H3350" s="222"/>
    </row>
    <row r="3351" spans="1:8" s="212" customFormat="1">
      <c r="A3351" s="150"/>
      <c r="B3351" s="83"/>
      <c r="C3351" s="148"/>
      <c r="D3351" s="84"/>
      <c r="E3351" s="84"/>
      <c r="F3351" s="84"/>
      <c r="G3351" s="224"/>
      <c r="H3351" s="221"/>
    </row>
    <row r="3352" spans="1:8" s="212" customFormat="1">
      <c r="A3352" s="91"/>
      <c r="B3352" s="91"/>
      <c r="C3352" s="91"/>
      <c r="D3352" s="91"/>
      <c r="E3352" s="91"/>
      <c r="G3352" s="213"/>
      <c r="H3352" s="222"/>
    </row>
    <row r="3353" spans="1:8" s="212" customFormat="1">
      <c r="A3353" s="120"/>
      <c r="B3353" s="73"/>
      <c r="C3353" s="73"/>
      <c r="D3353" s="73"/>
      <c r="E3353" s="73"/>
      <c r="G3353" s="73"/>
      <c r="H3353" s="222"/>
    </row>
    <row r="3354" spans="1:8" s="212" customFormat="1">
      <c r="A3354" s="220"/>
      <c r="B3354" s="141"/>
      <c r="C3354" s="141"/>
      <c r="D3354" s="141"/>
      <c r="E3354" s="141"/>
      <c r="F3354" s="141"/>
      <c r="G3354" s="141"/>
      <c r="H3354" s="222"/>
    </row>
    <row r="3355" spans="1:8" s="212" customFormat="1">
      <c r="A3355" s="146"/>
      <c r="B3355" s="83"/>
      <c r="C3355" s="148"/>
      <c r="D3355" s="84"/>
      <c r="E3355" s="84"/>
      <c r="F3355" s="84"/>
      <c r="G3355" s="146"/>
      <c r="H3355" s="221"/>
    </row>
    <row r="3356" spans="1:8" s="212" customFormat="1">
      <c r="A3356" s="91"/>
      <c r="B3356" s="91"/>
      <c r="C3356" s="91"/>
      <c r="D3356" s="91"/>
      <c r="E3356" s="91"/>
      <c r="G3356" s="213"/>
      <c r="H3356" s="222"/>
    </row>
    <row r="3357" spans="1:8" s="212" customFormat="1">
      <c r="A3357" s="120"/>
      <c r="B3357" s="73"/>
      <c r="C3357" s="73"/>
      <c r="D3357" s="73"/>
      <c r="E3357" s="73"/>
      <c r="G3357" s="73"/>
      <c r="H3357" s="222"/>
    </row>
    <row r="3358" spans="1:8" s="212" customFormat="1">
      <c r="A3358" s="220"/>
      <c r="B3358" s="141"/>
      <c r="C3358" s="141"/>
      <c r="D3358" s="141"/>
      <c r="E3358" s="141"/>
      <c r="F3358" s="141"/>
      <c r="G3358" s="141"/>
      <c r="H3358" s="222"/>
    </row>
    <row r="3359" spans="1:8" s="212" customFormat="1">
      <c r="A3359" s="142"/>
      <c r="B3359" s="143"/>
      <c r="C3359" s="143"/>
      <c r="D3359" s="143"/>
      <c r="E3359" s="143"/>
      <c r="F3359" s="84"/>
      <c r="G3359" s="146"/>
      <c r="H3359" s="221"/>
    </row>
    <row r="3360" spans="1:8" s="212" customFormat="1">
      <c r="A3360" s="123"/>
      <c r="B3360" s="95"/>
      <c r="C3360" s="95"/>
      <c r="D3360" s="95"/>
      <c r="E3360" s="95"/>
      <c r="G3360" s="213"/>
      <c r="H3360" s="73"/>
    </row>
    <row r="3361" spans="1:9" s="212" customFormat="1">
      <c r="A3361" s="123"/>
      <c r="B3361" s="95"/>
      <c r="C3361" s="95"/>
      <c r="D3361" s="95"/>
      <c r="E3361" s="95"/>
      <c r="G3361" s="73"/>
      <c r="H3361" s="225"/>
    </row>
    <row r="3362" spans="1:9" s="212" customFormat="1">
      <c r="B3362" s="97"/>
      <c r="C3362" s="98"/>
      <c r="D3362" s="98"/>
      <c r="E3362" s="98"/>
      <c r="G3362" s="220"/>
    </row>
    <row r="3363" spans="1:9" s="212" customFormat="1">
      <c r="B3363" s="97"/>
      <c r="C3363" s="98"/>
      <c r="D3363" s="98"/>
      <c r="E3363" s="98"/>
      <c r="F3363" s="220"/>
      <c r="G3363" s="225"/>
      <c r="H3363" s="226"/>
    </row>
    <row r="3364" spans="1:9" s="212" customFormat="1">
      <c r="A3364" s="633"/>
      <c r="B3364" s="633"/>
      <c r="C3364" s="633"/>
      <c r="D3364" s="633"/>
      <c r="E3364" s="633"/>
      <c r="F3364" s="633"/>
      <c r="G3364" s="633"/>
    </row>
    <row r="3365" spans="1:9" s="212" customFormat="1">
      <c r="H3365" s="227"/>
      <c r="I3365" s="228"/>
    </row>
    <row r="3366" spans="1:9" s="212" customFormat="1">
      <c r="A3366" s="658"/>
      <c r="B3366" s="227"/>
      <c r="C3366" s="227"/>
      <c r="D3366" s="227"/>
      <c r="E3366" s="227"/>
      <c r="F3366" s="227"/>
      <c r="G3366" s="227"/>
      <c r="H3366" s="227"/>
      <c r="I3366" s="229"/>
    </row>
    <row r="3367" spans="1:9" s="212" customFormat="1">
      <c r="A3367" s="658"/>
      <c r="B3367" s="227"/>
      <c r="C3367" s="227"/>
      <c r="D3367" s="227"/>
      <c r="E3367" s="227"/>
      <c r="F3367" s="227"/>
      <c r="G3367" s="227"/>
    </row>
    <row r="3368" spans="1:9" s="212" customFormat="1">
      <c r="A3368" s="69"/>
      <c r="B3368" s="69"/>
      <c r="C3368" s="69"/>
      <c r="D3368" s="69"/>
      <c r="E3368" s="69"/>
    </row>
    <row r="3369" spans="1:9" s="212" customFormat="1">
      <c r="A3369" s="120"/>
      <c r="B3369" s="73"/>
      <c r="C3369" s="73"/>
      <c r="D3369" s="73"/>
      <c r="E3369" s="73"/>
      <c r="F3369" s="73"/>
      <c r="G3369" s="73"/>
      <c r="H3369" s="73"/>
    </row>
    <row r="3370" spans="1:9" s="212" customFormat="1">
      <c r="A3370" s="220"/>
      <c r="B3370" s="141"/>
      <c r="C3370" s="141"/>
      <c r="D3370" s="141"/>
      <c r="E3370" s="141"/>
      <c r="F3370" s="141"/>
      <c r="G3370" s="141"/>
      <c r="H3370" s="73"/>
    </row>
    <row r="3371" spans="1:9" s="212" customFormat="1">
      <c r="A3371" s="150"/>
      <c r="B3371" s="83"/>
      <c r="C3371" s="148"/>
      <c r="D3371" s="84"/>
      <c r="E3371" s="84"/>
      <c r="F3371" s="84"/>
      <c r="G3371" s="224"/>
      <c r="H3371" s="73"/>
    </row>
    <row r="3372" spans="1:9" s="212" customFormat="1">
      <c r="A3372" s="150"/>
      <c r="B3372" s="83"/>
      <c r="C3372" s="148"/>
      <c r="D3372" s="84"/>
      <c r="E3372" s="84"/>
      <c r="F3372" s="84"/>
      <c r="G3372" s="224"/>
      <c r="H3372" s="221"/>
    </row>
    <row r="3373" spans="1:9" s="212" customFormat="1">
      <c r="A3373" s="84"/>
      <c r="B3373" s="83"/>
      <c r="C3373" s="84"/>
      <c r="D3373" s="84"/>
      <c r="E3373" s="84"/>
      <c r="G3373" s="213"/>
      <c r="H3373" s="222"/>
    </row>
    <row r="3374" spans="1:9" s="212" customFormat="1">
      <c r="A3374" s="120"/>
      <c r="B3374" s="73"/>
      <c r="C3374" s="73"/>
      <c r="D3374" s="73"/>
      <c r="E3374" s="73"/>
      <c r="G3374" s="73"/>
      <c r="H3374" s="222"/>
    </row>
    <row r="3375" spans="1:9" s="212" customFormat="1">
      <c r="A3375" s="220"/>
      <c r="B3375" s="141"/>
      <c r="C3375" s="141"/>
      <c r="D3375" s="141"/>
      <c r="E3375" s="141"/>
      <c r="F3375" s="141"/>
      <c r="G3375" s="141"/>
      <c r="H3375" s="222"/>
    </row>
    <row r="3376" spans="1:9" s="212" customFormat="1">
      <c r="A3376" s="150"/>
      <c r="B3376" s="83"/>
      <c r="C3376" s="148"/>
      <c r="D3376" s="84"/>
      <c r="E3376" s="84"/>
      <c r="F3376" s="84"/>
      <c r="G3376" s="224"/>
      <c r="H3376" s="221"/>
    </row>
    <row r="3377" spans="1:9" s="212" customFormat="1">
      <c r="A3377" s="91"/>
      <c r="B3377" s="91"/>
      <c r="C3377" s="91"/>
      <c r="D3377" s="91"/>
      <c r="E3377" s="91"/>
      <c r="G3377" s="213"/>
      <c r="H3377" s="222"/>
    </row>
    <row r="3378" spans="1:9" s="212" customFormat="1">
      <c r="A3378" s="120"/>
      <c r="B3378" s="73"/>
      <c r="C3378" s="73"/>
      <c r="D3378" s="73"/>
      <c r="E3378" s="73"/>
      <c r="G3378" s="73"/>
      <c r="H3378" s="222"/>
    </row>
    <row r="3379" spans="1:9" s="212" customFormat="1">
      <c r="A3379" s="220"/>
      <c r="B3379" s="141"/>
      <c r="C3379" s="141"/>
      <c r="D3379" s="141"/>
      <c r="E3379" s="141"/>
      <c r="F3379" s="141"/>
      <c r="G3379" s="141"/>
      <c r="H3379" s="222"/>
    </row>
    <row r="3380" spans="1:9" s="212" customFormat="1">
      <c r="A3380" s="146"/>
      <c r="B3380" s="83"/>
      <c r="C3380" s="148"/>
      <c r="D3380" s="84"/>
      <c r="E3380" s="84"/>
      <c r="F3380" s="84"/>
      <c r="G3380" s="146"/>
      <c r="H3380" s="221"/>
    </row>
    <row r="3381" spans="1:9" s="212" customFormat="1">
      <c r="A3381" s="91"/>
      <c r="B3381" s="91"/>
      <c r="C3381" s="91"/>
      <c r="D3381" s="91"/>
      <c r="E3381" s="91"/>
      <c r="G3381" s="213"/>
      <c r="H3381" s="222"/>
    </row>
    <row r="3382" spans="1:9" s="212" customFormat="1">
      <c r="A3382" s="120"/>
      <c r="B3382" s="73"/>
      <c r="C3382" s="73"/>
      <c r="D3382" s="73"/>
      <c r="E3382" s="73"/>
      <c r="G3382" s="73"/>
      <c r="H3382" s="222"/>
    </row>
    <row r="3383" spans="1:9" s="212" customFormat="1">
      <c r="A3383" s="220"/>
      <c r="B3383" s="141"/>
      <c r="C3383" s="141"/>
      <c r="D3383" s="141"/>
      <c r="E3383" s="141"/>
      <c r="F3383" s="141"/>
      <c r="G3383" s="141"/>
      <c r="H3383" s="222"/>
    </row>
    <row r="3384" spans="1:9" s="212" customFormat="1">
      <c r="A3384" s="142"/>
      <c r="B3384" s="143"/>
      <c r="C3384" s="143"/>
      <c r="D3384" s="143"/>
      <c r="E3384" s="143"/>
      <c r="F3384" s="84"/>
      <c r="G3384" s="146"/>
      <c r="H3384" s="221"/>
    </row>
    <row r="3385" spans="1:9" s="212" customFormat="1">
      <c r="A3385" s="123"/>
      <c r="B3385" s="95"/>
      <c r="C3385" s="95"/>
      <c r="D3385" s="95"/>
      <c r="E3385" s="95"/>
      <c r="G3385" s="213"/>
      <c r="H3385" s="73"/>
    </row>
    <row r="3386" spans="1:9" s="212" customFormat="1">
      <c r="A3386" s="123"/>
      <c r="B3386" s="95"/>
      <c r="C3386" s="95"/>
      <c r="D3386" s="95"/>
      <c r="E3386" s="95"/>
      <c r="G3386" s="73"/>
      <c r="H3386" s="225"/>
    </row>
    <row r="3387" spans="1:9" s="212" customFormat="1">
      <c r="B3387" s="97"/>
      <c r="C3387" s="98"/>
      <c r="D3387" s="98"/>
      <c r="E3387" s="98"/>
      <c r="G3387" s="220"/>
    </row>
    <row r="3388" spans="1:9" s="212" customFormat="1">
      <c r="B3388" s="97"/>
      <c r="C3388" s="98"/>
      <c r="D3388" s="98"/>
      <c r="E3388" s="98"/>
      <c r="F3388" s="220"/>
      <c r="G3388" s="225"/>
      <c r="H3388" s="226"/>
    </row>
    <row r="3389" spans="1:9" s="212" customFormat="1">
      <c r="A3389" s="633"/>
      <c r="B3389" s="633"/>
      <c r="C3389" s="633"/>
      <c r="D3389" s="633"/>
      <c r="E3389" s="633"/>
      <c r="F3389" s="633"/>
      <c r="G3389" s="633"/>
    </row>
    <row r="3390" spans="1:9" s="212" customFormat="1">
      <c r="H3390" s="227"/>
      <c r="I3390" s="228"/>
    </row>
    <row r="3391" spans="1:9" s="212" customFormat="1">
      <c r="A3391" s="658"/>
      <c r="B3391" s="227"/>
      <c r="C3391" s="227"/>
      <c r="D3391" s="227"/>
      <c r="E3391" s="227"/>
      <c r="F3391" s="227"/>
      <c r="G3391" s="227"/>
      <c r="H3391" s="227"/>
      <c r="I3391" s="229"/>
    </row>
    <row r="3392" spans="1:9" s="212" customFormat="1">
      <c r="A3392" s="658"/>
      <c r="B3392" s="227"/>
      <c r="C3392" s="227"/>
      <c r="D3392" s="227"/>
      <c r="E3392" s="227"/>
      <c r="F3392" s="227"/>
      <c r="G3392" s="227"/>
    </row>
    <row r="3393" spans="1:8" s="212" customFormat="1">
      <c r="A3393" s="69"/>
      <c r="B3393" s="69"/>
      <c r="C3393" s="69"/>
      <c r="D3393" s="69"/>
      <c r="E3393" s="69"/>
    </row>
    <row r="3394" spans="1:8" s="212" customFormat="1">
      <c r="A3394" s="120"/>
      <c r="B3394" s="73"/>
      <c r="C3394" s="73"/>
      <c r="D3394" s="73"/>
      <c r="E3394" s="73"/>
      <c r="F3394" s="73"/>
      <c r="G3394" s="73"/>
      <c r="H3394" s="73"/>
    </row>
    <row r="3395" spans="1:8" s="212" customFormat="1">
      <c r="A3395" s="220"/>
      <c r="B3395" s="141"/>
      <c r="C3395" s="141"/>
      <c r="D3395" s="141"/>
      <c r="E3395" s="141"/>
      <c r="F3395" s="141"/>
      <c r="G3395" s="141"/>
      <c r="H3395" s="73"/>
    </row>
    <row r="3396" spans="1:8" s="212" customFormat="1">
      <c r="A3396" s="150"/>
      <c r="B3396" s="83"/>
      <c r="C3396" s="148"/>
      <c r="D3396" s="84"/>
      <c r="E3396" s="84"/>
      <c r="F3396" s="84"/>
      <c r="G3396" s="224"/>
      <c r="H3396" s="73"/>
    </row>
    <row r="3397" spans="1:8" s="212" customFormat="1">
      <c r="A3397" s="150"/>
      <c r="B3397" s="83"/>
      <c r="C3397" s="148"/>
      <c r="D3397" s="84"/>
      <c r="E3397" s="84"/>
      <c r="F3397" s="84"/>
      <c r="G3397" s="224"/>
      <c r="H3397" s="73"/>
    </row>
    <row r="3398" spans="1:8" s="212" customFormat="1">
      <c r="A3398" s="150"/>
      <c r="B3398" s="83"/>
      <c r="C3398" s="148"/>
      <c r="D3398" s="84"/>
      <c r="E3398" s="84"/>
      <c r="F3398" s="84"/>
      <c r="G3398" s="224"/>
      <c r="H3398" s="73"/>
    </row>
    <row r="3399" spans="1:8" s="212" customFormat="1">
      <c r="A3399" s="150"/>
      <c r="B3399" s="83"/>
      <c r="C3399" s="148"/>
      <c r="D3399" s="84"/>
      <c r="E3399" s="84"/>
      <c r="F3399" s="84"/>
      <c r="G3399" s="224"/>
      <c r="H3399" s="221"/>
    </row>
    <row r="3400" spans="1:8" s="212" customFormat="1">
      <c r="A3400" s="84"/>
      <c r="B3400" s="83"/>
      <c r="C3400" s="84"/>
      <c r="D3400" s="84"/>
      <c r="E3400" s="84"/>
      <c r="G3400" s="213"/>
      <c r="H3400" s="222"/>
    </row>
    <row r="3401" spans="1:8" s="212" customFormat="1">
      <c r="A3401" s="120"/>
      <c r="B3401" s="73"/>
      <c r="C3401" s="73"/>
      <c r="D3401" s="73"/>
      <c r="E3401" s="73"/>
      <c r="G3401" s="73"/>
      <c r="H3401" s="222"/>
    </row>
    <row r="3402" spans="1:8" s="212" customFormat="1">
      <c r="A3402" s="220"/>
      <c r="B3402" s="141"/>
      <c r="C3402" s="141"/>
      <c r="D3402" s="141"/>
      <c r="E3402" s="141"/>
      <c r="F3402" s="141"/>
      <c r="G3402" s="141"/>
      <c r="H3402" s="222"/>
    </row>
    <row r="3403" spans="1:8" s="212" customFormat="1">
      <c r="A3403" s="150"/>
      <c r="B3403" s="83"/>
      <c r="C3403" s="148"/>
      <c r="D3403" s="84"/>
      <c r="E3403" s="84"/>
      <c r="F3403" s="84"/>
      <c r="G3403" s="224"/>
      <c r="H3403" s="221"/>
    </row>
    <row r="3404" spans="1:8" s="212" customFormat="1">
      <c r="A3404" s="91"/>
      <c r="B3404" s="91"/>
      <c r="C3404" s="91"/>
      <c r="D3404" s="91"/>
      <c r="E3404" s="91"/>
      <c r="G3404" s="213"/>
      <c r="H3404" s="222"/>
    </row>
    <row r="3405" spans="1:8" s="212" customFormat="1">
      <c r="A3405" s="120"/>
      <c r="B3405" s="73"/>
      <c r="C3405" s="73"/>
      <c r="D3405" s="73"/>
      <c r="E3405" s="73"/>
      <c r="G3405" s="73"/>
      <c r="H3405" s="222"/>
    </row>
    <row r="3406" spans="1:8" s="212" customFormat="1">
      <c r="A3406" s="220"/>
      <c r="B3406" s="141"/>
      <c r="C3406" s="141"/>
      <c r="D3406" s="141"/>
      <c r="E3406" s="141"/>
      <c r="F3406" s="141"/>
      <c r="G3406" s="141"/>
      <c r="H3406" s="222"/>
    </row>
    <row r="3407" spans="1:8" s="212" customFormat="1">
      <c r="A3407" s="146"/>
      <c r="B3407" s="83"/>
      <c r="C3407" s="148"/>
      <c r="D3407" s="84"/>
      <c r="E3407" s="84"/>
      <c r="F3407" s="84"/>
      <c r="G3407" s="146"/>
      <c r="H3407" s="221"/>
    </row>
    <row r="3408" spans="1:8"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c r="A3411" s="142"/>
      <c r="B3411" s="143"/>
      <c r="C3411" s="143"/>
      <c r="D3411" s="143"/>
      <c r="E3411" s="143"/>
      <c r="F3411" s="84"/>
      <c r="G3411" s="146"/>
      <c r="H3411" s="221"/>
    </row>
    <row r="3412" spans="1:9" s="212" customFormat="1">
      <c r="A3412" s="123"/>
      <c r="B3412" s="95"/>
      <c r="C3412" s="95"/>
      <c r="D3412" s="95"/>
      <c r="E3412" s="95"/>
      <c r="G3412" s="213"/>
      <c r="H3412" s="73"/>
    </row>
    <row r="3413" spans="1:9" s="212" customFormat="1">
      <c r="A3413" s="123"/>
      <c r="B3413" s="95"/>
      <c r="C3413" s="95"/>
      <c r="D3413" s="95"/>
      <c r="E3413" s="95"/>
      <c r="G3413" s="73"/>
      <c r="H3413" s="225"/>
    </row>
    <row r="3414" spans="1:9" s="212" customFormat="1">
      <c r="B3414" s="97"/>
      <c r="C3414" s="98"/>
      <c r="D3414" s="98"/>
      <c r="E3414" s="98"/>
      <c r="G3414" s="220"/>
    </row>
    <row r="3415" spans="1:9" s="212" customFormat="1">
      <c r="B3415" s="97"/>
      <c r="C3415" s="98"/>
      <c r="D3415" s="98"/>
      <c r="E3415" s="98"/>
      <c r="F3415" s="220"/>
      <c r="G3415" s="225"/>
      <c r="H3415" s="226"/>
    </row>
    <row r="3416" spans="1:9" s="212" customFormat="1">
      <c r="A3416" s="633"/>
      <c r="B3416" s="633"/>
      <c r="C3416" s="633"/>
      <c r="D3416" s="633"/>
      <c r="E3416" s="633"/>
      <c r="F3416" s="633"/>
      <c r="G3416" s="633"/>
    </row>
    <row r="3417" spans="1:9" s="212" customFormat="1">
      <c r="H3417" s="227"/>
      <c r="I3417" s="228"/>
    </row>
    <row r="3418" spans="1:9" s="212" customFormat="1">
      <c r="A3418" s="658"/>
      <c r="B3418" s="227"/>
      <c r="C3418" s="227"/>
      <c r="D3418" s="227"/>
      <c r="E3418" s="227"/>
      <c r="F3418" s="227"/>
      <c r="G3418" s="227"/>
      <c r="H3418" s="227"/>
      <c r="I3418" s="229"/>
    </row>
    <row r="3419" spans="1:9" s="212" customFormat="1">
      <c r="A3419" s="658"/>
      <c r="B3419" s="227"/>
      <c r="C3419" s="227"/>
      <c r="D3419" s="227"/>
      <c r="E3419" s="227"/>
      <c r="F3419" s="227"/>
      <c r="G3419" s="227"/>
    </row>
    <row r="3420" spans="1:9" s="212" customFormat="1">
      <c r="A3420" s="69"/>
      <c r="B3420" s="69"/>
      <c r="C3420" s="69"/>
      <c r="D3420" s="69"/>
      <c r="E3420" s="69"/>
    </row>
    <row r="3421" spans="1:9" s="212" customFormat="1">
      <c r="A3421" s="120"/>
      <c r="B3421" s="73"/>
      <c r="C3421" s="73"/>
      <c r="D3421" s="73"/>
      <c r="E3421" s="73"/>
      <c r="F3421" s="73"/>
      <c r="G3421" s="73"/>
      <c r="H3421" s="73"/>
    </row>
    <row r="3422" spans="1:9" s="212" customFormat="1">
      <c r="A3422" s="220"/>
      <c r="B3422" s="141"/>
      <c r="C3422" s="141"/>
      <c r="D3422" s="141"/>
      <c r="E3422" s="141"/>
      <c r="F3422" s="141"/>
      <c r="G3422" s="141"/>
      <c r="H3422" s="73"/>
    </row>
    <row r="3423" spans="1:9" s="212" customFormat="1">
      <c r="A3423" s="150"/>
      <c r="B3423" s="83"/>
      <c r="C3423" s="148"/>
      <c r="D3423" s="84"/>
      <c r="E3423" s="84"/>
      <c r="F3423" s="84"/>
      <c r="G3423" s="224"/>
      <c r="H3423" s="73"/>
    </row>
    <row r="3424" spans="1:9" s="212" customFormat="1">
      <c r="A3424" s="150"/>
      <c r="B3424" s="83"/>
      <c r="C3424" s="148"/>
      <c r="D3424" s="84"/>
      <c r="E3424" s="84"/>
      <c r="F3424" s="84"/>
      <c r="G3424" s="224"/>
      <c r="H3424" s="73"/>
    </row>
    <row r="3425" spans="1:8" s="212" customFormat="1">
      <c r="A3425" s="150"/>
      <c r="B3425" s="83"/>
      <c r="C3425" s="148"/>
      <c r="D3425" s="84"/>
      <c r="E3425" s="84"/>
      <c r="F3425" s="84"/>
      <c r="G3425" s="224"/>
      <c r="H3425" s="221"/>
    </row>
    <row r="3426" spans="1:8" s="212" customFormat="1">
      <c r="A3426" s="84"/>
      <c r="B3426" s="83"/>
      <c r="C3426" s="84"/>
      <c r="D3426" s="84"/>
      <c r="E3426" s="84"/>
      <c r="G3426" s="213"/>
      <c r="H3426" s="222"/>
    </row>
    <row r="3427" spans="1:8" s="212" customFormat="1">
      <c r="A3427" s="120"/>
      <c r="B3427" s="73"/>
      <c r="C3427" s="73"/>
      <c r="D3427" s="73"/>
      <c r="E3427" s="73"/>
      <c r="G3427" s="73"/>
      <c r="H3427" s="222"/>
    </row>
    <row r="3428" spans="1:8" s="212" customFormat="1">
      <c r="A3428" s="220"/>
      <c r="B3428" s="141"/>
      <c r="C3428" s="141"/>
      <c r="D3428" s="141"/>
      <c r="E3428" s="141"/>
      <c r="F3428" s="141"/>
      <c r="G3428" s="141"/>
      <c r="H3428" s="222"/>
    </row>
    <row r="3429" spans="1:8" s="212" customFormat="1">
      <c r="A3429" s="150"/>
      <c r="B3429" s="83"/>
      <c r="C3429" s="148"/>
      <c r="D3429" s="84"/>
      <c r="E3429" s="84"/>
      <c r="F3429" s="84"/>
      <c r="G3429" s="224"/>
      <c r="H3429" s="222"/>
    </row>
    <row r="3430" spans="1:8" s="212" customFormat="1">
      <c r="A3430" s="150"/>
      <c r="B3430" s="83"/>
      <c r="C3430" s="148"/>
      <c r="D3430" s="84"/>
      <c r="E3430" s="84"/>
      <c r="F3430" s="84"/>
      <c r="G3430" s="224"/>
      <c r="H3430" s="221"/>
    </row>
    <row r="3431" spans="1:8" s="212" customFormat="1">
      <c r="A3431" s="91"/>
      <c r="B3431" s="91"/>
      <c r="C3431" s="91"/>
      <c r="D3431" s="91"/>
      <c r="E3431" s="91"/>
      <c r="G3431" s="213"/>
      <c r="H3431" s="222"/>
    </row>
    <row r="3432" spans="1:8" s="212" customFormat="1">
      <c r="A3432" s="120"/>
      <c r="B3432" s="73"/>
      <c r="C3432" s="73"/>
      <c r="D3432" s="73"/>
      <c r="E3432" s="73"/>
      <c r="G3432" s="73"/>
      <c r="H3432" s="222"/>
    </row>
    <row r="3433" spans="1:8" s="212" customFormat="1">
      <c r="A3433" s="220"/>
      <c r="B3433" s="141"/>
      <c r="C3433" s="141"/>
      <c r="D3433" s="141"/>
      <c r="E3433" s="141"/>
      <c r="F3433" s="141"/>
      <c r="G3433" s="141"/>
      <c r="H3433" s="222"/>
    </row>
    <row r="3434" spans="1:8" s="212" customFormat="1">
      <c r="A3434" s="146"/>
      <c r="B3434" s="83"/>
      <c r="C3434" s="148"/>
      <c r="D3434" s="84"/>
      <c r="E3434" s="84"/>
      <c r="F3434" s="84"/>
      <c r="G3434" s="146"/>
      <c r="H3434" s="221"/>
    </row>
    <row r="3435" spans="1:8" s="212" customFormat="1">
      <c r="A3435" s="91"/>
      <c r="B3435" s="91"/>
      <c r="C3435" s="91"/>
      <c r="D3435" s="91"/>
      <c r="E3435" s="91"/>
      <c r="G3435" s="213"/>
      <c r="H3435" s="222"/>
    </row>
    <row r="3436" spans="1:8" s="212" customFormat="1">
      <c r="A3436" s="120"/>
      <c r="B3436" s="73"/>
      <c r="C3436" s="73"/>
      <c r="D3436" s="73"/>
      <c r="E3436" s="73"/>
      <c r="G3436" s="73"/>
      <c r="H3436" s="222"/>
    </row>
    <row r="3437" spans="1:8" s="212" customFormat="1">
      <c r="A3437" s="220"/>
      <c r="B3437" s="141"/>
      <c r="C3437" s="141"/>
      <c r="D3437" s="141"/>
      <c r="E3437" s="141"/>
      <c r="F3437" s="141"/>
      <c r="G3437" s="141"/>
      <c r="H3437" s="222"/>
    </row>
    <row r="3438" spans="1:8" s="212" customFormat="1">
      <c r="A3438" s="142"/>
      <c r="B3438" s="143"/>
      <c r="C3438" s="143"/>
      <c r="D3438" s="143"/>
      <c r="E3438" s="143"/>
      <c r="F3438" s="84"/>
      <c r="G3438" s="146"/>
      <c r="H3438" s="221"/>
    </row>
    <row r="3439" spans="1:8" s="212" customFormat="1">
      <c r="A3439" s="123"/>
      <c r="B3439" s="95"/>
      <c r="C3439" s="95"/>
      <c r="D3439" s="95"/>
      <c r="E3439" s="95"/>
      <c r="G3439" s="213"/>
      <c r="H3439" s="73"/>
    </row>
    <row r="3440" spans="1:8" s="212" customFormat="1">
      <c r="A3440" s="123"/>
      <c r="B3440" s="95"/>
      <c r="C3440" s="95"/>
      <c r="D3440" s="95"/>
      <c r="E3440" s="95"/>
      <c r="G3440" s="73"/>
      <c r="H3440" s="225"/>
    </row>
    <row r="3441" spans="1:9" s="212" customFormat="1">
      <c r="B3441" s="97"/>
      <c r="C3441" s="98"/>
      <c r="D3441" s="98"/>
      <c r="E3441" s="98"/>
      <c r="G3441" s="220"/>
    </row>
    <row r="3442" spans="1:9" s="212" customFormat="1">
      <c r="B3442" s="97"/>
      <c r="C3442" s="98"/>
      <c r="D3442" s="98"/>
      <c r="E3442" s="98"/>
      <c r="F3442" s="220"/>
      <c r="G3442" s="225"/>
      <c r="H3442" s="226"/>
    </row>
    <row r="3443" spans="1:9" s="212" customFormat="1">
      <c r="A3443" s="633"/>
      <c r="B3443" s="633"/>
      <c r="C3443" s="633"/>
      <c r="D3443" s="633"/>
      <c r="E3443" s="633"/>
      <c r="F3443" s="633"/>
      <c r="G3443" s="633"/>
    </row>
    <row r="3444" spans="1:9" s="212" customFormat="1">
      <c r="H3444" s="227"/>
      <c r="I3444" s="228"/>
    </row>
    <row r="3445" spans="1:9" s="212" customFormat="1">
      <c r="A3445" s="658"/>
      <c r="B3445" s="227"/>
      <c r="C3445" s="227"/>
      <c r="D3445" s="227"/>
      <c r="E3445" s="227"/>
      <c r="F3445" s="227"/>
      <c r="G3445" s="227"/>
      <c r="H3445" s="227"/>
      <c r="I3445" s="229"/>
    </row>
    <row r="3446" spans="1:9" s="212" customFormat="1">
      <c r="A3446" s="658"/>
      <c r="B3446" s="227"/>
      <c r="C3446" s="227"/>
      <c r="D3446" s="227"/>
      <c r="E3446" s="227"/>
      <c r="F3446" s="227"/>
      <c r="G3446" s="227"/>
    </row>
    <row r="3447" spans="1:9" s="212" customFormat="1">
      <c r="A3447" s="69"/>
      <c r="B3447" s="69"/>
      <c r="C3447" s="69"/>
      <c r="D3447" s="69"/>
      <c r="E3447" s="69"/>
    </row>
    <row r="3448" spans="1:9" s="212" customFormat="1">
      <c r="A3448" s="120"/>
      <c r="B3448" s="73"/>
      <c r="C3448" s="73"/>
      <c r="D3448" s="73"/>
      <c r="E3448" s="73"/>
      <c r="F3448" s="73"/>
      <c r="G3448" s="73"/>
      <c r="H3448" s="73"/>
    </row>
    <row r="3449" spans="1:9" s="212" customFormat="1">
      <c r="A3449" s="220"/>
      <c r="B3449" s="141"/>
      <c r="C3449" s="141"/>
      <c r="D3449" s="141"/>
      <c r="E3449" s="141"/>
      <c r="F3449" s="141"/>
      <c r="G3449" s="141"/>
      <c r="H3449" s="73"/>
    </row>
    <row r="3450" spans="1:9" s="212" customFormat="1">
      <c r="A3450" s="150"/>
      <c r="B3450" s="84"/>
      <c r="C3450" s="148"/>
      <c r="D3450" s="84"/>
      <c r="E3450" s="84"/>
      <c r="F3450" s="84"/>
      <c r="G3450" s="224"/>
      <c r="H3450" s="221"/>
    </row>
    <row r="3451" spans="1:9" s="212" customFormat="1">
      <c r="A3451" s="84"/>
      <c r="B3451" s="83"/>
      <c r="C3451" s="84"/>
      <c r="D3451" s="84"/>
      <c r="E3451" s="84"/>
      <c r="G3451" s="213"/>
      <c r="H3451" s="222"/>
    </row>
    <row r="3452" spans="1:9" s="212" customFormat="1">
      <c r="A3452" s="120"/>
      <c r="B3452" s="73"/>
      <c r="C3452" s="73"/>
      <c r="D3452" s="73"/>
      <c r="E3452" s="73"/>
      <c r="G3452" s="73"/>
      <c r="H3452" s="222"/>
    </row>
    <row r="3453" spans="1:9" s="212" customFormat="1">
      <c r="A3453" s="220"/>
      <c r="B3453" s="141"/>
      <c r="C3453" s="141"/>
      <c r="D3453" s="141"/>
      <c r="E3453" s="141"/>
      <c r="F3453" s="141"/>
      <c r="G3453" s="141"/>
      <c r="H3453" s="222"/>
    </row>
    <row r="3454" spans="1:9" s="212" customFormat="1">
      <c r="A3454" s="150"/>
      <c r="B3454" s="83"/>
      <c r="C3454" s="148"/>
      <c r="D3454" s="84"/>
      <c r="E3454" s="84"/>
      <c r="F3454" s="84"/>
      <c r="G3454" s="224"/>
      <c r="H3454" s="222"/>
    </row>
    <row r="3455" spans="1:9" s="212" customFormat="1">
      <c r="A3455" s="150"/>
      <c r="B3455" s="83"/>
      <c r="C3455" s="148"/>
      <c r="D3455" s="84"/>
      <c r="E3455" s="84"/>
      <c r="F3455" s="84"/>
      <c r="G3455" s="224"/>
      <c r="H3455" s="222"/>
    </row>
    <row r="3456" spans="1:9" s="212" customFormat="1">
      <c r="A3456" s="150"/>
      <c r="B3456" s="83"/>
      <c r="C3456" s="148"/>
      <c r="D3456" s="84"/>
      <c r="E3456" s="84"/>
      <c r="F3456" s="84"/>
      <c r="G3456" s="224"/>
      <c r="H3456" s="222"/>
    </row>
    <row r="3457" spans="1:8" s="212" customFormat="1">
      <c r="A3457" s="150"/>
      <c r="B3457" s="83"/>
      <c r="C3457" s="148"/>
      <c r="D3457" s="84"/>
      <c r="E3457" s="84"/>
      <c r="F3457" s="84"/>
      <c r="G3457" s="224"/>
      <c r="H3457" s="222"/>
    </row>
    <row r="3458" spans="1:8" s="212" customFormat="1">
      <c r="A3458" s="150"/>
      <c r="B3458" s="83"/>
      <c r="C3458" s="148"/>
      <c r="D3458" s="84"/>
      <c r="E3458" s="84"/>
      <c r="F3458" s="84"/>
      <c r="G3458" s="224"/>
      <c r="H3458" s="222"/>
    </row>
    <row r="3459" spans="1:8" s="212" customFormat="1">
      <c r="A3459" s="150"/>
      <c r="B3459" s="83"/>
      <c r="C3459" s="148"/>
      <c r="D3459" s="84"/>
      <c r="E3459" s="84"/>
      <c r="F3459" s="84"/>
      <c r="G3459" s="224"/>
      <c r="H3459" s="221"/>
    </row>
    <row r="3460" spans="1:8" s="212" customFormat="1">
      <c r="A3460" s="91"/>
      <c r="B3460" s="91"/>
      <c r="C3460" s="91"/>
      <c r="D3460" s="91"/>
      <c r="E3460" s="91"/>
      <c r="G3460" s="213"/>
      <c r="H3460" s="222"/>
    </row>
    <row r="3461" spans="1:8" s="212" customFormat="1">
      <c r="A3461" s="120"/>
      <c r="B3461" s="73"/>
      <c r="C3461" s="73"/>
      <c r="D3461" s="73"/>
      <c r="E3461" s="73"/>
      <c r="G3461" s="73"/>
      <c r="H3461" s="222"/>
    </row>
    <row r="3462" spans="1:8" s="212" customFormat="1">
      <c r="A3462" s="220"/>
      <c r="B3462" s="141"/>
      <c r="C3462" s="141"/>
      <c r="D3462" s="141"/>
      <c r="E3462" s="141"/>
      <c r="F3462" s="141"/>
      <c r="G3462" s="141"/>
      <c r="H3462" s="222"/>
    </row>
    <row r="3463" spans="1:8" s="212" customFormat="1">
      <c r="A3463" s="146"/>
      <c r="B3463" s="83"/>
      <c r="C3463" s="148"/>
      <c r="D3463" s="84"/>
      <c r="E3463" s="84"/>
      <c r="F3463" s="84"/>
      <c r="G3463" s="146"/>
      <c r="H3463" s="221"/>
    </row>
    <row r="3464" spans="1:8" s="212" customFormat="1">
      <c r="A3464" s="91"/>
      <c r="B3464" s="91"/>
      <c r="C3464" s="91"/>
      <c r="D3464" s="91"/>
      <c r="E3464" s="91"/>
      <c r="G3464" s="213"/>
      <c r="H3464" s="222"/>
    </row>
    <row r="3465" spans="1:8" s="212" customFormat="1">
      <c r="A3465" s="120"/>
      <c r="B3465" s="73"/>
      <c r="C3465" s="73"/>
      <c r="D3465" s="73"/>
      <c r="E3465" s="73"/>
      <c r="G3465" s="73"/>
      <c r="H3465" s="222"/>
    </row>
    <row r="3466" spans="1:8" s="212" customFormat="1">
      <c r="A3466" s="220"/>
      <c r="B3466" s="141"/>
      <c r="C3466" s="141"/>
      <c r="D3466" s="141"/>
      <c r="E3466" s="141"/>
      <c r="F3466" s="141"/>
      <c r="G3466" s="141"/>
      <c r="H3466" s="222"/>
    </row>
    <row r="3467" spans="1:8" s="212" customFormat="1">
      <c r="A3467" s="142"/>
      <c r="B3467" s="143"/>
      <c r="C3467" s="143"/>
      <c r="D3467" s="143"/>
      <c r="E3467" s="143"/>
      <c r="F3467" s="84"/>
      <c r="G3467" s="146"/>
      <c r="H3467" s="221"/>
    </row>
    <row r="3468" spans="1:8" s="212" customFormat="1">
      <c r="A3468" s="123"/>
      <c r="B3468" s="95"/>
      <c r="C3468" s="95"/>
      <c r="D3468" s="95"/>
      <c r="E3468" s="95"/>
      <c r="G3468" s="213"/>
      <c r="H3468" s="73"/>
    </row>
    <row r="3469" spans="1:8" s="212" customFormat="1">
      <c r="A3469" s="123"/>
      <c r="B3469" s="95"/>
      <c r="C3469" s="95"/>
      <c r="D3469" s="95"/>
      <c r="E3469" s="95"/>
      <c r="G3469" s="73"/>
      <c r="H3469" s="225"/>
    </row>
    <row r="3470" spans="1:8" s="212" customFormat="1">
      <c r="B3470" s="97"/>
      <c r="C3470" s="98"/>
      <c r="D3470" s="98"/>
      <c r="E3470" s="98"/>
      <c r="G3470" s="220"/>
    </row>
    <row r="3471" spans="1:8" s="212" customFormat="1">
      <c r="B3471" s="97"/>
      <c r="C3471" s="98"/>
      <c r="D3471" s="98"/>
      <c r="E3471" s="98"/>
      <c r="F3471" s="220"/>
      <c r="G3471" s="225"/>
      <c r="H3471" s="226"/>
    </row>
    <row r="3472" spans="1:8" s="212" customFormat="1">
      <c r="A3472" s="633"/>
      <c r="B3472" s="633"/>
      <c r="C3472" s="633"/>
      <c r="D3472" s="633"/>
      <c r="E3472" s="633"/>
      <c r="F3472" s="633"/>
      <c r="G3472" s="633"/>
    </row>
    <row r="3473" spans="1:9" s="212" customFormat="1">
      <c r="H3473" s="227"/>
      <c r="I3473" s="228"/>
    </row>
    <row r="3474" spans="1:9" s="212" customFormat="1">
      <c r="A3474" s="658"/>
      <c r="B3474" s="227"/>
      <c r="C3474" s="227"/>
      <c r="D3474" s="227"/>
      <c r="E3474" s="227"/>
      <c r="F3474" s="227"/>
      <c r="G3474" s="227"/>
      <c r="H3474" s="227"/>
      <c r="I3474" s="229"/>
    </row>
    <row r="3475" spans="1:9" s="212" customFormat="1">
      <c r="A3475" s="658"/>
      <c r="B3475" s="227"/>
      <c r="C3475" s="227"/>
      <c r="D3475" s="227"/>
      <c r="E3475" s="227"/>
      <c r="F3475" s="227"/>
      <c r="G3475" s="227"/>
    </row>
    <row r="3476" spans="1:9" s="212" customFormat="1">
      <c r="A3476" s="69"/>
      <c r="B3476" s="69"/>
      <c r="C3476" s="69"/>
      <c r="D3476" s="69"/>
      <c r="E3476" s="69"/>
    </row>
    <row r="3477" spans="1:9" s="212" customFormat="1">
      <c r="A3477" s="120"/>
      <c r="B3477" s="73"/>
      <c r="C3477" s="73"/>
      <c r="D3477" s="73"/>
      <c r="E3477" s="73"/>
      <c r="F3477" s="73"/>
      <c r="G3477" s="73"/>
      <c r="H3477" s="73"/>
    </row>
    <row r="3478" spans="1:9" s="212" customFormat="1">
      <c r="A3478" s="220"/>
      <c r="B3478" s="141"/>
      <c r="C3478" s="141"/>
      <c r="D3478" s="141"/>
      <c r="E3478" s="141"/>
      <c r="F3478" s="141"/>
      <c r="G3478" s="141"/>
      <c r="H3478" s="73"/>
    </row>
    <row r="3479" spans="1:9" s="212" customFormat="1">
      <c r="A3479" s="150"/>
      <c r="B3479" s="84"/>
      <c r="C3479" s="148"/>
      <c r="D3479" s="84"/>
      <c r="E3479" s="84"/>
      <c r="F3479" s="84"/>
      <c r="G3479" s="224"/>
      <c r="H3479" s="221"/>
    </row>
    <row r="3480" spans="1:9" s="212" customFormat="1">
      <c r="A3480" s="84"/>
      <c r="B3480" s="83"/>
      <c r="C3480" s="84"/>
      <c r="D3480" s="84"/>
      <c r="E3480" s="84"/>
      <c r="G3480" s="213"/>
      <c r="H3480" s="222"/>
    </row>
    <row r="3481" spans="1:9" s="212" customFormat="1">
      <c r="A3481" s="120"/>
      <c r="B3481" s="73"/>
      <c r="C3481" s="73"/>
      <c r="D3481" s="73"/>
      <c r="E3481" s="73"/>
      <c r="G3481" s="73"/>
      <c r="H3481" s="222"/>
    </row>
    <row r="3482" spans="1:9" s="212" customFormat="1">
      <c r="A3482" s="220"/>
      <c r="B3482" s="141"/>
      <c r="C3482" s="141"/>
      <c r="D3482" s="141"/>
      <c r="E3482" s="141"/>
      <c r="F3482" s="141"/>
      <c r="G3482" s="141"/>
      <c r="H3482" s="222"/>
    </row>
    <row r="3483" spans="1:9" s="212" customFormat="1">
      <c r="A3483" s="150"/>
      <c r="B3483" s="83"/>
      <c r="C3483" s="148"/>
      <c r="D3483" s="84"/>
      <c r="E3483" s="84"/>
      <c r="F3483" s="84"/>
      <c r="G3483" s="224"/>
      <c r="H3483" s="222"/>
    </row>
    <row r="3484" spans="1:9" s="212" customFormat="1">
      <c r="A3484" s="150"/>
      <c r="B3484" s="83"/>
      <c r="C3484" s="148"/>
      <c r="D3484" s="84"/>
      <c r="E3484" s="84"/>
      <c r="F3484" s="84"/>
      <c r="G3484" s="224"/>
      <c r="H3484" s="222"/>
    </row>
    <row r="3485" spans="1:9" s="212" customFormat="1">
      <c r="A3485" s="150"/>
      <c r="B3485" s="83"/>
      <c r="C3485" s="148"/>
      <c r="D3485" s="84"/>
      <c r="E3485" s="84"/>
      <c r="F3485" s="84"/>
      <c r="G3485" s="224"/>
      <c r="H3485" s="222"/>
    </row>
    <row r="3486" spans="1:9" s="212" customFormat="1">
      <c r="A3486" s="150"/>
      <c r="B3486" s="83"/>
      <c r="C3486" s="148"/>
      <c r="D3486" s="84"/>
      <c r="E3486" s="84"/>
      <c r="F3486" s="84"/>
      <c r="G3486" s="224"/>
      <c r="H3486" s="222"/>
    </row>
    <row r="3487" spans="1:9" s="212" customFormat="1">
      <c r="A3487" s="150"/>
      <c r="B3487" s="83"/>
      <c r="C3487" s="148"/>
      <c r="D3487" s="84"/>
      <c r="E3487" s="84"/>
      <c r="F3487" s="84"/>
      <c r="G3487" s="224"/>
      <c r="H3487" s="222"/>
    </row>
    <row r="3488" spans="1:9" s="212" customFormat="1">
      <c r="A3488" s="150"/>
      <c r="B3488" s="83"/>
      <c r="C3488" s="148"/>
      <c r="D3488" s="84"/>
      <c r="E3488" s="84"/>
      <c r="F3488" s="84"/>
      <c r="G3488" s="224"/>
      <c r="H3488" s="221"/>
    </row>
    <row r="3489" spans="1:9" s="212" customFormat="1">
      <c r="A3489" s="91"/>
      <c r="B3489" s="91"/>
      <c r="C3489" s="91"/>
      <c r="D3489" s="91"/>
      <c r="E3489" s="91"/>
      <c r="G3489" s="213"/>
      <c r="H3489" s="222"/>
    </row>
    <row r="3490" spans="1:9" s="212" customFormat="1">
      <c r="A3490" s="120"/>
      <c r="B3490" s="73"/>
      <c r="C3490" s="73"/>
      <c r="D3490" s="73"/>
      <c r="E3490" s="73"/>
      <c r="G3490" s="73"/>
      <c r="H3490" s="222"/>
    </row>
    <row r="3491" spans="1:9" s="212" customFormat="1">
      <c r="A3491" s="220"/>
      <c r="B3491" s="141"/>
      <c r="C3491" s="141"/>
      <c r="D3491" s="141"/>
      <c r="E3491" s="141"/>
      <c r="F3491" s="141"/>
      <c r="G3491" s="141"/>
      <c r="H3491" s="222"/>
    </row>
    <row r="3492" spans="1:9" s="212" customFormat="1">
      <c r="A3492" s="146"/>
      <c r="B3492" s="83"/>
      <c r="C3492" s="148"/>
      <c r="D3492" s="84"/>
      <c r="E3492" s="84"/>
      <c r="F3492" s="84"/>
      <c r="G3492" s="146"/>
      <c r="H3492" s="221"/>
    </row>
    <row r="3493" spans="1:9" s="212" customFormat="1">
      <c r="A3493" s="91"/>
      <c r="B3493" s="91"/>
      <c r="C3493" s="91"/>
      <c r="D3493" s="91"/>
      <c r="E3493" s="91"/>
      <c r="G3493" s="213"/>
      <c r="H3493" s="222"/>
    </row>
    <row r="3494" spans="1:9" s="212" customFormat="1">
      <c r="A3494" s="120"/>
      <c r="B3494" s="73"/>
      <c r="C3494" s="73"/>
      <c r="D3494" s="73"/>
      <c r="E3494" s="73"/>
      <c r="G3494" s="73"/>
      <c r="H3494" s="222"/>
    </row>
    <row r="3495" spans="1:9" s="212" customFormat="1">
      <c r="A3495" s="220"/>
      <c r="B3495" s="141"/>
      <c r="C3495" s="141"/>
      <c r="D3495" s="141"/>
      <c r="E3495" s="141"/>
      <c r="F3495" s="141"/>
      <c r="G3495" s="141"/>
      <c r="H3495" s="222"/>
    </row>
    <row r="3496" spans="1:9" s="212" customFormat="1">
      <c r="A3496" s="142"/>
      <c r="B3496" s="143"/>
      <c r="C3496" s="143"/>
      <c r="D3496" s="143"/>
      <c r="E3496" s="143"/>
      <c r="F3496" s="84"/>
      <c r="G3496" s="146"/>
      <c r="H3496" s="221"/>
    </row>
    <row r="3497" spans="1:9" s="212" customFormat="1">
      <c r="A3497" s="123"/>
      <c r="B3497" s="95"/>
      <c r="C3497" s="95"/>
      <c r="D3497" s="95"/>
      <c r="E3497" s="95"/>
      <c r="G3497" s="213"/>
      <c r="H3497" s="73"/>
    </row>
    <row r="3498" spans="1:9" s="212" customFormat="1">
      <c r="A3498" s="123"/>
      <c r="B3498" s="95"/>
      <c r="C3498" s="95"/>
      <c r="D3498" s="95"/>
      <c r="E3498" s="95"/>
      <c r="G3498" s="73"/>
      <c r="H3498" s="225"/>
    </row>
    <row r="3499" spans="1:9" s="212" customFormat="1">
      <c r="B3499" s="97"/>
      <c r="C3499" s="98"/>
      <c r="D3499" s="98"/>
      <c r="E3499" s="98"/>
      <c r="G3499" s="220"/>
    </row>
    <row r="3500" spans="1:9" s="212" customFormat="1">
      <c r="B3500" s="97"/>
      <c r="C3500" s="98"/>
      <c r="D3500" s="98"/>
      <c r="E3500" s="98"/>
      <c r="F3500" s="220"/>
      <c r="G3500" s="225"/>
      <c r="H3500" s="226"/>
    </row>
    <row r="3501" spans="1:9" s="212" customFormat="1">
      <c r="A3501" s="633"/>
      <c r="B3501" s="633"/>
      <c r="C3501" s="633"/>
      <c r="D3501" s="633"/>
      <c r="E3501" s="633"/>
      <c r="F3501" s="633"/>
      <c r="G3501" s="633"/>
    </row>
    <row r="3502" spans="1:9" s="212" customFormat="1">
      <c r="H3502" s="227"/>
      <c r="I3502" s="228"/>
    </row>
    <row r="3503" spans="1:9" s="212" customFormat="1">
      <c r="A3503" s="658"/>
      <c r="B3503" s="227"/>
      <c r="C3503" s="227"/>
      <c r="D3503" s="227"/>
      <c r="E3503" s="227"/>
      <c r="F3503" s="227"/>
      <c r="G3503" s="227"/>
      <c r="H3503" s="227"/>
      <c r="I3503" s="229"/>
    </row>
    <row r="3504" spans="1:9" s="212" customFormat="1">
      <c r="A3504" s="658"/>
      <c r="B3504" s="227"/>
      <c r="C3504" s="227"/>
      <c r="D3504" s="227"/>
      <c r="E3504" s="227"/>
      <c r="F3504" s="227"/>
      <c r="G3504" s="227"/>
    </row>
    <row r="3505" spans="1:8" s="212" customFormat="1">
      <c r="A3505" s="69"/>
      <c r="B3505" s="69"/>
      <c r="C3505" s="69"/>
      <c r="D3505" s="69"/>
      <c r="E3505" s="69"/>
    </row>
    <row r="3506" spans="1:8" s="212" customFormat="1">
      <c r="A3506" s="120"/>
      <c r="B3506" s="73"/>
      <c r="C3506" s="73"/>
      <c r="D3506" s="73"/>
      <c r="E3506" s="73"/>
      <c r="F3506" s="73"/>
      <c r="G3506" s="73"/>
      <c r="H3506" s="73"/>
    </row>
    <row r="3507" spans="1:8" s="212" customFormat="1">
      <c r="A3507" s="220"/>
      <c r="B3507" s="141"/>
      <c r="C3507" s="141"/>
      <c r="D3507" s="141"/>
      <c r="E3507" s="141"/>
      <c r="F3507" s="141"/>
      <c r="G3507" s="141"/>
      <c r="H3507" s="73"/>
    </row>
    <row r="3508" spans="1:8" s="212" customFormat="1">
      <c r="A3508" s="150"/>
      <c r="B3508" s="84"/>
      <c r="C3508" s="148"/>
      <c r="D3508" s="84"/>
      <c r="E3508" s="84"/>
      <c r="F3508" s="84"/>
      <c r="G3508" s="224"/>
      <c r="H3508" s="73"/>
    </row>
    <row r="3509" spans="1:8" s="212" customFormat="1">
      <c r="A3509" s="150"/>
      <c r="B3509" s="84"/>
      <c r="C3509" s="148"/>
      <c r="D3509" s="84"/>
      <c r="E3509" s="84"/>
      <c r="F3509" s="84"/>
      <c r="G3509" s="224"/>
      <c r="H3509" s="221"/>
    </row>
    <row r="3510" spans="1:8" s="212" customFormat="1">
      <c r="A3510" s="84"/>
      <c r="B3510" s="83"/>
      <c r="C3510" s="84"/>
      <c r="D3510" s="84"/>
      <c r="E3510" s="84"/>
      <c r="G3510" s="213"/>
      <c r="H3510" s="222"/>
    </row>
    <row r="3511" spans="1:8" s="212" customFormat="1">
      <c r="A3511" s="120"/>
      <c r="B3511" s="73"/>
      <c r="C3511" s="73"/>
      <c r="D3511" s="73"/>
      <c r="E3511" s="73"/>
      <c r="G3511" s="73"/>
      <c r="H3511" s="222"/>
    </row>
    <row r="3512" spans="1:8" s="212" customFormat="1">
      <c r="A3512" s="220"/>
      <c r="B3512" s="141"/>
      <c r="C3512" s="141"/>
      <c r="D3512" s="141"/>
      <c r="E3512" s="141"/>
      <c r="F3512" s="141"/>
      <c r="G3512" s="141"/>
      <c r="H3512" s="222"/>
    </row>
    <row r="3513" spans="1:8" s="212" customFormat="1">
      <c r="A3513" s="150"/>
      <c r="B3513" s="83"/>
      <c r="C3513" s="148"/>
      <c r="D3513" s="84"/>
      <c r="E3513" s="84"/>
      <c r="F3513" s="84"/>
      <c r="G3513" s="224"/>
      <c r="H3513" s="222"/>
    </row>
    <row r="3514" spans="1:8" s="212" customFormat="1">
      <c r="A3514" s="150"/>
      <c r="B3514" s="83"/>
      <c r="C3514" s="148"/>
      <c r="D3514" s="84"/>
      <c r="E3514" s="84"/>
      <c r="F3514" s="84"/>
      <c r="G3514" s="224"/>
      <c r="H3514" s="222"/>
    </row>
    <row r="3515" spans="1:8" s="212" customFormat="1">
      <c r="A3515" s="150"/>
      <c r="B3515" s="83"/>
      <c r="C3515" s="148"/>
      <c r="D3515" s="84"/>
      <c r="E3515" s="84"/>
      <c r="F3515" s="84"/>
      <c r="G3515" s="224"/>
      <c r="H3515" s="222"/>
    </row>
    <row r="3516" spans="1:8" s="212" customFormat="1">
      <c r="A3516" s="150"/>
      <c r="B3516" s="83"/>
      <c r="C3516" s="148"/>
      <c r="D3516" s="84"/>
      <c r="E3516" s="84"/>
      <c r="F3516" s="84"/>
      <c r="G3516" s="224"/>
      <c r="H3516" s="222"/>
    </row>
    <row r="3517" spans="1:8" s="212" customFormat="1">
      <c r="A3517" s="150"/>
      <c r="B3517" s="83"/>
      <c r="C3517" s="148"/>
      <c r="D3517" s="84"/>
      <c r="E3517" s="84"/>
      <c r="F3517" s="84"/>
      <c r="G3517" s="224"/>
      <c r="H3517" s="221"/>
    </row>
    <row r="3518" spans="1:8" s="212" customFormat="1">
      <c r="A3518" s="91"/>
      <c r="B3518" s="91"/>
      <c r="C3518" s="91"/>
      <c r="D3518" s="91"/>
      <c r="E3518" s="91"/>
      <c r="G3518" s="213"/>
      <c r="H3518" s="222"/>
    </row>
    <row r="3519" spans="1:8" s="212" customFormat="1">
      <c r="A3519" s="120"/>
      <c r="B3519" s="73"/>
      <c r="C3519" s="73"/>
      <c r="D3519" s="73"/>
      <c r="E3519" s="73"/>
      <c r="G3519" s="73"/>
      <c r="H3519" s="222"/>
    </row>
    <row r="3520" spans="1:8" s="212" customFormat="1">
      <c r="A3520" s="220"/>
      <c r="B3520" s="141"/>
      <c r="C3520" s="141"/>
      <c r="D3520" s="141"/>
      <c r="E3520" s="141"/>
      <c r="F3520" s="141"/>
      <c r="G3520" s="141"/>
      <c r="H3520" s="222"/>
    </row>
    <row r="3521" spans="1:9" s="212" customFormat="1">
      <c r="A3521" s="146"/>
      <c r="B3521" s="83"/>
      <c r="C3521" s="148"/>
      <c r="D3521" s="84"/>
      <c r="E3521" s="84"/>
      <c r="F3521" s="84"/>
      <c r="G3521" s="146"/>
      <c r="H3521" s="221"/>
    </row>
    <row r="3522" spans="1:9" s="212" customFormat="1">
      <c r="A3522" s="91"/>
      <c r="B3522" s="91"/>
      <c r="C3522" s="91"/>
      <c r="D3522" s="91"/>
      <c r="E3522" s="91"/>
      <c r="G3522" s="213"/>
      <c r="H3522" s="222"/>
    </row>
    <row r="3523" spans="1:9" s="212" customFormat="1">
      <c r="A3523" s="120"/>
      <c r="B3523" s="73"/>
      <c r="C3523" s="73"/>
      <c r="D3523" s="73"/>
      <c r="E3523" s="73"/>
      <c r="G3523" s="73"/>
      <c r="H3523" s="222"/>
    </row>
    <row r="3524" spans="1:9" s="212" customFormat="1">
      <c r="A3524" s="220"/>
      <c r="B3524" s="141"/>
      <c r="C3524" s="141"/>
      <c r="D3524" s="141"/>
      <c r="E3524" s="141"/>
      <c r="F3524" s="141"/>
      <c r="G3524" s="141"/>
      <c r="H3524" s="222"/>
    </row>
    <row r="3525" spans="1:9" s="212" customFormat="1">
      <c r="A3525" s="142"/>
      <c r="B3525" s="143"/>
      <c r="C3525" s="143"/>
      <c r="D3525" s="143"/>
      <c r="E3525" s="143"/>
      <c r="F3525" s="84"/>
      <c r="G3525" s="146"/>
      <c r="H3525" s="221"/>
    </row>
    <row r="3526" spans="1:9" s="212" customFormat="1">
      <c r="A3526" s="123"/>
      <c r="B3526" s="95"/>
      <c r="C3526" s="95"/>
      <c r="D3526" s="95"/>
      <c r="E3526" s="95"/>
      <c r="G3526" s="213"/>
      <c r="H3526" s="73"/>
    </row>
    <row r="3527" spans="1:9" s="212" customFormat="1">
      <c r="A3527" s="123"/>
      <c r="B3527" s="95"/>
      <c r="C3527" s="95"/>
      <c r="D3527" s="95"/>
      <c r="E3527" s="95"/>
      <c r="G3527" s="73"/>
      <c r="H3527" s="225"/>
    </row>
    <row r="3528" spans="1:9" s="212" customFormat="1">
      <c r="B3528" s="97"/>
      <c r="C3528" s="98"/>
      <c r="D3528" s="98"/>
      <c r="E3528" s="98"/>
      <c r="G3528" s="220"/>
    </row>
    <row r="3529" spans="1:9" s="212" customFormat="1">
      <c r="B3529" s="97"/>
      <c r="C3529" s="98"/>
      <c r="D3529" s="98"/>
      <c r="E3529" s="98"/>
      <c r="F3529" s="220"/>
      <c r="G3529" s="225"/>
      <c r="H3529" s="226"/>
    </row>
    <row r="3530" spans="1:9" s="212" customFormat="1">
      <c r="A3530" s="633"/>
      <c r="B3530" s="633"/>
      <c r="C3530" s="633"/>
      <c r="D3530" s="633"/>
      <c r="E3530" s="633"/>
      <c r="F3530" s="633"/>
      <c r="G3530" s="633"/>
    </row>
    <row r="3531" spans="1:9" s="212" customFormat="1">
      <c r="H3531" s="227"/>
      <c r="I3531" s="228"/>
    </row>
    <row r="3532" spans="1:9" s="212" customFormat="1">
      <c r="A3532" s="658"/>
      <c r="B3532" s="227"/>
      <c r="C3532" s="227"/>
      <c r="D3532" s="227"/>
      <c r="E3532" s="227"/>
      <c r="F3532" s="227"/>
      <c r="G3532" s="227"/>
      <c r="H3532" s="227"/>
      <c r="I3532" s="229"/>
    </row>
    <row r="3533" spans="1:9" s="212" customFormat="1">
      <c r="A3533" s="658"/>
      <c r="B3533" s="227"/>
      <c r="C3533" s="227"/>
      <c r="D3533" s="227"/>
      <c r="E3533" s="227"/>
      <c r="F3533" s="227"/>
      <c r="G3533" s="227"/>
    </row>
    <row r="3534" spans="1:9" s="212" customFormat="1">
      <c r="A3534" s="69"/>
      <c r="B3534" s="69"/>
      <c r="C3534" s="69"/>
      <c r="D3534" s="69"/>
      <c r="E3534" s="69"/>
    </row>
    <row r="3535" spans="1:9" s="212" customFormat="1">
      <c r="A3535" s="120"/>
      <c r="B3535" s="73"/>
      <c r="C3535" s="73"/>
      <c r="D3535" s="73"/>
      <c r="E3535" s="73"/>
      <c r="F3535" s="73"/>
      <c r="G3535" s="73"/>
      <c r="H3535" s="73"/>
    </row>
    <row r="3536" spans="1:9" s="212" customFormat="1">
      <c r="A3536" s="220"/>
      <c r="B3536" s="141"/>
      <c r="C3536" s="141"/>
      <c r="D3536" s="141"/>
      <c r="E3536" s="141"/>
      <c r="F3536" s="141"/>
      <c r="G3536" s="141"/>
      <c r="H3536" s="73"/>
    </row>
    <row r="3537" spans="1:8" s="212" customFormat="1">
      <c r="A3537" s="150"/>
      <c r="B3537" s="84"/>
      <c r="C3537" s="148"/>
      <c r="D3537" s="84"/>
      <c r="E3537" s="84"/>
      <c r="F3537" s="84"/>
      <c r="G3537" s="146"/>
      <c r="H3537" s="221"/>
    </row>
    <row r="3538" spans="1:8" s="212" customFormat="1">
      <c r="A3538" s="84"/>
      <c r="B3538" s="83"/>
      <c r="C3538" s="84"/>
      <c r="D3538" s="84"/>
      <c r="E3538" s="84"/>
      <c r="G3538" s="213"/>
      <c r="H3538" s="222"/>
    </row>
    <row r="3539" spans="1:8" s="212" customFormat="1">
      <c r="A3539" s="120"/>
      <c r="B3539" s="73"/>
      <c r="C3539" s="73"/>
      <c r="D3539" s="73"/>
      <c r="E3539" s="73"/>
      <c r="G3539" s="73"/>
      <c r="H3539" s="222"/>
    </row>
    <row r="3540" spans="1:8" s="212" customFormat="1">
      <c r="A3540" s="220"/>
      <c r="B3540" s="141"/>
      <c r="C3540" s="141"/>
      <c r="D3540" s="141"/>
      <c r="E3540" s="141"/>
      <c r="F3540" s="141"/>
      <c r="G3540" s="141"/>
      <c r="H3540" s="222"/>
    </row>
    <row r="3541" spans="1:8" s="212" customFormat="1">
      <c r="A3541" s="150"/>
      <c r="B3541" s="171"/>
      <c r="C3541" s="148"/>
      <c r="D3541" s="160"/>
      <c r="E3541" s="84"/>
      <c r="F3541" s="84"/>
      <c r="G3541" s="146"/>
      <c r="H3541" s="221"/>
    </row>
    <row r="3542" spans="1:8" s="212" customFormat="1">
      <c r="A3542" s="91"/>
      <c r="B3542" s="91"/>
      <c r="C3542" s="91"/>
      <c r="D3542" s="91"/>
      <c r="E3542" s="91"/>
      <c r="G3542" s="213"/>
      <c r="H3542" s="222"/>
    </row>
    <row r="3543" spans="1:8" s="212" customFormat="1">
      <c r="A3543" s="120"/>
      <c r="B3543" s="73"/>
      <c r="C3543" s="73"/>
      <c r="D3543" s="73"/>
      <c r="E3543" s="73"/>
      <c r="G3543" s="73"/>
      <c r="H3543" s="222"/>
    </row>
    <row r="3544" spans="1:8" s="212" customFormat="1">
      <c r="A3544" s="220"/>
      <c r="B3544" s="141"/>
      <c r="C3544" s="141"/>
      <c r="D3544" s="141"/>
      <c r="E3544" s="141"/>
      <c r="F3544" s="141"/>
      <c r="G3544" s="141"/>
      <c r="H3544" s="222"/>
    </row>
    <row r="3545" spans="1:8" s="212" customFormat="1">
      <c r="A3545" s="150"/>
      <c r="B3545" s="84"/>
      <c r="C3545" s="148"/>
      <c r="D3545" s="84"/>
      <c r="E3545" s="84"/>
      <c r="F3545" s="84"/>
      <c r="G3545" s="146"/>
      <c r="H3545" s="221"/>
    </row>
    <row r="3546" spans="1:8" s="212" customFormat="1">
      <c r="A3546" s="91"/>
      <c r="B3546" s="91"/>
      <c r="C3546" s="91"/>
      <c r="D3546" s="91"/>
      <c r="E3546" s="91"/>
      <c r="G3546" s="213"/>
      <c r="H3546" s="222"/>
    </row>
    <row r="3547" spans="1:8" s="212" customFormat="1">
      <c r="A3547" s="120"/>
      <c r="B3547" s="73"/>
      <c r="C3547" s="73"/>
      <c r="D3547" s="73"/>
      <c r="E3547" s="73"/>
      <c r="G3547" s="73"/>
      <c r="H3547" s="222"/>
    </row>
    <row r="3548" spans="1:8" s="212" customFormat="1">
      <c r="A3548" s="220"/>
      <c r="B3548" s="141"/>
      <c r="C3548" s="141"/>
      <c r="D3548" s="141"/>
      <c r="E3548" s="141"/>
      <c r="F3548" s="141"/>
      <c r="G3548" s="141"/>
      <c r="H3548" s="222"/>
    </row>
    <row r="3549" spans="1:8" s="212" customFormat="1">
      <c r="A3549" s="142"/>
      <c r="B3549" s="143"/>
      <c r="C3549" s="143"/>
      <c r="D3549" s="143"/>
      <c r="E3549" s="143"/>
      <c r="F3549" s="84"/>
      <c r="G3549" s="146"/>
      <c r="H3549" s="221"/>
    </row>
    <row r="3550" spans="1:8" s="212" customFormat="1">
      <c r="A3550" s="123"/>
      <c r="B3550" s="95"/>
      <c r="C3550" s="95"/>
      <c r="D3550" s="95"/>
      <c r="E3550" s="95"/>
      <c r="G3550" s="213"/>
      <c r="H3550" s="73"/>
    </row>
    <row r="3551" spans="1:8" s="212" customFormat="1">
      <c r="A3551" s="123"/>
      <c r="B3551" s="95"/>
      <c r="C3551" s="95"/>
      <c r="D3551" s="95"/>
      <c r="E3551" s="95"/>
      <c r="G3551" s="73"/>
      <c r="H3551" s="225"/>
    </row>
    <row r="3552" spans="1:8" s="212" customFormat="1">
      <c r="B3552" s="97"/>
      <c r="C3552" s="98"/>
      <c r="D3552" s="98"/>
      <c r="E3552" s="98"/>
      <c r="G3552" s="220"/>
    </row>
    <row r="3553" spans="1:9" s="212" customFormat="1">
      <c r="B3553" s="97"/>
      <c r="C3553" s="98"/>
      <c r="D3553" s="98"/>
      <c r="E3553" s="98"/>
      <c r="F3553" s="220"/>
      <c r="G3553" s="225"/>
      <c r="H3553" s="226"/>
    </row>
    <row r="3554" spans="1:9" s="212" customFormat="1">
      <c r="A3554" s="633"/>
      <c r="B3554" s="633"/>
      <c r="C3554" s="633"/>
      <c r="D3554" s="633"/>
      <c r="E3554" s="633"/>
      <c r="F3554" s="633"/>
      <c r="G3554" s="633"/>
    </row>
    <row r="3555" spans="1:9" s="212" customFormat="1">
      <c r="H3555" s="227"/>
      <c r="I3555" s="228"/>
    </row>
    <row r="3556" spans="1:9" s="212" customFormat="1">
      <c r="A3556" s="658"/>
      <c r="B3556" s="227"/>
      <c r="C3556" s="227"/>
      <c r="D3556" s="227"/>
      <c r="E3556" s="227"/>
      <c r="F3556" s="227"/>
      <c r="G3556" s="227"/>
      <c r="H3556" s="227"/>
      <c r="I3556" s="229"/>
    </row>
    <row r="3557" spans="1:9" s="212" customFormat="1">
      <c r="A3557" s="658"/>
      <c r="B3557" s="227"/>
      <c r="C3557" s="227"/>
      <c r="D3557" s="227"/>
      <c r="E3557" s="227"/>
      <c r="F3557" s="227"/>
      <c r="G3557" s="227"/>
    </row>
    <row r="3558" spans="1:9" s="212" customFormat="1">
      <c r="A3558" s="69"/>
      <c r="B3558" s="69"/>
      <c r="C3558" s="69"/>
      <c r="D3558" s="69"/>
      <c r="E3558" s="69"/>
    </row>
    <row r="3559" spans="1:9" s="212" customFormat="1">
      <c r="A3559" s="120"/>
      <c r="B3559" s="73"/>
      <c r="C3559" s="73"/>
      <c r="D3559" s="73"/>
      <c r="E3559" s="73"/>
      <c r="F3559" s="73"/>
      <c r="G3559" s="73"/>
      <c r="H3559" s="73"/>
    </row>
    <row r="3560" spans="1:9" s="212" customFormat="1">
      <c r="A3560" s="220"/>
      <c r="B3560" s="141"/>
      <c r="C3560" s="141"/>
      <c r="D3560" s="141"/>
      <c r="E3560" s="141"/>
      <c r="F3560" s="141"/>
      <c r="G3560" s="141"/>
      <c r="H3560" s="73"/>
    </row>
    <row r="3561" spans="1:9" s="212" customFormat="1">
      <c r="A3561" s="150"/>
      <c r="B3561" s="84"/>
      <c r="C3561" s="148"/>
      <c r="D3561" s="84"/>
      <c r="E3561" s="84"/>
      <c r="F3561" s="84"/>
      <c r="G3561" s="146"/>
      <c r="H3561" s="221"/>
    </row>
    <row r="3562" spans="1:9" s="212" customFormat="1">
      <c r="A3562" s="84"/>
      <c r="B3562" s="83"/>
      <c r="C3562" s="84"/>
      <c r="D3562" s="84"/>
      <c r="E3562" s="84"/>
      <c r="G3562" s="213"/>
      <c r="H3562" s="222"/>
    </row>
    <row r="3563" spans="1:9" s="212" customFormat="1">
      <c r="A3563" s="120"/>
      <c r="B3563" s="73"/>
      <c r="C3563" s="73"/>
      <c r="D3563" s="73"/>
      <c r="E3563" s="73"/>
      <c r="G3563" s="73"/>
      <c r="H3563" s="222"/>
    </row>
    <row r="3564" spans="1:9" s="212" customFormat="1">
      <c r="A3564" s="220"/>
      <c r="B3564" s="141"/>
      <c r="C3564" s="141"/>
      <c r="D3564" s="141"/>
      <c r="E3564" s="141"/>
      <c r="F3564" s="141"/>
      <c r="G3564" s="141"/>
      <c r="H3564" s="222"/>
    </row>
    <row r="3565" spans="1:9" s="212" customFormat="1">
      <c r="A3565" s="150"/>
      <c r="B3565" s="171"/>
      <c r="C3565" s="148"/>
      <c r="D3565" s="160"/>
      <c r="E3565" s="84"/>
      <c r="F3565" s="84"/>
      <c r="G3565" s="146"/>
      <c r="H3565" s="221"/>
    </row>
    <row r="3566" spans="1:9" s="212" customFormat="1">
      <c r="A3566" s="91"/>
      <c r="B3566" s="91"/>
      <c r="C3566" s="91"/>
      <c r="D3566" s="91"/>
      <c r="E3566" s="91"/>
      <c r="G3566" s="213"/>
      <c r="H3566" s="222"/>
    </row>
    <row r="3567" spans="1:9" s="212" customFormat="1">
      <c r="A3567" s="120"/>
      <c r="B3567" s="73"/>
      <c r="C3567" s="73"/>
      <c r="D3567" s="73"/>
      <c r="E3567" s="73"/>
      <c r="G3567" s="73"/>
      <c r="H3567" s="222"/>
    </row>
    <row r="3568" spans="1:9" s="212" customFormat="1">
      <c r="A3568" s="220"/>
      <c r="B3568" s="141"/>
      <c r="C3568" s="141"/>
      <c r="D3568" s="141"/>
      <c r="E3568" s="141"/>
      <c r="F3568" s="141"/>
      <c r="G3568" s="141"/>
      <c r="H3568" s="222"/>
    </row>
    <row r="3569" spans="1:9" s="212" customFormat="1">
      <c r="A3569" s="150"/>
      <c r="B3569" s="84"/>
      <c r="C3569" s="148"/>
      <c r="D3569" s="84"/>
      <c r="E3569" s="84"/>
      <c r="F3569" s="84"/>
      <c r="G3569" s="146"/>
      <c r="H3569" s="221"/>
    </row>
    <row r="3570" spans="1:9" s="212" customFormat="1">
      <c r="A3570" s="91"/>
      <c r="B3570" s="91"/>
      <c r="C3570" s="91"/>
      <c r="D3570" s="91"/>
      <c r="E3570" s="91"/>
      <c r="G3570" s="213"/>
      <c r="H3570" s="222"/>
    </row>
    <row r="3571" spans="1:9" s="212" customFormat="1">
      <c r="A3571" s="120"/>
      <c r="B3571" s="73"/>
      <c r="C3571" s="73"/>
      <c r="D3571" s="73"/>
      <c r="E3571" s="73"/>
      <c r="G3571" s="73"/>
      <c r="H3571" s="222"/>
    </row>
    <row r="3572" spans="1:9" s="212" customFormat="1">
      <c r="A3572" s="220"/>
      <c r="B3572" s="141"/>
      <c r="C3572" s="141"/>
      <c r="D3572" s="141"/>
      <c r="E3572" s="141"/>
      <c r="F3572" s="141"/>
      <c r="G3572" s="141"/>
      <c r="H3572" s="222"/>
    </row>
    <row r="3573" spans="1:9" s="212" customFormat="1">
      <c r="A3573" s="142"/>
      <c r="B3573" s="143"/>
      <c r="C3573" s="143"/>
      <c r="D3573" s="143"/>
      <c r="E3573" s="143"/>
      <c r="F3573" s="84"/>
      <c r="G3573" s="146"/>
      <c r="H3573" s="221"/>
    </row>
    <row r="3574" spans="1:9" s="212" customFormat="1">
      <c r="A3574" s="123"/>
      <c r="B3574" s="95"/>
      <c r="C3574" s="95"/>
      <c r="D3574" s="95"/>
      <c r="E3574" s="95"/>
      <c r="G3574" s="213"/>
      <c r="H3574" s="73"/>
    </row>
    <row r="3575" spans="1:9" s="212" customFormat="1">
      <c r="A3575" s="123"/>
      <c r="B3575" s="95"/>
      <c r="C3575" s="95"/>
      <c r="D3575" s="95"/>
      <c r="E3575" s="95"/>
      <c r="G3575" s="73"/>
      <c r="H3575" s="225"/>
    </row>
    <row r="3576" spans="1:9" s="212" customFormat="1">
      <c r="B3576" s="97"/>
      <c r="C3576" s="98"/>
      <c r="D3576" s="98"/>
      <c r="E3576" s="98"/>
      <c r="G3576" s="220"/>
    </row>
    <row r="3577" spans="1:9" s="212" customFormat="1">
      <c r="B3577" s="97"/>
      <c r="C3577" s="98"/>
      <c r="D3577" s="98"/>
      <c r="E3577" s="98"/>
      <c r="F3577" s="220"/>
      <c r="G3577" s="225"/>
      <c r="H3577" s="226"/>
    </row>
    <row r="3578" spans="1:9" s="212" customFormat="1">
      <c r="A3578" s="633"/>
      <c r="B3578" s="633"/>
      <c r="C3578" s="633"/>
      <c r="D3578" s="633"/>
      <c r="E3578" s="633"/>
      <c r="F3578" s="633"/>
      <c r="G3578" s="633"/>
    </row>
    <row r="3579" spans="1:9" s="212" customFormat="1">
      <c r="H3579" s="227"/>
      <c r="I3579" s="228"/>
    </row>
    <row r="3580" spans="1:9" s="212" customFormat="1">
      <c r="A3580" s="658"/>
      <c r="B3580" s="227"/>
      <c r="C3580" s="227"/>
      <c r="D3580" s="227"/>
      <c r="E3580" s="227"/>
      <c r="F3580" s="227"/>
      <c r="G3580" s="227"/>
      <c r="H3580" s="227"/>
      <c r="I3580" s="229"/>
    </row>
    <row r="3581" spans="1:9" s="212" customFormat="1">
      <c r="A3581" s="658"/>
      <c r="B3581" s="227"/>
      <c r="C3581" s="227"/>
      <c r="D3581" s="227"/>
      <c r="E3581" s="227"/>
      <c r="F3581" s="227"/>
      <c r="G3581" s="227"/>
    </row>
    <row r="3582" spans="1:9" s="212" customFormat="1">
      <c r="A3582" s="69"/>
      <c r="B3582" s="69"/>
      <c r="C3582" s="69"/>
      <c r="D3582" s="69"/>
      <c r="E3582" s="69"/>
    </row>
    <row r="3583" spans="1:9" s="212" customFormat="1">
      <c r="A3583" s="120"/>
      <c r="B3583" s="73"/>
      <c r="C3583" s="73"/>
      <c r="D3583" s="73"/>
      <c r="E3583" s="73"/>
      <c r="F3583" s="73"/>
      <c r="G3583" s="73"/>
      <c r="H3583" s="73"/>
    </row>
    <row r="3584" spans="1:9" s="212" customFormat="1">
      <c r="A3584" s="220"/>
      <c r="B3584" s="141"/>
      <c r="C3584" s="141"/>
      <c r="D3584" s="141"/>
      <c r="E3584" s="141"/>
      <c r="F3584" s="141"/>
      <c r="G3584" s="141"/>
      <c r="H3584" s="73"/>
    </row>
    <row r="3585" spans="1:8" s="212" customFormat="1">
      <c r="A3585" s="142"/>
      <c r="B3585" s="143"/>
      <c r="C3585" s="143"/>
      <c r="D3585" s="143"/>
      <c r="E3585" s="143"/>
      <c r="F3585" s="84"/>
      <c r="G3585" s="146"/>
      <c r="H3585" s="221"/>
    </row>
    <row r="3586" spans="1:8" s="212" customFormat="1">
      <c r="A3586" s="84"/>
      <c r="B3586" s="83"/>
      <c r="C3586" s="84"/>
      <c r="D3586" s="84"/>
      <c r="E3586" s="84"/>
      <c r="G3586" s="213"/>
      <c r="H3586" s="222"/>
    </row>
    <row r="3587" spans="1:8" s="212" customFormat="1">
      <c r="A3587" s="120"/>
      <c r="B3587" s="73"/>
      <c r="C3587" s="73"/>
      <c r="D3587" s="73"/>
      <c r="E3587" s="73"/>
      <c r="G3587" s="73"/>
      <c r="H3587" s="222"/>
    </row>
    <row r="3588" spans="1:8" s="212" customFormat="1">
      <c r="A3588" s="220"/>
      <c r="B3588" s="141"/>
      <c r="C3588" s="141"/>
      <c r="D3588" s="141"/>
      <c r="E3588" s="141"/>
      <c r="F3588" s="141"/>
      <c r="G3588" s="141"/>
      <c r="H3588" s="222"/>
    </row>
    <row r="3589" spans="1:8" s="212" customFormat="1">
      <c r="A3589" s="150"/>
      <c r="B3589" s="83"/>
      <c r="C3589" s="148"/>
      <c r="D3589" s="160"/>
      <c r="E3589" s="84"/>
      <c r="F3589" s="84"/>
      <c r="G3589" s="146"/>
      <c r="H3589" s="221"/>
    </row>
    <row r="3590" spans="1:8" s="212" customFormat="1">
      <c r="A3590" s="91"/>
      <c r="B3590" s="91"/>
      <c r="C3590" s="91"/>
      <c r="D3590" s="91"/>
      <c r="E3590" s="91"/>
      <c r="G3590" s="213"/>
      <c r="H3590" s="222"/>
    </row>
    <row r="3591" spans="1:8" s="212" customFormat="1">
      <c r="A3591" s="120"/>
      <c r="B3591" s="73"/>
      <c r="C3591" s="73"/>
      <c r="D3591" s="73"/>
      <c r="E3591" s="73"/>
      <c r="G3591" s="73"/>
      <c r="H3591" s="222"/>
    </row>
    <row r="3592" spans="1:8" s="212" customFormat="1">
      <c r="A3592" s="220"/>
      <c r="B3592" s="141"/>
      <c r="C3592" s="141"/>
      <c r="D3592" s="141"/>
      <c r="E3592" s="141"/>
      <c r="F3592" s="141"/>
      <c r="G3592" s="141"/>
      <c r="H3592" s="222"/>
    </row>
    <row r="3593" spans="1:8" s="212" customFormat="1">
      <c r="A3593" s="142"/>
      <c r="B3593" s="143"/>
      <c r="C3593" s="143"/>
      <c r="D3593" s="143"/>
      <c r="E3593" s="143"/>
      <c r="F3593" s="84"/>
      <c r="G3593" s="146"/>
      <c r="H3593" s="221"/>
    </row>
    <row r="3594" spans="1:8" s="212" customFormat="1">
      <c r="A3594" s="91"/>
      <c r="B3594" s="91"/>
      <c r="C3594" s="91"/>
      <c r="D3594" s="91"/>
      <c r="E3594" s="91"/>
      <c r="G3594" s="213"/>
      <c r="H3594" s="222"/>
    </row>
    <row r="3595" spans="1:8" s="212" customFormat="1">
      <c r="A3595" s="120"/>
      <c r="B3595" s="73"/>
      <c r="C3595" s="73"/>
      <c r="D3595" s="73"/>
      <c r="E3595" s="73"/>
      <c r="G3595" s="73"/>
      <c r="H3595" s="222"/>
    </row>
    <row r="3596" spans="1:8" s="212" customFormat="1">
      <c r="A3596" s="220"/>
      <c r="B3596" s="141"/>
      <c r="C3596" s="141"/>
      <c r="D3596" s="141"/>
      <c r="E3596" s="141"/>
      <c r="F3596" s="141"/>
      <c r="G3596" s="141"/>
      <c r="H3596" s="222"/>
    </row>
    <row r="3597" spans="1:8" s="212" customFormat="1">
      <c r="A3597" s="142"/>
      <c r="B3597" s="143"/>
      <c r="C3597" s="143"/>
      <c r="D3597" s="143"/>
      <c r="E3597" s="143"/>
      <c r="F3597" s="84"/>
      <c r="G3597" s="146"/>
      <c r="H3597" s="221"/>
    </row>
    <row r="3598" spans="1:8" s="212" customFormat="1">
      <c r="A3598" s="123"/>
      <c r="B3598" s="95"/>
      <c r="C3598" s="95"/>
      <c r="D3598" s="95"/>
      <c r="E3598" s="95"/>
      <c r="G3598" s="213"/>
      <c r="H3598" s="73"/>
    </row>
    <row r="3599" spans="1:8" s="212" customFormat="1">
      <c r="A3599" s="123"/>
      <c r="B3599" s="95"/>
      <c r="C3599" s="95"/>
      <c r="D3599" s="95"/>
      <c r="E3599" s="95"/>
      <c r="G3599" s="73"/>
      <c r="H3599" s="225"/>
    </row>
    <row r="3600" spans="1:8" s="212" customFormat="1">
      <c r="B3600" s="97"/>
      <c r="C3600" s="98"/>
      <c r="D3600" s="98"/>
      <c r="E3600" s="98"/>
      <c r="G3600" s="220"/>
    </row>
    <row r="3601" spans="1:9" s="212" customFormat="1">
      <c r="B3601" s="97"/>
      <c r="C3601" s="98"/>
      <c r="D3601" s="98"/>
      <c r="E3601" s="98"/>
      <c r="F3601" s="220"/>
      <c r="G3601" s="225"/>
      <c r="H3601" s="226"/>
    </row>
    <row r="3602" spans="1:9" s="212" customFormat="1">
      <c r="A3602" s="633"/>
      <c r="B3602" s="633"/>
      <c r="C3602" s="633"/>
      <c r="D3602" s="633"/>
      <c r="E3602" s="633"/>
      <c r="F3602" s="633"/>
      <c r="G3602" s="633"/>
    </row>
    <row r="3603" spans="1:9" s="212" customFormat="1">
      <c r="H3603" s="227"/>
      <c r="I3603" s="228"/>
    </row>
    <row r="3604" spans="1:9" s="212" customFormat="1">
      <c r="A3604" s="658"/>
      <c r="B3604" s="227"/>
      <c r="C3604" s="227"/>
      <c r="D3604" s="227"/>
      <c r="E3604" s="227"/>
      <c r="F3604" s="227"/>
      <c r="G3604" s="227"/>
      <c r="H3604" s="227"/>
      <c r="I3604" s="229"/>
    </row>
    <row r="3605" spans="1:9" s="212" customFormat="1">
      <c r="A3605" s="658"/>
      <c r="B3605" s="227"/>
      <c r="C3605" s="227"/>
      <c r="D3605" s="227"/>
      <c r="E3605" s="227"/>
      <c r="F3605" s="227"/>
      <c r="G3605" s="227"/>
    </row>
    <row r="3606" spans="1:9" s="212" customFormat="1">
      <c r="A3606" s="69"/>
      <c r="B3606" s="69"/>
      <c r="C3606" s="69"/>
      <c r="D3606" s="69"/>
      <c r="E3606" s="69"/>
    </row>
    <row r="3607" spans="1:9" s="212" customFormat="1">
      <c r="A3607" s="120"/>
      <c r="B3607" s="73"/>
      <c r="C3607" s="73"/>
      <c r="D3607" s="73"/>
      <c r="E3607" s="73"/>
      <c r="F3607" s="73"/>
      <c r="G3607" s="73"/>
      <c r="H3607" s="73"/>
    </row>
    <row r="3608" spans="1:9" s="212" customFormat="1">
      <c r="A3608" s="220"/>
      <c r="B3608" s="141"/>
      <c r="C3608" s="141"/>
      <c r="D3608" s="141"/>
      <c r="E3608" s="141"/>
      <c r="F3608" s="141"/>
      <c r="G3608" s="141"/>
      <c r="H3608" s="73"/>
    </row>
    <row r="3609" spans="1:9" s="212" customFormat="1">
      <c r="A3609" s="142"/>
      <c r="B3609" s="143"/>
      <c r="C3609" s="143"/>
      <c r="D3609" s="143"/>
      <c r="E3609" s="143"/>
      <c r="F3609" s="84"/>
      <c r="G3609" s="146"/>
      <c r="H3609" s="221"/>
    </row>
    <row r="3610" spans="1:9" s="212" customFormat="1">
      <c r="A3610" s="84"/>
      <c r="B3610" s="83"/>
      <c r="C3610" s="84"/>
      <c r="D3610" s="84"/>
      <c r="E3610" s="84"/>
      <c r="G3610" s="213"/>
      <c r="H3610" s="222"/>
    </row>
    <row r="3611" spans="1:9" s="212" customFormat="1">
      <c r="A3611" s="120"/>
      <c r="B3611" s="73"/>
      <c r="C3611" s="73"/>
      <c r="D3611" s="73"/>
      <c r="E3611" s="73"/>
      <c r="G3611" s="73"/>
      <c r="H3611" s="222"/>
    </row>
    <row r="3612" spans="1:9" s="212" customFormat="1">
      <c r="A3612" s="220"/>
      <c r="B3612" s="141"/>
      <c r="C3612" s="141"/>
      <c r="D3612" s="141"/>
      <c r="E3612" s="141"/>
      <c r="F3612" s="141"/>
      <c r="G3612" s="141"/>
      <c r="H3612" s="222"/>
    </row>
    <row r="3613" spans="1:9" s="212" customFormat="1">
      <c r="A3613" s="150"/>
      <c r="B3613" s="83"/>
      <c r="C3613" s="148"/>
      <c r="D3613" s="160"/>
      <c r="E3613" s="84"/>
      <c r="F3613" s="84"/>
      <c r="G3613" s="146"/>
      <c r="H3613" s="221"/>
    </row>
    <row r="3614" spans="1:9" s="212" customFormat="1">
      <c r="A3614" s="91"/>
      <c r="B3614" s="91"/>
      <c r="C3614" s="91"/>
      <c r="D3614" s="91"/>
      <c r="E3614" s="91"/>
      <c r="G3614" s="213"/>
      <c r="H3614" s="222"/>
    </row>
    <row r="3615" spans="1:9" s="212" customFormat="1">
      <c r="A3615" s="120"/>
      <c r="B3615" s="73"/>
      <c r="C3615" s="73"/>
      <c r="D3615" s="73"/>
      <c r="E3615" s="73"/>
      <c r="G3615" s="73"/>
      <c r="H3615" s="222"/>
    </row>
    <row r="3616" spans="1:9" s="212" customFormat="1">
      <c r="A3616" s="220"/>
      <c r="B3616" s="141"/>
      <c r="C3616" s="141"/>
      <c r="D3616" s="141"/>
      <c r="E3616" s="141"/>
      <c r="F3616" s="141"/>
      <c r="G3616" s="141"/>
      <c r="H3616" s="222"/>
    </row>
    <row r="3617" spans="1:9" s="212" customFormat="1">
      <c r="A3617" s="142"/>
      <c r="B3617" s="143"/>
      <c r="C3617" s="143"/>
      <c r="D3617" s="143"/>
      <c r="E3617" s="143"/>
      <c r="F3617" s="84"/>
      <c r="G3617" s="146"/>
      <c r="H3617" s="221"/>
    </row>
    <row r="3618" spans="1:9" s="212" customFormat="1">
      <c r="A3618" s="91"/>
      <c r="B3618" s="91"/>
      <c r="C3618" s="91"/>
      <c r="D3618" s="91"/>
      <c r="E3618" s="91"/>
      <c r="G3618" s="213"/>
      <c r="H3618" s="222"/>
    </row>
    <row r="3619" spans="1:9" s="212" customFormat="1">
      <c r="A3619" s="120"/>
      <c r="B3619" s="73"/>
      <c r="C3619" s="73"/>
      <c r="D3619" s="73"/>
      <c r="E3619" s="73"/>
      <c r="G3619" s="73"/>
      <c r="H3619" s="222"/>
    </row>
    <row r="3620" spans="1:9" s="212" customFormat="1">
      <c r="A3620" s="220"/>
      <c r="B3620" s="141"/>
      <c r="C3620" s="141"/>
      <c r="D3620" s="141"/>
      <c r="E3620" s="141"/>
      <c r="F3620" s="141"/>
      <c r="G3620" s="141"/>
      <c r="H3620" s="222"/>
    </row>
    <row r="3621" spans="1:9" s="212" customFormat="1">
      <c r="A3621" s="142"/>
      <c r="B3621" s="143"/>
      <c r="C3621" s="143"/>
      <c r="D3621" s="143"/>
      <c r="E3621" s="143"/>
      <c r="F3621" s="84"/>
      <c r="G3621" s="146"/>
      <c r="H3621" s="221"/>
    </row>
    <row r="3622" spans="1:9" s="212" customFormat="1">
      <c r="A3622" s="123"/>
      <c r="B3622" s="95"/>
      <c r="C3622" s="95"/>
      <c r="D3622" s="95"/>
      <c r="E3622" s="95"/>
      <c r="G3622" s="213"/>
      <c r="H3622" s="73"/>
    </row>
    <row r="3623" spans="1:9" s="212" customFormat="1">
      <c r="A3623" s="123"/>
      <c r="B3623" s="95"/>
      <c r="C3623" s="95"/>
      <c r="D3623" s="95"/>
      <c r="E3623" s="95"/>
      <c r="G3623" s="73"/>
      <c r="H3623" s="225"/>
    </row>
    <row r="3624" spans="1:9" s="212" customFormat="1">
      <c r="B3624" s="97"/>
      <c r="C3624" s="98"/>
      <c r="D3624" s="98"/>
      <c r="E3624" s="98"/>
      <c r="G3624" s="220"/>
    </row>
    <row r="3625" spans="1:9" s="212" customFormat="1">
      <c r="B3625" s="97"/>
      <c r="C3625" s="98"/>
      <c r="D3625" s="98"/>
      <c r="E3625" s="98"/>
      <c r="F3625" s="220"/>
      <c r="G3625" s="225"/>
      <c r="H3625" s="226"/>
    </row>
    <row r="3626" spans="1:9" s="212" customFormat="1">
      <c r="A3626" s="633"/>
      <c r="B3626" s="633"/>
      <c r="C3626" s="633"/>
      <c r="D3626" s="633"/>
      <c r="E3626" s="633"/>
      <c r="F3626" s="633"/>
      <c r="G3626" s="633"/>
    </row>
    <row r="3627" spans="1:9" s="212" customFormat="1">
      <c r="H3627" s="227"/>
      <c r="I3627" s="228"/>
    </row>
    <row r="3628" spans="1:9" s="212" customFormat="1">
      <c r="A3628" s="658"/>
      <c r="B3628" s="227"/>
      <c r="C3628" s="227"/>
      <c r="D3628" s="227"/>
      <c r="E3628" s="227"/>
      <c r="F3628" s="227"/>
      <c r="G3628" s="227"/>
      <c r="H3628" s="227"/>
      <c r="I3628" s="229"/>
    </row>
    <row r="3629" spans="1:9" s="212" customFormat="1">
      <c r="A3629" s="658"/>
      <c r="B3629" s="227"/>
      <c r="C3629" s="227"/>
      <c r="D3629" s="227"/>
      <c r="E3629" s="227"/>
      <c r="F3629" s="227"/>
      <c r="G3629" s="227"/>
    </row>
    <row r="3630" spans="1:9" s="212" customFormat="1">
      <c r="A3630" s="69"/>
      <c r="B3630" s="69"/>
      <c r="C3630" s="69"/>
      <c r="D3630" s="69"/>
      <c r="E3630" s="69"/>
    </row>
    <row r="3631" spans="1:9" s="212" customFormat="1">
      <c r="A3631" s="120"/>
      <c r="B3631" s="73"/>
      <c r="C3631" s="73"/>
      <c r="D3631" s="73"/>
      <c r="E3631" s="73"/>
      <c r="F3631" s="73"/>
      <c r="G3631" s="73"/>
      <c r="H3631" s="73"/>
    </row>
    <row r="3632" spans="1:9" s="212" customFormat="1">
      <c r="A3632" s="220"/>
      <c r="B3632" s="141"/>
      <c r="C3632" s="141"/>
      <c r="D3632" s="141"/>
      <c r="E3632" s="141"/>
      <c r="F3632" s="141"/>
      <c r="G3632" s="141"/>
      <c r="H3632" s="73"/>
    </row>
    <row r="3633" spans="1:8" s="212" customFormat="1">
      <c r="A3633" s="142"/>
      <c r="B3633" s="143"/>
      <c r="C3633" s="143"/>
      <c r="D3633" s="143"/>
      <c r="E3633" s="143"/>
      <c r="F3633" s="84"/>
      <c r="G3633" s="146"/>
      <c r="H3633" s="221"/>
    </row>
    <row r="3634" spans="1:8" s="212" customFormat="1">
      <c r="A3634" s="84"/>
      <c r="B3634" s="83"/>
      <c r="C3634" s="84"/>
      <c r="D3634" s="84"/>
      <c r="E3634" s="84"/>
      <c r="G3634" s="213"/>
      <c r="H3634" s="222"/>
    </row>
    <row r="3635" spans="1:8" s="212" customFormat="1">
      <c r="A3635" s="120"/>
      <c r="B3635" s="73"/>
      <c r="C3635" s="73"/>
      <c r="D3635" s="73"/>
      <c r="E3635" s="73"/>
      <c r="G3635" s="73"/>
      <c r="H3635" s="222"/>
    </row>
    <row r="3636" spans="1:8" s="212" customFormat="1">
      <c r="A3636" s="220"/>
      <c r="B3636" s="141"/>
      <c r="C3636" s="141"/>
      <c r="D3636" s="141"/>
      <c r="E3636" s="141"/>
      <c r="F3636" s="141"/>
      <c r="G3636" s="141"/>
      <c r="H3636" s="222"/>
    </row>
    <row r="3637" spans="1:8" s="212" customFormat="1">
      <c r="A3637" s="150"/>
      <c r="B3637" s="83"/>
      <c r="C3637" s="148"/>
      <c r="D3637" s="160"/>
      <c r="E3637" s="84"/>
      <c r="F3637" s="84"/>
      <c r="G3637" s="146"/>
      <c r="H3637" s="221"/>
    </row>
    <row r="3638" spans="1:8" s="212" customFormat="1">
      <c r="A3638" s="91"/>
      <c r="B3638" s="91"/>
      <c r="C3638" s="91"/>
      <c r="D3638" s="91"/>
      <c r="E3638" s="91"/>
      <c r="G3638" s="213"/>
      <c r="H3638" s="222"/>
    </row>
    <row r="3639" spans="1:8" s="212" customFormat="1">
      <c r="A3639" s="120"/>
      <c r="B3639" s="73"/>
      <c r="C3639" s="73"/>
      <c r="D3639" s="73"/>
      <c r="E3639" s="73"/>
      <c r="G3639" s="73"/>
      <c r="H3639" s="222"/>
    </row>
    <row r="3640" spans="1:8" s="212" customFormat="1">
      <c r="A3640" s="220"/>
      <c r="B3640" s="141"/>
      <c r="C3640" s="141"/>
      <c r="D3640" s="141"/>
      <c r="E3640" s="141"/>
      <c r="F3640" s="141"/>
      <c r="G3640" s="141"/>
      <c r="H3640" s="222"/>
    </row>
    <row r="3641" spans="1:8" s="212" customFormat="1">
      <c r="A3641" s="142"/>
      <c r="B3641" s="143"/>
      <c r="C3641" s="143"/>
      <c r="D3641" s="143"/>
      <c r="E3641" s="143"/>
      <c r="F3641" s="84"/>
      <c r="G3641" s="146"/>
      <c r="H3641" s="221"/>
    </row>
    <row r="3642" spans="1:8" s="212" customFormat="1">
      <c r="A3642" s="91"/>
      <c r="B3642" s="91"/>
      <c r="C3642" s="91"/>
      <c r="D3642" s="91"/>
      <c r="E3642" s="91"/>
      <c r="G3642" s="213"/>
      <c r="H3642" s="222"/>
    </row>
    <row r="3643" spans="1:8" s="212" customFormat="1">
      <c r="A3643" s="120"/>
      <c r="B3643" s="73"/>
      <c r="C3643" s="73"/>
      <c r="D3643" s="73"/>
      <c r="E3643" s="73"/>
      <c r="G3643" s="73"/>
      <c r="H3643" s="222"/>
    </row>
    <row r="3644" spans="1:8" s="212" customFormat="1">
      <c r="A3644" s="220"/>
      <c r="B3644" s="141"/>
      <c r="C3644" s="141"/>
      <c r="D3644" s="141"/>
      <c r="E3644" s="141"/>
      <c r="F3644" s="141"/>
      <c r="G3644" s="141"/>
      <c r="H3644" s="222"/>
    </row>
    <row r="3645" spans="1:8" s="212" customFormat="1">
      <c r="A3645" s="142"/>
      <c r="B3645" s="143"/>
      <c r="C3645" s="143"/>
      <c r="D3645" s="143"/>
      <c r="E3645" s="143"/>
      <c r="F3645" s="84"/>
      <c r="G3645" s="146"/>
      <c r="H3645" s="221"/>
    </row>
    <row r="3646" spans="1:8" s="212" customFormat="1">
      <c r="A3646" s="123"/>
      <c r="B3646" s="95"/>
      <c r="C3646" s="95"/>
      <c r="D3646" s="95"/>
      <c r="E3646" s="95"/>
      <c r="G3646" s="213"/>
      <c r="H3646" s="73"/>
    </row>
    <row r="3647" spans="1:8" s="212" customFormat="1">
      <c r="A3647" s="123"/>
      <c r="B3647" s="95"/>
      <c r="C3647" s="95"/>
      <c r="D3647" s="95"/>
      <c r="E3647" s="95"/>
      <c r="G3647" s="73"/>
      <c r="H3647" s="225"/>
    </row>
    <row r="3648" spans="1:8" s="212" customFormat="1">
      <c r="B3648" s="97"/>
      <c r="C3648" s="98"/>
      <c r="D3648" s="98"/>
      <c r="E3648" s="98"/>
      <c r="G3648" s="220"/>
    </row>
    <row r="3649" spans="1:9" s="212" customFormat="1">
      <c r="B3649" s="97"/>
      <c r="C3649" s="98"/>
      <c r="D3649" s="98"/>
      <c r="E3649" s="98"/>
      <c r="F3649" s="220"/>
      <c r="G3649" s="225"/>
      <c r="H3649" s="226"/>
    </row>
    <row r="3650" spans="1:9" s="212" customFormat="1">
      <c r="A3650" s="633"/>
      <c r="B3650" s="633"/>
      <c r="C3650" s="633"/>
      <c r="D3650" s="633"/>
      <c r="E3650" s="633"/>
      <c r="F3650" s="633"/>
      <c r="G3650" s="633"/>
    </row>
    <row r="3651" spans="1:9" s="212" customFormat="1">
      <c r="H3651" s="227"/>
      <c r="I3651" s="228"/>
    </row>
    <row r="3652" spans="1:9" s="212" customFormat="1">
      <c r="A3652" s="658"/>
      <c r="B3652" s="227"/>
      <c r="C3652" s="227"/>
      <c r="D3652" s="227"/>
      <c r="E3652" s="227"/>
      <c r="F3652" s="227"/>
      <c r="G3652" s="227"/>
      <c r="H3652" s="227"/>
      <c r="I3652" s="229"/>
    </row>
    <row r="3653" spans="1:9" s="212" customFormat="1">
      <c r="A3653" s="658"/>
      <c r="B3653" s="227"/>
      <c r="C3653" s="227"/>
      <c r="D3653" s="227"/>
      <c r="E3653" s="227"/>
      <c r="F3653" s="227"/>
      <c r="G3653" s="227"/>
    </row>
    <row r="3654" spans="1:9" s="212" customFormat="1">
      <c r="A3654" s="69"/>
      <c r="B3654" s="69"/>
      <c r="C3654" s="69"/>
      <c r="D3654" s="69"/>
      <c r="E3654" s="69"/>
    </row>
    <row r="3655" spans="1:9" s="212" customFormat="1">
      <c r="A3655" s="120"/>
      <c r="B3655" s="73"/>
      <c r="C3655" s="73"/>
      <c r="D3655" s="73"/>
      <c r="E3655" s="73"/>
      <c r="F3655" s="73"/>
      <c r="G3655" s="73"/>
      <c r="H3655" s="73"/>
    </row>
    <row r="3656" spans="1:9" s="212" customFormat="1">
      <c r="A3656" s="220"/>
      <c r="B3656" s="141"/>
      <c r="C3656" s="141"/>
      <c r="D3656" s="141"/>
      <c r="E3656" s="141"/>
      <c r="F3656" s="141"/>
      <c r="G3656" s="141"/>
      <c r="H3656" s="73"/>
    </row>
    <row r="3657" spans="1:9" s="212" customFormat="1">
      <c r="A3657" s="142"/>
      <c r="B3657" s="143"/>
      <c r="C3657" s="143"/>
      <c r="D3657" s="143"/>
      <c r="E3657" s="143"/>
      <c r="F3657" s="84"/>
      <c r="G3657" s="146"/>
      <c r="H3657" s="221"/>
    </row>
    <row r="3658" spans="1:9" s="212" customFormat="1">
      <c r="A3658" s="84"/>
      <c r="B3658" s="83"/>
      <c r="C3658" s="84"/>
      <c r="D3658" s="84"/>
      <c r="E3658" s="84"/>
      <c r="G3658" s="213"/>
      <c r="H3658" s="222"/>
    </row>
    <row r="3659" spans="1:9" s="212" customFormat="1">
      <c r="A3659" s="120"/>
      <c r="B3659" s="73"/>
      <c r="C3659" s="73"/>
      <c r="D3659" s="73"/>
      <c r="E3659" s="73"/>
      <c r="G3659" s="73"/>
      <c r="H3659" s="222"/>
    </row>
    <row r="3660" spans="1:9" s="212" customFormat="1">
      <c r="A3660" s="220"/>
      <c r="B3660" s="141"/>
      <c r="C3660" s="141"/>
      <c r="D3660" s="141"/>
      <c r="E3660" s="141"/>
      <c r="F3660" s="141"/>
      <c r="G3660" s="141"/>
      <c r="H3660" s="222"/>
    </row>
    <row r="3661" spans="1:9" s="212" customFormat="1">
      <c r="A3661" s="150"/>
      <c r="B3661" s="83"/>
      <c r="C3661" s="148"/>
      <c r="D3661" s="160"/>
      <c r="E3661" s="84"/>
      <c r="F3661" s="84"/>
      <c r="G3661" s="146"/>
      <c r="H3661" s="221"/>
    </row>
    <row r="3662" spans="1:9" s="212" customFormat="1">
      <c r="A3662" s="91"/>
      <c r="B3662" s="91"/>
      <c r="C3662" s="91"/>
      <c r="D3662" s="91"/>
      <c r="E3662" s="91"/>
      <c r="G3662" s="213"/>
      <c r="H3662" s="222"/>
    </row>
    <row r="3663" spans="1:9" s="212" customFormat="1">
      <c r="A3663" s="120"/>
      <c r="B3663" s="73"/>
      <c r="C3663" s="73"/>
      <c r="D3663" s="73"/>
      <c r="E3663" s="73"/>
      <c r="G3663" s="73"/>
      <c r="H3663" s="222"/>
    </row>
    <row r="3664" spans="1:9" s="212" customFormat="1">
      <c r="A3664" s="220"/>
      <c r="B3664" s="141"/>
      <c r="C3664" s="141"/>
      <c r="D3664" s="141"/>
      <c r="E3664" s="141"/>
      <c r="F3664" s="141"/>
      <c r="G3664" s="141"/>
      <c r="H3664" s="222"/>
    </row>
    <row r="3665" spans="1:9" s="212" customFormat="1">
      <c r="A3665" s="142"/>
      <c r="B3665" s="143"/>
      <c r="C3665" s="143"/>
      <c r="D3665" s="143"/>
      <c r="E3665" s="143"/>
      <c r="F3665" s="84"/>
      <c r="G3665" s="146"/>
      <c r="H3665" s="221"/>
    </row>
    <row r="3666" spans="1:9" s="212" customFormat="1">
      <c r="A3666" s="91"/>
      <c r="B3666" s="91"/>
      <c r="C3666" s="91"/>
      <c r="D3666" s="91"/>
      <c r="E3666" s="91"/>
      <c r="G3666" s="213"/>
      <c r="H3666" s="222"/>
    </row>
    <row r="3667" spans="1:9" s="212" customFormat="1">
      <c r="A3667" s="120"/>
      <c r="B3667" s="73"/>
      <c r="C3667" s="73"/>
      <c r="D3667" s="73"/>
      <c r="E3667" s="73"/>
      <c r="G3667" s="73"/>
      <c r="H3667" s="222"/>
    </row>
    <row r="3668" spans="1:9" s="212" customFormat="1">
      <c r="A3668" s="220"/>
      <c r="B3668" s="141"/>
      <c r="C3668" s="141"/>
      <c r="D3668" s="141"/>
      <c r="E3668" s="141"/>
      <c r="F3668" s="141"/>
      <c r="G3668" s="141"/>
      <c r="H3668" s="222"/>
    </row>
    <row r="3669" spans="1:9" s="212" customFormat="1">
      <c r="A3669" s="142"/>
      <c r="B3669" s="143"/>
      <c r="C3669" s="143"/>
      <c r="D3669" s="143"/>
      <c r="E3669" s="143"/>
      <c r="F3669" s="84"/>
      <c r="G3669" s="146"/>
      <c r="H3669" s="221"/>
    </row>
    <row r="3670" spans="1:9" s="212" customFormat="1">
      <c r="A3670" s="123"/>
      <c r="B3670" s="95"/>
      <c r="C3670" s="95"/>
      <c r="D3670" s="95"/>
      <c r="E3670" s="95"/>
      <c r="G3670" s="213"/>
      <c r="H3670" s="73"/>
    </row>
    <row r="3671" spans="1:9" s="212" customFormat="1">
      <c r="A3671" s="123"/>
      <c r="B3671" s="95"/>
      <c r="C3671" s="95"/>
      <c r="D3671" s="95"/>
      <c r="E3671" s="95"/>
      <c r="G3671" s="73"/>
      <c r="H3671" s="225"/>
    </row>
    <row r="3672" spans="1:9" s="212" customFormat="1">
      <c r="B3672" s="97"/>
      <c r="C3672" s="98"/>
      <c r="D3672" s="98"/>
      <c r="E3672" s="98"/>
      <c r="G3672" s="220"/>
    </row>
    <row r="3673" spans="1:9" s="212" customFormat="1">
      <c r="B3673" s="97"/>
      <c r="C3673" s="98"/>
      <c r="D3673" s="98"/>
      <c r="E3673" s="98"/>
      <c r="F3673" s="220"/>
      <c r="G3673" s="225"/>
      <c r="H3673" s="226"/>
    </row>
    <row r="3674" spans="1:9" s="212" customFormat="1">
      <c r="A3674" s="633"/>
      <c r="B3674" s="633"/>
      <c r="C3674" s="633"/>
      <c r="D3674" s="633"/>
      <c r="E3674" s="633"/>
      <c r="F3674" s="633"/>
      <c r="G3674" s="633"/>
    </row>
    <row r="3675" spans="1:9" s="212" customFormat="1">
      <c r="H3675" s="227"/>
      <c r="I3675" s="228"/>
    </row>
    <row r="3676" spans="1:9" s="212" customFormat="1">
      <c r="A3676" s="658"/>
      <c r="B3676" s="227"/>
      <c r="C3676" s="227"/>
      <c r="D3676" s="227"/>
      <c r="E3676" s="227"/>
      <c r="F3676" s="227"/>
      <c r="G3676" s="227"/>
      <c r="H3676" s="227"/>
      <c r="I3676" s="229"/>
    </row>
    <row r="3677" spans="1:9" s="212" customFormat="1">
      <c r="A3677" s="658"/>
      <c r="B3677" s="227"/>
      <c r="C3677" s="227"/>
      <c r="D3677" s="227"/>
      <c r="E3677" s="227"/>
      <c r="F3677" s="227"/>
      <c r="G3677" s="227"/>
    </row>
    <row r="3678" spans="1:9" s="212" customFormat="1">
      <c r="A3678" s="69"/>
      <c r="B3678" s="69"/>
      <c r="C3678" s="69"/>
      <c r="D3678" s="69"/>
      <c r="E3678" s="69"/>
    </row>
    <row r="3679" spans="1:9" s="212" customFormat="1">
      <c r="A3679" s="120"/>
      <c r="B3679" s="73"/>
      <c r="C3679" s="73"/>
      <c r="D3679" s="73"/>
      <c r="E3679" s="73"/>
      <c r="F3679" s="73"/>
      <c r="G3679" s="73"/>
      <c r="H3679" s="73"/>
    </row>
    <row r="3680" spans="1:9" s="212" customFormat="1">
      <c r="A3680" s="220"/>
      <c r="B3680" s="141"/>
      <c r="C3680" s="141"/>
      <c r="D3680" s="141"/>
      <c r="E3680" s="141"/>
      <c r="F3680" s="141"/>
      <c r="G3680" s="141"/>
      <c r="H3680" s="73"/>
    </row>
    <row r="3681" spans="1:8" s="212" customFormat="1">
      <c r="A3681" s="142"/>
      <c r="B3681" s="143"/>
      <c r="C3681" s="143"/>
      <c r="D3681" s="143"/>
      <c r="E3681" s="143"/>
      <c r="F3681" s="84"/>
      <c r="G3681" s="146"/>
      <c r="H3681" s="221"/>
    </row>
    <row r="3682" spans="1:8" s="212" customFormat="1">
      <c r="A3682" s="84"/>
      <c r="B3682" s="83"/>
      <c r="C3682" s="84"/>
      <c r="D3682" s="84"/>
      <c r="E3682" s="84"/>
      <c r="G3682" s="213"/>
      <c r="H3682" s="222"/>
    </row>
    <row r="3683" spans="1:8" s="212" customFormat="1">
      <c r="A3683" s="120"/>
      <c r="B3683" s="73"/>
      <c r="C3683" s="73"/>
      <c r="D3683" s="73"/>
      <c r="E3683" s="73"/>
      <c r="G3683" s="73"/>
      <c r="H3683" s="222"/>
    </row>
    <row r="3684" spans="1:8" s="212" customFormat="1">
      <c r="A3684" s="220"/>
      <c r="B3684" s="141"/>
      <c r="C3684" s="141"/>
      <c r="D3684" s="141"/>
      <c r="E3684" s="141"/>
      <c r="F3684" s="141"/>
      <c r="G3684" s="141"/>
      <c r="H3684" s="222"/>
    </row>
    <row r="3685" spans="1:8" s="212" customFormat="1">
      <c r="A3685" s="150"/>
      <c r="B3685" s="83"/>
      <c r="C3685" s="148"/>
      <c r="D3685" s="160"/>
      <c r="E3685" s="84"/>
      <c r="F3685" s="84"/>
      <c r="G3685" s="146"/>
      <c r="H3685" s="221"/>
    </row>
    <row r="3686" spans="1:8" s="212" customFormat="1">
      <c r="A3686" s="91"/>
      <c r="B3686" s="91"/>
      <c r="C3686" s="91"/>
      <c r="D3686" s="91"/>
      <c r="E3686" s="91"/>
      <c r="G3686" s="213"/>
      <c r="H3686" s="222"/>
    </row>
    <row r="3687" spans="1:8" s="212" customFormat="1">
      <c r="A3687" s="120"/>
      <c r="B3687" s="73"/>
      <c r="C3687" s="73"/>
      <c r="D3687" s="73"/>
      <c r="E3687" s="73"/>
      <c r="G3687" s="73"/>
      <c r="H3687" s="222"/>
    </row>
    <row r="3688" spans="1:8" s="212" customFormat="1">
      <c r="A3688" s="220"/>
      <c r="B3688" s="141"/>
      <c r="C3688" s="141"/>
      <c r="D3688" s="141"/>
      <c r="E3688" s="141"/>
      <c r="F3688" s="141"/>
      <c r="G3688" s="141"/>
      <c r="H3688" s="222"/>
    </row>
    <row r="3689" spans="1:8" s="212" customFormat="1">
      <c r="A3689" s="142"/>
      <c r="B3689" s="143"/>
      <c r="C3689" s="143"/>
      <c r="D3689" s="143"/>
      <c r="E3689" s="143"/>
      <c r="F3689" s="84"/>
      <c r="G3689" s="146"/>
      <c r="H3689" s="221"/>
    </row>
    <row r="3690" spans="1:8" s="212" customFormat="1">
      <c r="A3690" s="91"/>
      <c r="B3690" s="91"/>
      <c r="C3690" s="91"/>
      <c r="D3690" s="91"/>
      <c r="E3690" s="91"/>
      <c r="G3690" s="213"/>
      <c r="H3690" s="222"/>
    </row>
    <row r="3691" spans="1:8" s="212" customFormat="1">
      <c r="A3691" s="120"/>
      <c r="B3691" s="73"/>
      <c r="C3691" s="73"/>
      <c r="D3691" s="73"/>
      <c r="E3691" s="73"/>
      <c r="G3691" s="73"/>
      <c r="H3691" s="222"/>
    </row>
    <row r="3692" spans="1:8" s="212" customFormat="1">
      <c r="A3692" s="220"/>
      <c r="B3692" s="141"/>
      <c r="C3692" s="141"/>
      <c r="D3692" s="141"/>
      <c r="E3692" s="141"/>
      <c r="F3692" s="141"/>
      <c r="G3692" s="141"/>
      <c r="H3692" s="222"/>
    </row>
    <row r="3693" spans="1:8" s="212" customFormat="1">
      <c r="A3693" s="142"/>
      <c r="B3693" s="143"/>
      <c r="C3693" s="143"/>
      <c r="D3693" s="143"/>
      <c r="E3693" s="143"/>
      <c r="F3693" s="84"/>
      <c r="G3693" s="146"/>
      <c r="H3693" s="221"/>
    </row>
    <row r="3694" spans="1:8" s="212" customFormat="1">
      <c r="A3694" s="123"/>
      <c r="B3694" s="95"/>
      <c r="C3694" s="95"/>
      <c r="D3694" s="95"/>
      <c r="E3694" s="95"/>
      <c r="G3694" s="213"/>
      <c r="H3694" s="73"/>
    </row>
    <row r="3695" spans="1:8" s="212" customFormat="1">
      <c r="A3695" s="123"/>
      <c r="B3695" s="95"/>
      <c r="C3695" s="95"/>
      <c r="D3695" s="95"/>
      <c r="E3695" s="95"/>
      <c r="G3695" s="73"/>
      <c r="H3695" s="225"/>
    </row>
    <row r="3696" spans="1:8" s="212" customFormat="1">
      <c r="B3696" s="97"/>
      <c r="C3696" s="98"/>
      <c r="D3696" s="98"/>
      <c r="E3696" s="98"/>
      <c r="G3696" s="220"/>
    </row>
    <row r="3697" spans="1:9" s="212" customFormat="1">
      <c r="B3697" s="97"/>
      <c r="C3697" s="98"/>
      <c r="D3697" s="98"/>
      <c r="E3697" s="98"/>
      <c r="F3697" s="220"/>
      <c r="G3697" s="225"/>
      <c r="H3697" s="226"/>
    </row>
    <row r="3698" spans="1:9" s="212" customFormat="1">
      <c r="A3698" s="633"/>
      <c r="B3698" s="633"/>
      <c r="C3698" s="633"/>
      <c r="D3698" s="633"/>
      <c r="E3698" s="633"/>
      <c r="F3698" s="633"/>
      <c r="G3698" s="633"/>
    </row>
    <row r="3699" spans="1:9" s="212" customFormat="1">
      <c r="H3699" s="227"/>
      <c r="I3699" s="228"/>
    </row>
    <row r="3700" spans="1:9" s="212" customFormat="1">
      <c r="A3700" s="658"/>
      <c r="B3700" s="227"/>
      <c r="C3700" s="227"/>
      <c r="D3700" s="227"/>
      <c r="E3700" s="227"/>
      <c r="F3700" s="227"/>
      <c r="G3700" s="227"/>
      <c r="H3700" s="227"/>
      <c r="I3700" s="229"/>
    </row>
    <row r="3701" spans="1:9" s="212" customFormat="1">
      <c r="A3701" s="658"/>
      <c r="B3701" s="227"/>
      <c r="C3701" s="227"/>
      <c r="D3701" s="227"/>
      <c r="E3701" s="227"/>
      <c r="F3701" s="227"/>
      <c r="G3701" s="227"/>
    </row>
    <row r="3702" spans="1:9" s="212" customFormat="1">
      <c r="A3702" s="69"/>
      <c r="B3702" s="69"/>
      <c r="C3702" s="69"/>
      <c r="D3702" s="69"/>
      <c r="E3702" s="69"/>
    </row>
    <row r="3703" spans="1:9" s="212" customFormat="1">
      <c r="A3703" s="120"/>
      <c r="B3703" s="73"/>
      <c r="C3703" s="73"/>
      <c r="D3703" s="73"/>
      <c r="E3703" s="73"/>
      <c r="F3703" s="73"/>
      <c r="G3703" s="73"/>
      <c r="H3703" s="73"/>
    </row>
    <row r="3704" spans="1:9" s="212" customFormat="1">
      <c r="A3704" s="220"/>
      <c r="B3704" s="141"/>
      <c r="C3704" s="141"/>
      <c r="D3704" s="141"/>
      <c r="E3704" s="141"/>
      <c r="F3704" s="141"/>
      <c r="G3704" s="141"/>
      <c r="H3704" s="73"/>
    </row>
    <row r="3705" spans="1:9" s="212" customFormat="1">
      <c r="A3705" s="142"/>
      <c r="B3705" s="143"/>
      <c r="C3705" s="143"/>
      <c r="D3705" s="143"/>
      <c r="E3705" s="143"/>
      <c r="F3705" s="84"/>
      <c r="G3705" s="146"/>
      <c r="H3705" s="221"/>
    </row>
    <row r="3706" spans="1:9" s="212" customFormat="1">
      <c r="A3706" s="84"/>
      <c r="B3706" s="83"/>
      <c r="C3706" s="84"/>
      <c r="D3706" s="84"/>
      <c r="E3706" s="84"/>
      <c r="G3706" s="213"/>
      <c r="H3706" s="222"/>
    </row>
    <row r="3707" spans="1:9" s="212" customFormat="1">
      <c r="A3707" s="120"/>
      <c r="B3707" s="73"/>
      <c r="C3707" s="73"/>
      <c r="D3707" s="73"/>
      <c r="E3707" s="73"/>
      <c r="G3707" s="73"/>
      <c r="H3707" s="222"/>
    </row>
    <row r="3708" spans="1:9" s="212" customFormat="1">
      <c r="A3708" s="220"/>
      <c r="B3708" s="141"/>
      <c r="C3708" s="141"/>
      <c r="D3708" s="141"/>
      <c r="E3708" s="141"/>
      <c r="F3708" s="141"/>
      <c r="G3708" s="141"/>
      <c r="H3708" s="222"/>
    </row>
    <row r="3709" spans="1:9" s="212" customFormat="1">
      <c r="A3709" s="150"/>
      <c r="B3709" s="83"/>
      <c r="C3709" s="148"/>
      <c r="D3709" s="160"/>
      <c r="E3709" s="84"/>
      <c r="F3709" s="84"/>
      <c r="G3709" s="146"/>
      <c r="H3709" s="221"/>
    </row>
    <row r="3710" spans="1:9" s="212" customFormat="1">
      <c r="A3710" s="91"/>
      <c r="B3710" s="91"/>
      <c r="C3710" s="91"/>
      <c r="D3710" s="91"/>
      <c r="E3710" s="91"/>
      <c r="G3710" s="213"/>
      <c r="H3710" s="222"/>
    </row>
    <row r="3711" spans="1:9" s="212" customFormat="1">
      <c r="A3711" s="120"/>
      <c r="B3711" s="73"/>
      <c r="C3711" s="73"/>
      <c r="D3711" s="73"/>
      <c r="E3711" s="73"/>
      <c r="G3711" s="73"/>
      <c r="H3711" s="222"/>
    </row>
    <row r="3712" spans="1:9" s="212" customFormat="1">
      <c r="A3712" s="220"/>
      <c r="B3712" s="141"/>
      <c r="C3712" s="141"/>
      <c r="D3712" s="141"/>
      <c r="E3712" s="141"/>
      <c r="F3712" s="141"/>
      <c r="G3712" s="141"/>
      <c r="H3712" s="222"/>
    </row>
    <row r="3713" spans="1:9" s="212" customFormat="1">
      <c r="A3713" s="142"/>
      <c r="B3713" s="143"/>
      <c r="C3713" s="143"/>
      <c r="D3713" s="143"/>
      <c r="E3713" s="143"/>
      <c r="F3713" s="84"/>
      <c r="G3713" s="146"/>
      <c r="H3713" s="221"/>
    </row>
    <row r="3714" spans="1:9" s="212" customFormat="1">
      <c r="A3714" s="91"/>
      <c r="B3714" s="91"/>
      <c r="C3714" s="91"/>
      <c r="D3714" s="91"/>
      <c r="E3714" s="91"/>
      <c r="G3714" s="213"/>
      <c r="H3714" s="222"/>
    </row>
    <row r="3715" spans="1:9" s="212" customFormat="1">
      <c r="A3715" s="120"/>
      <c r="B3715" s="73"/>
      <c r="C3715" s="73"/>
      <c r="D3715" s="73"/>
      <c r="E3715" s="73"/>
      <c r="G3715" s="73"/>
      <c r="H3715" s="222"/>
    </row>
    <row r="3716" spans="1:9" s="212" customFormat="1">
      <c r="A3716" s="220"/>
      <c r="B3716" s="141"/>
      <c r="C3716" s="141"/>
      <c r="D3716" s="141"/>
      <c r="E3716" s="141"/>
      <c r="F3716" s="141"/>
      <c r="G3716" s="141"/>
      <c r="H3716" s="222"/>
    </row>
    <row r="3717" spans="1:9" s="212" customFormat="1">
      <c r="A3717" s="142"/>
      <c r="B3717" s="143"/>
      <c r="C3717" s="143"/>
      <c r="D3717" s="143"/>
      <c r="E3717" s="143"/>
      <c r="F3717" s="84"/>
      <c r="G3717" s="146"/>
      <c r="H3717" s="221"/>
    </row>
    <row r="3718" spans="1:9" s="212" customFormat="1">
      <c r="A3718" s="123"/>
      <c r="B3718" s="95"/>
      <c r="C3718" s="95"/>
      <c r="D3718" s="95"/>
      <c r="E3718" s="95"/>
      <c r="G3718" s="213"/>
      <c r="H3718" s="73"/>
    </row>
    <row r="3719" spans="1:9" s="212" customFormat="1">
      <c r="A3719" s="123"/>
      <c r="B3719" s="95"/>
      <c r="C3719" s="95"/>
      <c r="D3719" s="95"/>
      <c r="E3719" s="95"/>
      <c r="G3719" s="73"/>
      <c r="H3719" s="225"/>
    </row>
    <row r="3720" spans="1:9" s="212" customFormat="1">
      <c r="B3720" s="97"/>
      <c r="C3720" s="98"/>
      <c r="D3720" s="98"/>
      <c r="E3720" s="98"/>
      <c r="G3720" s="220"/>
    </row>
    <row r="3721" spans="1:9" s="212" customFormat="1">
      <c r="B3721" s="97"/>
      <c r="C3721" s="98"/>
      <c r="D3721" s="98"/>
      <c r="E3721" s="98"/>
      <c r="F3721" s="220"/>
      <c r="G3721" s="225"/>
      <c r="H3721" s="226"/>
    </row>
    <row r="3722" spans="1:9" s="212" customFormat="1">
      <c r="A3722" s="633"/>
      <c r="B3722" s="633"/>
      <c r="C3722" s="633"/>
      <c r="D3722" s="633"/>
      <c r="E3722" s="633"/>
      <c r="F3722" s="633"/>
      <c r="G3722" s="633"/>
    </row>
    <row r="3723" spans="1:9" s="212" customFormat="1">
      <c r="H3723" s="227"/>
      <c r="I3723" s="228"/>
    </row>
    <row r="3724" spans="1:9" s="212" customFormat="1">
      <c r="A3724" s="658"/>
      <c r="B3724" s="227"/>
      <c r="C3724" s="227"/>
      <c r="D3724" s="227"/>
      <c r="E3724" s="227"/>
      <c r="F3724" s="227"/>
      <c r="G3724" s="227"/>
      <c r="H3724" s="227"/>
      <c r="I3724" s="229"/>
    </row>
    <row r="3725" spans="1:9" s="212" customFormat="1">
      <c r="A3725" s="658"/>
      <c r="B3725" s="227"/>
      <c r="C3725" s="227"/>
      <c r="D3725" s="227"/>
      <c r="E3725" s="227"/>
      <c r="F3725" s="227"/>
      <c r="G3725" s="227"/>
    </row>
    <row r="3726" spans="1:9" s="212" customFormat="1">
      <c r="A3726" s="69"/>
      <c r="B3726" s="69"/>
      <c r="C3726" s="69"/>
      <c r="D3726" s="69"/>
      <c r="E3726" s="69"/>
    </row>
    <row r="3727" spans="1:9" s="212" customFormat="1">
      <c r="A3727" s="120"/>
      <c r="B3727" s="73"/>
      <c r="C3727" s="73"/>
      <c r="D3727" s="73"/>
      <c r="E3727" s="73"/>
      <c r="F3727" s="73"/>
      <c r="G3727" s="73"/>
      <c r="H3727" s="73"/>
    </row>
    <row r="3728" spans="1:9" s="212" customFormat="1">
      <c r="A3728" s="220"/>
      <c r="B3728" s="141"/>
      <c r="C3728" s="141"/>
      <c r="D3728" s="141"/>
      <c r="E3728" s="141"/>
      <c r="F3728" s="141"/>
      <c r="G3728" s="141"/>
      <c r="H3728" s="73"/>
    </row>
    <row r="3729" spans="1:8" s="212" customFormat="1">
      <c r="A3729" s="142"/>
      <c r="B3729" s="143"/>
      <c r="C3729" s="143"/>
      <c r="D3729" s="143"/>
      <c r="E3729" s="143"/>
      <c r="F3729" s="84"/>
      <c r="G3729" s="146"/>
      <c r="H3729" s="221"/>
    </row>
    <row r="3730" spans="1:8" s="212" customFormat="1">
      <c r="A3730" s="84"/>
      <c r="B3730" s="83"/>
      <c r="C3730" s="84"/>
      <c r="D3730" s="84"/>
      <c r="E3730" s="84"/>
      <c r="G3730" s="213"/>
      <c r="H3730" s="222"/>
    </row>
    <row r="3731" spans="1:8" s="212" customFormat="1">
      <c r="A3731" s="120"/>
      <c r="B3731" s="73"/>
      <c r="C3731" s="73"/>
      <c r="D3731" s="73"/>
      <c r="E3731" s="73"/>
      <c r="G3731" s="73"/>
      <c r="H3731" s="222"/>
    </row>
    <row r="3732" spans="1:8" s="212" customFormat="1">
      <c r="A3732" s="220"/>
      <c r="B3732" s="141"/>
      <c r="C3732" s="141"/>
      <c r="D3732" s="141"/>
      <c r="E3732" s="141"/>
      <c r="F3732" s="141"/>
      <c r="G3732" s="141"/>
      <c r="H3732" s="222"/>
    </row>
    <row r="3733" spans="1:8" s="212" customFormat="1">
      <c r="A3733" s="150"/>
      <c r="B3733" s="83"/>
      <c r="C3733" s="148"/>
      <c r="D3733" s="160"/>
      <c r="E3733" s="84"/>
      <c r="F3733" s="84"/>
      <c r="G3733" s="146"/>
      <c r="H3733" s="221"/>
    </row>
    <row r="3734" spans="1:8" s="212" customFormat="1">
      <c r="A3734" s="91"/>
      <c r="B3734" s="91"/>
      <c r="C3734" s="91"/>
      <c r="D3734" s="91"/>
      <c r="E3734" s="91"/>
      <c r="G3734" s="213"/>
      <c r="H3734" s="222"/>
    </row>
    <row r="3735" spans="1:8" s="212" customFormat="1">
      <c r="A3735" s="120"/>
      <c r="B3735" s="73"/>
      <c r="C3735" s="73"/>
      <c r="D3735" s="73"/>
      <c r="E3735" s="73"/>
      <c r="G3735" s="73"/>
      <c r="H3735" s="222"/>
    </row>
    <row r="3736" spans="1:8" s="212" customFormat="1">
      <c r="A3736" s="220"/>
      <c r="B3736" s="141"/>
      <c r="C3736" s="141"/>
      <c r="D3736" s="141"/>
      <c r="E3736" s="141"/>
      <c r="F3736" s="141"/>
      <c r="G3736" s="141"/>
      <c r="H3736" s="222"/>
    </row>
    <row r="3737" spans="1:8" s="212" customFormat="1">
      <c r="A3737" s="142"/>
      <c r="B3737" s="143"/>
      <c r="C3737" s="143"/>
      <c r="D3737" s="143"/>
      <c r="E3737" s="143"/>
      <c r="F3737" s="84"/>
      <c r="G3737" s="146"/>
      <c r="H3737" s="221"/>
    </row>
    <row r="3738" spans="1:8" s="212" customFormat="1">
      <c r="A3738" s="91"/>
      <c r="B3738" s="91"/>
      <c r="C3738" s="91"/>
      <c r="D3738" s="91"/>
      <c r="E3738" s="91"/>
      <c r="G3738" s="213"/>
      <c r="H3738" s="222"/>
    </row>
    <row r="3739" spans="1:8" s="212" customFormat="1">
      <c r="A3739" s="120"/>
      <c r="B3739" s="73"/>
      <c r="C3739" s="73"/>
      <c r="D3739" s="73"/>
      <c r="E3739" s="73"/>
      <c r="G3739" s="73"/>
      <c r="H3739" s="222"/>
    </row>
    <row r="3740" spans="1:8" s="212" customFormat="1">
      <c r="A3740" s="220"/>
      <c r="B3740" s="141"/>
      <c r="C3740" s="141"/>
      <c r="D3740" s="141"/>
      <c r="E3740" s="141"/>
      <c r="F3740" s="141"/>
      <c r="G3740" s="141"/>
      <c r="H3740" s="222"/>
    </row>
    <row r="3741" spans="1:8" s="212" customFormat="1">
      <c r="A3741" s="142"/>
      <c r="B3741" s="143"/>
      <c r="C3741" s="143"/>
      <c r="D3741" s="143"/>
      <c r="E3741" s="143"/>
      <c r="F3741" s="84"/>
      <c r="G3741" s="146"/>
      <c r="H3741" s="221"/>
    </row>
    <row r="3742" spans="1:8" s="212" customFormat="1">
      <c r="A3742" s="123"/>
      <c r="B3742" s="95"/>
      <c r="C3742" s="95"/>
      <c r="D3742" s="95"/>
      <c r="E3742" s="95"/>
      <c r="G3742" s="213"/>
      <c r="H3742" s="73"/>
    </row>
    <row r="3743" spans="1:8" s="212" customFormat="1">
      <c r="A3743" s="123"/>
      <c r="B3743" s="95"/>
      <c r="C3743" s="95"/>
      <c r="D3743" s="95"/>
      <c r="E3743" s="95"/>
      <c r="G3743" s="73"/>
      <c r="H3743" s="225"/>
    </row>
    <row r="3744" spans="1:8" s="212" customFormat="1">
      <c r="B3744" s="97"/>
      <c r="C3744" s="98"/>
      <c r="D3744" s="98"/>
      <c r="E3744" s="98"/>
      <c r="G3744" s="220"/>
    </row>
    <row r="3745" spans="1:9" s="212" customFormat="1">
      <c r="B3745" s="97"/>
      <c r="C3745" s="98"/>
      <c r="D3745" s="98"/>
      <c r="E3745" s="98"/>
      <c r="F3745" s="220"/>
      <c r="G3745" s="225"/>
      <c r="H3745" s="226"/>
    </row>
    <row r="3746" spans="1:9" s="212" customFormat="1">
      <c r="A3746" s="633"/>
      <c r="B3746" s="633"/>
      <c r="C3746" s="633"/>
      <c r="D3746" s="633"/>
      <c r="E3746" s="633"/>
      <c r="F3746" s="633"/>
      <c r="G3746" s="633"/>
    </row>
    <row r="3747" spans="1:9" s="212" customFormat="1">
      <c r="H3747" s="227"/>
      <c r="I3747" s="228"/>
    </row>
    <row r="3748" spans="1:9" s="212" customFormat="1">
      <c r="A3748" s="658"/>
      <c r="B3748" s="227"/>
      <c r="C3748" s="227"/>
      <c r="D3748" s="227"/>
      <c r="E3748" s="227"/>
      <c r="F3748" s="227"/>
      <c r="G3748" s="227"/>
      <c r="H3748" s="227"/>
      <c r="I3748" s="229"/>
    </row>
    <row r="3749" spans="1:9" s="212" customFormat="1">
      <c r="A3749" s="658"/>
      <c r="B3749" s="227"/>
      <c r="C3749" s="227"/>
      <c r="D3749" s="227"/>
      <c r="E3749" s="227"/>
      <c r="F3749" s="227"/>
      <c r="G3749" s="227"/>
    </row>
    <row r="3750" spans="1:9" s="212" customFormat="1">
      <c r="A3750" s="69"/>
      <c r="B3750" s="69"/>
      <c r="C3750" s="69"/>
      <c r="D3750" s="69"/>
      <c r="E3750" s="69"/>
    </row>
    <row r="3751" spans="1:9" s="212" customFormat="1">
      <c r="A3751" s="120"/>
      <c r="B3751" s="73"/>
      <c r="C3751" s="73"/>
      <c r="D3751" s="73"/>
      <c r="E3751" s="73"/>
      <c r="F3751" s="73"/>
      <c r="G3751" s="73"/>
      <c r="H3751" s="73"/>
    </row>
    <row r="3752" spans="1:9" s="212" customFormat="1">
      <c r="A3752" s="220"/>
      <c r="B3752" s="141"/>
      <c r="C3752" s="141"/>
      <c r="D3752" s="141"/>
      <c r="E3752" s="141"/>
      <c r="F3752" s="141"/>
      <c r="G3752" s="141"/>
      <c r="H3752" s="73"/>
    </row>
    <row r="3753" spans="1:9" s="212" customFormat="1">
      <c r="A3753" s="142"/>
      <c r="B3753" s="143"/>
      <c r="C3753" s="143"/>
      <c r="D3753" s="143"/>
      <c r="E3753" s="143"/>
      <c r="F3753" s="84"/>
      <c r="G3753" s="146"/>
      <c r="H3753" s="221"/>
    </row>
    <row r="3754" spans="1:9" s="212" customFormat="1">
      <c r="A3754" s="84"/>
      <c r="B3754" s="83"/>
      <c r="C3754" s="84"/>
      <c r="D3754" s="84"/>
      <c r="E3754" s="84"/>
      <c r="G3754" s="213"/>
      <c r="H3754" s="222"/>
    </row>
    <row r="3755" spans="1:9" s="212" customFormat="1">
      <c r="A3755" s="120"/>
      <c r="B3755" s="73"/>
      <c r="C3755" s="73"/>
      <c r="D3755" s="73"/>
      <c r="E3755" s="73"/>
      <c r="G3755" s="73"/>
      <c r="H3755" s="222"/>
    </row>
    <row r="3756" spans="1:9" s="212" customFormat="1">
      <c r="A3756" s="220"/>
      <c r="B3756" s="141"/>
      <c r="C3756" s="141"/>
      <c r="D3756" s="141"/>
      <c r="E3756" s="141"/>
      <c r="F3756" s="141"/>
      <c r="G3756" s="141"/>
      <c r="H3756" s="222"/>
    </row>
    <row r="3757" spans="1:9" s="212" customFormat="1">
      <c r="A3757" s="150"/>
      <c r="B3757" s="83"/>
      <c r="C3757" s="148"/>
      <c r="D3757" s="160"/>
      <c r="E3757" s="84"/>
      <c r="F3757" s="84"/>
      <c r="G3757" s="146"/>
      <c r="H3757" s="221"/>
    </row>
    <row r="3758" spans="1:9" s="212" customFormat="1">
      <c r="A3758" s="91"/>
      <c r="B3758" s="91"/>
      <c r="C3758" s="91"/>
      <c r="D3758" s="91"/>
      <c r="E3758" s="91"/>
      <c r="G3758" s="213"/>
      <c r="H3758" s="222"/>
    </row>
    <row r="3759" spans="1:9" s="212" customFormat="1">
      <c r="A3759" s="120"/>
      <c r="B3759" s="73"/>
      <c r="C3759" s="73"/>
      <c r="D3759" s="73"/>
      <c r="E3759" s="73"/>
      <c r="G3759" s="73"/>
      <c r="H3759" s="222"/>
    </row>
    <row r="3760" spans="1:9" s="212" customFormat="1">
      <c r="A3760" s="220"/>
      <c r="B3760" s="141"/>
      <c r="C3760" s="141"/>
      <c r="D3760" s="141"/>
      <c r="E3760" s="141"/>
      <c r="F3760" s="141"/>
      <c r="G3760" s="141"/>
      <c r="H3760" s="222"/>
    </row>
    <row r="3761" spans="1:9" s="212" customFormat="1">
      <c r="A3761" s="142"/>
      <c r="B3761" s="143"/>
      <c r="C3761" s="143"/>
      <c r="D3761" s="143"/>
      <c r="E3761" s="143"/>
      <c r="F3761" s="84"/>
      <c r="G3761" s="146"/>
      <c r="H3761" s="221"/>
    </row>
    <row r="3762" spans="1:9" s="212" customFormat="1">
      <c r="A3762" s="91"/>
      <c r="B3762" s="91"/>
      <c r="C3762" s="91"/>
      <c r="D3762" s="91"/>
      <c r="E3762" s="91"/>
      <c r="G3762" s="213"/>
      <c r="H3762" s="222"/>
    </row>
    <row r="3763" spans="1:9" s="212" customFormat="1">
      <c r="A3763" s="120"/>
      <c r="B3763" s="73"/>
      <c r="C3763" s="73"/>
      <c r="D3763" s="73"/>
      <c r="E3763" s="73"/>
      <c r="G3763" s="73"/>
      <c r="H3763" s="222"/>
    </row>
    <row r="3764" spans="1:9" s="212" customFormat="1">
      <c r="A3764" s="220"/>
      <c r="B3764" s="141"/>
      <c r="C3764" s="141"/>
      <c r="D3764" s="141"/>
      <c r="E3764" s="141"/>
      <c r="F3764" s="141"/>
      <c r="G3764" s="141"/>
      <c r="H3764" s="222"/>
    </row>
    <row r="3765" spans="1:9" s="212" customFormat="1">
      <c r="A3765" s="142"/>
      <c r="B3765" s="143"/>
      <c r="C3765" s="143"/>
      <c r="D3765" s="143"/>
      <c r="E3765" s="143"/>
      <c r="F3765" s="84"/>
      <c r="G3765" s="146"/>
      <c r="H3765" s="221"/>
    </row>
    <row r="3766" spans="1:9" s="212" customFormat="1">
      <c r="A3766" s="123"/>
      <c r="B3766" s="95"/>
      <c r="C3766" s="95"/>
      <c r="D3766" s="95"/>
      <c r="E3766" s="95"/>
      <c r="G3766" s="213"/>
      <c r="H3766" s="73"/>
    </row>
    <row r="3767" spans="1:9" s="212" customFormat="1">
      <c r="A3767" s="123"/>
      <c r="B3767" s="95"/>
      <c r="C3767" s="95"/>
      <c r="D3767" s="95"/>
      <c r="E3767" s="95"/>
      <c r="G3767" s="73"/>
      <c r="H3767" s="225"/>
    </row>
    <row r="3768" spans="1:9" s="212" customFormat="1">
      <c r="B3768" s="97"/>
      <c r="C3768" s="98"/>
      <c r="D3768" s="98"/>
      <c r="E3768" s="98"/>
      <c r="G3768" s="220"/>
    </row>
    <row r="3769" spans="1:9" s="212" customFormat="1">
      <c r="B3769" s="97"/>
      <c r="C3769" s="98"/>
      <c r="D3769" s="98"/>
      <c r="E3769" s="98"/>
      <c r="F3769" s="220"/>
      <c r="G3769" s="225"/>
      <c r="H3769" s="226"/>
    </row>
    <row r="3770" spans="1:9" s="212" customFormat="1">
      <c r="A3770" s="633"/>
      <c r="B3770" s="633"/>
      <c r="C3770" s="633"/>
      <c r="D3770" s="633"/>
      <c r="E3770" s="633"/>
      <c r="F3770" s="633"/>
      <c r="G3770" s="633"/>
    </row>
    <row r="3771" spans="1:9" s="212" customFormat="1">
      <c r="H3771" s="227"/>
      <c r="I3771" s="228"/>
    </row>
    <row r="3772" spans="1:9" s="212" customFormat="1">
      <c r="A3772" s="658"/>
      <c r="B3772" s="227"/>
      <c r="C3772" s="227"/>
      <c r="D3772" s="227"/>
      <c r="E3772" s="227"/>
      <c r="F3772" s="227"/>
      <c r="G3772" s="227"/>
      <c r="H3772" s="227"/>
      <c r="I3772" s="229"/>
    </row>
    <row r="3773" spans="1:9" s="212" customFormat="1">
      <c r="A3773" s="658"/>
      <c r="B3773" s="227"/>
      <c r="C3773" s="227"/>
      <c r="D3773" s="227"/>
      <c r="E3773" s="227"/>
      <c r="F3773" s="227"/>
      <c r="G3773" s="227"/>
    </row>
    <row r="3774" spans="1:9" s="212" customFormat="1">
      <c r="A3774" s="69"/>
      <c r="B3774" s="69"/>
      <c r="C3774" s="69"/>
      <c r="D3774" s="69"/>
      <c r="E3774" s="69"/>
    </row>
    <row r="3775" spans="1:9" s="212" customFormat="1">
      <c r="A3775" s="120"/>
      <c r="B3775" s="73"/>
      <c r="C3775" s="73"/>
      <c r="D3775" s="73"/>
      <c r="E3775" s="73"/>
      <c r="F3775" s="73"/>
      <c r="G3775" s="73"/>
      <c r="H3775" s="73"/>
    </row>
    <row r="3776" spans="1:9" s="212" customFormat="1">
      <c r="A3776" s="220"/>
      <c r="B3776" s="141"/>
      <c r="C3776" s="141"/>
      <c r="D3776" s="141"/>
      <c r="E3776" s="141"/>
      <c r="F3776" s="141"/>
      <c r="G3776" s="141"/>
      <c r="H3776" s="73"/>
    </row>
    <row r="3777" spans="1:8" s="212" customFormat="1">
      <c r="A3777" s="142"/>
      <c r="B3777" s="143"/>
      <c r="C3777" s="143"/>
      <c r="D3777" s="143"/>
      <c r="E3777" s="143"/>
      <c r="F3777" s="84"/>
      <c r="G3777" s="146"/>
      <c r="H3777" s="221"/>
    </row>
    <row r="3778" spans="1:8" s="212" customFormat="1">
      <c r="A3778" s="84"/>
      <c r="B3778" s="83"/>
      <c r="C3778" s="84"/>
      <c r="D3778" s="84"/>
      <c r="E3778" s="84"/>
      <c r="G3778" s="213"/>
      <c r="H3778" s="222"/>
    </row>
    <row r="3779" spans="1:8" s="212" customFormat="1">
      <c r="A3779" s="120"/>
      <c r="B3779" s="73"/>
      <c r="C3779" s="73"/>
      <c r="D3779" s="73"/>
      <c r="E3779" s="73"/>
      <c r="G3779" s="73"/>
      <c r="H3779" s="222"/>
    </row>
    <row r="3780" spans="1:8" s="212" customFormat="1">
      <c r="A3780" s="220"/>
      <c r="B3780" s="141"/>
      <c r="C3780" s="141"/>
      <c r="D3780" s="141"/>
      <c r="E3780" s="141"/>
      <c r="F3780" s="141"/>
      <c r="G3780" s="141"/>
      <c r="H3780" s="222"/>
    </row>
    <row r="3781" spans="1:8" s="212" customFormat="1">
      <c r="A3781" s="150"/>
      <c r="B3781" s="83"/>
      <c r="C3781" s="148"/>
      <c r="D3781" s="160"/>
      <c r="E3781" s="84"/>
      <c r="F3781" s="84"/>
      <c r="G3781" s="146"/>
      <c r="H3781" s="221"/>
    </row>
    <row r="3782" spans="1:8" s="212" customFormat="1">
      <c r="A3782" s="91"/>
      <c r="B3782" s="91"/>
      <c r="C3782" s="91"/>
      <c r="D3782" s="91"/>
      <c r="E3782" s="91"/>
      <c r="G3782" s="213"/>
      <c r="H3782" s="222"/>
    </row>
    <row r="3783" spans="1:8" s="212" customFormat="1">
      <c r="A3783" s="120"/>
      <c r="B3783" s="73"/>
      <c r="C3783" s="73"/>
      <c r="D3783" s="73"/>
      <c r="E3783" s="73"/>
      <c r="G3783" s="73"/>
      <c r="H3783" s="222"/>
    </row>
    <row r="3784" spans="1:8" s="212" customFormat="1">
      <c r="A3784" s="220"/>
      <c r="B3784" s="141"/>
      <c r="C3784" s="141"/>
      <c r="D3784" s="141"/>
      <c r="E3784" s="141"/>
      <c r="F3784" s="141"/>
      <c r="G3784" s="141"/>
      <c r="H3784" s="222"/>
    </row>
    <row r="3785" spans="1:8" s="212" customFormat="1">
      <c r="A3785" s="142"/>
      <c r="B3785" s="143"/>
      <c r="C3785" s="143"/>
      <c r="D3785" s="143"/>
      <c r="E3785" s="143"/>
      <c r="F3785" s="84"/>
      <c r="G3785" s="146"/>
      <c r="H3785" s="221"/>
    </row>
    <row r="3786" spans="1:8" s="212" customFormat="1">
      <c r="A3786" s="91"/>
      <c r="B3786" s="91"/>
      <c r="C3786" s="91"/>
      <c r="D3786" s="91"/>
      <c r="E3786" s="91"/>
      <c r="G3786" s="213"/>
      <c r="H3786" s="222"/>
    </row>
    <row r="3787" spans="1:8" s="212" customFormat="1">
      <c r="A3787" s="120"/>
      <c r="B3787" s="73"/>
      <c r="C3787" s="73"/>
      <c r="D3787" s="73"/>
      <c r="E3787" s="73"/>
      <c r="G3787" s="73"/>
      <c r="H3787" s="222"/>
    </row>
    <row r="3788" spans="1:8" s="212" customFormat="1">
      <c r="A3788" s="220"/>
      <c r="B3788" s="141"/>
      <c r="C3788" s="141"/>
      <c r="D3788" s="141"/>
      <c r="E3788" s="141"/>
      <c r="F3788" s="141"/>
      <c r="G3788" s="141"/>
      <c r="H3788" s="222"/>
    </row>
    <row r="3789" spans="1:8" s="212" customFormat="1">
      <c r="A3789" s="142"/>
      <c r="B3789" s="143"/>
      <c r="C3789" s="143"/>
      <c r="D3789" s="143"/>
      <c r="E3789" s="143"/>
      <c r="F3789" s="84"/>
      <c r="G3789" s="146"/>
      <c r="H3789" s="221"/>
    </row>
    <row r="3790" spans="1:8" s="212" customFormat="1">
      <c r="A3790" s="123"/>
      <c r="B3790" s="95"/>
      <c r="C3790" s="95"/>
      <c r="D3790" s="95"/>
      <c r="E3790" s="95"/>
      <c r="G3790" s="213"/>
      <c r="H3790" s="73"/>
    </row>
    <row r="3791" spans="1:8" s="212" customFormat="1">
      <c r="A3791" s="123"/>
      <c r="B3791" s="95"/>
      <c r="C3791" s="95"/>
      <c r="D3791" s="95"/>
      <c r="E3791" s="95"/>
      <c r="G3791" s="73"/>
      <c r="H3791" s="225"/>
    </row>
    <row r="3792" spans="1:8" s="212" customFormat="1">
      <c r="B3792" s="97"/>
      <c r="C3792" s="98"/>
      <c r="D3792" s="98"/>
      <c r="E3792" s="98"/>
      <c r="G3792" s="220"/>
    </row>
    <row r="3793" spans="1:9" s="212" customFormat="1">
      <c r="B3793" s="97"/>
      <c r="C3793" s="98"/>
      <c r="D3793" s="98"/>
      <c r="E3793" s="98"/>
      <c r="F3793" s="220"/>
      <c r="G3793" s="225"/>
      <c r="H3793" s="226"/>
    </row>
    <row r="3794" spans="1:9" s="212" customFormat="1">
      <c r="A3794" s="633"/>
      <c r="B3794" s="633"/>
      <c r="C3794" s="633"/>
      <c r="D3794" s="633"/>
      <c r="E3794" s="633"/>
      <c r="F3794" s="633"/>
      <c r="G3794" s="633"/>
    </row>
    <row r="3795" spans="1:9" s="212" customFormat="1">
      <c r="H3795" s="227"/>
      <c r="I3795" s="228"/>
    </row>
    <row r="3796" spans="1:9" s="212" customFormat="1">
      <c r="A3796" s="658"/>
      <c r="B3796" s="227"/>
      <c r="C3796" s="227"/>
      <c r="D3796" s="227"/>
      <c r="E3796" s="227"/>
      <c r="F3796" s="227"/>
      <c r="G3796" s="227"/>
      <c r="H3796" s="227"/>
      <c r="I3796" s="229"/>
    </row>
    <row r="3797" spans="1:9" s="212" customFormat="1">
      <c r="A3797" s="658"/>
      <c r="B3797" s="227"/>
      <c r="C3797" s="227"/>
      <c r="D3797" s="227"/>
      <c r="E3797" s="227"/>
      <c r="F3797" s="227"/>
      <c r="G3797" s="227"/>
    </row>
    <row r="3798" spans="1:9" s="212" customFormat="1">
      <c r="A3798" s="69"/>
      <c r="B3798" s="69"/>
      <c r="C3798" s="69"/>
      <c r="D3798" s="69"/>
      <c r="E3798" s="69"/>
    </row>
    <row r="3799" spans="1:9" s="212" customFormat="1">
      <c r="A3799" s="120"/>
      <c r="B3799" s="73"/>
      <c r="C3799" s="73"/>
      <c r="D3799" s="73"/>
      <c r="E3799" s="73"/>
      <c r="F3799" s="73"/>
      <c r="G3799" s="73"/>
      <c r="H3799" s="73"/>
    </row>
    <row r="3800" spans="1:9" s="212" customFormat="1">
      <c r="A3800" s="220"/>
      <c r="B3800" s="141"/>
      <c r="C3800" s="141"/>
      <c r="D3800" s="141"/>
      <c r="E3800" s="141"/>
      <c r="F3800" s="141"/>
      <c r="G3800" s="141"/>
      <c r="H3800" s="73"/>
    </row>
    <row r="3801" spans="1:9" s="212" customFormat="1">
      <c r="A3801" s="142"/>
      <c r="B3801" s="143"/>
      <c r="C3801" s="143"/>
      <c r="D3801" s="143"/>
      <c r="E3801" s="143"/>
      <c r="F3801" s="84"/>
      <c r="G3801" s="146"/>
      <c r="H3801" s="221"/>
    </row>
    <row r="3802" spans="1:9" s="212" customFormat="1">
      <c r="A3802" s="84"/>
      <c r="B3802" s="83"/>
      <c r="C3802" s="84"/>
      <c r="D3802" s="84"/>
      <c r="E3802" s="84"/>
      <c r="G3802" s="213"/>
      <c r="H3802" s="222"/>
    </row>
    <row r="3803" spans="1:9" s="212" customFormat="1">
      <c r="A3803" s="120"/>
      <c r="B3803" s="73"/>
      <c r="C3803" s="73"/>
      <c r="D3803" s="73"/>
      <c r="E3803" s="73"/>
      <c r="G3803" s="73"/>
      <c r="H3803" s="222"/>
    </row>
    <row r="3804" spans="1:9" s="212" customFormat="1">
      <c r="A3804" s="220"/>
      <c r="B3804" s="141"/>
      <c r="C3804" s="141"/>
      <c r="D3804" s="141"/>
      <c r="E3804" s="141"/>
      <c r="F3804" s="141"/>
      <c r="G3804" s="141"/>
      <c r="H3804" s="222"/>
    </row>
    <row r="3805" spans="1:9" s="212" customFormat="1">
      <c r="A3805" s="150"/>
      <c r="B3805" s="83"/>
      <c r="C3805" s="148"/>
      <c r="D3805" s="160"/>
      <c r="E3805" s="84"/>
      <c r="F3805" s="84"/>
      <c r="G3805" s="146"/>
      <c r="H3805" s="221"/>
    </row>
    <row r="3806" spans="1:9" s="212" customFormat="1">
      <c r="A3806" s="91"/>
      <c r="B3806" s="91"/>
      <c r="C3806" s="91"/>
      <c r="D3806" s="91"/>
      <c r="E3806" s="91"/>
      <c r="G3806" s="213"/>
      <c r="H3806" s="222"/>
    </row>
    <row r="3807" spans="1:9" s="212" customFormat="1">
      <c r="A3807" s="120"/>
      <c r="B3807" s="73"/>
      <c r="C3807" s="73"/>
      <c r="D3807" s="73"/>
      <c r="E3807" s="73"/>
      <c r="G3807" s="73"/>
      <c r="H3807" s="222"/>
    </row>
    <row r="3808" spans="1:9" s="212" customFormat="1">
      <c r="A3808" s="220"/>
      <c r="B3808" s="141"/>
      <c r="C3808" s="141"/>
      <c r="D3808" s="141"/>
      <c r="E3808" s="141"/>
      <c r="F3808" s="141"/>
      <c r="G3808" s="141"/>
      <c r="H3808" s="222"/>
    </row>
    <row r="3809" spans="1:9" s="212" customFormat="1">
      <c r="A3809" s="142"/>
      <c r="B3809" s="143"/>
      <c r="C3809" s="143"/>
      <c r="D3809" s="143"/>
      <c r="E3809" s="143"/>
      <c r="F3809" s="84"/>
      <c r="G3809" s="146"/>
      <c r="H3809" s="221"/>
    </row>
    <row r="3810" spans="1:9" s="212" customFormat="1">
      <c r="A3810" s="91"/>
      <c r="B3810" s="91"/>
      <c r="C3810" s="91"/>
      <c r="D3810" s="91"/>
      <c r="E3810" s="91"/>
      <c r="G3810" s="213"/>
      <c r="H3810" s="222"/>
    </row>
    <row r="3811" spans="1:9" s="212" customFormat="1">
      <c r="A3811" s="120"/>
      <c r="B3811" s="73"/>
      <c r="C3811" s="73"/>
      <c r="D3811" s="73"/>
      <c r="E3811" s="73"/>
      <c r="G3811" s="73"/>
      <c r="H3811" s="222"/>
    </row>
    <row r="3812" spans="1:9" s="212" customFormat="1">
      <c r="A3812" s="220"/>
      <c r="B3812" s="141"/>
      <c r="C3812" s="141"/>
      <c r="D3812" s="141"/>
      <c r="E3812" s="141"/>
      <c r="F3812" s="141"/>
      <c r="G3812" s="141"/>
      <c r="H3812" s="222"/>
    </row>
    <row r="3813" spans="1:9" s="212" customFormat="1">
      <c r="A3813" s="142"/>
      <c r="B3813" s="143"/>
      <c r="C3813" s="143"/>
      <c r="D3813" s="143"/>
      <c r="E3813" s="143"/>
      <c r="F3813" s="84"/>
      <c r="G3813" s="146"/>
      <c r="H3813" s="221"/>
    </row>
    <row r="3814" spans="1:9" s="212" customFormat="1">
      <c r="A3814" s="123"/>
      <c r="B3814" s="95"/>
      <c r="C3814" s="95"/>
      <c r="D3814" s="95"/>
      <c r="E3814" s="95"/>
      <c r="G3814" s="213"/>
      <c r="H3814" s="73"/>
    </row>
    <row r="3815" spans="1:9" s="212" customFormat="1">
      <c r="A3815" s="123"/>
      <c r="B3815" s="95"/>
      <c r="C3815" s="95"/>
      <c r="D3815" s="95"/>
      <c r="E3815" s="95"/>
      <c r="G3815" s="73"/>
      <c r="H3815" s="225"/>
    </row>
    <row r="3816" spans="1:9" s="212" customFormat="1">
      <c r="B3816" s="97"/>
      <c r="C3816" s="98"/>
      <c r="D3816" s="98"/>
      <c r="E3816" s="98"/>
      <c r="G3816" s="220"/>
    </row>
    <row r="3817" spans="1:9" s="212" customFormat="1">
      <c r="B3817" s="97"/>
      <c r="C3817" s="98"/>
      <c r="D3817" s="98"/>
      <c r="E3817" s="98"/>
      <c r="F3817" s="220"/>
      <c r="G3817" s="225"/>
      <c r="H3817" s="226"/>
    </row>
    <row r="3818" spans="1:9" s="212" customFormat="1">
      <c r="A3818" s="633"/>
      <c r="B3818" s="633"/>
      <c r="C3818" s="633"/>
      <c r="D3818" s="633"/>
      <c r="E3818" s="633"/>
      <c r="F3818" s="633"/>
      <c r="G3818" s="633"/>
    </row>
    <row r="3819" spans="1:9" s="212" customFormat="1">
      <c r="H3819" s="227"/>
      <c r="I3819" s="228"/>
    </row>
    <row r="3820" spans="1:9" s="212" customFormat="1">
      <c r="A3820" s="658"/>
      <c r="B3820" s="227"/>
      <c r="C3820" s="227"/>
      <c r="D3820" s="227"/>
      <c r="E3820" s="227"/>
      <c r="F3820" s="227"/>
      <c r="G3820" s="227"/>
      <c r="H3820" s="227"/>
      <c r="I3820" s="229"/>
    </row>
    <row r="3821" spans="1:9" s="212" customFormat="1">
      <c r="A3821" s="658"/>
      <c r="B3821" s="227"/>
      <c r="C3821" s="227"/>
      <c r="D3821" s="227"/>
      <c r="E3821" s="227"/>
      <c r="F3821" s="227"/>
      <c r="G3821" s="227"/>
    </row>
    <row r="3822" spans="1:9" s="212" customFormat="1">
      <c r="A3822" s="69"/>
      <c r="B3822" s="69"/>
      <c r="C3822" s="69"/>
      <c r="D3822" s="69"/>
      <c r="E3822" s="69"/>
    </row>
    <row r="3823" spans="1:9" s="212" customFormat="1">
      <c r="A3823" s="120"/>
      <c r="B3823" s="73"/>
      <c r="C3823" s="73"/>
      <c r="D3823" s="73"/>
      <c r="E3823" s="73"/>
      <c r="F3823" s="73"/>
      <c r="G3823" s="73"/>
      <c r="H3823" s="73"/>
    </row>
    <row r="3824" spans="1:9" s="212" customFormat="1">
      <c r="A3824" s="220"/>
      <c r="B3824" s="141"/>
      <c r="C3824" s="141"/>
      <c r="D3824" s="141"/>
      <c r="E3824" s="141"/>
      <c r="F3824" s="141"/>
      <c r="G3824" s="141"/>
      <c r="H3824" s="73"/>
    </row>
    <row r="3825" spans="1:8" s="212" customFormat="1">
      <c r="A3825" s="142"/>
      <c r="B3825" s="143"/>
      <c r="C3825" s="143"/>
      <c r="D3825" s="143"/>
      <c r="E3825" s="143"/>
      <c r="F3825" s="84"/>
      <c r="G3825" s="146"/>
      <c r="H3825" s="221"/>
    </row>
    <row r="3826" spans="1:8" s="212" customFormat="1">
      <c r="A3826" s="84"/>
      <c r="B3826" s="83"/>
      <c r="C3826" s="84"/>
      <c r="D3826" s="84"/>
      <c r="E3826" s="84"/>
      <c r="G3826" s="213"/>
      <c r="H3826" s="222"/>
    </row>
    <row r="3827" spans="1:8" s="212" customFormat="1">
      <c r="A3827" s="120"/>
      <c r="B3827" s="73"/>
      <c r="C3827" s="73"/>
      <c r="D3827" s="73"/>
      <c r="E3827" s="73"/>
      <c r="G3827" s="73"/>
      <c r="H3827" s="222"/>
    </row>
    <row r="3828" spans="1:8" s="212" customFormat="1">
      <c r="A3828" s="220"/>
      <c r="B3828" s="141"/>
      <c r="C3828" s="141"/>
      <c r="D3828" s="141"/>
      <c r="E3828" s="141"/>
      <c r="F3828" s="141"/>
      <c r="G3828" s="141"/>
      <c r="H3828" s="222"/>
    </row>
    <row r="3829" spans="1:8" s="212" customFormat="1">
      <c r="A3829" s="150"/>
      <c r="B3829" s="83"/>
      <c r="C3829" s="148"/>
      <c r="D3829" s="160"/>
      <c r="E3829" s="84"/>
      <c r="F3829" s="84"/>
      <c r="G3829" s="146"/>
      <c r="H3829" s="221"/>
    </row>
    <row r="3830" spans="1:8" s="212" customFormat="1">
      <c r="A3830" s="91"/>
      <c r="B3830" s="91"/>
      <c r="C3830" s="91"/>
      <c r="D3830" s="91"/>
      <c r="E3830" s="91"/>
      <c r="G3830" s="213"/>
      <c r="H3830" s="222"/>
    </row>
    <row r="3831" spans="1:8" s="212" customFormat="1">
      <c r="A3831" s="120"/>
      <c r="B3831" s="73"/>
      <c r="C3831" s="73"/>
      <c r="D3831" s="73"/>
      <c r="E3831" s="73"/>
      <c r="G3831" s="73"/>
      <c r="H3831" s="222"/>
    </row>
    <row r="3832" spans="1:8" s="212" customFormat="1">
      <c r="A3832" s="220"/>
      <c r="B3832" s="141"/>
      <c r="C3832" s="141"/>
      <c r="D3832" s="141"/>
      <c r="E3832" s="141"/>
      <c r="F3832" s="141"/>
      <c r="G3832" s="141"/>
      <c r="H3832" s="222"/>
    </row>
    <row r="3833" spans="1:8" s="212" customFormat="1">
      <c r="A3833" s="142"/>
      <c r="B3833" s="143"/>
      <c r="C3833" s="143"/>
      <c r="D3833" s="143"/>
      <c r="E3833" s="143"/>
      <c r="F3833" s="84"/>
      <c r="G3833" s="146"/>
      <c r="H3833" s="221"/>
    </row>
    <row r="3834" spans="1:8" s="212" customFormat="1">
      <c r="A3834" s="91"/>
      <c r="B3834" s="91"/>
      <c r="C3834" s="91"/>
      <c r="D3834" s="91"/>
      <c r="E3834" s="91"/>
      <c r="G3834" s="213"/>
      <c r="H3834" s="222"/>
    </row>
    <row r="3835" spans="1:8" s="212" customFormat="1">
      <c r="A3835" s="120"/>
      <c r="B3835" s="73"/>
      <c r="C3835" s="73"/>
      <c r="D3835" s="73"/>
      <c r="E3835" s="73"/>
      <c r="G3835" s="73"/>
      <c r="H3835" s="222"/>
    </row>
    <row r="3836" spans="1:8" s="212" customFormat="1">
      <c r="A3836" s="220"/>
      <c r="B3836" s="141"/>
      <c r="C3836" s="141"/>
      <c r="D3836" s="141"/>
      <c r="E3836" s="141"/>
      <c r="F3836" s="141"/>
      <c r="G3836" s="141"/>
      <c r="H3836" s="222"/>
    </row>
    <row r="3837" spans="1:8" s="212" customFormat="1">
      <c r="A3837" s="142"/>
      <c r="B3837" s="143"/>
      <c r="C3837" s="143"/>
      <c r="D3837" s="143"/>
      <c r="E3837" s="143"/>
      <c r="F3837" s="84"/>
      <c r="G3837" s="146"/>
      <c r="H3837" s="221"/>
    </row>
    <row r="3838" spans="1:8" s="212" customFormat="1">
      <c r="A3838" s="123"/>
      <c r="B3838" s="95"/>
      <c r="C3838" s="95"/>
      <c r="D3838" s="95"/>
      <c r="E3838" s="95"/>
      <c r="G3838" s="213"/>
      <c r="H3838" s="73"/>
    </row>
    <row r="3839" spans="1:8" s="212" customFormat="1">
      <c r="A3839" s="123"/>
      <c r="B3839" s="95"/>
      <c r="C3839" s="95"/>
      <c r="D3839" s="95"/>
      <c r="E3839" s="95"/>
      <c r="G3839" s="73"/>
      <c r="H3839" s="225"/>
    </row>
    <row r="3840" spans="1:8" s="212" customFormat="1">
      <c r="B3840" s="97"/>
      <c r="C3840" s="98"/>
      <c r="D3840" s="98"/>
      <c r="E3840" s="98"/>
      <c r="G3840" s="220"/>
    </row>
    <row r="3841" spans="1:9" s="212" customFormat="1">
      <c r="B3841" s="97"/>
      <c r="C3841" s="98"/>
      <c r="D3841" s="98"/>
      <c r="E3841" s="98"/>
      <c r="F3841" s="220"/>
      <c r="G3841" s="225"/>
      <c r="H3841" s="226"/>
    </row>
    <row r="3842" spans="1:9" s="212" customFormat="1">
      <c r="A3842" s="633"/>
      <c r="B3842" s="633"/>
      <c r="C3842" s="633"/>
      <c r="D3842" s="633"/>
      <c r="E3842" s="633"/>
      <c r="F3842" s="633"/>
      <c r="G3842" s="633"/>
    </row>
    <row r="3843" spans="1:9" s="212" customFormat="1">
      <c r="H3843" s="227"/>
      <c r="I3843" s="228"/>
    </row>
    <row r="3844" spans="1:9" s="212" customFormat="1">
      <c r="A3844" s="658"/>
      <c r="B3844" s="227"/>
      <c r="C3844" s="227"/>
      <c r="D3844" s="227"/>
      <c r="E3844" s="227"/>
      <c r="F3844" s="227"/>
      <c r="G3844" s="227"/>
      <c r="H3844" s="227"/>
      <c r="I3844" s="229"/>
    </row>
    <row r="3845" spans="1:9" s="212" customFormat="1">
      <c r="A3845" s="658"/>
      <c r="B3845" s="227"/>
      <c r="C3845" s="227"/>
      <c r="D3845" s="227"/>
      <c r="E3845" s="227"/>
      <c r="F3845" s="227"/>
      <c r="G3845" s="227"/>
    </row>
    <row r="3846" spans="1:9" s="212" customFormat="1">
      <c r="A3846" s="69"/>
      <c r="B3846" s="69"/>
      <c r="C3846" s="69"/>
      <c r="D3846" s="69"/>
      <c r="E3846" s="69"/>
    </row>
    <row r="3847" spans="1:9" s="212" customFormat="1">
      <c r="A3847" s="120"/>
      <c r="B3847" s="73"/>
      <c r="C3847" s="73"/>
      <c r="D3847" s="73"/>
      <c r="E3847" s="73"/>
      <c r="F3847" s="73"/>
      <c r="G3847" s="73"/>
      <c r="H3847" s="73"/>
    </row>
    <row r="3848" spans="1:9" s="212" customFormat="1">
      <c r="A3848" s="220"/>
      <c r="B3848" s="141"/>
      <c r="C3848" s="141"/>
      <c r="D3848" s="141"/>
      <c r="E3848" s="141"/>
      <c r="F3848" s="141"/>
      <c r="G3848" s="141"/>
      <c r="H3848" s="73"/>
    </row>
    <row r="3849" spans="1:9" s="212" customFormat="1">
      <c r="A3849" s="142"/>
      <c r="B3849" s="143"/>
      <c r="C3849" s="143"/>
      <c r="D3849" s="143"/>
      <c r="E3849" s="143"/>
      <c r="F3849" s="84"/>
      <c r="G3849" s="146"/>
      <c r="H3849" s="221"/>
    </row>
    <row r="3850" spans="1:9" s="212" customFormat="1">
      <c r="A3850" s="84"/>
      <c r="B3850" s="83"/>
      <c r="C3850" s="84"/>
      <c r="D3850" s="84"/>
      <c r="E3850" s="84"/>
      <c r="G3850" s="213"/>
      <c r="H3850" s="222"/>
    </row>
    <row r="3851" spans="1:9" s="212" customFormat="1">
      <c r="A3851" s="120"/>
      <c r="B3851" s="73"/>
      <c r="C3851" s="73"/>
      <c r="D3851" s="73"/>
      <c r="E3851" s="73"/>
      <c r="G3851" s="73"/>
      <c r="H3851" s="222"/>
    </row>
    <row r="3852" spans="1:9" s="212" customFormat="1">
      <c r="A3852" s="220"/>
      <c r="B3852" s="141"/>
      <c r="C3852" s="141"/>
      <c r="D3852" s="141"/>
      <c r="E3852" s="141"/>
      <c r="F3852" s="141"/>
      <c r="G3852" s="141"/>
      <c r="H3852" s="222"/>
    </row>
    <row r="3853" spans="1:9" s="212" customFormat="1">
      <c r="A3853" s="150"/>
      <c r="B3853" s="83"/>
      <c r="C3853" s="148"/>
      <c r="D3853" s="160"/>
      <c r="E3853" s="84"/>
      <c r="F3853" s="84"/>
      <c r="G3853" s="146"/>
      <c r="H3853" s="221"/>
    </row>
    <row r="3854" spans="1:9" s="212" customFormat="1">
      <c r="A3854" s="91"/>
      <c r="B3854" s="91"/>
      <c r="C3854" s="91"/>
      <c r="D3854" s="91"/>
      <c r="E3854" s="91"/>
      <c r="G3854" s="213"/>
      <c r="H3854" s="222"/>
    </row>
    <row r="3855" spans="1:9" s="212" customFormat="1">
      <c r="A3855" s="120"/>
      <c r="B3855" s="73"/>
      <c r="C3855" s="73"/>
      <c r="D3855" s="73"/>
      <c r="E3855" s="73"/>
      <c r="G3855" s="73"/>
      <c r="H3855" s="222"/>
    </row>
    <row r="3856" spans="1:9" s="212" customFormat="1">
      <c r="A3856" s="220"/>
      <c r="B3856" s="141"/>
      <c r="C3856" s="141"/>
      <c r="D3856" s="141"/>
      <c r="E3856" s="141"/>
      <c r="F3856" s="141"/>
      <c r="G3856" s="141"/>
      <c r="H3856" s="222"/>
    </row>
    <row r="3857" spans="1:9" s="212" customFormat="1">
      <c r="A3857" s="142"/>
      <c r="B3857" s="143"/>
      <c r="C3857" s="143"/>
      <c r="D3857" s="143"/>
      <c r="E3857" s="143"/>
      <c r="F3857" s="84"/>
      <c r="G3857" s="146"/>
      <c r="H3857" s="221"/>
    </row>
    <row r="3858" spans="1:9" s="212" customFormat="1">
      <c r="A3858" s="91"/>
      <c r="B3858" s="91"/>
      <c r="C3858" s="91"/>
      <c r="D3858" s="91"/>
      <c r="E3858" s="91"/>
      <c r="G3858" s="213"/>
      <c r="H3858" s="222"/>
    </row>
    <row r="3859" spans="1:9" s="212" customFormat="1">
      <c r="A3859" s="120"/>
      <c r="B3859" s="73"/>
      <c r="C3859" s="73"/>
      <c r="D3859" s="73"/>
      <c r="E3859" s="73"/>
      <c r="G3859" s="73"/>
      <c r="H3859" s="222"/>
    </row>
    <row r="3860" spans="1:9" s="212" customFormat="1">
      <c r="A3860" s="220"/>
      <c r="B3860" s="141"/>
      <c r="C3860" s="141"/>
      <c r="D3860" s="141"/>
      <c r="E3860" s="141"/>
      <c r="F3860" s="141"/>
      <c r="G3860" s="141"/>
      <c r="H3860" s="222"/>
    </row>
    <row r="3861" spans="1:9" s="212" customFormat="1">
      <c r="A3861" s="142"/>
      <c r="B3861" s="143"/>
      <c r="C3861" s="143"/>
      <c r="D3861" s="143"/>
      <c r="E3861" s="143"/>
      <c r="F3861" s="84"/>
      <c r="G3861" s="146"/>
      <c r="H3861" s="221"/>
    </row>
    <row r="3862" spans="1:9" s="212" customFormat="1">
      <c r="A3862" s="123"/>
      <c r="B3862" s="95"/>
      <c r="C3862" s="95"/>
      <c r="D3862" s="95"/>
      <c r="E3862" s="95"/>
      <c r="G3862" s="213"/>
      <c r="H3862" s="73"/>
    </row>
    <row r="3863" spans="1:9" s="212" customFormat="1">
      <c r="A3863" s="123"/>
      <c r="B3863" s="95"/>
      <c r="C3863" s="95"/>
      <c r="D3863" s="95"/>
      <c r="E3863" s="95"/>
      <c r="G3863" s="73"/>
      <c r="H3863" s="225"/>
    </row>
    <row r="3864" spans="1:9" s="212" customFormat="1">
      <c r="B3864" s="97"/>
      <c r="C3864" s="98"/>
      <c r="D3864" s="98"/>
      <c r="E3864" s="98"/>
      <c r="G3864" s="220"/>
    </row>
    <row r="3865" spans="1:9" s="212" customFormat="1">
      <c r="B3865" s="97"/>
      <c r="C3865" s="98"/>
      <c r="D3865" s="98"/>
      <c r="E3865" s="98"/>
      <c r="F3865" s="220"/>
      <c r="G3865" s="225"/>
      <c r="H3865" s="226"/>
    </row>
    <row r="3866" spans="1:9" s="212" customFormat="1">
      <c r="A3866" s="633"/>
      <c r="B3866" s="633"/>
      <c r="C3866" s="633"/>
      <c r="D3866" s="633"/>
      <c r="E3866" s="633"/>
      <c r="F3866" s="633"/>
      <c r="G3866" s="633"/>
    </row>
    <row r="3867" spans="1:9" s="212" customFormat="1">
      <c r="H3867" s="227"/>
      <c r="I3867" s="228"/>
    </row>
    <row r="3868" spans="1:9" s="212" customFormat="1">
      <c r="A3868" s="658"/>
      <c r="B3868" s="227"/>
      <c r="C3868" s="227"/>
      <c r="D3868" s="227"/>
      <c r="E3868" s="227"/>
      <c r="F3868" s="227"/>
      <c r="G3868" s="227"/>
      <c r="H3868" s="227"/>
      <c r="I3868" s="229"/>
    </row>
    <row r="3869" spans="1:9" s="212" customFormat="1">
      <c r="A3869" s="658"/>
      <c r="B3869" s="227"/>
      <c r="C3869" s="227"/>
      <c r="D3869" s="227"/>
      <c r="E3869" s="227"/>
      <c r="F3869" s="227"/>
      <c r="G3869" s="227"/>
    </row>
    <row r="3870" spans="1:9" s="212" customFormat="1">
      <c r="A3870" s="69"/>
      <c r="B3870" s="69"/>
      <c r="C3870" s="69"/>
      <c r="D3870" s="69"/>
      <c r="E3870" s="69"/>
    </row>
    <row r="3871" spans="1:9" s="212" customFormat="1">
      <c r="A3871" s="120"/>
      <c r="B3871" s="73"/>
      <c r="C3871" s="73"/>
      <c r="D3871" s="73"/>
      <c r="E3871" s="73"/>
      <c r="F3871" s="73"/>
      <c r="G3871" s="73"/>
      <c r="H3871" s="73"/>
    </row>
    <row r="3872" spans="1:9" s="212" customFormat="1">
      <c r="A3872" s="220"/>
      <c r="B3872" s="141"/>
      <c r="C3872" s="141"/>
      <c r="D3872" s="141"/>
      <c r="E3872" s="141"/>
      <c r="F3872" s="141"/>
      <c r="G3872" s="141"/>
      <c r="H3872" s="73"/>
    </row>
    <row r="3873" spans="1:8" s="212" customFormat="1">
      <c r="A3873" s="142"/>
      <c r="B3873" s="143"/>
      <c r="C3873" s="143"/>
      <c r="D3873" s="143"/>
      <c r="E3873" s="143"/>
      <c r="F3873" s="84"/>
      <c r="G3873" s="146"/>
      <c r="H3873" s="221"/>
    </row>
    <row r="3874" spans="1:8" s="212" customFormat="1">
      <c r="A3874" s="84"/>
      <c r="B3874" s="83"/>
      <c r="C3874" s="84"/>
      <c r="D3874" s="84"/>
      <c r="E3874" s="84"/>
      <c r="G3874" s="213"/>
      <c r="H3874" s="222"/>
    </row>
    <row r="3875" spans="1:8" s="212" customFormat="1">
      <c r="A3875" s="120"/>
      <c r="B3875" s="73"/>
      <c r="C3875" s="73"/>
      <c r="D3875" s="73"/>
      <c r="E3875" s="73"/>
      <c r="G3875" s="73"/>
      <c r="H3875" s="222"/>
    </row>
    <row r="3876" spans="1:8" s="212" customFormat="1">
      <c r="A3876" s="220"/>
      <c r="B3876" s="141"/>
      <c r="C3876" s="141"/>
      <c r="D3876" s="141"/>
      <c r="E3876" s="141"/>
      <c r="F3876" s="141"/>
      <c r="G3876" s="141"/>
      <c r="H3876" s="222"/>
    </row>
    <row r="3877" spans="1:8" s="212" customFormat="1">
      <c r="A3877" s="150"/>
      <c r="B3877" s="83"/>
      <c r="C3877" s="148"/>
      <c r="D3877" s="160"/>
      <c r="E3877" s="84"/>
      <c r="F3877" s="84"/>
      <c r="G3877" s="146"/>
      <c r="H3877" s="221"/>
    </row>
    <row r="3878" spans="1:8" s="212" customFormat="1">
      <c r="A3878" s="91"/>
      <c r="B3878" s="91"/>
      <c r="C3878" s="91"/>
      <c r="D3878" s="91"/>
      <c r="E3878" s="91"/>
      <c r="G3878" s="213"/>
      <c r="H3878" s="222"/>
    </row>
    <row r="3879" spans="1:8" s="212" customFormat="1">
      <c r="A3879" s="120"/>
      <c r="B3879" s="73"/>
      <c r="C3879" s="73"/>
      <c r="D3879" s="73"/>
      <c r="E3879" s="73"/>
      <c r="G3879" s="73"/>
      <c r="H3879" s="222"/>
    </row>
    <row r="3880" spans="1:8" s="212" customFormat="1">
      <c r="A3880" s="220"/>
      <c r="B3880" s="141"/>
      <c r="C3880" s="141"/>
      <c r="D3880" s="141"/>
      <c r="E3880" s="141"/>
      <c r="F3880" s="141"/>
      <c r="G3880" s="141"/>
      <c r="H3880" s="222"/>
    </row>
    <row r="3881" spans="1:8" s="212" customFormat="1">
      <c r="A3881" s="142"/>
      <c r="B3881" s="143"/>
      <c r="C3881" s="143"/>
      <c r="D3881" s="143"/>
      <c r="E3881" s="143"/>
      <c r="F3881" s="84"/>
      <c r="G3881" s="146"/>
      <c r="H3881" s="221"/>
    </row>
    <row r="3882" spans="1:8" s="212" customFormat="1">
      <c r="A3882" s="91"/>
      <c r="B3882" s="91"/>
      <c r="C3882" s="91"/>
      <c r="D3882" s="91"/>
      <c r="E3882" s="91"/>
      <c r="G3882" s="213"/>
      <c r="H3882" s="222"/>
    </row>
    <row r="3883" spans="1:8" s="212" customFormat="1">
      <c r="A3883" s="120"/>
      <c r="B3883" s="73"/>
      <c r="C3883" s="73"/>
      <c r="D3883" s="73"/>
      <c r="E3883" s="73"/>
      <c r="G3883" s="73"/>
      <c r="H3883" s="222"/>
    </row>
    <row r="3884" spans="1:8" s="212" customFormat="1">
      <c r="A3884" s="220"/>
      <c r="B3884" s="141"/>
      <c r="C3884" s="141"/>
      <c r="D3884" s="141"/>
      <c r="E3884" s="141"/>
      <c r="F3884" s="141"/>
      <c r="G3884" s="141"/>
      <c r="H3884" s="222"/>
    </row>
    <row r="3885" spans="1:8" s="212" customFormat="1">
      <c r="A3885" s="142"/>
      <c r="B3885" s="143"/>
      <c r="C3885" s="143"/>
      <c r="D3885" s="143"/>
      <c r="E3885" s="143"/>
      <c r="F3885" s="84"/>
      <c r="G3885" s="146"/>
      <c r="H3885" s="221"/>
    </row>
    <row r="3886" spans="1:8" s="212" customFormat="1">
      <c r="A3886" s="123"/>
      <c r="B3886" s="95"/>
      <c r="C3886" s="95"/>
      <c r="D3886" s="95"/>
      <c r="E3886" s="95"/>
      <c r="G3886" s="213"/>
      <c r="H3886" s="73"/>
    </row>
    <row r="3887" spans="1:8" s="212" customFormat="1">
      <c r="A3887" s="123"/>
      <c r="B3887" s="95"/>
      <c r="C3887" s="95"/>
      <c r="D3887" s="95"/>
      <c r="E3887" s="95"/>
      <c r="G3887" s="73"/>
      <c r="H3887" s="225"/>
    </row>
    <row r="3888" spans="1:8" s="212" customFormat="1">
      <c r="B3888" s="97"/>
      <c r="C3888" s="98"/>
      <c r="D3888" s="98"/>
      <c r="E3888" s="98"/>
      <c r="G3888" s="220"/>
    </row>
    <row r="3889" spans="1:9" s="212" customFormat="1">
      <c r="B3889" s="97"/>
      <c r="C3889" s="98"/>
      <c r="D3889" s="98"/>
      <c r="E3889" s="98"/>
      <c r="F3889" s="220"/>
      <c r="G3889" s="225"/>
      <c r="H3889" s="226"/>
    </row>
    <row r="3890" spans="1:9" s="212" customFormat="1">
      <c r="A3890" s="633"/>
      <c r="B3890" s="633"/>
      <c r="C3890" s="633"/>
      <c r="D3890" s="633"/>
      <c r="E3890" s="633"/>
      <c r="F3890" s="633"/>
      <c r="G3890" s="633"/>
    </row>
    <row r="3891" spans="1:9" s="212" customFormat="1">
      <c r="H3891" s="227"/>
      <c r="I3891" s="228"/>
    </row>
    <row r="3892" spans="1:9" s="212" customFormat="1">
      <c r="A3892" s="658"/>
      <c r="B3892" s="227"/>
      <c r="C3892" s="227"/>
      <c r="D3892" s="227"/>
      <c r="E3892" s="227"/>
      <c r="F3892" s="227"/>
      <c r="G3892" s="227"/>
      <c r="H3892" s="227"/>
      <c r="I3892" s="229"/>
    </row>
    <row r="3893" spans="1:9" s="212" customFormat="1">
      <c r="A3893" s="658"/>
      <c r="B3893" s="227"/>
      <c r="C3893" s="227"/>
      <c r="D3893" s="227"/>
      <c r="E3893" s="227"/>
      <c r="F3893" s="227"/>
      <c r="G3893" s="227"/>
    </row>
    <row r="3894" spans="1:9" s="212" customFormat="1">
      <c r="A3894" s="69"/>
      <c r="B3894" s="69"/>
      <c r="C3894" s="69"/>
      <c r="D3894" s="69"/>
      <c r="E3894" s="69"/>
    </row>
    <row r="3895" spans="1:9" s="212" customFormat="1">
      <c r="A3895" s="120"/>
      <c r="B3895" s="73"/>
      <c r="C3895" s="73"/>
      <c r="D3895" s="73"/>
      <c r="E3895" s="73"/>
      <c r="F3895" s="73"/>
      <c r="G3895" s="73"/>
      <c r="H3895" s="73"/>
    </row>
    <row r="3896" spans="1:9" s="212" customFormat="1">
      <c r="A3896" s="220"/>
      <c r="B3896" s="141"/>
      <c r="C3896" s="141"/>
      <c r="D3896" s="141"/>
      <c r="E3896" s="141"/>
      <c r="F3896" s="141"/>
      <c r="G3896" s="141"/>
      <c r="H3896" s="73"/>
    </row>
    <row r="3897" spans="1:9" s="212" customFormat="1">
      <c r="A3897" s="142"/>
      <c r="B3897" s="143"/>
      <c r="C3897" s="143"/>
      <c r="D3897" s="143"/>
      <c r="E3897" s="143"/>
      <c r="F3897" s="84"/>
      <c r="G3897" s="146"/>
      <c r="H3897" s="221"/>
    </row>
    <row r="3898" spans="1:9" s="212" customFormat="1">
      <c r="A3898" s="84"/>
      <c r="B3898" s="83"/>
      <c r="C3898" s="84"/>
      <c r="D3898" s="84"/>
      <c r="E3898" s="84"/>
      <c r="G3898" s="213"/>
      <c r="H3898" s="222"/>
    </row>
    <row r="3899" spans="1:9" s="212" customFormat="1">
      <c r="A3899" s="120"/>
      <c r="B3899" s="73"/>
      <c r="C3899" s="73"/>
      <c r="D3899" s="73"/>
      <c r="E3899" s="73"/>
      <c r="G3899" s="73"/>
      <c r="H3899" s="222"/>
    </row>
    <row r="3900" spans="1:9" s="212" customFormat="1">
      <c r="A3900" s="220"/>
      <c r="B3900" s="141"/>
      <c r="C3900" s="141"/>
      <c r="D3900" s="141"/>
      <c r="E3900" s="141"/>
      <c r="F3900" s="141"/>
      <c r="G3900" s="141"/>
      <c r="H3900" s="222"/>
    </row>
    <row r="3901" spans="1:9" s="212" customFormat="1">
      <c r="A3901" s="150"/>
      <c r="B3901" s="83"/>
      <c r="C3901" s="148"/>
      <c r="D3901" s="160"/>
      <c r="E3901" s="84"/>
      <c r="F3901" s="84"/>
      <c r="G3901" s="146"/>
      <c r="H3901" s="221"/>
    </row>
    <row r="3902" spans="1:9" s="212" customFormat="1">
      <c r="A3902" s="91"/>
      <c r="B3902" s="91"/>
      <c r="C3902" s="91"/>
      <c r="D3902" s="91"/>
      <c r="E3902" s="91"/>
      <c r="G3902" s="213"/>
      <c r="H3902" s="222"/>
    </row>
    <row r="3903" spans="1:9" s="212" customFormat="1">
      <c r="A3903" s="120"/>
      <c r="B3903" s="73"/>
      <c r="C3903" s="73"/>
      <c r="D3903" s="73"/>
      <c r="E3903" s="73"/>
      <c r="G3903" s="73"/>
      <c r="H3903" s="222"/>
    </row>
    <row r="3904" spans="1:9" s="212" customFormat="1">
      <c r="A3904" s="220"/>
      <c r="B3904" s="141"/>
      <c r="C3904" s="141"/>
      <c r="D3904" s="141"/>
      <c r="E3904" s="141"/>
      <c r="F3904" s="141"/>
      <c r="G3904" s="141"/>
      <c r="H3904" s="222"/>
    </row>
    <row r="3905" spans="1:9" s="212" customFormat="1">
      <c r="A3905" s="142"/>
      <c r="B3905" s="143"/>
      <c r="C3905" s="143"/>
      <c r="D3905" s="143"/>
      <c r="E3905" s="143"/>
      <c r="F3905" s="84"/>
      <c r="G3905" s="146"/>
      <c r="H3905" s="221"/>
    </row>
    <row r="3906" spans="1:9" s="212" customFormat="1">
      <c r="A3906" s="91"/>
      <c r="B3906" s="91"/>
      <c r="C3906" s="91"/>
      <c r="D3906" s="91"/>
      <c r="E3906" s="91"/>
      <c r="G3906" s="213"/>
      <c r="H3906" s="222"/>
    </row>
    <row r="3907" spans="1:9" s="212" customFormat="1">
      <c r="A3907" s="120"/>
      <c r="B3907" s="73"/>
      <c r="C3907" s="73"/>
      <c r="D3907" s="73"/>
      <c r="E3907" s="73"/>
      <c r="G3907" s="73"/>
      <c r="H3907" s="222"/>
    </row>
    <row r="3908" spans="1:9" s="212" customFormat="1">
      <c r="A3908" s="220"/>
      <c r="B3908" s="141"/>
      <c r="C3908" s="141"/>
      <c r="D3908" s="141"/>
      <c r="E3908" s="141"/>
      <c r="F3908" s="141"/>
      <c r="G3908" s="141"/>
      <c r="H3908" s="222"/>
    </row>
    <row r="3909" spans="1:9" s="212" customFormat="1">
      <c r="A3909" s="142"/>
      <c r="B3909" s="143"/>
      <c r="C3909" s="143"/>
      <c r="D3909" s="143"/>
      <c r="E3909" s="143"/>
      <c r="F3909" s="84"/>
      <c r="G3909" s="146"/>
      <c r="H3909" s="221"/>
    </row>
    <row r="3910" spans="1:9" s="212" customFormat="1">
      <c r="A3910" s="123"/>
      <c r="B3910" s="95"/>
      <c r="C3910" s="95"/>
      <c r="D3910" s="95"/>
      <c r="E3910" s="95"/>
      <c r="G3910" s="213"/>
      <c r="H3910" s="73"/>
    </row>
    <row r="3911" spans="1:9" s="212" customFormat="1">
      <c r="A3911" s="123"/>
      <c r="B3911" s="95"/>
      <c r="C3911" s="95"/>
      <c r="D3911" s="95"/>
      <c r="E3911" s="95"/>
      <c r="G3911" s="73"/>
      <c r="H3911" s="225"/>
    </row>
    <row r="3912" spans="1:9" s="212" customFormat="1">
      <c r="B3912" s="97"/>
      <c r="C3912" s="98"/>
      <c r="D3912" s="98"/>
      <c r="E3912" s="98"/>
      <c r="G3912" s="220"/>
    </row>
    <row r="3913" spans="1:9" s="212" customFormat="1">
      <c r="B3913" s="97"/>
      <c r="C3913" s="98"/>
      <c r="D3913" s="98"/>
      <c r="E3913" s="98"/>
      <c r="F3913" s="220"/>
      <c r="G3913" s="225"/>
      <c r="H3913" s="226"/>
    </row>
    <row r="3914" spans="1:9" s="212" customFormat="1">
      <c r="A3914" s="633"/>
      <c r="B3914" s="633"/>
      <c r="C3914" s="633"/>
      <c r="D3914" s="633"/>
      <c r="E3914" s="633"/>
      <c r="F3914" s="633"/>
      <c r="G3914" s="633"/>
    </row>
    <row r="3915" spans="1:9" s="212" customFormat="1">
      <c r="H3915" s="227"/>
      <c r="I3915" s="228"/>
    </row>
    <row r="3916" spans="1:9" s="212" customFormat="1">
      <c r="A3916" s="658"/>
      <c r="B3916" s="227"/>
      <c r="C3916" s="227"/>
      <c r="D3916" s="227"/>
      <c r="E3916" s="227"/>
      <c r="F3916" s="227"/>
      <c r="G3916" s="227"/>
      <c r="H3916" s="227"/>
      <c r="I3916" s="229"/>
    </row>
    <row r="3917" spans="1:9" s="212" customFormat="1">
      <c r="A3917" s="658"/>
      <c r="B3917" s="227"/>
      <c r="C3917" s="227"/>
      <c r="D3917" s="227"/>
      <c r="E3917" s="227"/>
      <c r="F3917" s="227"/>
      <c r="G3917" s="227"/>
    </row>
    <row r="3918" spans="1:9" s="212" customFormat="1">
      <c r="A3918" s="69"/>
      <c r="B3918" s="69"/>
      <c r="C3918" s="69"/>
      <c r="D3918" s="69"/>
      <c r="E3918" s="69"/>
    </row>
    <row r="3919" spans="1:9" s="212" customFormat="1">
      <c r="A3919" s="120"/>
      <c r="B3919" s="73"/>
      <c r="C3919" s="73"/>
      <c r="D3919" s="73"/>
      <c r="E3919" s="73"/>
      <c r="F3919" s="73"/>
      <c r="G3919" s="73"/>
      <c r="H3919" s="73"/>
    </row>
    <row r="3920" spans="1:9" s="212" customFormat="1">
      <c r="A3920" s="220"/>
      <c r="B3920" s="141"/>
      <c r="C3920" s="141"/>
      <c r="D3920" s="141"/>
      <c r="E3920" s="141"/>
      <c r="F3920" s="141"/>
      <c r="G3920" s="141"/>
      <c r="H3920" s="73"/>
    </row>
    <row r="3921" spans="1:8" s="212" customFormat="1">
      <c r="A3921" s="142"/>
      <c r="B3921" s="143"/>
      <c r="C3921" s="143"/>
      <c r="D3921" s="143"/>
      <c r="E3921" s="143"/>
      <c r="F3921" s="84"/>
      <c r="G3921" s="146"/>
      <c r="H3921" s="221"/>
    </row>
    <row r="3922" spans="1:8" s="212" customFormat="1">
      <c r="A3922" s="84"/>
      <c r="B3922" s="83"/>
      <c r="C3922" s="84"/>
      <c r="D3922" s="84"/>
      <c r="E3922" s="84"/>
      <c r="G3922" s="213"/>
      <c r="H3922" s="222"/>
    </row>
    <row r="3923" spans="1:8" s="212" customFormat="1">
      <c r="A3923" s="120"/>
      <c r="B3923" s="73"/>
      <c r="C3923" s="73"/>
      <c r="D3923" s="73"/>
      <c r="E3923" s="73"/>
      <c r="G3923" s="73"/>
      <c r="H3923" s="222"/>
    </row>
    <row r="3924" spans="1:8" s="212" customFormat="1">
      <c r="A3924" s="220"/>
      <c r="B3924" s="141"/>
      <c r="C3924" s="141"/>
      <c r="D3924" s="141"/>
      <c r="E3924" s="141"/>
      <c r="F3924" s="141"/>
      <c r="G3924" s="141"/>
      <c r="H3924" s="222"/>
    </row>
    <row r="3925" spans="1:8" s="212" customFormat="1">
      <c r="A3925" s="150"/>
      <c r="B3925" s="83"/>
      <c r="C3925" s="148"/>
      <c r="D3925" s="160"/>
      <c r="E3925" s="84"/>
      <c r="F3925" s="84"/>
      <c r="G3925" s="146"/>
      <c r="H3925" s="221"/>
    </row>
    <row r="3926" spans="1:8" s="212" customFormat="1">
      <c r="A3926" s="91"/>
      <c r="B3926" s="91"/>
      <c r="C3926" s="91"/>
      <c r="D3926" s="91"/>
      <c r="E3926" s="91"/>
      <c r="G3926" s="213"/>
      <c r="H3926" s="222"/>
    </row>
    <row r="3927" spans="1:8" s="212" customFormat="1">
      <c r="A3927" s="120"/>
      <c r="B3927" s="73"/>
      <c r="C3927" s="73"/>
      <c r="D3927" s="73"/>
      <c r="E3927" s="73"/>
      <c r="G3927" s="73"/>
      <c r="H3927" s="222"/>
    </row>
    <row r="3928" spans="1:8" s="212" customFormat="1">
      <c r="A3928" s="220"/>
      <c r="B3928" s="141"/>
      <c r="C3928" s="141"/>
      <c r="D3928" s="141"/>
      <c r="E3928" s="141"/>
      <c r="F3928" s="141"/>
      <c r="G3928" s="141"/>
      <c r="H3928" s="222"/>
    </row>
    <row r="3929" spans="1:8" s="212" customFormat="1">
      <c r="A3929" s="142"/>
      <c r="B3929" s="143"/>
      <c r="C3929" s="143"/>
      <c r="D3929" s="143"/>
      <c r="E3929" s="143"/>
      <c r="F3929" s="84"/>
      <c r="G3929" s="146"/>
      <c r="H3929" s="221"/>
    </row>
    <row r="3930" spans="1:8" s="212" customFormat="1">
      <c r="A3930" s="91"/>
      <c r="B3930" s="91"/>
      <c r="C3930" s="91"/>
      <c r="D3930" s="91"/>
      <c r="E3930" s="91"/>
      <c r="G3930" s="213"/>
      <c r="H3930" s="222"/>
    </row>
    <row r="3931" spans="1:8" s="212" customFormat="1">
      <c r="A3931" s="120"/>
      <c r="B3931" s="73"/>
      <c r="C3931" s="73"/>
      <c r="D3931" s="73"/>
      <c r="E3931" s="73"/>
      <c r="G3931" s="73"/>
      <c r="H3931" s="222"/>
    </row>
    <row r="3932" spans="1:8" s="212" customFormat="1">
      <c r="A3932" s="220"/>
      <c r="B3932" s="141"/>
      <c r="C3932" s="141"/>
      <c r="D3932" s="141"/>
      <c r="E3932" s="141"/>
      <c r="F3932" s="141"/>
      <c r="G3932" s="141"/>
      <c r="H3932" s="222"/>
    </row>
    <row r="3933" spans="1:8" s="212" customFormat="1">
      <c r="A3933" s="142"/>
      <c r="B3933" s="143"/>
      <c r="C3933" s="143"/>
      <c r="D3933" s="143"/>
      <c r="E3933" s="143"/>
      <c r="F3933" s="84"/>
      <c r="G3933" s="146"/>
      <c r="H3933" s="221"/>
    </row>
    <row r="3934" spans="1:8" s="212" customFormat="1">
      <c r="A3934" s="123"/>
      <c r="B3934" s="95"/>
      <c r="C3934" s="95"/>
      <c r="D3934" s="95"/>
      <c r="E3934" s="95"/>
      <c r="G3934" s="213"/>
      <c r="H3934" s="73"/>
    </row>
    <row r="3935" spans="1:8" s="212" customFormat="1">
      <c r="A3935" s="123"/>
      <c r="B3935" s="95"/>
      <c r="C3935" s="95"/>
      <c r="D3935" s="95"/>
      <c r="E3935" s="95"/>
      <c r="G3935" s="73"/>
      <c r="H3935" s="225"/>
    </row>
    <row r="3936" spans="1:8" s="212" customFormat="1">
      <c r="B3936" s="97"/>
      <c r="C3936" s="98"/>
      <c r="D3936" s="98"/>
      <c r="E3936" s="98"/>
      <c r="G3936" s="220"/>
    </row>
    <row r="3937" spans="1:9" s="212" customFormat="1">
      <c r="B3937" s="97"/>
      <c r="C3937" s="98"/>
      <c r="D3937" s="98"/>
      <c r="E3937" s="98"/>
      <c r="F3937" s="220"/>
      <c r="G3937" s="225"/>
      <c r="H3937" s="226"/>
    </row>
    <row r="3938" spans="1:9" s="212" customFormat="1">
      <c r="A3938" s="633"/>
      <c r="B3938" s="633"/>
      <c r="C3938" s="633"/>
      <c r="D3938" s="633"/>
      <c r="E3938" s="633"/>
      <c r="F3938" s="633"/>
      <c r="G3938" s="633"/>
    </row>
    <row r="3939" spans="1:9" s="212" customFormat="1">
      <c r="H3939" s="227"/>
      <c r="I3939" s="228"/>
    </row>
    <row r="3940" spans="1:9" s="212" customFormat="1">
      <c r="A3940" s="658"/>
      <c r="B3940" s="227"/>
      <c r="C3940" s="227"/>
      <c r="D3940" s="227"/>
      <c r="E3940" s="227"/>
      <c r="F3940" s="227"/>
      <c r="G3940" s="227"/>
      <c r="H3940" s="227"/>
      <c r="I3940" s="229"/>
    </row>
    <row r="3941" spans="1:9" s="212" customFormat="1">
      <c r="A3941" s="658"/>
      <c r="B3941" s="227"/>
      <c r="C3941" s="227"/>
      <c r="D3941" s="227"/>
      <c r="E3941" s="227"/>
      <c r="F3941" s="227"/>
      <c r="G3941" s="227"/>
    </row>
    <row r="3942" spans="1:9" s="212" customFormat="1">
      <c r="A3942" s="69"/>
      <c r="B3942" s="69"/>
      <c r="C3942" s="69"/>
      <c r="D3942" s="69"/>
      <c r="E3942" s="69"/>
    </row>
    <row r="3943" spans="1:9" s="212" customFormat="1">
      <c r="A3943" s="120"/>
      <c r="B3943" s="73"/>
      <c r="C3943" s="73"/>
      <c r="D3943" s="73"/>
      <c r="E3943" s="73"/>
      <c r="F3943" s="73"/>
      <c r="G3943" s="73"/>
      <c r="H3943" s="73"/>
    </row>
    <row r="3944" spans="1:9" s="212" customFormat="1">
      <c r="A3944" s="220"/>
      <c r="B3944" s="141"/>
      <c r="C3944" s="141"/>
      <c r="D3944" s="141"/>
      <c r="E3944" s="141"/>
      <c r="F3944" s="141"/>
      <c r="G3944" s="141"/>
      <c r="H3944" s="73"/>
    </row>
    <row r="3945" spans="1:9" s="212" customFormat="1">
      <c r="A3945" s="142"/>
      <c r="B3945" s="143"/>
      <c r="C3945" s="143"/>
      <c r="D3945" s="143"/>
      <c r="E3945" s="143"/>
      <c r="F3945" s="84"/>
      <c r="G3945" s="146"/>
      <c r="H3945" s="221"/>
    </row>
    <row r="3946" spans="1:9" s="212" customFormat="1">
      <c r="A3946" s="84"/>
      <c r="B3946" s="83"/>
      <c r="C3946" s="84"/>
      <c r="D3946" s="84"/>
      <c r="E3946" s="84"/>
      <c r="G3946" s="213"/>
      <c r="H3946" s="222"/>
    </row>
    <row r="3947" spans="1:9" s="212" customFormat="1">
      <c r="A3947" s="120"/>
      <c r="B3947" s="73"/>
      <c r="C3947" s="73"/>
      <c r="D3947" s="73"/>
      <c r="E3947" s="73"/>
      <c r="G3947" s="73"/>
      <c r="H3947" s="222"/>
    </row>
    <row r="3948" spans="1:9" s="212" customFormat="1">
      <c r="A3948" s="220"/>
      <c r="B3948" s="141"/>
      <c r="C3948" s="141"/>
      <c r="D3948" s="141"/>
      <c r="E3948" s="141"/>
      <c r="F3948" s="141"/>
      <c r="G3948" s="141"/>
      <c r="H3948" s="222"/>
    </row>
    <row r="3949" spans="1:9" s="212" customFormat="1">
      <c r="A3949" s="150"/>
      <c r="B3949" s="83"/>
      <c r="C3949" s="148"/>
      <c r="D3949" s="160"/>
      <c r="E3949" s="84"/>
      <c r="F3949" s="84"/>
      <c r="G3949" s="146"/>
      <c r="H3949" s="221"/>
    </row>
    <row r="3950" spans="1:9" s="212" customFormat="1">
      <c r="A3950" s="91"/>
      <c r="B3950" s="91"/>
      <c r="C3950" s="91"/>
      <c r="D3950" s="91"/>
      <c r="E3950" s="91"/>
      <c r="G3950" s="213"/>
      <c r="H3950" s="222"/>
    </row>
    <row r="3951" spans="1:9" s="212" customFormat="1">
      <c r="A3951" s="120"/>
      <c r="B3951" s="73"/>
      <c r="C3951" s="73"/>
      <c r="D3951" s="73"/>
      <c r="E3951" s="73"/>
      <c r="G3951" s="73"/>
      <c r="H3951" s="222"/>
    </row>
    <row r="3952" spans="1:9" s="212" customFormat="1">
      <c r="A3952" s="220"/>
      <c r="B3952" s="141"/>
      <c r="C3952" s="141"/>
      <c r="D3952" s="141"/>
      <c r="E3952" s="141"/>
      <c r="F3952" s="141"/>
      <c r="G3952" s="141"/>
      <c r="H3952" s="222"/>
    </row>
    <row r="3953" spans="1:9" s="212" customFormat="1">
      <c r="A3953" s="142"/>
      <c r="B3953" s="143"/>
      <c r="C3953" s="143"/>
      <c r="D3953" s="143"/>
      <c r="E3953" s="143"/>
      <c r="F3953" s="84"/>
      <c r="G3953" s="146"/>
      <c r="H3953" s="221"/>
    </row>
    <row r="3954" spans="1:9" s="212" customFormat="1">
      <c r="A3954" s="91"/>
      <c r="B3954" s="91"/>
      <c r="C3954" s="91"/>
      <c r="D3954" s="91"/>
      <c r="E3954" s="91"/>
      <c r="G3954" s="213"/>
      <c r="H3954" s="222"/>
    </row>
    <row r="3955" spans="1:9" s="212" customFormat="1">
      <c r="A3955" s="120"/>
      <c r="B3955" s="73"/>
      <c r="C3955" s="73"/>
      <c r="D3955" s="73"/>
      <c r="E3955" s="73"/>
      <c r="G3955" s="73"/>
      <c r="H3955" s="222"/>
    </row>
    <row r="3956" spans="1:9" s="212" customFormat="1">
      <c r="A3956" s="220"/>
      <c r="B3956" s="141"/>
      <c r="C3956" s="141"/>
      <c r="D3956" s="141"/>
      <c r="E3956" s="141"/>
      <c r="F3956" s="141"/>
      <c r="G3956" s="141"/>
      <c r="H3956" s="222"/>
    </row>
    <row r="3957" spans="1:9" s="212" customFormat="1">
      <c r="A3957" s="142"/>
      <c r="B3957" s="143"/>
      <c r="C3957" s="143"/>
      <c r="D3957" s="143"/>
      <c r="E3957" s="143"/>
      <c r="F3957" s="84"/>
      <c r="G3957" s="146"/>
      <c r="H3957" s="221"/>
    </row>
    <row r="3958" spans="1:9" s="212" customFormat="1">
      <c r="A3958" s="123"/>
      <c r="B3958" s="95"/>
      <c r="C3958" s="95"/>
      <c r="D3958" s="95"/>
      <c r="E3958" s="95"/>
      <c r="G3958" s="213"/>
      <c r="H3958" s="73"/>
    </row>
    <row r="3959" spans="1:9" s="212" customFormat="1">
      <c r="A3959" s="123"/>
      <c r="B3959" s="95"/>
      <c r="C3959" s="95"/>
      <c r="D3959" s="95"/>
      <c r="E3959" s="95"/>
      <c r="G3959" s="73"/>
      <c r="H3959" s="225"/>
    </row>
    <row r="3960" spans="1:9" s="212" customFormat="1">
      <c r="B3960" s="97"/>
      <c r="C3960" s="98"/>
      <c r="D3960" s="98"/>
      <c r="E3960" s="98"/>
      <c r="G3960" s="220"/>
    </row>
    <row r="3961" spans="1:9" s="212" customFormat="1">
      <c r="B3961" s="97"/>
      <c r="C3961" s="98"/>
      <c r="D3961" s="98"/>
      <c r="E3961" s="98"/>
      <c r="F3961" s="220"/>
      <c r="G3961" s="225"/>
      <c r="H3961" s="226"/>
    </row>
    <row r="3962" spans="1:9" s="212" customFormat="1">
      <c r="A3962" s="633"/>
      <c r="B3962" s="633"/>
      <c r="C3962" s="633"/>
      <c r="D3962" s="633"/>
      <c r="E3962" s="633"/>
      <c r="F3962" s="633"/>
      <c r="G3962" s="633"/>
    </row>
    <row r="3963" spans="1:9" s="212" customFormat="1">
      <c r="H3963" s="227"/>
      <c r="I3963" s="228"/>
    </row>
    <row r="3964" spans="1:9" s="212" customFormat="1">
      <c r="A3964" s="658"/>
      <c r="B3964" s="227"/>
      <c r="C3964" s="227"/>
      <c r="D3964" s="227"/>
      <c r="E3964" s="227"/>
      <c r="F3964" s="227"/>
      <c r="G3964" s="227"/>
      <c r="H3964" s="227"/>
      <c r="I3964" s="229"/>
    </row>
    <row r="3965" spans="1:9" s="212" customFormat="1">
      <c r="A3965" s="658"/>
      <c r="B3965" s="227"/>
      <c r="C3965" s="227"/>
      <c r="D3965" s="227"/>
      <c r="E3965" s="227"/>
      <c r="F3965" s="227"/>
      <c r="G3965" s="227"/>
    </row>
    <row r="3966" spans="1:9" s="212" customFormat="1">
      <c r="A3966" s="69"/>
      <c r="B3966" s="69"/>
      <c r="C3966" s="69"/>
      <c r="D3966" s="69"/>
      <c r="E3966" s="69"/>
    </row>
    <row r="3967" spans="1:9" s="212" customFormat="1">
      <c r="A3967" s="120"/>
      <c r="B3967" s="73"/>
      <c r="C3967" s="73"/>
      <c r="D3967" s="73"/>
      <c r="E3967" s="73"/>
      <c r="F3967" s="73"/>
      <c r="G3967" s="73"/>
      <c r="H3967" s="73"/>
    </row>
    <row r="3968" spans="1:9" s="212" customFormat="1">
      <c r="A3968" s="220"/>
      <c r="B3968" s="141"/>
      <c r="C3968" s="141"/>
      <c r="D3968" s="141"/>
      <c r="E3968" s="141"/>
      <c r="F3968" s="141"/>
      <c r="G3968" s="141"/>
      <c r="H3968" s="73"/>
    </row>
    <row r="3969" spans="1:8" s="212" customFormat="1">
      <c r="A3969" s="142"/>
      <c r="B3969" s="143"/>
      <c r="C3969" s="143"/>
      <c r="D3969" s="143"/>
      <c r="E3969" s="143"/>
      <c r="F3969" s="84"/>
      <c r="G3969" s="146"/>
      <c r="H3969" s="221"/>
    </row>
    <row r="3970" spans="1:8" s="212" customFormat="1">
      <c r="A3970" s="84"/>
      <c r="B3970" s="83"/>
      <c r="C3970" s="84"/>
      <c r="D3970" s="84"/>
      <c r="E3970" s="84"/>
      <c r="G3970" s="213"/>
      <c r="H3970" s="222"/>
    </row>
    <row r="3971" spans="1:8" s="212" customFormat="1">
      <c r="A3971" s="120"/>
      <c r="B3971" s="73"/>
      <c r="C3971" s="73"/>
      <c r="D3971" s="73"/>
      <c r="E3971" s="73"/>
      <c r="G3971" s="73"/>
      <c r="H3971" s="222"/>
    </row>
    <row r="3972" spans="1:8" s="212" customFormat="1">
      <c r="A3972" s="220"/>
      <c r="B3972" s="141"/>
      <c r="C3972" s="141"/>
      <c r="D3972" s="141"/>
      <c r="E3972" s="141"/>
      <c r="F3972" s="141"/>
      <c r="G3972" s="141"/>
      <c r="H3972" s="222"/>
    </row>
    <row r="3973" spans="1:8" s="212" customFormat="1">
      <c r="A3973" s="150"/>
      <c r="B3973" s="83"/>
      <c r="C3973" s="148"/>
      <c r="D3973" s="160"/>
      <c r="E3973" s="84"/>
      <c r="F3973" s="84"/>
      <c r="G3973" s="146"/>
      <c r="H3973" s="221"/>
    </row>
    <row r="3974" spans="1:8" s="212" customFormat="1">
      <c r="A3974" s="91"/>
      <c r="B3974" s="91"/>
      <c r="C3974" s="91"/>
      <c r="D3974" s="91"/>
      <c r="E3974" s="91"/>
      <c r="G3974" s="213"/>
      <c r="H3974" s="222"/>
    </row>
    <row r="3975" spans="1:8" s="212" customFormat="1">
      <c r="A3975" s="120"/>
      <c r="B3975" s="73"/>
      <c r="C3975" s="73"/>
      <c r="D3975" s="73"/>
      <c r="E3975" s="73"/>
      <c r="G3975" s="73"/>
      <c r="H3975" s="222"/>
    </row>
    <row r="3976" spans="1:8" s="212" customFormat="1">
      <c r="A3976" s="220"/>
      <c r="B3976" s="141"/>
      <c r="C3976" s="141"/>
      <c r="D3976" s="141"/>
      <c r="E3976" s="141"/>
      <c r="F3976" s="141"/>
      <c r="G3976" s="141"/>
      <c r="H3976" s="222"/>
    </row>
    <row r="3977" spans="1:8" s="212" customFormat="1">
      <c r="A3977" s="142"/>
      <c r="B3977" s="143"/>
      <c r="C3977" s="143"/>
      <c r="D3977" s="143"/>
      <c r="E3977" s="143"/>
      <c r="F3977" s="84"/>
      <c r="G3977" s="146"/>
      <c r="H3977" s="221"/>
    </row>
    <row r="3978" spans="1:8" s="212" customFormat="1">
      <c r="A3978" s="91"/>
      <c r="B3978" s="91"/>
      <c r="C3978" s="91"/>
      <c r="D3978" s="91"/>
      <c r="E3978" s="91"/>
      <c r="G3978" s="213"/>
      <c r="H3978" s="222"/>
    </row>
    <row r="3979" spans="1:8" s="212" customFormat="1">
      <c r="A3979" s="120"/>
      <c r="B3979" s="73"/>
      <c r="C3979" s="73"/>
      <c r="D3979" s="73"/>
      <c r="E3979" s="73"/>
      <c r="G3979" s="73"/>
      <c r="H3979" s="222"/>
    </row>
    <row r="3980" spans="1:8" s="212" customFormat="1">
      <c r="A3980" s="220"/>
      <c r="B3980" s="141"/>
      <c r="C3980" s="141"/>
      <c r="D3980" s="141"/>
      <c r="E3980" s="141"/>
      <c r="F3980" s="141"/>
      <c r="G3980" s="141"/>
      <c r="H3980" s="222"/>
    </row>
    <row r="3981" spans="1:8" s="212" customFormat="1">
      <c r="A3981" s="142"/>
      <c r="B3981" s="143"/>
      <c r="C3981" s="143"/>
      <c r="D3981" s="143"/>
      <c r="E3981" s="143"/>
      <c r="F3981" s="84"/>
      <c r="G3981" s="146"/>
      <c r="H3981" s="221"/>
    </row>
    <row r="3982" spans="1:8" s="212" customFormat="1">
      <c r="A3982" s="123"/>
      <c r="B3982" s="95"/>
      <c r="C3982" s="95"/>
      <c r="D3982" s="95"/>
      <c r="E3982" s="95"/>
      <c r="G3982" s="213"/>
      <c r="H3982" s="73"/>
    </row>
    <row r="3983" spans="1:8" s="212" customFormat="1">
      <c r="A3983" s="123"/>
      <c r="B3983" s="95"/>
      <c r="C3983" s="95"/>
      <c r="D3983" s="95"/>
      <c r="E3983" s="95"/>
      <c r="G3983" s="73"/>
      <c r="H3983" s="225"/>
    </row>
    <row r="3984" spans="1:8" s="212" customFormat="1">
      <c r="B3984" s="97"/>
      <c r="C3984" s="98"/>
      <c r="D3984" s="98"/>
      <c r="E3984" s="98"/>
      <c r="G3984" s="220"/>
    </row>
    <row r="3985" spans="1:9" s="212" customFormat="1">
      <c r="B3985" s="97"/>
      <c r="C3985" s="98"/>
      <c r="D3985" s="98"/>
      <c r="E3985" s="98"/>
      <c r="F3985" s="220"/>
      <c r="G3985" s="225"/>
      <c r="H3985" s="226"/>
    </row>
    <row r="3986" spans="1:9" s="212" customFormat="1">
      <c r="A3986" s="633"/>
      <c r="B3986" s="633"/>
      <c r="C3986" s="633"/>
      <c r="D3986" s="633"/>
      <c r="E3986" s="633"/>
      <c r="F3986" s="633"/>
      <c r="G3986" s="633"/>
    </row>
    <row r="3987" spans="1:9" s="212" customFormat="1">
      <c r="H3987" s="227"/>
      <c r="I3987" s="228"/>
    </row>
    <row r="3988" spans="1:9" s="212" customFormat="1">
      <c r="A3988" s="658"/>
      <c r="B3988" s="227"/>
      <c r="C3988" s="227"/>
      <c r="D3988" s="227"/>
      <c r="E3988" s="227"/>
      <c r="F3988" s="227"/>
      <c r="G3988" s="227"/>
      <c r="H3988" s="227"/>
      <c r="I3988" s="229"/>
    </row>
    <row r="3989" spans="1:9" s="212" customFormat="1">
      <c r="A3989" s="658"/>
      <c r="B3989" s="227"/>
      <c r="C3989" s="227"/>
      <c r="D3989" s="227"/>
      <c r="E3989" s="227"/>
      <c r="F3989" s="227"/>
      <c r="G3989" s="227"/>
    </row>
    <row r="3990" spans="1:9" s="212" customFormat="1">
      <c r="A3990" s="69"/>
      <c r="B3990" s="69"/>
      <c r="C3990" s="69"/>
      <c r="D3990" s="69"/>
      <c r="E3990" s="69"/>
    </row>
    <row r="3991" spans="1:9" s="212" customFormat="1">
      <c r="A3991" s="120"/>
      <c r="B3991" s="73"/>
      <c r="C3991" s="73"/>
      <c r="D3991" s="73"/>
      <c r="E3991" s="73"/>
      <c r="F3991" s="73"/>
      <c r="G3991" s="73"/>
      <c r="H3991" s="73"/>
    </row>
    <row r="3992" spans="1:9" s="212" customFormat="1">
      <c r="A3992" s="220"/>
      <c r="B3992" s="141"/>
      <c r="C3992" s="141"/>
      <c r="D3992" s="141"/>
      <c r="E3992" s="141"/>
      <c r="F3992" s="141"/>
      <c r="G3992" s="141"/>
      <c r="H3992" s="73"/>
    </row>
    <row r="3993" spans="1:9" s="212" customFormat="1">
      <c r="A3993" s="142"/>
      <c r="B3993" s="143"/>
      <c r="C3993" s="143"/>
      <c r="D3993" s="143"/>
      <c r="E3993" s="143"/>
      <c r="F3993" s="84"/>
      <c r="G3993" s="146"/>
      <c r="H3993" s="221"/>
    </row>
    <row r="3994" spans="1:9" s="212" customFormat="1">
      <c r="A3994" s="84"/>
      <c r="B3994" s="83"/>
      <c r="C3994" s="84"/>
      <c r="D3994" s="84"/>
      <c r="E3994" s="84"/>
      <c r="G3994" s="213"/>
      <c r="H3994" s="222"/>
    </row>
    <row r="3995" spans="1:9" s="212" customFormat="1">
      <c r="A3995" s="120"/>
      <c r="B3995" s="73"/>
      <c r="C3995" s="73"/>
      <c r="D3995" s="73"/>
      <c r="E3995" s="73"/>
      <c r="G3995" s="73"/>
      <c r="H3995" s="222"/>
    </row>
    <row r="3996" spans="1:9" s="212" customFormat="1">
      <c r="A3996" s="220"/>
      <c r="B3996" s="141"/>
      <c r="C3996" s="141"/>
      <c r="D3996" s="141"/>
      <c r="E3996" s="141"/>
      <c r="F3996" s="141"/>
      <c r="G3996" s="141"/>
      <c r="H3996" s="222"/>
    </row>
    <row r="3997" spans="1:9" s="212" customFormat="1">
      <c r="A3997" s="150"/>
      <c r="B3997" s="83"/>
      <c r="C3997" s="148"/>
      <c r="D3997" s="160"/>
      <c r="E3997" s="84"/>
      <c r="F3997" s="84"/>
      <c r="G3997" s="146"/>
      <c r="H3997" s="221"/>
    </row>
    <row r="3998" spans="1:9" s="212" customFormat="1">
      <c r="A3998" s="91"/>
      <c r="B3998" s="91"/>
      <c r="C3998" s="91"/>
      <c r="D3998" s="91"/>
      <c r="E3998" s="91"/>
      <c r="G3998" s="213"/>
      <c r="H3998" s="222"/>
    </row>
    <row r="3999" spans="1:9" s="212" customFormat="1">
      <c r="A3999" s="120"/>
      <c r="B3999" s="73"/>
      <c r="C3999" s="73"/>
      <c r="D3999" s="73"/>
      <c r="E3999" s="73"/>
      <c r="G3999" s="73"/>
      <c r="H3999" s="222"/>
    </row>
    <row r="4000" spans="1:9" s="212" customFormat="1">
      <c r="A4000" s="220"/>
      <c r="B4000" s="141"/>
      <c r="C4000" s="141"/>
      <c r="D4000" s="141"/>
      <c r="E4000" s="141"/>
      <c r="F4000" s="141"/>
      <c r="G4000" s="141"/>
      <c r="H4000" s="222"/>
    </row>
    <row r="4001" spans="1:9" s="212" customFormat="1">
      <c r="A4001" s="142"/>
      <c r="B4001" s="143"/>
      <c r="C4001" s="143"/>
      <c r="D4001" s="143"/>
      <c r="E4001" s="143"/>
      <c r="F4001" s="84"/>
      <c r="G4001" s="146"/>
      <c r="H4001" s="221"/>
    </row>
    <row r="4002" spans="1:9" s="212" customFormat="1">
      <c r="A4002" s="91"/>
      <c r="B4002" s="91"/>
      <c r="C4002" s="91"/>
      <c r="D4002" s="91"/>
      <c r="E4002" s="91"/>
      <c r="G4002" s="213"/>
      <c r="H4002" s="222"/>
    </row>
    <row r="4003" spans="1:9" s="212" customFormat="1">
      <c r="A4003" s="120"/>
      <c r="B4003" s="73"/>
      <c r="C4003" s="73"/>
      <c r="D4003" s="73"/>
      <c r="E4003" s="73"/>
      <c r="G4003" s="73"/>
      <c r="H4003" s="222"/>
    </row>
    <row r="4004" spans="1:9" s="212" customFormat="1">
      <c r="A4004" s="220"/>
      <c r="B4004" s="141"/>
      <c r="C4004" s="141"/>
      <c r="D4004" s="141"/>
      <c r="E4004" s="141"/>
      <c r="F4004" s="141"/>
      <c r="G4004" s="141"/>
      <c r="H4004" s="222"/>
    </row>
    <row r="4005" spans="1:9" s="212" customFormat="1">
      <c r="A4005" s="142"/>
      <c r="B4005" s="143"/>
      <c r="C4005" s="143"/>
      <c r="D4005" s="143"/>
      <c r="E4005" s="143"/>
      <c r="F4005" s="84"/>
      <c r="G4005" s="146"/>
      <c r="H4005" s="221"/>
    </row>
    <row r="4006" spans="1:9" s="212" customFormat="1">
      <c r="A4006" s="123"/>
      <c r="B4006" s="95"/>
      <c r="C4006" s="95"/>
      <c r="D4006" s="95"/>
      <c r="E4006" s="95"/>
      <c r="G4006" s="213"/>
      <c r="H4006" s="73"/>
    </row>
    <row r="4007" spans="1:9" s="212" customFormat="1">
      <c r="A4007" s="123"/>
      <c r="B4007" s="95"/>
      <c r="C4007" s="95"/>
      <c r="D4007" s="95"/>
      <c r="E4007" s="95"/>
      <c r="G4007" s="73"/>
      <c r="H4007" s="225"/>
    </row>
    <row r="4008" spans="1:9" s="212" customFormat="1">
      <c r="B4008" s="97"/>
      <c r="C4008" s="98"/>
      <c r="D4008" s="98"/>
      <c r="E4008" s="98"/>
      <c r="G4008" s="220"/>
    </row>
    <row r="4009" spans="1:9" s="212" customFormat="1">
      <c r="B4009" s="97"/>
      <c r="C4009" s="98"/>
      <c r="D4009" s="98"/>
      <c r="E4009" s="98"/>
      <c r="F4009" s="220"/>
      <c r="G4009" s="225"/>
      <c r="H4009" s="226"/>
    </row>
    <row r="4010" spans="1:9" s="212" customFormat="1">
      <c r="A4010" s="633"/>
      <c r="B4010" s="633"/>
      <c r="C4010" s="633"/>
      <c r="D4010" s="633"/>
      <c r="E4010" s="633"/>
      <c r="F4010" s="633"/>
      <c r="G4010" s="633"/>
    </row>
    <row r="4011" spans="1:9" s="212" customFormat="1">
      <c r="H4011" s="227"/>
      <c r="I4011" s="228"/>
    </row>
    <row r="4012" spans="1:9" s="212" customFormat="1">
      <c r="A4012" s="658"/>
      <c r="B4012" s="227"/>
      <c r="C4012" s="227"/>
      <c r="D4012" s="227"/>
      <c r="E4012" s="227"/>
      <c r="F4012" s="227"/>
      <c r="G4012" s="227"/>
      <c r="H4012" s="227"/>
      <c r="I4012" s="229"/>
    </row>
    <row r="4013" spans="1:9" s="212" customFormat="1">
      <c r="A4013" s="658"/>
      <c r="B4013" s="227"/>
      <c r="C4013" s="227"/>
      <c r="D4013" s="227"/>
      <c r="E4013" s="227"/>
      <c r="F4013" s="227"/>
      <c r="G4013" s="227"/>
    </row>
    <row r="4014" spans="1:9" s="212" customFormat="1">
      <c r="A4014" s="69"/>
      <c r="B4014" s="69"/>
      <c r="C4014" s="69"/>
      <c r="D4014" s="69"/>
      <c r="E4014" s="69"/>
    </row>
    <row r="4015" spans="1:9" s="212" customFormat="1">
      <c r="A4015" s="120"/>
      <c r="B4015" s="73"/>
      <c r="C4015" s="73"/>
      <c r="D4015" s="73"/>
      <c r="E4015" s="73"/>
      <c r="F4015" s="73"/>
      <c r="G4015" s="73"/>
      <c r="H4015" s="73"/>
    </row>
    <row r="4016" spans="1:9" s="212" customFormat="1">
      <c r="A4016" s="220"/>
      <c r="B4016" s="141"/>
      <c r="C4016" s="141"/>
      <c r="D4016" s="141"/>
      <c r="E4016" s="141"/>
      <c r="F4016" s="141"/>
      <c r="G4016" s="141"/>
      <c r="H4016" s="73"/>
    </row>
    <row r="4017" spans="1:8" s="212" customFormat="1">
      <c r="A4017" s="142"/>
      <c r="B4017" s="143"/>
      <c r="C4017" s="143"/>
      <c r="D4017" s="143"/>
      <c r="E4017" s="143"/>
      <c r="F4017" s="84"/>
      <c r="G4017" s="146"/>
      <c r="H4017" s="221"/>
    </row>
    <row r="4018" spans="1:8" s="212" customFormat="1">
      <c r="A4018" s="84"/>
      <c r="B4018" s="83"/>
      <c r="C4018" s="84"/>
      <c r="D4018" s="84"/>
      <c r="E4018" s="84"/>
      <c r="G4018" s="213"/>
      <c r="H4018" s="222"/>
    </row>
    <row r="4019" spans="1:8" s="212" customFormat="1">
      <c r="A4019" s="120"/>
      <c r="B4019" s="73"/>
      <c r="C4019" s="73"/>
      <c r="D4019" s="73"/>
      <c r="E4019" s="73"/>
      <c r="G4019" s="73"/>
      <c r="H4019" s="222"/>
    </row>
    <row r="4020" spans="1:8" s="212" customFormat="1">
      <c r="A4020" s="220"/>
      <c r="B4020" s="141"/>
      <c r="C4020" s="141"/>
      <c r="D4020" s="141"/>
      <c r="E4020" s="141"/>
      <c r="F4020" s="141"/>
      <c r="G4020" s="141"/>
      <c r="H4020" s="222"/>
    </row>
    <row r="4021" spans="1:8" s="212" customFormat="1">
      <c r="A4021" s="150"/>
      <c r="B4021" s="83"/>
      <c r="C4021" s="148"/>
      <c r="D4021" s="160"/>
      <c r="E4021" s="84"/>
      <c r="F4021" s="84"/>
      <c r="G4021" s="146"/>
      <c r="H4021" s="221"/>
    </row>
    <row r="4022" spans="1:8" s="212" customFormat="1">
      <c r="A4022" s="91"/>
      <c r="B4022" s="91"/>
      <c r="C4022" s="91"/>
      <c r="D4022" s="91"/>
      <c r="E4022" s="91"/>
      <c r="G4022" s="213"/>
      <c r="H4022" s="222"/>
    </row>
    <row r="4023" spans="1:8" s="212" customFormat="1">
      <c r="A4023" s="120"/>
      <c r="B4023" s="73"/>
      <c r="C4023" s="73"/>
      <c r="D4023" s="73"/>
      <c r="E4023" s="73"/>
      <c r="G4023" s="73"/>
      <c r="H4023" s="222"/>
    </row>
    <row r="4024" spans="1:8" s="212" customFormat="1">
      <c r="A4024" s="220"/>
      <c r="B4024" s="141"/>
      <c r="C4024" s="141"/>
      <c r="D4024" s="141"/>
      <c r="E4024" s="141"/>
      <c r="F4024" s="141"/>
      <c r="G4024" s="141"/>
      <c r="H4024" s="222"/>
    </row>
    <row r="4025" spans="1:8" s="212" customFormat="1">
      <c r="A4025" s="142"/>
      <c r="B4025" s="143"/>
      <c r="C4025" s="143"/>
      <c r="D4025" s="143"/>
      <c r="E4025" s="143"/>
      <c r="F4025" s="84"/>
      <c r="G4025" s="146"/>
      <c r="H4025" s="221"/>
    </row>
    <row r="4026" spans="1:8" s="212" customFormat="1">
      <c r="A4026" s="91"/>
      <c r="B4026" s="91"/>
      <c r="C4026" s="91"/>
      <c r="D4026" s="91"/>
      <c r="E4026" s="91"/>
      <c r="G4026" s="213"/>
      <c r="H4026" s="222"/>
    </row>
    <row r="4027" spans="1:8" s="212" customFormat="1">
      <c r="A4027" s="120"/>
      <c r="B4027" s="73"/>
      <c r="C4027" s="73"/>
      <c r="D4027" s="73"/>
      <c r="E4027" s="73"/>
      <c r="G4027" s="73"/>
      <c r="H4027" s="222"/>
    </row>
    <row r="4028" spans="1:8" s="212" customFormat="1">
      <c r="A4028" s="220"/>
      <c r="B4028" s="141"/>
      <c r="C4028" s="141"/>
      <c r="D4028" s="141"/>
      <c r="E4028" s="141"/>
      <c r="F4028" s="141"/>
      <c r="G4028" s="141"/>
      <c r="H4028" s="222"/>
    </row>
    <row r="4029" spans="1:8" s="212" customFormat="1">
      <c r="A4029" s="142"/>
      <c r="B4029" s="143"/>
      <c r="C4029" s="143"/>
      <c r="D4029" s="143"/>
      <c r="E4029" s="143"/>
      <c r="F4029" s="84"/>
      <c r="G4029" s="146"/>
      <c r="H4029" s="221"/>
    </row>
    <row r="4030" spans="1:8" s="212" customFormat="1">
      <c r="A4030" s="123"/>
      <c r="B4030" s="95"/>
      <c r="C4030" s="95"/>
      <c r="D4030" s="95"/>
      <c r="E4030" s="95"/>
      <c r="G4030" s="213"/>
      <c r="H4030" s="73"/>
    </row>
    <row r="4031" spans="1:8" s="212" customFormat="1">
      <c r="A4031" s="123"/>
      <c r="B4031" s="95"/>
      <c r="C4031" s="95"/>
      <c r="D4031" s="95"/>
      <c r="E4031" s="95"/>
      <c r="G4031" s="73"/>
      <c r="H4031" s="225"/>
    </row>
    <row r="4032" spans="1:8" s="212" customFormat="1">
      <c r="B4032" s="97"/>
      <c r="C4032" s="98"/>
      <c r="D4032" s="98"/>
      <c r="E4032" s="98"/>
      <c r="G4032" s="220"/>
    </row>
    <row r="4033" spans="1:9" s="212" customFormat="1">
      <c r="B4033" s="97"/>
      <c r="C4033" s="98"/>
      <c r="D4033" s="98"/>
      <c r="E4033" s="98"/>
      <c r="F4033" s="220"/>
      <c r="G4033" s="225"/>
      <c r="H4033" s="226"/>
    </row>
    <row r="4034" spans="1:9" s="212" customFormat="1">
      <c r="A4034" s="633"/>
      <c r="B4034" s="633"/>
      <c r="C4034" s="633"/>
      <c r="D4034" s="633"/>
      <c r="E4034" s="633"/>
      <c r="F4034" s="633"/>
      <c r="G4034" s="633"/>
    </row>
    <row r="4035" spans="1:9" s="212" customFormat="1">
      <c r="H4035" s="227"/>
      <c r="I4035" s="228"/>
    </row>
    <row r="4036" spans="1:9" s="212" customFormat="1">
      <c r="A4036" s="658"/>
      <c r="B4036" s="227"/>
      <c r="C4036" s="227"/>
      <c r="D4036" s="227"/>
      <c r="E4036" s="227"/>
      <c r="F4036" s="227"/>
      <c r="G4036" s="227"/>
      <c r="H4036" s="227"/>
      <c r="I4036" s="229"/>
    </row>
    <row r="4037" spans="1:9" s="212" customFormat="1">
      <c r="A4037" s="658"/>
      <c r="B4037" s="227"/>
      <c r="C4037" s="227"/>
      <c r="D4037" s="227"/>
      <c r="E4037" s="227"/>
      <c r="F4037" s="227"/>
      <c r="G4037" s="227"/>
    </row>
    <row r="4038" spans="1:9" s="212" customFormat="1">
      <c r="A4038" s="69"/>
      <c r="B4038" s="69"/>
      <c r="C4038" s="69"/>
      <c r="D4038" s="69"/>
      <c r="E4038" s="69"/>
    </row>
    <row r="4039" spans="1:9" s="212" customFormat="1">
      <c r="A4039" s="120"/>
      <c r="B4039" s="73"/>
      <c r="C4039" s="73"/>
      <c r="D4039" s="73"/>
      <c r="E4039" s="73"/>
      <c r="F4039" s="73"/>
      <c r="G4039" s="73"/>
      <c r="H4039" s="73"/>
    </row>
    <row r="4040" spans="1:9" s="212" customFormat="1">
      <c r="A4040" s="220"/>
      <c r="B4040" s="141"/>
      <c r="C4040" s="141"/>
      <c r="D4040" s="141"/>
      <c r="E4040" s="141"/>
      <c r="F4040" s="141"/>
      <c r="G4040" s="141"/>
      <c r="H4040" s="73"/>
    </row>
    <row r="4041" spans="1:9" s="212" customFormat="1">
      <c r="A4041" s="142"/>
      <c r="B4041" s="143"/>
      <c r="C4041" s="143"/>
      <c r="D4041" s="143"/>
      <c r="E4041" s="143"/>
      <c r="F4041" s="84"/>
      <c r="G4041" s="146"/>
      <c r="H4041" s="221"/>
    </row>
    <row r="4042" spans="1:9" s="212" customFormat="1">
      <c r="A4042" s="84"/>
      <c r="B4042" s="83"/>
      <c r="C4042" s="84"/>
      <c r="D4042" s="84"/>
      <c r="E4042" s="84"/>
      <c r="G4042" s="213"/>
      <c r="H4042" s="222"/>
    </row>
    <row r="4043" spans="1:9" s="212" customFormat="1">
      <c r="A4043" s="120"/>
      <c r="B4043" s="73"/>
      <c r="C4043" s="73"/>
      <c r="D4043" s="73"/>
      <c r="E4043" s="73"/>
      <c r="G4043" s="73"/>
      <c r="H4043" s="222"/>
    </row>
    <row r="4044" spans="1:9" s="212" customFormat="1">
      <c r="A4044" s="220"/>
      <c r="B4044" s="141"/>
      <c r="C4044" s="141"/>
      <c r="D4044" s="141"/>
      <c r="E4044" s="141"/>
      <c r="F4044" s="141"/>
      <c r="G4044" s="141"/>
      <c r="H4044" s="222"/>
    </row>
    <row r="4045" spans="1:9" s="212" customFormat="1">
      <c r="A4045" s="150"/>
      <c r="B4045" s="83"/>
      <c r="C4045" s="148"/>
      <c r="D4045" s="160"/>
      <c r="E4045" s="84"/>
      <c r="F4045" s="84"/>
      <c r="G4045" s="146"/>
      <c r="H4045" s="221"/>
    </row>
    <row r="4046" spans="1:9" s="212" customFormat="1">
      <c r="A4046" s="91"/>
      <c r="B4046" s="91"/>
      <c r="C4046" s="91"/>
      <c r="D4046" s="91"/>
      <c r="E4046" s="91"/>
      <c r="G4046" s="213"/>
      <c r="H4046" s="222"/>
    </row>
    <row r="4047" spans="1:9" s="212" customFormat="1">
      <c r="A4047" s="120"/>
      <c r="B4047" s="73"/>
      <c r="C4047" s="73"/>
      <c r="D4047" s="73"/>
      <c r="E4047" s="73"/>
      <c r="G4047" s="73"/>
      <c r="H4047" s="222"/>
    </row>
    <row r="4048" spans="1:9" s="212" customFormat="1">
      <c r="A4048" s="220"/>
      <c r="B4048" s="141"/>
      <c r="C4048" s="141"/>
      <c r="D4048" s="141"/>
      <c r="E4048" s="141"/>
      <c r="F4048" s="141"/>
      <c r="G4048" s="141"/>
      <c r="H4048" s="222"/>
    </row>
    <row r="4049" spans="1:9" s="212" customFormat="1">
      <c r="A4049" s="142"/>
      <c r="B4049" s="143"/>
      <c r="C4049" s="143"/>
      <c r="D4049" s="143"/>
      <c r="E4049" s="143"/>
      <c r="F4049" s="84"/>
      <c r="G4049" s="146"/>
      <c r="H4049" s="221"/>
    </row>
    <row r="4050" spans="1:9" s="212" customFormat="1">
      <c r="A4050" s="91"/>
      <c r="B4050" s="91"/>
      <c r="C4050" s="91"/>
      <c r="D4050" s="91"/>
      <c r="E4050" s="91"/>
      <c r="G4050" s="213"/>
      <c r="H4050" s="222"/>
    </row>
    <row r="4051" spans="1:9" s="212" customFormat="1">
      <c r="A4051" s="120"/>
      <c r="B4051" s="73"/>
      <c r="C4051" s="73"/>
      <c r="D4051" s="73"/>
      <c r="E4051" s="73"/>
      <c r="G4051" s="73"/>
      <c r="H4051" s="222"/>
    </row>
    <row r="4052" spans="1:9" s="212" customFormat="1">
      <c r="A4052" s="220"/>
      <c r="B4052" s="141"/>
      <c r="C4052" s="141"/>
      <c r="D4052" s="141"/>
      <c r="E4052" s="141"/>
      <c r="F4052" s="141"/>
      <c r="G4052" s="141"/>
      <c r="H4052" s="222"/>
    </row>
    <row r="4053" spans="1:9" s="212" customFormat="1">
      <c r="A4053" s="142"/>
      <c r="B4053" s="143"/>
      <c r="C4053" s="143"/>
      <c r="D4053" s="143"/>
      <c r="E4053" s="143"/>
      <c r="F4053" s="84"/>
      <c r="G4053" s="146"/>
      <c r="H4053" s="221"/>
    </row>
    <row r="4054" spans="1:9" s="212" customFormat="1">
      <c r="A4054" s="123"/>
      <c r="B4054" s="95"/>
      <c r="C4054" s="95"/>
      <c r="D4054" s="95"/>
      <c r="E4054" s="95"/>
      <c r="G4054" s="213"/>
      <c r="H4054" s="73"/>
    </row>
    <row r="4055" spans="1:9" s="212" customFormat="1">
      <c r="A4055" s="123"/>
      <c r="B4055" s="95"/>
      <c r="C4055" s="95"/>
      <c r="D4055" s="95"/>
      <c r="E4055" s="95"/>
      <c r="G4055" s="73"/>
      <c r="H4055" s="225"/>
    </row>
    <row r="4056" spans="1:9" s="212" customFormat="1">
      <c r="B4056" s="97"/>
      <c r="C4056" s="98"/>
      <c r="D4056" s="98"/>
      <c r="E4056" s="98"/>
      <c r="G4056" s="220"/>
    </row>
    <row r="4057" spans="1:9" s="212" customFormat="1">
      <c r="B4057" s="97"/>
      <c r="C4057" s="98"/>
      <c r="D4057" s="98"/>
      <c r="E4057" s="98"/>
      <c r="F4057" s="220"/>
      <c r="G4057" s="225"/>
      <c r="H4057" s="226"/>
    </row>
    <row r="4058" spans="1:9" s="212" customFormat="1">
      <c r="A4058" s="633"/>
      <c r="B4058" s="633"/>
      <c r="C4058" s="633"/>
      <c r="D4058" s="633"/>
      <c r="E4058" s="633"/>
      <c r="F4058" s="633"/>
      <c r="G4058" s="633"/>
    </row>
    <row r="4059" spans="1:9" s="212" customFormat="1">
      <c r="H4059" s="227"/>
      <c r="I4059" s="228"/>
    </row>
    <row r="4060" spans="1:9" s="212" customFormat="1">
      <c r="A4060" s="658"/>
      <c r="B4060" s="227"/>
      <c r="C4060" s="227"/>
      <c r="D4060" s="227"/>
      <c r="E4060" s="227"/>
      <c r="F4060" s="227"/>
      <c r="G4060" s="227"/>
      <c r="H4060" s="227"/>
      <c r="I4060" s="229"/>
    </row>
    <row r="4061" spans="1:9" s="212" customFormat="1">
      <c r="A4061" s="658"/>
      <c r="B4061" s="227"/>
      <c r="C4061" s="227"/>
      <c r="D4061" s="227"/>
      <c r="E4061" s="227"/>
      <c r="F4061" s="227"/>
      <c r="G4061" s="227"/>
    </row>
    <row r="4062" spans="1:9" s="212" customFormat="1">
      <c r="A4062" s="69"/>
      <c r="B4062" s="69"/>
      <c r="C4062" s="69"/>
      <c r="D4062" s="69"/>
      <c r="E4062" s="69"/>
    </row>
    <row r="4063" spans="1:9" s="212" customFormat="1">
      <c r="A4063" s="120"/>
      <c r="B4063" s="73"/>
      <c r="C4063" s="73"/>
      <c r="D4063" s="73"/>
      <c r="E4063" s="73"/>
      <c r="F4063" s="73"/>
      <c r="G4063" s="73"/>
      <c r="H4063" s="73"/>
    </row>
    <row r="4064" spans="1:9" s="212" customFormat="1">
      <c r="A4064" s="220"/>
      <c r="B4064" s="141"/>
      <c r="C4064" s="141"/>
      <c r="D4064" s="141"/>
      <c r="E4064" s="141"/>
      <c r="F4064" s="141"/>
      <c r="G4064" s="141"/>
      <c r="H4064" s="73"/>
    </row>
    <row r="4065" spans="1:8" s="212" customFormat="1">
      <c r="A4065" s="142"/>
      <c r="B4065" s="143"/>
      <c r="C4065" s="143"/>
      <c r="D4065" s="143"/>
      <c r="E4065" s="143"/>
      <c r="F4065" s="84"/>
      <c r="G4065" s="146"/>
      <c r="H4065" s="221"/>
    </row>
    <row r="4066" spans="1:8" s="212" customFormat="1">
      <c r="A4066" s="84"/>
      <c r="B4066" s="83"/>
      <c r="C4066" s="84"/>
      <c r="D4066" s="84"/>
      <c r="E4066" s="84"/>
      <c r="G4066" s="213"/>
      <c r="H4066" s="222"/>
    </row>
    <row r="4067" spans="1:8" s="212" customFormat="1">
      <c r="A4067" s="120"/>
      <c r="B4067" s="73"/>
      <c r="C4067" s="73"/>
      <c r="D4067" s="73"/>
      <c r="E4067" s="73"/>
      <c r="G4067" s="73"/>
      <c r="H4067" s="222"/>
    </row>
    <row r="4068" spans="1:8" s="212" customFormat="1">
      <c r="A4068" s="220"/>
      <c r="B4068" s="141"/>
      <c r="C4068" s="141"/>
      <c r="D4068" s="141"/>
      <c r="E4068" s="141"/>
      <c r="F4068" s="141"/>
      <c r="G4068" s="141"/>
      <c r="H4068" s="222"/>
    </row>
    <row r="4069" spans="1:8" s="212" customFormat="1">
      <c r="A4069" s="150"/>
      <c r="B4069" s="83"/>
      <c r="C4069" s="148"/>
      <c r="D4069" s="160"/>
      <c r="E4069" s="84"/>
      <c r="F4069" s="84"/>
      <c r="G4069" s="146"/>
      <c r="H4069" s="221"/>
    </row>
    <row r="4070" spans="1:8" s="212" customFormat="1">
      <c r="A4070" s="91"/>
      <c r="B4070" s="91"/>
      <c r="C4070" s="91"/>
      <c r="D4070" s="91"/>
      <c r="E4070" s="91"/>
      <c r="G4070" s="213"/>
      <c r="H4070" s="222"/>
    </row>
    <row r="4071" spans="1:8" s="212" customFormat="1">
      <c r="A4071" s="120"/>
      <c r="B4071" s="73"/>
      <c r="C4071" s="73"/>
      <c r="D4071" s="73"/>
      <c r="E4071" s="73"/>
      <c r="G4071" s="73"/>
      <c r="H4071" s="222"/>
    </row>
    <row r="4072" spans="1:8" s="212" customFormat="1">
      <c r="A4072" s="220"/>
      <c r="B4072" s="141"/>
      <c r="C4072" s="141"/>
      <c r="D4072" s="141"/>
      <c r="E4072" s="141"/>
      <c r="F4072" s="141"/>
      <c r="G4072" s="141"/>
      <c r="H4072" s="222"/>
    </row>
    <row r="4073" spans="1:8" s="212" customFormat="1">
      <c r="A4073" s="142"/>
      <c r="B4073" s="143"/>
      <c r="C4073" s="143"/>
      <c r="D4073" s="143"/>
      <c r="E4073" s="143"/>
      <c r="F4073" s="84"/>
      <c r="G4073" s="146"/>
      <c r="H4073" s="221"/>
    </row>
    <row r="4074" spans="1:8" s="212" customFormat="1">
      <c r="A4074" s="91"/>
      <c r="B4074" s="91"/>
      <c r="C4074" s="91"/>
      <c r="D4074" s="91"/>
      <c r="E4074" s="91"/>
      <c r="G4074" s="213"/>
      <c r="H4074" s="222"/>
    </row>
    <row r="4075" spans="1:8" s="212" customFormat="1">
      <c r="A4075" s="120"/>
      <c r="B4075" s="73"/>
      <c r="C4075" s="73"/>
      <c r="D4075" s="73"/>
      <c r="E4075" s="73"/>
      <c r="G4075" s="73"/>
      <c r="H4075" s="222"/>
    </row>
    <row r="4076" spans="1:8" s="212" customFormat="1">
      <c r="A4076" s="220"/>
      <c r="B4076" s="141"/>
      <c r="C4076" s="141"/>
      <c r="D4076" s="141"/>
      <c r="E4076" s="141"/>
      <c r="F4076" s="141"/>
      <c r="G4076" s="141"/>
      <c r="H4076" s="222"/>
    </row>
    <row r="4077" spans="1:8" s="212" customFormat="1">
      <c r="A4077" s="142"/>
      <c r="B4077" s="143"/>
      <c r="C4077" s="143"/>
      <c r="D4077" s="143"/>
      <c r="E4077" s="143"/>
      <c r="F4077" s="84"/>
      <c r="G4077" s="146"/>
      <c r="H4077" s="221"/>
    </row>
    <row r="4078" spans="1:8" s="212" customFormat="1">
      <c r="A4078" s="123"/>
      <c r="B4078" s="95"/>
      <c r="C4078" s="95"/>
      <c r="D4078" s="95"/>
      <c r="E4078" s="95"/>
      <c r="G4078" s="213"/>
      <c r="H4078" s="73"/>
    </row>
    <row r="4079" spans="1:8" s="212" customFormat="1">
      <c r="A4079" s="123"/>
      <c r="B4079" s="95"/>
      <c r="C4079" s="95"/>
      <c r="D4079" s="95"/>
      <c r="E4079" s="95"/>
      <c r="G4079" s="73"/>
      <c r="H4079" s="225"/>
    </row>
    <row r="4080" spans="1:8" s="212" customFormat="1">
      <c r="B4080" s="97"/>
      <c r="C4080" s="98"/>
      <c r="D4080" s="98"/>
      <c r="E4080" s="98"/>
      <c r="G4080" s="220"/>
    </row>
    <row r="4081" spans="1:9" s="212" customFormat="1">
      <c r="B4081" s="97"/>
      <c r="C4081" s="98"/>
      <c r="D4081" s="98"/>
      <c r="E4081" s="98"/>
      <c r="F4081" s="220"/>
      <c r="G4081" s="225"/>
      <c r="H4081" s="226"/>
    </row>
    <row r="4082" spans="1:9" s="212" customFormat="1">
      <c r="A4082" s="633"/>
      <c r="B4082" s="633"/>
      <c r="C4082" s="633"/>
      <c r="D4082" s="633"/>
      <c r="E4082" s="633"/>
      <c r="F4082" s="633"/>
      <c r="G4082" s="633"/>
    </row>
    <row r="4083" spans="1:9" s="212" customFormat="1">
      <c r="H4083" s="227"/>
      <c r="I4083" s="228"/>
    </row>
    <row r="4084" spans="1:9" s="212" customFormat="1">
      <c r="A4084" s="658"/>
      <c r="B4084" s="227"/>
      <c r="C4084" s="227"/>
      <c r="D4084" s="227"/>
      <c r="E4084" s="227"/>
      <c r="F4084" s="227"/>
      <c r="G4084" s="227"/>
      <c r="H4084" s="227"/>
      <c r="I4084" s="229"/>
    </row>
    <row r="4085" spans="1:9" s="212" customFormat="1">
      <c r="A4085" s="658"/>
      <c r="B4085" s="227"/>
      <c r="C4085" s="227"/>
      <c r="D4085" s="227"/>
      <c r="E4085" s="227"/>
      <c r="F4085" s="227"/>
      <c r="G4085" s="227"/>
    </row>
    <row r="4086" spans="1:9" s="212" customFormat="1">
      <c r="A4086" s="69"/>
      <c r="B4086" s="69"/>
      <c r="C4086" s="69"/>
      <c r="D4086" s="69"/>
      <c r="E4086" s="69"/>
    </row>
    <row r="4087" spans="1:9" s="212" customFormat="1">
      <c r="A4087" s="120"/>
      <c r="B4087" s="73"/>
      <c r="C4087" s="73"/>
      <c r="D4087" s="73"/>
      <c r="E4087" s="73"/>
      <c r="F4087" s="73"/>
      <c r="G4087" s="73"/>
      <c r="H4087" s="73"/>
    </row>
    <row r="4088" spans="1:9" s="212" customFormat="1">
      <c r="A4088" s="220"/>
      <c r="B4088" s="141"/>
      <c r="C4088" s="141"/>
      <c r="D4088" s="141"/>
      <c r="E4088" s="141"/>
      <c r="F4088" s="141"/>
      <c r="G4088" s="141"/>
      <c r="H4088" s="73"/>
    </row>
    <row r="4089" spans="1:9" s="212" customFormat="1">
      <c r="A4089" s="142"/>
      <c r="B4089" s="143"/>
      <c r="C4089" s="143"/>
      <c r="D4089" s="143"/>
      <c r="E4089" s="143"/>
      <c r="F4089" s="84"/>
      <c r="G4089" s="146"/>
      <c r="H4089" s="221"/>
    </row>
    <row r="4090" spans="1:9" s="212" customFormat="1">
      <c r="A4090" s="84"/>
      <c r="B4090" s="83"/>
      <c r="C4090" s="84"/>
      <c r="D4090" s="84"/>
      <c r="E4090" s="84"/>
      <c r="G4090" s="213"/>
      <c r="H4090" s="222"/>
    </row>
    <row r="4091" spans="1:9" s="212" customFormat="1">
      <c r="A4091" s="120"/>
      <c r="B4091" s="73"/>
      <c r="C4091" s="73"/>
      <c r="D4091" s="73"/>
      <c r="E4091" s="73"/>
      <c r="G4091" s="73"/>
      <c r="H4091" s="222"/>
    </row>
    <row r="4092" spans="1:9" s="212" customFormat="1">
      <c r="A4092" s="220"/>
      <c r="B4092" s="141"/>
      <c r="C4092" s="141"/>
      <c r="D4092" s="141"/>
      <c r="E4092" s="141"/>
      <c r="F4092" s="141"/>
      <c r="G4092" s="141"/>
      <c r="H4092" s="222"/>
    </row>
    <row r="4093" spans="1:9" s="212" customFormat="1">
      <c r="A4093" s="150"/>
      <c r="B4093" s="83"/>
      <c r="C4093" s="148"/>
      <c r="D4093" s="160"/>
      <c r="E4093" s="84"/>
      <c r="F4093" s="84"/>
      <c r="G4093" s="146"/>
      <c r="H4093" s="221"/>
    </row>
    <row r="4094" spans="1:9" s="212" customFormat="1">
      <c r="A4094" s="91"/>
      <c r="B4094" s="91"/>
      <c r="C4094" s="91"/>
      <c r="D4094" s="91"/>
      <c r="E4094" s="91"/>
      <c r="G4094" s="213"/>
      <c r="H4094" s="222"/>
    </row>
    <row r="4095" spans="1:9" s="212" customFormat="1">
      <c r="A4095" s="120"/>
      <c r="B4095" s="73"/>
      <c r="C4095" s="73"/>
      <c r="D4095" s="73"/>
      <c r="E4095" s="73"/>
      <c r="G4095" s="73"/>
      <c r="H4095" s="222"/>
    </row>
    <row r="4096" spans="1:9" s="212" customFormat="1">
      <c r="A4096" s="220"/>
      <c r="B4096" s="141"/>
      <c r="C4096" s="141"/>
      <c r="D4096" s="141"/>
      <c r="E4096" s="141"/>
      <c r="F4096" s="141"/>
      <c r="G4096" s="141"/>
      <c r="H4096" s="222"/>
    </row>
    <row r="4097" spans="1:9" s="212" customFormat="1">
      <c r="A4097" s="142"/>
      <c r="B4097" s="143"/>
      <c r="C4097" s="143"/>
      <c r="D4097" s="143"/>
      <c r="E4097" s="143"/>
      <c r="F4097" s="84"/>
      <c r="G4097" s="146"/>
      <c r="H4097" s="221"/>
    </row>
    <row r="4098" spans="1:9" s="212" customFormat="1">
      <c r="A4098" s="91"/>
      <c r="B4098" s="91"/>
      <c r="C4098" s="91"/>
      <c r="D4098" s="91"/>
      <c r="E4098" s="91"/>
      <c r="G4098" s="213"/>
      <c r="H4098" s="222"/>
    </row>
    <row r="4099" spans="1:9" s="212" customFormat="1">
      <c r="A4099" s="120"/>
      <c r="B4099" s="73"/>
      <c r="C4099" s="73"/>
      <c r="D4099" s="73"/>
      <c r="E4099" s="73"/>
      <c r="G4099" s="73"/>
      <c r="H4099" s="222"/>
    </row>
    <row r="4100" spans="1:9" s="212" customFormat="1">
      <c r="A4100" s="220"/>
      <c r="B4100" s="141"/>
      <c r="C4100" s="141"/>
      <c r="D4100" s="141"/>
      <c r="E4100" s="141"/>
      <c r="F4100" s="141"/>
      <c r="G4100" s="141"/>
      <c r="H4100" s="222"/>
    </row>
    <row r="4101" spans="1:9" s="212" customFormat="1">
      <c r="A4101" s="142"/>
      <c r="B4101" s="143"/>
      <c r="C4101" s="143"/>
      <c r="D4101" s="143"/>
      <c r="E4101" s="143"/>
      <c r="F4101" s="84"/>
      <c r="G4101" s="146"/>
      <c r="H4101" s="221"/>
    </row>
    <row r="4102" spans="1:9" s="212" customFormat="1">
      <c r="A4102" s="123"/>
      <c r="B4102" s="95"/>
      <c r="C4102" s="95"/>
      <c r="D4102" s="95"/>
      <c r="E4102" s="95"/>
      <c r="G4102" s="213"/>
      <c r="H4102" s="73"/>
    </row>
    <row r="4103" spans="1:9" s="212" customFormat="1">
      <c r="A4103" s="123"/>
      <c r="B4103" s="95"/>
      <c r="C4103" s="95"/>
      <c r="D4103" s="95"/>
      <c r="E4103" s="95"/>
      <c r="G4103" s="73"/>
      <c r="H4103" s="225"/>
    </row>
    <row r="4104" spans="1:9" s="212" customFormat="1">
      <c r="B4104" s="97"/>
      <c r="C4104" s="98"/>
      <c r="D4104" s="98"/>
      <c r="E4104" s="98"/>
      <c r="G4104" s="220"/>
    </row>
    <row r="4105" spans="1:9" s="212" customFormat="1">
      <c r="B4105" s="97"/>
      <c r="C4105" s="98"/>
      <c r="D4105" s="98"/>
      <c r="E4105" s="98"/>
      <c r="F4105" s="220"/>
      <c r="G4105" s="225"/>
      <c r="H4105" s="226"/>
    </row>
    <row r="4106" spans="1:9" s="212" customFormat="1">
      <c r="A4106" s="633"/>
      <c r="B4106" s="633"/>
      <c r="C4106" s="633"/>
      <c r="D4106" s="633"/>
      <c r="E4106" s="633"/>
      <c r="F4106" s="633"/>
      <c r="G4106" s="633"/>
    </row>
    <row r="4107" spans="1:9" s="212" customFormat="1">
      <c r="H4107" s="227"/>
      <c r="I4107" s="228"/>
    </row>
    <row r="4108" spans="1:9" s="212" customFormat="1">
      <c r="A4108" s="658"/>
      <c r="B4108" s="227"/>
      <c r="C4108" s="227"/>
      <c r="D4108" s="227"/>
      <c r="E4108" s="227"/>
      <c r="F4108" s="227"/>
      <c r="G4108" s="227"/>
      <c r="H4108" s="227"/>
      <c r="I4108" s="229"/>
    </row>
    <row r="4109" spans="1:9" s="212" customFormat="1">
      <c r="A4109" s="658"/>
      <c r="B4109" s="227"/>
      <c r="C4109" s="227"/>
      <c r="D4109" s="227"/>
      <c r="E4109" s="227"/>
      <c r="F4109" s="227"/>
      <c r="G4109" s="227"/>
    </row>
    <row r="4110" spans="1:9" s="212" customFormat="1">
      <c r="A4110" s="69"/>
      <c r="B4110" s="69"/>
      <c r="C4110" s="69"/>
      <c r="D4110" s="69"/>
      <c r="E4110" s="69"/>
    </row>
    <row r="4111" spans="1:9" s="212" customFormat="1">
      <c r="A4111" s="120"/>
      <c r="B4111" s="73"/>
      <c r="C4111" s="73"/>
      <c r="D4111" s="73"/>
      <c r="E4111" s="73"/>
      <c r="F4111" s="73"/>
      <c r="G4111" s="73"/>
      <c r="H4111" s="73"/>
    </row>
    <row r="4112" spans="1:9" s="212" customFormat="1">
      <c r="A4112" s="220"/>
      <c r="B4112" s="141"/>
      <c r="C4112" s="141"/>
      <c r="D4112" s="141"/>
      <c r="E4112" s="141"/>
      <c r="F4112" s="141"/>
      <c r="G4112" s="141"/>
      <c r="H4112" s="73"/>
    </row>
    <row r="4113" spans="1:8" s="212" customFormat="1">
      <c r="A4113" s="142"/>
      <c r="B4113" s="143"/>
      <c r="C4113" s="143"/>
      <c r="D4113" s="143"/>
      <c r="E4113" s="143"/>
      <c r="F4113" s="84"/>
      <c r="G4113" s="146"/>
      <c r="H4113" s="221"/>
    </row>
    <row r="4114" spans="1:8" s="212" customFormat="1">
      <c r="A4114" s="84"/>
      <c r="B4114" s="83"/>
      <c r="C4114" s="84"/>
      <c r="D4114" s="84"/>
      <c r="E4114" s="84"/>
      <c r="G4114" s="213"/>
      <c r="H4114" s="222"/>
    </row>
    <row r="4115" spans="1:8" s="212" customFormat="1">
      <c r="A4115" s="120"/>
      <c r="B4115" s="73"/>
      <c r="C4115" s="73"/>
      <c r="D4115" s="73"/>
      <c r="E4115" s="73"/>
      <c r="G4115" s="73"/>
      <c r="H4115" s="222"/>
    </row>
    <row r="4116" spans="1:8" s="212" customFormat="1">
      <c r="A4116" s="220"/>
      <c r="B4116" s="141"/>
      <c r="C4116" s="141"/>
      <c r="D4116" s="141"/>
      <c r="E4116" s="141"/>
      <c r="F4116" s="141"/>
      <c r="G4116" s="141"/>
      <c r="H4116" s="222"/>
    </row>
    <row r="4117" spans="1:8" s="212" customFormat="1">
      <c r="A4117" s="150"/>
      <c r="B4117" s="83"/>
      <c r="C4117" s="148"/>
      <c r="D4117" s="160"/>
      <c r="E4117" s="84"/>
      <c r="F4117" s="84"/>
      <c r="G4117" s="146"/>
      <c r="H4117" s="221"/>
    </row>
    <row r="4118" spans="1:8" s="212" customFormat="1">
      <c r="A4118" s="91"/>
      <c r="B4118" s="91"/>
      <c r="C4118" s="91"/>
      <c r="D4118" s="91"/>
      <c r="E4118" s="91"/>
      <c r="G4118" s="213"/>
      <c r="H4118" s="222"/>
    </row>
    <row r="4119" spans="1:8" s="212" customFormat="1">
      <c r="A4119" s="120"/>
      <c r="B4119" s="73"/>
      <c r="C4119" s="73"/>
      <c r="D4119" s="73"/>
      <c r="E4119" s="73"/>
      <c r="G4119" s="73"/>
      <c r="H4119" s="222"/>
    </row>
    <row r="4120" spans="1:8" s="212" customFormat="1">
      <c r="A4120" s="220"/>
      <c r="B4120" s="141"/>
      <c r="C4120" s="141"/>
      <c r="D4120" s="141"/>
      <c r="E4120" s="141"/>
      <c r="F4120" s="141"/>
      <c r="G4120" s="141"/>
      <c r="H4120" s="222"/>
    </row>
    <row r="4121" spans="1:8" s="212" customFormat="1">
      <c r="A4121" s="142"/>
      <c r="B4121" s="143"/>
      <c r="C4121" s="143"/>
      <c r="D4121" s="143"/>
      <c r="E4121" s="143"/>
      <c r="F4121" s="84"/>
      <c r="G4121" s="146"/>
      <c r="H4121" s="221"/>
    </row>
    <row r="4122" spans="1:8" s="212" customFormat="1">
      <c r="A4122" s="91"/>
      <c r="B4122" s="91"/>
      <c r="C4122" s="91"/>
      <c r="D4122" s="91"/>
      <c r="E4122" s="91"/>
      <c r="G4122" s="213"/>
      <c r="H4122" s="222"/>
    </row>
    <row r="4123" spans="1:8" s="212" customFormat="1">
      <c r="A4123" s="120"/>
      <c r="B4123" s="73"/>
      <c r="C4123" s="73"/>
      <c r="D4123" s="73"/>
      <c r="E4123" s="73"/>
      <c r="G4123" s="73"/>
      <c r="H4123" s="222"/>
    </row>
    <row r="4124" spans="1:8" s="212" customFormat="1">
      <c r="A4124" s="220"/>
      <c r="B4124" s="141"/>
      <c r="C4124" s="141"/>
      <c r="D4124" s="141"/>
      <c r="E4124" s="141"/>
      <c r="F4124" s="141"/>
      <c r="G4124" s="141"/>
      <c r="H4124" s="222"/>
    </row>
    <row r="4125" spans="1:8" s="212" customFormat="1">
      <c r="A4125" s="142"/>
      <c r="B4125" s="143"/>
      <c r="C4125" s="143"/>
      <c r="D4125" s="143"/>
      <c r="E4125" s="143"/>
      <c r="F4125" s="84"/>
      <c r="G4125" s="146"/>
      <c r="H4125" s="221"/>
    </row>
    <row r="4126" spans="1:8" s="212" customFormat="1">
      <c r="A4126" s="123"/>
      <c r="B4126" s="95"/>
      <c r="C4126" s="95"/>
      <c r="D4126" s="95"/>
      <c r="E4126" s="95"/>
      <c r="G4126" s="213"/>
      <c r="H4126" s="73"/>
    </row>
    <row r="4127" spans="1:8" s="212" customFormat="1">
      <c r="A4127" s="123"/>
      <c r="B4127" s="95"/>
      <c r="C4127" s="95"/>
      <c r="D4127" s="95"/>
      <c r="E4127" s="95"/>
      <c r="G4127" s="73"/>
      <c r="H4127" s="225"/>
    </row>
    <row r="4128" spans="1:8" s="212" customFormat="1">
      <c r="B4128" s="97"/>
      <c r="C4128" s="98"/>
      <c r="D4128" s="98"/>
      <c r="E4128" s="98"/>
      <c r="G4128" s="220"/>
    </row>
    <row r="4129" spans="1:9" s="212" customFormat="1">
      <c r="B4129" s="97"/>
      <c r="C4129" s="98"/>
      <c r="D4129" s="98"/>
      <c r="E4129" s="98"/>
      <c r="F4129" s="220"/>
      <c r="G4129" s="225"/>
      <c r="H4129" s="226"/>
    </row>
    <row r="4130" spans="1:9" s="212" customFormat="1">
      <c r="A4130" s="633"/>
      <c r="B4130" s="633"/>
      <c r="C4130" s="633"/>
      <c r="D4130" s="633"/>
      <c r="E4130" s="633"/>
      <c r="F4130" s="633"/>
      <c r="G4130" s="633"/>
    </row>
    <row r="4131" spans="1:9" s="212" customFormat="1">
      <c r="H4131" s="227"/>
      <c r="I4131" s="228"/>
    </row>
    <row r="4132" spans="1:9" s="212" customFormat="1">
      <c r="A4132" s="658"/>
      <c r="B4132" s="227"/>
      <c r="C4132" s="227"/>
      <c r="D4132" s="227"/>
      <c r="E4132" s="227"/>
      <c r="F4132" s="227"/>
      <c r="G4132" s="227"/>
      <c r="H4132" s="227"/>
      <c r="I4132" s="229"/>
    </row>
    <row r="4133" spans="1:9" s="212" customFormat="1">
      <c r="A4133" s="658"/>
      <c r="B4133" s="227"/>
      <c r="C4133" s="227"/>
      <c r="D4133" s="227"/>
      <c r="E4133" s="227"/>
      <c r="F4133" s="227"/>
      <c r="G4133" s="227"/>
    </row>
    <row r="4134" spans="1:9" s="212" customFormat="1">
      <c r="A4134" s="69"/>
      <c r="B4134" s="69"/>
      <c r="C4134" s="69"/>
      <c r="D4134" s="69"/>
      <c r="E4134" s="69"/>
    </row>
    <row r="4135" spans="1:9" s="212" customFormat="1">
      <c r="A4135" s="120"/>
      <c r="B4135" s="73"/>
      <c r="C4135" s="73"/>
      <c r="D4135" s="73"/>
      <c r="E4135" s="73"/>
      <c r="F4135" s="73"/>
      <c r="G4135" s="73"/>
      <c r="H4135" s="73"/>
    </row>
    <row r="4136" spans="1:9" s="212" customFormat="1">
      <c r="A4136" s="220"/>
      <c r="B4136" s="141"/>
      <c r="C4136" s="141"/>
      <c r="D4136" s="141"/>
      <c r="E4136" s="141"/>
      <c r="F4136" s="141"/>
      <c r="G4136" s="141"/>
      <c r="H4136" s="73"/>
    </row>
    <row r="4137" spans="1:9" s="212" customFormat="1">
      <c r="A4137" s="142"/>
      <c r="B4137" s="143"/>
      <c r="C4137" s="143"/>
      <c r="D4137" s="143"/>
      <c r="E4137" s="143"/>
      <c r="F4137" s="84"/>
      <c r="G4137" s="146"/>
      <c r="H4137" s="221"/>
    </row>
    <row r="4138" spans="1:9" s="212" customFormat="1">
      <c r="A4138" s="84"/>
      <c r="B4138" s="83"/>
      <c r="C4138" s="84"/>
      <c r="D4138" s="84"/>
      <c r="E4138" s="84"/>
      <c r="G4138" s="213"/>
      <c r="H4138" s="222"/>
    </row>
    <row r="4139" spans="1:9" s="212" customFormat="1">
      <c r="A4139" s="120"/>
      <c r="B4139" s="73"/>
      <c r="C4139" s="73"/>
      <c r="D4139" s="73"/>
      <c r="E4139" s="73"/>
      <c r="G4139" s="73"/>
      <c r="H4139" s="222"/>
    </row>
    <row r="4140" spans="1:9" s="212" customFormat="1">
      <c r="A4140" s="220"/>
      <c r="B4140" s="141"/>
      <c r="C4140" s="141"/>
      <c r="D4140" s="141"/>
      <c r="E4140" s="141"/>
      <c r="F4140" s="141"/>
      <c r="G4140" s="141"/>
      <c r="H4140" s="222"/>
    </row>
    <row r="4141" spans="1:9" s="212" customFormat="1">
      <c r="A4141" s="150"/>
      <c r="B4141" s="83"/>
      <c r="C4141" s="148"/>
      <c r="D4141" s="160"/>
      <c r="E4141" s="84"/>
      <c r="F4141" s="84"/>
      <c r="G4141" s="146"/>
      <c r="H4141" s="221"/>
    </row>
    <row r="4142" spans="1:9" s="212" customFormat="1">
      <c r="A4142" s="91"/>
      <c r="B4142" s="91"/>
      <c r="C4142" s="91"/>
      <c r="D4142" s="91"/>
      <c r="E4142" s="91"/>
      <c r="G4142" s="213"/>
      <c r="H4142" s="222"/>
    </row>
    <row r="4143" spans="1:9" s="212" customFormat="1">
      <c r="A4143" s="120"/>
      <c r="B4143" s="73"/>
      <c r="C4143" s="73"/>
      <c r="D4143" s="73"/>
      <c r="E4143" s="73"/>
      <c r="G4143" s="73"/>
      <c r="H4143" s="222"/>
    </row>
    <row r="4144" spans="1:9" s="212" customFormat="1">
      <c r="A4144" s="220"/>
      <c r="B4144" s="141"/>
      <c r="C4144" s="141"/>
      <c r="D4144" s="141"/>
      <c r="E4144" s="141"/>
      <c r="F4144" s="141"/>
      <c r="G4144" s="141"/>
      <c r="H4144" s="222"/>
    </row>
    <row r="4145" spans="1:9" s="212" customFormat="1">
      <c r="A4145" s="142"/>
      <c r="B4145" s="143"/>
      <c r="C4145" s="143"/>
      <c r="D4145" s="143"/>
      <c r="E4145" s="143"/>
      <c r="F4145" s="84"/>
      <c r="G4145" s="146"/>
      <c r="H4145" s="221"/>
    </row>
    <row r="4146" spans="1:9" s="212" customFormat="1">
      <c r="A4146" s="91"/>
      <c r="B4146" s="91"/>
      <c r="C4146" s="91"/>
      <c r="D4146" s="91"/>
      <c r="E4146" s="91"/>
      <c r="G4146" s="213"/>
      <c r="H4146" s="222"/>
    </row>
    <row r="4147" spans="1:9" s="212" customFormat="1">
      <c r="A4147" s="120"/>
      <c r="B4147" s="73"/>
      <c r="C4147" s="73"/>
      <c r="D4147" s="73"/>
      <c r="E4147" s="73"/>
      <c r="G4147" s="73"/>
      <c r="H4147" s="222"/>
    </row>
    <row r="4148" spans="1:9" s="212" customFormat="1">
      <c r="A4148" s="220"/>
      <c r="B4148" s="141"/>
      <c r="C4148" s="141"/>
      <c r="D4148" s="141"/>
      <c r="E4148" s="141"/>
      <c r="F4148" s="141"/>
      <c r="G4148" s="141"/>
      <c r="H4148" s="222"/>
    </row>
    <row r="4149" spans="1:9" s="212" customFormat="1">
      <c r="A4149" s="142"/>
      <c r="B4149" s="143"/>
      <c r="C4149" s="143"/>
      <c r="D4149" s="143"/>
      <c r="E4149" s="143"/>
      <c r="F4149" s="84"/>
      <c r="G4149" s="146"/>
      <c r="H4149" s="221"/>
    </row>
    <row r="4150" spans="1:9" s="212" customFormat="1">
      <c r="A4150" s="123"/>
      <c r="B4150" s="95"/>
      <c r="C4150" s="95"/>
      <c r="D4150" s="95"/>
      <c r="E4150" s="95"/>
      <c r="G4150" s="213"/>
      <c r="H4150" s="73"/>
    </row>
    <row r="4151" spans="1:9" s="212" customFormat="1">
      <c r="A4151" s="123"/>
      <c r="B4151" s="95"/>
      <c r="C4151" s="95"/>
      <c r="D4151" s="95"/>
      <c r="E4151" s="95"/>
      <c r="G4151" s="73"/>
      <c r="H4151" s="225"/>
    </row>
    <row r="4152" spans="1:9" s="212" customFormat="1">
      <c r="B4152" s="97"/>
      <c r="C4152" s="98"/>
      <c r="D4152" s="98"/>
      <c r="E4152" s="98"/>
      <c r="G4152" s="220"/>
    </row>
    <row r="4153" spans="1:9" s="212" customFormat="1">
      <c r="B4153" s="97"/>
      <c r="C4153" s="98"/>
      <c r="D4153" s="98"/>
      <c r="E4153" s="98"/>
      <c r="F4153" s="220"/>
      <c r="G4153" s="225"/>
      <c r="H4153" s="226"/>
    </row>
    <row r="4154" spans="1:9" s="212" customFormat="1">
      <c r="A4154" s="633"/>
      <c r="B4154" s="633"/>
      <c r="C4154" s="633"/>
      <c r="D4154" s="633"/>
      <c r="E4154" s="633"/>
      <c r="F4154" s="633"/>
      <c r="G4154" s="633"/>
    </row>
    <row r="4155" spans="1:9" s="212" customFormat="1">
      <c r="H4155" s="227"/>
      <c r="I4155" s="228"/>
    </row>
    <row r="4156" spans="1:9" s="212" customFormat="1">
      <c r="A4156" s="658"/>
      <c r="B4156" s="227"/>
      <c r="C4156" s="227"/>
      <c r="D4156" s="227"/>
      <c r="E4156" s="227"/>
      <c r="F4156" s="227"/>
      <c r="G4156" s="227"/>
      <c r="H4156" s="227"/>
      <c r="I4156" s="229"/>
    </row>
    <row r="4157" spans="1:9" s="212" customFormat="1">
      <c r="A4157" s="658"/>
      <c r="B4157" s="227"/>
      <c r="C4157" s="227"/>
      <c r="D4157" s="227"/>
      <c r="E4157" s="227"/>
      <c r="F4157" s="227"/>
      <c r="G4157" s="227"/>
    </row>
    <row r="4158" spans="1:9" s="212" customFormat="1">
      <c r="A4158" s="69"/>
      <c r="B4158" s="69"/>
      <c r="C4158" s="69"/>
      <c r="D4158" s="69"/>
      <c r="E4158" s="69"/>
    </row>
    <row r="4159" spans="1:9" s="212" customFormat="1">
      <c r="A4159" s="120"/>
      <c r="B4159" s="73"/>
      <c r="C4159" s="73"/>
      <c r="D4159" s="73"/>
      <c r="E4159" s="73"/>
      <c r="F4159" s="73"/>
      <c r="G4159" s="73"/>
      <c r="H4159" s="73"/>
    </row>
    <row r="4160" spans="1:9" s="212" customFormat="1">
      <c r="A4160" s="220"/>
      <c r="B4160" s="141"/>
      <c r="C4160" s="141"/>
      <c r="D4160" s="141"/>
      <c r="E4160" s="141"/>
      <c r="F4160" s="141"/>
      <c r="G4160" s="141"/>
      <c r="H4160" s="73"/>
    </row>
    <row r="4161" spans="1:8" s="212" customFormat="1">
      <c r="A4161" s="142"/>
      <c r="B4161" s="143"/>
      <c r="C4161" s="143"/>
      <c r="D4161" s="143"/>
      <c r="E4161" s="143"/>
      <c r="F4161" s="84"/>
      <c r="G4161" s="146"/>
      <c r="H4161" s="221"/>
    </row>
    <row r="4162" spans="1:8" s="212" customFormat="1">
      <c r="A4162" s="84"/>
      <c r="B4162" s="83"/>
      <c r="C4162" s="84"/>
      <c r="D4162" s="84"/>
      <c r="E4162" s="84"/>
      <c r="G4162" s="213"/>
      <c r="H4162" s="222"/>
    </row>
    <row r="4163" spans="1:8" s="212" customFormat="1">
      <c r="A4163" s="120"/>
      <c r="B4163" s="73"/>
      <c r="C4163" s="73"/>
      <c r="D4163" s="73"/>
      <c r="E4163" s="73"/>
      <c r="G4163" s="73"/>
      <c r="H4163" s="222"/>
    </row>
    <row r="4164" spans="1:8" s="212" customFormat="1">
      <c r="A4164" s="220"/>
      <c r="B4164" s="141"/>
      <c r="C4164" s="141"/>
      <c r="D4164" s="141"/>
      <c r="E4164" s="141"/>
      <c r="F4164" s="141"/>
      <c r="G4164" s="141"/>
      <c r="H4164" s="222"/>
    </row>
    <row r="4165" spans="1:8" s="212" customFormat="1">
      <c r="A4165" s="150"/>
      <c r="B4165" s="83"/>
      <c r="C4165" s="148"/>
      <c r="D4165" s="160"/>
      <c r="E4165" s="84"/>
      <c r="F4165" s="84"/>
      <c r="G4165" s="146"/>
      <c r="H4165" s="221"/>
    </row>
    <row r="4166" spans="1:8" s="212" customFormat="1">
      <c r="A4166" s="91"/>
      <c r="B4166" s="91"/>
      <c r="C4166" s="91"/>
      <c r="D4166" s="91"/>
      <c r="E4166" s="91"/>
      <c r="G4166" s="213"/>
      <c r="H4166" s="222"/>
    </row>
    <row r="4167" spans="1:8" s="212" customFormat="1">
      <c r="A4167" s="120"/>
      <c r="B4167" s="73"/>
      <c r="C4167" s="73"/>
      <c r="D4167" s="73"/>
      <c r="E4167" s="73"/>
      <c r="G4167" s="73"/>
      <c r="H4167" s="222"/>
    </row>
    <row r="4168" spans="1:8" s="212" customFormat="1">
      <c r="A4168" s="220"/>
      <c r="B4168" s="141"/>
      <c r="C4168" s="141"/>
      <c r="D4168" s="141"/>
      <c r="E4168" s="141"/>
      <c r="F4168" s="141"/>
      <c r="G4168" s="141"/>
      <c r="H4168" s="222"/>
    </row>
    <row r="4169" spans="1:8" s="212" customFormat="1">
      <c r="A4169" s="142"/>
      <c r="B4169" s="143"/>
      <c r="C4169" s="143"/>
      <c r="D4169" s="143"/>
      <c r="E4169" s="143"/>
      <c r="F4169" s="84"/>
      <c r="G4169" s="146"/>
      <c r="H4169" s="221"/>
    </row>
    <row r="4170" spans="1:8" s="212" customFormat="1">
      <c r="A4170" s="91"/>
      <c r="B4170" s="91"/>
      <c r="C4170" s="91"/>
      <c r="D4170" s="91"/>
      <c r="E4170" s="91"/>
      <c r="G4170" s="213"/>
      <c r="H4170" s="222"/>
    </row>
    <row r="4171" spans="1:8" s="212" customFormat="1">
      <c r="A4171" s="120"/>
      <c r="B4171" s="73"/>
      <c r="C4171" s="73"/>
      <c r="D4171" s="73"/>
      <c r="E4171" s="73"/>
      <c r="G4171" s="73"/>
      <c r="H4171" s="222"/>
    </row>
    <row r="4172" spans="1:8" s="212" customFormat="1">
      <c r="A4172" s="220"/>
      <c r="B4172" s="141"/>
      <c r="C4172" s="141"/>
      <c r="D4172" s="141"/>
      <c r="E4172" s="141"/>
      <c r="F4172" s="141"/>
      <c r="G4172" s="141"/>
      <c r="H4172" s="222"/>
    </row>
    <row r="4173" spans="1:8" s="212" customFormat="1">
      <c r="A4173" s="142"/>
      <c r="B4173" s="143"/>
      <c r="C4173" s="143"/>
      <c r="D4173" s="143"/>
      <c r="E4173" s="143"/>
      <c r="F4173" s="84"/>
      <c r="G4173" s="146"/>
      <c r="H4173" s="221"/>
    </row>
    <row r="4174" spans="1:8" s="212" customFormat="1">
      <c r="A4174" s="123"/>
      <c r="B4174" s="95"/>
      <c r="C4174" s="95"/>
      <c r="D4174" s="95"/>
      <c r="E4174" s="95"/>
      <c r="G4174" s="213"/>
      <c r="H4174" s="73"/>
    </row>
    <row r="4175" spans="1:8" s="212" customFormat="1">
      <c r="A4175" s="123"/>
      <c r="B4175" s="95"/>
      <c r="C4175" s="95"/>
      <c r="D4175" s="95"/>
      <c r="E4175" s="95"/>
      <c r="G4175" s="73"/>
      <c r="H4175" s="225"/>
    </row>
    <row r="4176" spans="1:8" s="212" customFormat="1">
      <c r="B4176" s="97"/>
      <c r="C4176" s="98"/>
      <c r="D4176" s="98"/>
      <c r="E4176" s="98"/>
      <c r="G4176" s="220"/>
    </row>
    <row r="4177" spans="1:9" s="212" customFormat="1">
      <c r="B4177" s="97"/>
      <c r="C4177" s="98"/>
      <c r="D4177" s="98"/>
      <c r="E4177" s="98"/>
      <c r="F4177" s="220"/>
      <c r="G4177" s="225"/>
      <c r="H4177" s="226"/>
    </row>
    <row r="4178" spans="1:9" s="212" customFormat="1">
      <c r="A4178" s="633"/>
      <c r="B4178" s="633"/>
      <c r="C4178" s="633"/>
      <c r="D4178" s="633"/>
      <c r="E4178" s="633"/>
      <c r="F4178" s="633"/>
      <c r="G4178" s="633"/>
    </row>
    <row r="4179" spans="1:9" s="212" customFormat="1">
      <c r="H4179" s="227"/>
      <c r="I4179" s="228"/>
    </row>
    <row r="4180" spans="1:9" s="212" customFormat="1">
      <c r="A4180" s="658"/>
      <c r="B4180" s="227"/>
      <c r="C4180" s="227"/>
      <c r="D4180" s="227"/>
      <c r="E4180" s="227"/>
      <c r="F4180" s="227"/>
      <c r="G4180" s="227"/>
      <c r="H4180" s="227"/>
      <c r="I4180" s="229"/>
    </row>
    <row r="4181" spans="1:9" s="212" customFormat="1">
      <c r="A4181" s="658"/>
      <c r="B4181" s="227"/>
      <c r="C4181" s="227"/>
      <c r="D4181" s="227"/>
      <c r="E4181" s="227"/>
      <c r="F4181" s="227"/>
      <c r="G4181" s="227"/>
    </row>
    <row r="4182" spans="1:9" s="212" customFormat="1">
      <c r="A4182" s="69"/>
      <c r="B4182" s="69"/>
      <c r="C4182" s="69"/>
      <c r="D4182" s="69"/>
      <c r="E4182" s="69"/>
    </row>
    <row r="4183" spans="1:9" s="212" customFormat="1">
      <c r="A4183" s="120"/>
      <c r="B4183" s="73"/>
      <c r="C4183" s="73"/>
      <c r="D4183" s="73"/>
      <c r="E4183" s="73"/>
      <c r="F4183" s="73"/>
      <c r="G4183" s="73"/>
      <c r="H4183" s="73"/>
    </row>
    <row r="4184" spans="1:9" s="212" customFormat="1">
      <c r="A4184" s="220"/>
      <c r="B4184" s="141"/>
      <c r="C4184" s="141"/>
      <c r="D4184" s="141"/>
      <c r="E4184" s="141"/>
      <c r="F4184" s="141"/>
      <c r="G4184" s="141"/>
      <c r="H4184" s="73"/>
    </row>
    <row r="4185" spans="1:9" s="212" customFormat="1">
      <c r="A4185" s="142"/>
      <c r="B4185" s="143"/>
      <c r="C4185" s="143"/>
      <c r="D4185" s="143"/>
      <c r="E4185" s="143"/>
      <c r="F4185" s="84"/>
      <c r="G4185" s="146"/>
      <c r="H4185" s="221"/>
    </row>
    <row r="4186" spans="1:9" s="212" customFormat="1">
      <c r="A4186" s="84"/>
      <c r="B4186" s="83"/>
      <c r="C4186" s="84"/>
      <c r="D4186" s="84"/>
      <c r="E4186" s="84"/>
      <c r="G4186" s="213"/>
      <c r="H4186" s="222"/>
    </row>
    <row r="4187" spans="1:9" s="212" customFormat="1">
      <c r="A4187" s="120"/>
      <c r="B4187" s="73"/>
      <c r="C4187" s="73"/>
      <c r="D4187" s="73"/>
      <c r="E4187" s="73"/>
      <c r="G4187" s="73"/>
      <c r="H4187" s="222"/>
    </row>
    <row r="4188" spans="1:9" s="212" customFormat="1">
      <c r="A4188" s="220"/>
      <c r="B4188" s="141"/>
      <c r="C4188" s="141"/>
      <c r="D4188" s="141"/>
      <c r="E4188" s="141"/>
      <c r="F4188" s="141"/>
      <c r="G4188" s="141"/>
      <c r="H4188" s="222"/>
    </row>
    <row r="4189" spans="1:9" s="212" customFormat="1">
      <c r="A4189" s="150"/>
      <c r="B4189" s="83"/>
      <c r="C4189" s="148"/>
      <c r="D4189" s="160"/>
      <c r="E4189" s="84"/>
      <c r="F4189" s="84"/>
      <c r="G4189" s="146"/>
      <c r="H4189" s="221"/>
    </row>
    <row r="4190" spans="1:9" s="212" customFormat="1">
      <c r="A4190" s="91"/>
      <c r="B4190" s="91"/>
      <c r="C4190" s="91"/>
      <c r="D4190" s="91"/>
      <c r="E4190" s="91"/>
      <c r="G4190" s="213"/>
      <c r="H4190" s="222"/>
    </row>
    <row r="4191" spans="1:9" s="212" customFormat="1">
      <c r="A4191" s="120"/>
      <c r="B4191" s="73"/>
      <c r="C4191" s="73"/>
      <c r="D4191" s="73"/>
      <c r="E4191" s="73"/>
      <c r="G4191" s="73"/>
      <c r="H4191" s="222"/>
    </row>
    <row r="4192" spans="1:9" s="212" customFormat="1">
      <c r="A4192" s="220"/>
      <c r="B4192" s="141"/>
      <c r="C4192" s="141"/>
      <c r="D4192" s="141"/>
      <c r="E4192" s="141"/>
      <c r="F4192" s="141"/>
      <c r="G4192" s="141"/>
      <c r="H4192" s="222"/>
    </row>
    <row r="4193" spans="1:9" s="212" customFormat="1">
      <c r="A4193" s="142"/>
      <c r="B4193" s="143"/>
      <c r="C4193" s="143"/>
      <c r="D4193" s="143"/>
      <c r="E4193" s="143"/>
      <c r="F4193" s="84"/>
      <c r="G4193" s="146"/>
      <c r="H4193" s="221"/>
    </row>
    <row r="4194" spans="1:9" s="212" customFormat="1">
      <c r="A4194" s="91"/>
      <c r="B4194" s="91"/>
      <c r="C4194" s="91"/>
      <c r="D4194" s="91"/>
      <c r="E4194" s="91"/>
      <c r="G4194" s="213"/>
      <c r="H4194" s="222"/>
    </row>
    <row r="4195" spans="1:9" s="212" customFormat="1">
      <c r="A4195" s="120"/>
      <c r="B4195" s="73"/>
      <c r="C4195" s="73"/>
      <c r="D4195" s="73"/>
      <c r="E4195" s="73"/>
      <c r="G4195" s="73"/>
      <c r="H4195" s="222"/>
    </row>
    <row r="4196" spans="1:9" s="212" customFormat="1">
      <c r="A4196" s="220"/>
      <c r="B4196" s="141"/>
      <c r="C4196" s="141"/>
      <c r="D4196" s="141"/>
      <c r="E4196" s="141"/>
      <c r="F4196" s="141"/>
      <c r="G4196" s="141"/>
      <c r="H4196" s="222"/>
    </row>
    <row r="4197" spans="1:9" s="212" customFormat="1">
      <c r="A4197" s="142"/>
      <c r="B4197" s="143"/>
      <c r="C4197" s="143"/>
      <c r="D4197" s="143"/>
      <c r="E4197" s="143"/>
      <c r="F4197" s="84"/>
      <c r="G4197" s="146"/>
      <c r="H4197" s="221"/>
    </row>
    <row r="4198" spans="1:9" s="212" customFormat="1">
      <c r="A4198" s="123"/>
      <c r="B4198" s="95"/>
      <c r="C4198" s="95"/>
      <c r="D4198" s="95"/>
      <c r="E4198" s="95"/>
      <c r="G4198" s="213"/>
      <c r="H4198" s="73"/>
    </row>
    <row r="4199" spans="1:9" s="212" customFormat="1">
      <c r="A4199" s="123"/>
      <c r="B4199" s="95"/>
      <c r="C4199" s="95"/>
      <c r="D4199" s="95"/>
      <c r="E4199" s="95"/>
      <c r="G4199" s="73"/>
      <c r="H4199" s="225"/>
    </row>
    <row r="4200" spans="1:9" s="212" customFormat="1">
      <c r="B4200" s="97"/>
      <c r="C4200" s="98"/>
      <c r="D4200" s="98"/>
      <c r="E4200" s="98"/>
      <c r="G4200" s="220"/>
    </row>
    <row r="4201" spans="1:9" s="212" customFormat="1">
      <c r="B4201" s="97"/>
      <c r="C4201" s="98"/>
      <c r="D4201" s="98"/>
      <c r="E4201" s="98"/>
      <c r="F4201" s="220"/>
      <c r="G4201" s="225"/>
      <c r="H4201" s="226"/>
    </row>
    <row r="4202" spans="1:9" s="212" customFormat="1">
      <c r="A4202" s="633"/>
      <c r="B4202" s="633"/>
      <c r="C4202" s="633"/>
      <c r="D4202" s="633"/>
      <c r="E4202" s="633"/>
      <c r="F4202" s="633"/>
      <c r="G4202" s="633"/>
    </row>
    <row r="4203" spans="1:9" s="212" customFormat="1">
      <c r="H4203" s="227"/>
      <c r="I4203" s="228"/>
    </row>
    <row r="4204" spans="1:9" s="212" customFormat="1">
      <c r="A4204" s="658"/>
      <c r="B4204" s="227"/>
      <c r="C4204" s="227"/>
      <c r="D4204" s="227"/>
      <c r="E4204" s="227"/>
      <c r="F4204" s="227"/>
      <c r="G4204" s="227"/>
      <c r="H4204" s="227"/>
      <c r="I4204" s="229"/>
    </row>
    <row r="4205" spans="1:9" s="212" customFormat="1">
      <c r="A4205" s="658"/>
      <c r="B4205" s="227"/>
      <c r="C4205" s="227"/>
      <c r="D4205" s="227"/>
      <c r="E4205" s="227"/>
      <c r="F4205" s="227"/>
      <c r="G4205" s="227"/>
    </row>
    <row r="4206" spans="1:9" s="212" customFormat="1">
      <c r="A4206" s="69"/>
      <c r="B4206" s="69"/>
      <c r="C4206" s="69"/>
      <c r="D4206" s="69"/>
      <c r="E4206" s="69"/>
    </row>
    <row r="4207" spans="1:9" s="212" customFormat="1">
      <c r="A4207" s="120"/>
      <c r="B4207" s="73"/>
      <c r="C4207" s="73"/>
      <c r="D4207" s="73"/>
      <c r="E4207" s="73"/>
      <c r="F4207" s="73"/>
      <c r="G4207" s="73"/>
      <c r="H4207" s="73"/>
    </row>
    <row r="4208" spans="1:9" s="212" customFormat="1">
      <c r="A4208" s="220"/>
      <c r="B4208" s="141"/>
      <c r="C4208" s="141"/>
      <c r="D4208" s="141"/>
      <c r="E4208" s="141"/>
      <c r="F4208" s="141"/>
      <c r="G4208" s="141"/>
      <c r="H4208" s="73"/>
    </row>
    <row r="4209" spans="1:8" s="212" customFormat="1">
      <c r="A4209" s="142"/>
      <c r="B4209" s="143"/>
      <c r="C4209" s="143"/>
      <c r="D4209" s="143"/>
      <c r="E4209" s="143"/>
      <c r="F4209" s="84"/>
      <c r="G4209" s="146"/>
      <c r="H4209" s="221"/>
    </row>
    <row r="4210" spans="1:8" s="212" customFormat="1">
      <c r="A4210" s="84"/>
      <c r="B4210" s="83"/>
      <c r="C4210" s="84"/>
      <c r="D4210" s="84"/>
      <c r="E4210" s="84"/>
      <c r="G4210" s="213"/>
      <c r="H4210" s="222"/>
    </row>
    <row r="4211" spans="1:8" s="212" customFormat="1">
      <c r="A4211" s="120"/>
      <c r="B4211" s="73"/>
      <c r="C4211" s="73"/>
      <c r="D4211" s="73"/>
      <c r="E4211" s="73"/>
      <c r="G4211" s="73"/>
      <c r="H4211" s="222"/>
    </row>
    <row r="4212" spans="1:8" s="212" customFormat="1">
      <c r="A4212" s="220"/>
      <c r="B4212" s="141"/>
      <c r="C4212" s="141"/>
      <c r="D4212" s="141"/>
      <c r="E4212" s="141"/>
      <c r="F4212" s="141"/>
      <c r="G4212" s="141"/>
      <c r="H4212" s="222"/>
    </row>
    <row r="4213" spans="1:8" s="212" customFormat="1">
      <c r="A4213" s="150"/>
      <c r="B4213" s="83"/>
      <c r="C4213" s="148"/>
      <c r="D4213" s="160"/>
      <c r="E4213" s="84"/>
      <c r="F4213" s="84"/>
      <c r="G4213" s="146"/>
      <c r="H4213" s="221"/>
    </row>
    <row r="4214" spans="1:8" s="212" customFormat="1">
      <c r="A4214" s="91"/>
      <c r="B4214" s="91"/>
      <c r="C4214" s="91"/>
      <c r="D4214" s="91"/>
      <c r="E4214" s="91"/>
      <c r="G4214" s="213"/>
      <c r="H4214" s="222"/>
    </row>
    <row r="4215" spans="1:8" s="212" customFormat="1">
      <c r="A4215" s="120"/>
      <c r="B4215" s="73"/>
      <c r="C4215" s="73"/>
      <c r="D4215" s="73"/>
      <c r="E4215" s="73"/>
      <c r="G4215" s="73"/>
      <c r="H4215" s="222"/>
    </row>
    <row r="4216" spans="1:8" s="212" customFormat="1">
      <c r="A4216" s="220"/>
      <c r="B4216" s="141"/>
      <c r="C4216" s="141"/>
      <c r="D4216" s="141"/>
      <c r="E4216" s="141"/>
      <c r="F4216" s="141"/>
      <c r="G4216" s="141"/>
      <c r="H4216" s="222"/>
    </row>
    <row r="4217" spans="1:8" s="212" customFormat="1">
      <c r="A4217" s="142"/>
      <c r="B4217" s="143"/>
      <c r="C4217" s="143"/>
      <c r="D4217" s="143"/>
      <c r="E4217" s="143"/>
      <c r="F4217" s="84"/>
      <c r="G4217" s="146"/>
      <c r="H4217" s="221"/>
    </row>
    <row r="4218" spans="1:8" s="212" customFormat="1">
      <c r="A4218" s="91"/>
      <c r="B4218" s="91"/>
      <c r="C4218" s="91"/>
      <c r="D4218" s="91"/>
      <c r="E4218" s="91"/>
      <c r="G4218" s="213"/>
      <c r="H4218" s="222"/>
    </row>
    <row r="4219" spans="1:8" s="212" customFormat="1">
      <c r="A4219" s="120"/>
      <c r="B4219" s="73"/>
      <c r="C4219" s="73"/>
      <c r="D4219" s="73"/>
      <c r="E4219" s="73"/>
      <c r="G4219" s="73"/>
      <c r="H4219" s="222"/>
    </row>
    <row r="4220" spans="1:8" s="212" customFormat="1">
      <c r="A4220" s="220"/>
      <c r="B4220" s="141"/>
      <c r="C4220" s="141"/>
      <c r="D4220" s="141"/>
      <c r="E4220" s="141"/>
      <c r="F4220" s="141"/>
      <c r="G4220" s="141"/>
      <c r="H4220" s="222"/>
    </row>
    <row r="4221" spans="1:8" s="212" customFormat="1">
      <c r="A4221" s="142"/>
      <c r="B4221" s="143"/>
      <c r="C4221" s="143"/>
      <c r="D4221" s="143"/>
      <c r="E4221" s="143"/>
      <c r="F4221" s="84"/>
      <c r="G4221" s="146"/>
      <c r="H4221" s="221"/>
    </row>
    <row r="4222" spans="1:8" s="212" customFormat="1">
      <c r="A4222" s="123"/>
      <c r="B4222" s="95"/>
      <c r="C4222" s="95"/>
      <c r="D4222" s="95"/>
      <c r="E4222" s="95"/>
      <c r="G4222" s="213"/>
      <c r="H4222" s="73"/>
    </row>
    <row r="4223" spans="1:8" s="212" customFormat="1">
      <c r="A4223" s="123"/>
      <c r="B4223" s="95"/>
      <c r="C4223" s="95"/>
      <c r="D4223" s="95"/>
      <c r="E4223" s="95"/>
      <c r="G4223" s="73"/>
      <c r="H4223" s="225"/>
    </row>
    <row r="4224" spans="1:8" s="212" customFormat="1">
      <c r="B4224" s="97"/>
      <c r="C4224" s="98"/>
      <c r="D4224" s="98"/>
      <c r="E4224" s="98"/>
      <c r="G4224" s="220"/>
    </row>
    <row r="4225" spans="1:9" s="212" customFormat="1">
      <c r="B4225" s="97"/>
      <c r="C4225" s="98"/>
      <c r="D4225" s="98"/>
      <c r="E4225" s="98"/>
      <c r="F4225" s="220"/>
      <c r="G4225" s="225"/>
      <c r="H4225" s="226"/>
    </row>
    <row r="4226" spans="1:9" s="212" customFormat="1">
      <c r="A4226" s="633"/>
      <c r="B4226" s="633"/>
      <c r="C4226" s="633"/>
      <c r="D4226" s="633"/>
      <c r="E4226" s="633"/>
      <c r="F4226" s="633"/>
      <c r="G4226" s="633"/>
    </row>
    <row r="4227" spans="1:9" s="212" customFormat="1">
      <c r="H4227" s="227"/>
      <c r="I4227" s="228"/>
    </row>
    <row r="4228" spans="1:9" s="212" customFormat="1">
      <c r="A4228" s="658"/>
      <c r="B4228" s="227"/>
      <c r="C4228" s="227"/>
      <c r="D4228" s="227"/>
      <c r="E4228" s="227"/>
      <c r="F4228" s="227"/>
      <c r="G4228" s="227"/>
      <c r="H4228" s="227"/>
      <c r="I4228" s="229"/>
    </row>
    <row r="4229" spans="1:9" s="212" customFormat="1">
      <c r="A4229" s="658"/>
      <c r="B4229" s="227"/>
      <c r="C4229" s="227"/>
      <c r="D4229" s="227"/>
      <c r="E4229" s="227"/>
      <c r="F4229" s="227"/>
      <c r="G4229" s="227"/>
    </row>
    <row r="4230" spans="1:9" s="212" customFormat="1">
      <c r="A4230" s="69"/>
      <c r="B4230" s="69"/>
      <c r="C4230" s="69"/>
      <c r="D4230" s="69"/>
      <c r="E4230" s="69"/>
    </row>
    <row r="4231" spans="1:9" s="212" customFormat="1">
      <c r="A4231" s="120"/>
      <c r="B4231" s="73"/>
      <c r="C4231" s="73"/>
      <c r="D4231" s="73"/>
      <c r="E4231" s="73"/>
      <c r="F4231" s="73"/>
      <c r="G4231" s="73"/>
      <c r="H4231" s="73"/>
    </row>
    <row r="4232" spans="1:9" s="212" customFormat="1">
      <c r="A4232" s="220"/>
      <c r="B4232" s="141"/>
      <c r="C4232" s="141"/>
      <c r="D4232" s="141"/>
      <c r="E4232" s="141"/>
      <c r="F4232" s="141"/>
      <c r="G4232" s="141"/>
      <c r="H4232" s="73"/>
    </row>
    <row r="4233" spans="1:9" s="212" customFormat="1">
      <c r="A4233" s="142"/>
      <c r="B4233" s="143"/>
      <c r="C4233" s="143"/>
      <c r="D4233" s="143"/>
      <c r="E4233" s="143"/>
      <c r="F4233" s="84"/>
      <c r="G4233" s="146"/>
      <c r="H4233" s="221"/>
    </row>
    <row r="4234" spans="1:9" s="212" customFormat="1">
      <c r="A4234" s="84"/>
      <c r="B4234" s="83"/>
      <c r="C4234" s="84"/>
      <c r="D4234" s="84"/>
      <c r="E4234" s="84"/>
      <c r="G4234" s="213"/>
      <c r="H4234" s="222"/>
    </row>
    <row r="4235" spans="1:9" s="212" customFormat="1">
      <c r="A4235" s="120"/>
      <c r="B4235" s="73"/>
      <c r="C4235" s="73"/>
      <c r="D4235" s="73"/>
      <c r="E4235" s="73"/>
      <c r="G4235" s="73"/>
      <c r="H4235" s="222"/>
    </row>
    <row r="4236" spans="1:9" s="212" customFormat="1">
      <c r="A4236" s="220"/>
      <c r="B4236" s="141"/>
      <c r="C4236" s="141"/>
      <c r="D4236" s="141"/>
      <c r="E4236" s="141"/>
      <c r="F4236" s="141"/>
      <c r="G4236" s="141"/>
      <c r="H4236" s="222"/>
    </row>
    <row r="4237" spans="1:9" s="212" customFormat="1">
      <c r="A4237" s="150"/>
      <c r="B4237" s="83"/>
      <c r="C4237" s="148"/>
      <c r="D4237" s="160"/>
      <c r="E4237" s="84"/>
      <c r="F4237" s="84"/>
      <c r="G4237" s="146"/>
      <c r="H4237" s="221"/>
    </row>
    <row r="4238" spans="1:9" s="212" customFormat="1">
      <c r="A4238" s="91"/>
      <c r="B4238" s="91"/>
      <c r="C4238" s="91"/>
      <c r="D4238" s="91"/>
      <c r="E4238" s="91"/>
      <c r="G4238" s="213"/>
      <c r="H4238" s="222"/>
    </row>
    <row r="4239" spans="1:9" s="212" customFormat="1">
      <c r="A4239" s="120"/>
      <c r="B4239" s="73"/>
      <c r="C4239" s="73"/>
      <c r="D4239" s="73"/>
      <c r="E4239" s="73"/>
      <c r="G4239" s="73"/>
      <c r="H4239" s="222"/>
    </row>
    <row r="4240" spans="1:9" s="212" customFormat="1">
      <c r="A4240" s="220"/>
      <c r="B4240" s="141"/>
      <c r="C4240" s="141"/>
      <c r="D4240" s="141"/>
      <c r="E4240" s="141"/>
      <c r="F4240" s="141"/>
      <c r="G4240" s="141"/>
      <c r="H4240" s="222"/>
    </row>
    <row r="4241" spans="1:9" s="212" customFormat="1">
      <c r="A4241" s="142"/>
      <c r="B4241" s="143"/>
      <c r="C4241" s="143"/>
      <c r="D4241" s="143"/>
      <c r="E4241" s="143"/>
      <c r="F4241" s="84"/>
      <c r="G4241" s="146"/>
      <c r="H4241" s="221"/>
    </row>
    <row r="4242" spans="1:9" s="212" customFormat="1">
      <c r="A4242" s="91"/>
      <c r="B4242" s="91"/>
      <c r="C4242" s="91"/>
      <c r="D4242" s="91"/>
      <c r="E4242" s="91"/>
      <c r="G4242" s="213"/>
      <c r="H4242" s="222"/>
    </row>
    <row r="4243" spans="1:9" s="212" customFormat="1">
      <c r="A4243" s="120"/>
      <c r="B4243" s="73"/>
      <c r="C4243" s="73"/>
      <c r="D4243" s="73"/>
      <c r="E4243" s="73"/>
      <c r="G4243" s="73"/>
      <c r="H4243" s="222"/>
    </row>
    <row r="4244" spans="1:9" s="212" customFormat="1">
      <c r="A4244" s="220"/>
      <c r="B4244" s="141"/>
      <c r="C4244" s="141"/>
      <c r="D4244" s="141"/>
      <c r="E4244" s="141"/>
      <c r="F4244" s="141"/>
      <c r="G4244" s="141"/>
      <c r="H4244" s="222"/>
    </row>
    <row r="4245" spans="1:9" s="212" customFormat="1">
      <c r="A4245" s="142"/>
      <c r="B4245" s="143"/>
      <c r="C4245" s="143"/>
      <c r="D4245" s="143"/>
      <c r="E4245" s="143"/>
      <c r="F4245" s="84"/>
      <c r="G4245" s="146"/>
      <c r="H4245" s="221"/>
    </row>
    <row r="4246" spans="1:9" s="212" customFormat="1">
      <c r="A4246" s="123"/>
      <c r="B4246" s="95"/>
      <c r="C4246" s="95"/>
      <c r="D4246" s="95"/>
      <c r="E4246" s="95"/>
      <c r="G4246" s="213"/>
      <c r="H4246" s="73"/>
    </row>
    <row r="4247" spans="1:9" s="212" customFormat="1">
      <c r="A4247" s="123"/>
      <c r="B4247" s="95"/>
      <c r="C4247" s="95"/>
      <c r="D4247" s="95"/>
      <c r="E4247" s="95"/>
      <c r="G4247" s="73"/>
      <c r="H4247" s="225"/>
    </row>
    <row r="4248" spans="1:9" s="212" customFormat="1">
      <c r="B4248" s="97"/>
      <c r="C4248" s="98"/>
      <c r="D4248" s="98"/>
      <c r="E4248" s="98"/>
      <c r="G4248" s="220"/>
    </row>
    <row r="4249" spans="1:9" s="212" customFormat="1">
      <c r="B4249" s="97"/>
      <c r="C4249" s="98"/>
      <c r="D4249" s="98"/>
      <c r="E4249" s="98"/>
      <c r="F4249" s="220"/>
      <c r="G4249" s="225"/>
      <c r="H4249" s="226"/>
    </row>
    <row r="4250" spans="1:9" s="212" customFormat="1">
      <c r="A4250" s="633"/>
      <c r="B4250" s="633"/>
      <c r="C4250" s="633"/>
      <c r="D4250" s="633"/>
      <c r="E4250" s="633"/>
      <c r="F4250" s="633"/>
      <c r="G4250" s="633"/>
    </row>
    <row r="4251" spans="1:9" s="212" customFormat="1">
      <c r="H4251" s="227"/>
      <c r="I4251" s="228"/>
    </row>
    <row r="4252" spans="1:9" s="212" customFormat="1">
      <c r="A4252" s="658"/>
      <c r="B4252" s="227"/>
      <c r="C4252" s="227"/>
      <c r="D4252" s="227"/>
      <c r="E4252" s="227"/>
      <c r="F4252" s="227"/>
      <c r="G4252" s="227"/>
      <c r="H4252" s="227"/>
      <c r="I4252" s="229"/>
    </row>
    <row r="4253" spans="1:9" s="212" customFormat="1">
      <c r="A4253" s="658"/>
      <c r="B4253" s="227"/>
      <c r="C4253" s="227"/>
      <c r="D4253" s="227"/>
      <c r="E4253" s="227"/>
      <c r="F4253" s="227"/>
      <c r="G4253" s="227"/>
    </row>
    <row r="4254" spans="1:9" s="212" customFormat="1">
      <c r="A4254" s="69"/>
      <c r="B4254" s="69"/>
      <c r="C4254" s="69"/>
      <c r="D4254" s="69"/>
      <c r="E4254" s="69"/>
    </row>
    <row r="4255" spans="1:9" s="212" customFormat="1">
      <c r="A4255" s="120"/>
      <c r="B4255" s="73"/>
      <c r="C4255" s="73"/>
      <c r="D4255" s="73"/>
      <c r="E4255" s="73"/>
      <c r="F4255" s="73"/>
      <c r="G4255" s="73"/>
      <c r="H4255" s="73"/>
    </row>
    <row r="4256" spans="1:9" s="212" customFormat="1">
      <c r="A4256" s="220"/>
      <c r="B4256" s="141"/>
      <c r="C4256" s="141"/>
      <c r="D4256" s="141"/>
      <c r="E4256" s="141"/>
      <c r="F4256" s="141"/>
      <c r="G4256" s="141"/>
      <c r="H4256" s="73"/>
    </row>
    <row r="4257" spans="1:8" s="212" customFormat="1">
      <c r="A4257" s="142"/>
      <c r="B4257" s="143"/>
      <c r="C4257" s="143"/>
      <c r="D4257" s="143"/>
      <c r="E4257" s="143"/>
      <c r="F4257" s="84"/>
      <c r="G4257" s="146"/>
      <c r="H4257" s="221"/>
    </row>
    <row r="4258" spans="1:8" s="212" customFormat="1">
      <c r="A4258" s="84"/>
      <c r="B4258" s="83"/>
      <c r="C4258" s="84"/>
      <c r="D4258" s="84"/>
      <c r="E4258" s="84"/>
      <c r="G4258" s="213"/>
      <c r="H4258" s="222"/>
    </row>
    <row r="4259" spans="1:8" s="212" customFormat="1">
      <c r="A4259" s="120"/>
      <c r="B4259" s="73"/>
      <c r="C4259" s="73"/>
      <c r="D4259" s="73"/>
      <c r="E4259" s="73"/>
      <c r="G4259" s="73"/>
      <c r="H4259" s="222"/>
    </row>
    <row r="4260" spans="1:8" s="212" customFormat="1">
      <c r="A4260" s="220"/>
      <c r="B4260" s="141"/>
      <c r="C4260" s="141"/>
      <c r="D4260" s="141"/>
      <c r="E4260" s="141"/>
      <c r="F4260" s="141"/>
      <c r="G4260" s="141"/>
      <c r="H4260" s="222"/>
    </row>
    <row r="4261" spans="1:8" s="212" customFormat="1">
      <c r="A4261" s="150"/>
      <c r="B4261" s="83"/>
      <c r="C4261" s="148"/>
      <c r="D4261" s="160"/>
      <c r="E4261" s="84"/>
      <c r="F4261" s="84"/>
      <c r="G4261" s="146"/>
      <c r="H4261" s="221"/>
    </row>
    <row r="4262" spans="1:8" s="212" customFormat="1">
      <c r="A4262" s="91"/>
      <c r="B4262" s="91"/>
      <c r="C4262" s="91"/>
      <c r="D4262" s="91"/>
      <c r="E4262" s="91"/>
      <c r="G4262" s="213"/>
      <c r="H4262" s="222"/>
    </row>
    <row r="4263" spans="1:8" s="212" customFormat="1">
      <c r="A4263" s="120"/>
      <c r="B4263" s="73"/>
      <c r="C4263" s="73"/>
      <c r="D4263" s="73"/>
      <c r="E4263" s="73"/>
      <c r="G4263" s="73"/>
      <c r="H4263" s="222"/>
    </row>
    <row r="4264" spans="1:8" s="212" customFormat="1">
      <c r="A4264" s="220"/>
      <c r="B4264" s="141"/>
      <c r="C4264" s="141"/>
      <c r="D4264" s="141"/>
      <c r="E4264" s="141"/>
      <c r="F4264" s="141"/>
      <c r="G4264" s="141"/>
      <c r="H4264" s="222"/>
    </row>
    <row r="4265" spans="1:8" s="212" customFormat="1">
      <c r="A4265" s="142"/>
      <c r="B4265" s="143"/>
      <c r="C4265" s="143"/>
      <c r="D4265" s="143"/>
      <c r="E4265" s="143"/>
      <c r="F4265" s="84"/>
      <c r="G4265" s="146"/>
      <c r="H4265" s="221"/>
    </row>
    <row r="4266" spans="1:8" s="212" customFormat="1">
      <c r="A4266" s="91"/>
      <c r="B4266" s="91"/>
      <c r="C4266" s="91"/>
      <c r="D4266" s="91"/>
      <c r="E4266" s="91"/>
      <c r="G4266" s="213"/>
      <c r="H4266" s="222"/>
    </row>
    <row r="4267" spans="1:8" s="212" customFormat="1">
      <c r="A4267" s="120"/>
      <c r="B4267" s="73"/>
      <c r="C4267" s="73"/>
      <c r="D4267" s="73"/>
      <c r="E4267" s="73"/>
      <c r="G4267" s="73"/>
      <c r="H4267" s="222"/>
    </row>
    <row r="4268" spans="1:8" s="212" customFormat="1">
      <c r="A4268" s="220"/>
      <c r="B4268" s="141"/>
      <c r="C4268" s="141"/>
      <c r="D4268" s="141"/>
      <c r="E4268" s="141"/>
      <c r="F4268" s="141"/>
      <c r="G4268" s="141"/>
      <c r="H4268" s="222"/>
    </row>
    <row r="4269" spans="1:8" s="212" customFormat="1">
      <c r="A4269" s="142"/>
      <c r="B4269" s="143"/>
      <c r="C4269" s="143"/>
      <c r="D4269" s="143"/>
      <c r="E4269" s="143"/>
      <c r="F4269" s="84"/>
      <c r="G4269" s="146"/>
      <c r="H4269" s="221"/>
    </row>
    <row r="4270" spans="1:8" s="212" customFormat="1">
      <c r="A4270" s="123"/>
      <c r="B4270" s="95"/>
      <c r="C4270" s="95"/>
      <c r="D4270" s="95"/>
      <c r="E4270" s="95"/>
      <c r="G4270" s="213"/>
      <c r="H4270" s="73"/>
    </row>
    <row r="4271" spans="1:8" s="212" customFormat="1">
      <c r="A4271" s="123"/>
      <c r="B4271" s="95"/>
      <c r="C4271" s="95"/>
      <c r="D4271" s="95"/>
      <c r="E4271" s="95"/>
      <c r="G4271" s="73"/>
      <c r="H4271" s="225"/>
    </row>
    <row r="4272" spans="1:8" s="212" customFormat="1">
      <c r="B4272" s="97"/>
      <c r="C4272" s="98"/>
      <c r="D4272" s="98"/>
      <c r="E4272" s="98"/>
      <c r="G4272" s="220"/>
    </row>
    <row r="4273" spans="1:9" s="212" customFormat="1">
      <c r="B4273" s="97"/>
      <c r="C4273" s="98"/>
      <c r="D4273" s="98"/>
      <c r="E4273" s="98"/>
      <c r="F4273" s="220"/>
      <c r="G4273" s="225"/>
      <c r="H4273" s="226"/>
    </row>
    <row r="4274" spans="1:9" s="212" customFormat="1">
      <c r="A4274" s="633"/>
      <c r="B4274" s="633"/>
      <c r="C4274" s="633"/>
      <c r="D4274" s="633"/>
      <c r="E4274" s="633"/>
      <c r="F4274" s="633"/>
      <c r="G4274" s="633"/>
    </row>
    <row r="4275" spans="1:9" s="212" customFormat="1">
      <c r="H4275" s="227"/>
      <c r="I4275" s="228"/>
    </row>
    <row r="4276" spans="1:9" s="212" customFormat="1">
      <c r="A4276" s="658"/>
      <c r="B4276" s="227"/>
      <c r="C4276" s="227"/>
      <c r="D4276" s="227"/>
      <c r="E4276" s="227"/>
      <c r="F4276" s="227"/>
      <c r="G4276" s="227"/>
      <c r="H4276" s="227"/>
      <c r="I4276" s="229"/>
    </row>
    <row r="4277" spans="1:9" s="212" customFormat="1">
      <c r="A4277" s="658"/>
      <c r="B4277" s="227"/>
      <c r="C4277" s="227"/>
      <c r="D4277" s="227"/>
      <c r="E4277" s="227"/>
      <c r="F4277" s="227"/>
      <c r="G4277" s="227"/>
    </row>
    <row r="4278" spans="1:9" s="212" customFormat="1">
      <c r="A4278" s="69"/>
      <c r="B4278" s="69"/>
      <c r="C4278" s="69"/>
      <c r="D4278" s="69"/>
      <c r="E4278" s="69"/>
    </row>
    <row r="4279" spans="1:9" s="212" customFormat="1">
      <c r="A4279" s="120"/>
      <c r="B4279" s="73"/>
      <c r="C4279" s="73"/>
      <c r="D4279" s="73"/>
      <c r="E4279" s="73"/>
      <c r="F4279" s="73"/>
      <c r="G4279" s="73"/>
      <c r="H4279" s="73"/>
    </row>
    <row r="4280" spans="1:9" s="212" customFormat="1">
      <c r="A4280" s="220"/>
      <c r="B4280" s="141"/>
      <c r="C4280" s="141"/>
      <c r="D4280" s="141"/>
      <c r="E4280" s="141"/>
      <c r="F4280" s="141"/>
      <c r="G4280" s="141"/>
      <c r="H4280" s="73"/>
    </row>
    <row r="4281" spans="1:9" s="212" customFormat="1">
      <c r="A4281" s="142"/>
      <c r="B4281" s="143"/>
      <c r="C4281" s="143"/>
      <c r="D4281" s="143"/>
      <c r="E4281" s="143"/>
      <c r="F4281" s="84"/>
      <c r="G4281" s="146"/>
      <c r="H4281" s="221"/>
    </row>
    <row r="4282" spans="1:9" s="212" customFormat="1">
      <c r="A4282" s="84"/>
      <c r="B4282" s="83"/>
      <c r="C4282" s="84"/>
      <c r="D4282" s="84"/>
      <c r="E4282" s="84"/>
      <c r="G4282" s="213"/>
      <c r="H4282" s="222"/>
    </row>
    <row r="4283" spans="1:9" s="212" customFormat="1">
      <c r="A4283" s="120"/>
      <c r="B4283" s="73"/>
      <c r="C4283" s="73"/>
      <c r="D4283" s="73"/>
      <c r="E4283" s="73"/>
      <c r="G4283" s="73"/>
      <c r="H4283" s="222"/>
    </row>
    <row r="4284" spans="1:9" s="212" customFormat="1">
      <c r="A4284" s="220"/>
      <c r="B4284" s="141"/>
      <c r="C4284" s="141"/>
      <c r="D4284" s="141"/>
      <c r="E4284" s="141"/>
      <c r="F4284" s="141"/>
      <c r="G4284" s="141"/>
      <c r="H4284" s="222"/>
    </row>
    <row r="4285" spans="1:9" s="212" customFormat="1">
      <c r="A4285" s="150"/>
      <c r="B4285" s="83"/>
      <c r="C4285" s="148"/>
      <c r="D4285" s="160"/>
      <c r="E4285" s="84"/>
      <c r="F4285" s="84"/>
      <c r="G4285" s="146"/>
      <c r="H4285" s="221"/>
    </row>
    <row r="4286" spans="1:9" s="212" customFormat="1">
      <c r="A4286" s="91"/>
      <c r="B4286" s="91"/>
      <c r="C4286" s="91"/>
      <c r="D4286" s="91"/>
      <c r="E4286" s="91"/>
      <c r="G4286" s="213"/>
      <c r="H4286" s="222"/>
    </row>
    <row r="4287" spans="1:9" s="212" customFormat="1">
      <c r="A4287" s="120"/>
      <c r="B4287" s="73"/>
      <c r="C4287" s="73"/>
      <c r="D4287" s="73"/>
      <c r="E4287" s="73"/>
      <c r="G4287" s="73"/>
      <c r="H4287" s="222"/>
    </row>
    <row r="4288" spans="1:9" s="212" customFormat="1">
      <c r="A4288" s="220"/>
      <c r="B4288" s="141"/>
      <c r="C4288" s="141"/>
      <c r="D4288" s="141"/>
      <c r="E4288" s="141"/>
      <c r="F4288" s="141"/>
      <c r="G4288" s="141"/>
      <c r="H4288" s="222"/>
    </row>
    <row r="4289" spans="1:9" s="212" customFormat="1">
      <c r="A4289" s="142"/>
      <c r="B4289" s="143"/>
      <c r="C4289" s="143"/>
      <c r="D4289" s="143"/>
      <c r="E4289" s="143"/>
      <c r="F4289" s="84"/>
      <c r="G4289" s="146"/>
      <c r="H4289" s="221"/>
    </row>
    <row r="4290" spans="1:9" s="212" customFormat="1">
      <c r="A4290" s="91"/>
      <c r="B4290" s="91"/>
      <c r="C4290" s="91"/>
      <c r="D4290" s="91"/>
      <c r="E4290" s="91"/>
      <c r="G4290" s="213"/>
      <c r="H4290" s="222"/>
    </row>
    <row r="4291" spans="1:9" s="212" customFormat="1">
      <c r="A4291" s="120"/>
      <c r="B4291" s="73"/>
      <c r="C4291" s="73"/>
      <c r="D4291" s="73"/>
      <c r="E4291" s="73"/>
      <c r="G4291" s="73"/>
      <c r="H4291" s="222"/>
    </row>
    <row r="4292" spans="1:9" s="212" customFormat="1">
      <c r="A4292" s="220"/>
      <c r="B4292" s="141"/>
      <c r="C4292" s="141"/>
      <c r="D4292" s="141"/>
      <c r="E4292" s="141"/>
      <c r="F4292" s="141"/>
      <c r="G4292" s="141"/>
      <c r="H4292" s="222"/>
    </row>
    <row r="4293" spans="1:9" s="212" customFormat="1">
      <c r="A4293" s="142"/>
      <c r="B4293" s="143"/>
      <c r="C4293" s="143"/>
      <c r="D4293" s="143"/>
      <c r="E4293" s="143"/>
      <c r="F4293" s="84"/>
      <c r="G4293" s="146"/>
      <c r="H4293" s="221"/>
    </row>
    <row r="4294" spans="1:9" s="212" customFormat="1">
      <c r="A4294" s="123"/>
      <c r="B4294" s="95"/>
      <c r="C4294" s="95"/>
      <c r="D4294" s="95"/>
      <c r="E4294" s="95"/>
      <c r="G4294" s="213"/>
      <c r="H4294" s="73"/>
    </row>
    <row r="4295" spans="1:9" s="212" customFormat="1">
      <c r="A4295" s="123"/>
      <c r="B4295" s="95"/>
      <c r="C4295" s="95"/>
      <c r="D4295" s="95"/>
      <c r="E4295" s="95"/>
      <c r="G4295" s="73"/>
      <c r="H4295" s="225"/>
    </row>
    <row r="4296" spans="1:9" s="212" customFormat="1">
      <c r="B4296" s="97"/>
      <c r="C4296" s="98"/>
      <c r="D4296" s="98"/>
      <c r="E4296" s="98"/>
      <c r="G4296" s="220"/>
    </row>
    <row r="4297" spans="1:9" s="212" customFormat="1">
      <c r="B4297" s="97"/>
      <c r="C4297" s="98"/>
      <c r="D4297" s="98"/>
      <c r="E4297" s="98"/>
      <c r="F4297" s="220"/>
      <c r="G4297" s="225"/>
      <c r="H4297" s="226"/>
    </row>
    <row r="4298" spans="1:9" s="212" customFormat="1">
      <c r="A4298" s="633"/>
      <c r="B4298" s="633"/>
      <c r="C4298" s="633"/>
      <c r="D4298" s="633"/>
      <c r="E4298" s="633"/>
      <c r="F4298" s="633"/>
      <c r="G4298" s="633"/>
    </row>
    <row r="4299" spans="1:9" s="212" customFormat="1">
      <c r="H4299" s="227"/>
      <c r="I4299" s="228"/>
    </row>
    <row r="4300" spans="1:9" s="212" customFormat="1">
      <c r="A4300" s="658"/>
      <c r="B4300" s="227"/>
      <c r="C4300" s="227"/>
      <c r="D4300" s="227"/>
      <c r="E4300" s="227"/>
      <c r="F4300" s="227"/>
      <c r="G4300" s="227"/>
      <c r="H4300" s="227"/>
      <c r="I4300" s="229"/>
    </row>
    <row r="4301" spans="1:9" s="212" customFormat="1">
      <c r="A4301" s="658"/>
      <c r="B4301" s="227"/>
      <c r="C4301" s="227"/>
      <c r="D4301" s="227"/>
      <c r="E4301" s="227"/>
      <c r="F4301" s="227"/>
      <c r="G4301" s="227"/>
    </row>
    <row r="4302" spans="1:9" s="212" customFormat="1">
      <c r="A4302" s="69"/>
      <c r="B4302" s="69"/>
      <c r="C4302" s="69"/>
      <c r="D4302" s="69"/>
      <c r="E4302" s="69"/>
    </row>
    <row r="4303" spans="1:9" s="212" customFormat="1">
      <c r="A4303" s="120"/>
      <c r="B4303" s="73"/>
      <c r="C4303" s="73"/>
      <c r="D4303" s="73"/>
      <c r="E4303" s="73"/>
      <c r="F4303" s="73"/>
      <c r="G4303" s="73"/>
      <c r="H4303" s="73"/>
    </row>
    <row r="4304" spans="1:9" s="212" customFormat="1">
      <c r="A4304" s="220"/>
      <c r="B4304" s="141"/>
      <c r="C4304" s="141"/>
      <c r="D4304" s="141"/>
      <c r="E4304" s="141"/>
      <c r="F4304" s="141"/>
      <c r="G4304" s="141"/>
      <c r="H4304" s="73"/>
    </row>
    <row r="4305" spans="1:8" s="212" customFormat="1">
      <c r="A4305" s="142"/>
      <c r="B4305" s="143"/>
      <c r="C4305" s="143"/>
      <c r="D4305" s="143"/>
      <c r="E4305" s="143"/>
      <c r="F4305" s="84"/>
      <c r="G4305" s="146"/>
      <c r="H4305" s="221"/>
    </row>
    <row r="4306" spans="1:8" s="212" customFormat="1">
      <c r="A4306" s="84"/>
      <c r="B4306" s="83"/>
      <c r="C4306" s="84"/>
      <c r="D4306" s="84"/>
      <c r="E4306" s="84"/>
      <c r="G4306" s="213"/>
      <c r="H4306" s="222"/>
    </row>
    <row r="4307" spans="1:8" s="212" customFormat="1">
      <c r="A4307" s="120"/>
      <c r="B4307" s="73"/>
      <c r="C4307" s="73"/>
      <c r="D4307" s="73"/>
      <c r="E4307" s="73"/>
      <c r="G4307" s="73"/>
      <c r="H4307" s="222"/>
    </row>
    <row r="4308" spans="1:8" s="212" customFormat="1">
      <c r="A4308" s="220"/>
      <c r="B4308" s="141"/>
      <c r="C4308" s="141"/>
      <c r="D4308" s="141"/>
      <c r="E4308" s="141"/>
      <c r="F4308" s="141"/>
      <c r="G4308" s="141"/>
      <c r="H4308" s="222"/>
    </row>
    <row r="4309" spans="1:8" s="212" customFormat="1">
      <c r="A4309" s="150"/>
      <c r="B4309" s="83"/>
      <c r="C4309" s="148"/>
      <c r="D4309" s="160"/>
      <c r="E4309" s="84"/>
      <c r="F4309" s="84"/>
      <c r="G4309" s="146"/>
      <c r="H4309" s="221"/>
    </row>
    <row r="4310" spans="1:8" s="212" customFormat="1">
      <c r="A4310" s="91"/>
      <c r="B4310" s="91"/>
      <c r="C4310" s="91"/>
      <c r="D4310" s="91"/>
      <c r="E4310" s="91"/>
      <c r="G4310" s="213"/>
      <c r="H4310" s="222"/>
    </row>
    <row r="4311" spans="1:8" s="212" customFormat="1">
      <c r="A4311" s="120"/>
      <c r="B4311" s="73"/>
      <c r="C4311" s="73"/>
      <c r="D4311" s="73"/>
      <c r="E4311" s="73"/>
      <c r="G4311" s="73"/>
      <c r="H4311" s="222"/>
    </row>
    <row r="4312" spans="1:8" s="212" customFormat="1">
      <c r="A4312" s="220"/>
      <c r="B4312" s="141"/>
      <c r="C4312" s="141"/>
      <c r="D4312" s="141"/>
      <c r="E4312" s="141"/>
      <c r="F4312" s="141"/>
      <c r="G4312" s="141"/>
      <c r="H4312" s="222"/>
    </row>
    <row r="4313" spans="1:8" s="212" customFormat="1">
      <c r="A4313" s="142"/>
      <c r="B4313" s="143"/>
      <c r="C4313" s="143"/>
      <c r="D4313" s="143"/>
      <c r="E4313" s="143"/>
      <c r="F4313" s="84"/>
      <c r="G4313" s="146"/>
      <c r="H4313" s="221"/>
    </row>
    <row r="4314" spans="1:8" s="212" customFormat="1">
      <c r="A4314" s="91"/>
      <c r="B4314" s="91"/>
      <c r="C4314" s="91"/>
      <c r="D4314" s="91"/>
      <c r="E4314" s="91"/>
      <c r="G4314" s="213"/>
      <c r="H4314" s="222"/>
    </row>
    <row r="4315" spans="1:8" s="212" customFormat="1">
      <c r="A4315" s="120"/>
      <c r="B4315" s="73"/>
      <c r="C4315" s="73"/>
      <c r="D4315" s="73"/>
      <c r="E4315" s="73"/>
      <c r="G4315" s="73"/>
      <c r="H4315" s="222"/>
    </row>
    <row r="4316" spans="1:8" s="212" customFormat="1">
      <c r="A4316" s="220"/>
      <c r="B4316" s="141"/>
      <c r="C4316" s="141"/>
      <c r="D4316" s="141"/>
      <c r="E4316" s="141"/>
      <c r="F4316" s="141"/>
      <c r="G4316" s="141"/>
      <c r="H4316" s="222"/>
    </row>
    <row r="4317" spans="1:8" s="212" customFormat="1">
      <c r="A4317" s="142"/>
      <c r="B4317" s="143"/>
      <c r="C4317" s="143"/>
      <c r="D4317" s="143"/>
      <c r="E4317" s="143"/>
      <c r="F4317" s="84"/>
      <c r="G4317" s="146"/>
      <c r="H4317" s="221"/>
    </row>
    <row r="4318" spans="1:8" s="212" customFormat="1">
      <c r="A4318" s="123"/>
      <c r="B4318" s="95"/>
      <c r="C4318" s="95"/>
      <c r="D4318" s="95"/>
      <c r="E4318" s="95"/>
      <c r="G4318" s="213"/>
      <c r="H4318" s="73"/>
    </row>
    <row r="4319" spans="1:8" s="212" customFormat="1">
      <c r="A4319" s="123"/>
      <c r="B4319" s="95"/>
      <c r="C4319" s="95"/>
      <c r="D4319" s="95"/>
      <c r="E4319" s="95"/>
      <c r="G4319" s="73"/>
      <c r="H4319" s="225"/>
    </row>
    <row r="4320" spans="1:8" s="212" customFormat="1">
      <c r="B4320" s="97"/>
      <c r="C4320" s="98"/>
      <c r="D4320" s="98"/>
      <c r="E4320" s="98"/>
      <c r="G4320" s="220"/>
    </row>
    <row r="4321" spans="1:9" s="212" customFormat="1">
      <c r="B4321" s="97"/>
      <c r="C4321" s="98"/>
      <c r="D4321" s="98"/>
      <c r="E4321" s="98"/>
      <c r="F4321" s="220"/>
      <c r="G4321" s="225"/>
      <c r="H4321" s="226"/>
    </row>
    <row r="4322" spans="1:9" s="212" customFormat="1">
      <c r="A4322" s="633"/>
      <c r="B4322" s="633"/>
      <c r="C4322" s="633"/>
      <c r="D4322" s="633"/>
      <c r="E4322" s="633"/>
      <c r="F4322" s="633"/>
      <c r="G4322" s="633"/>
    </row>
    <row r="4323" spans="1:9" s="212" customFormat="1">
      <c r="H4323" s="227"/>
      <c r="I4323" s="228"/>
    </row>
    <row r="4324" spans="1:9" s="212" customFormat="1">
      <c r="A4324" s="658"/>
      <c r="B4324" s="227"/>
      <c r="C4324" s="227"/>
      <c r="D4324" s="227"/>
      <c r="E4324" s="227"/>
      <c r="F4324" s="227"/>
      <c r="G4324" s="227"/>
      <c r="H4324" s="227"/>
      <c r="I4324" s="229"/>
    </row>
    <row r="4325" spans="1:9" s="212" customFormat="1">
      <c r="A4325" s="658"/>
      <c r="B4325" s="227"/>
      <c r="C4325" s="227"/>
      <c r="D4325" s="227"/>
      <c r="E4325" s="227"/>
      <c r="F4325" s="227"/>
      <c r="G4325" s="227"/>
    </row>
    <row r="4326" spans="1:9" s="212" customFormat="1">
      <c r="A4326" s="69"/>
      <c r="B4326" s="69"/>
      <c r="C4326" s="69"/>
      <c r="D4326" s="69"/>
      <c r="E4326" s="69"/>
    </row>
    <row r="4327" spans="1:9" s="212" customFormat="1">
      <c r="A4327" s="120"/>
      <c r="B4327" s="73"/>
      <c r="C4327" s="73"/>
      <c r="D4327" s="73"/>
      <c r="E4327" s="73"/>
      <c r="F4327" s="73"/>
      <c r="G4327" s="73"/>
      <c r="H4327" s="73"/>
    </row>
    <row r="4328" spans="1:9" s="212" customFormat="1">
      <c r="A4328" s="220"/>
      <c r="B4328" s="141"/>
      <c r="C4328" s="141"/>
      <c r="D4328" s="141"/>
      <c r="E4328" s="141"/>
      <c r="F4328" s="141"/>
      <c r="G4328" s="141"/>
      <c r="H4328" s="73"/>
    </row>
    <row r="4329" spans="1:9" s="212" customFormat="1">
      <c r="A4329" s="142"/>
      <c r="B4329" s="143"/>
      <c r="C4329" s="143"/>
      <c r="D4329" s="143"/>
      <c r="E4329" s="143"/>
      <c r="F4329" s="84"/>
      <c r="G4329" s="146"/>
      <c r="H4329" s="221"/>
    </row>
    <row r="4330" spans="1:9" s="212" customFormat="1">
      <c r="A4330" s="84"/>
      <c r="B4330" s="83"/>
      <c r="C4330" s="84"/>
      <c r="D4330" s="84"/>
      <c r="E4330" s="84"/>
      <c r="G4330" s="213"/>
      <c r="H4330" s="222"/>
    </row>
    <row r="4331" spans="1:9" s="212" customFormat="1">
      <c r="A4331" s="120"/>
      <c r="B4331" s="73"/>
      <c r="C4331" s="73"/>
      <c r="D4331" s="73"/>
      <c r="E4331" s="73"/>
      <c r="G4331" s="73"/>
      <c r="H4331" s="222"/>
    </row>
    <row r="4332" spans="1:9" s="212" customFormat="1">
      <c r="A4332" s="220"/>
      <c r="B4332" s="141"/>
      <c r="C4332" s="141"/>
      <c r="D4332" s="141"/>
      <c r="E4332" s="141"/>
      <c r="F4332" s="141"/>
      <c r="G4332" s="141"/>
      <c r="H4332" s="222"/>
    </row>
    <row r="4333" spans="1:9" s="212" customFormat="1">
      <c r="A4333" s="150"/>
      <c r="B4333" s="83"/>
      <c r="C4333" s="148"/>
      <c r="D4333" s="160"/>
      <c r="E4333" s="84"/>
      <c r="F4333" s="84"/>
      <c r="G4333" s="146"/>
      <c r="H4333" s="221"/>
    </row>
    <row r="4334" spans="1:9" s="212" customFormat="1">
      <c r="A4334" s="91"/>
      <c r="B4334" s="91"/>
      <c r="C4334" s="91"/>
      <c r="D4334" s="91"/>
      <c r="E4334" s="91"/>
      <c r="G4334" s="213"/>
      <c r="H4334" s="222"/>
    </row>
    <row r="4335" spans="1:9" s="212" customFormat="1">
      <c r="A4335" s="120"/>
      <c r="B4335" s="73"/>
      <c r="C4335" s="73"/>
      <c r="D4335" s="73"/>
      <c r="E4335" s="73"/>
      <c r="G4335" s="73"/>
      <c r="H4335" s="222"/>
    </row>
    <row r="4336" spans="1:9" s="212" customFormat="1">
      <c r="A4336" s="220"/>
      <c r="B4336" s="141"/>
      <c r="C4336" s="141"/>
      <c r="D4336" s="141"/>
      <c r="E4336" s="141"/>
      <c r="F4336" s="141"/>
      <c r="G4336" s="141"/>
      <c r="H4336" s="222"/>
    </row>
    <row r="4337" spans="1:9" s="212" customFormat="1">
      <c r="A4337" s="142"/>
      <c r="B4337" s="143"/>
      <c r="C4337" s="143"/>
      <c r="D4337" s="143"/>
      <c r="E4337" s="143"/>
      <c r="F4337" s="84"/>
      <c r="G4337" s="146"/>
      <c r="H4337" s="221"/>
    </row>
    <row r="4338" spans="1:9" s="212" customFormat="1">
      <c r="A4338" s="91"/>
      <c r="B4338" s="91"/>
      <c r="C4338" s="91"/>
      <c r="D4338" s="91"/>
      <c r="E4338" s="91"/>
      <c r="G4338" s="213"/>
      <c r="H4338" s="222"/>
    </row>
    <row r="4339" spans="1:9" s="212" customFormat="1">
      <c r="A4339" s="120"/>
      <c r="B4339" s="73"/>
      <c r="C4339" s="73"/>
      <c r="D4339" s="73"/>
      <c r="E4339" s="73"/>
      <c r="G4339" s="73"/>
      <c r="H4339" s="222"/>
    </row>
    <row r="4340" spans="1:9" s="212" customFormat="1">
      <c r="A4340" s="220"/>
      <c r="B4340" s="141"/>
      <c r="C4340" s="141"/>
      <c r="D4340" s="141"/>
      <c r="E4340" s="141"/>
      <c r="F4340" s="141"/>
      <c r="G4340" s="141"/>
      <c r="H4340" s="222"/>
    </row>
    <row r="4341" spans="1:9" s="212" customFormat="1">
      <c r="A4341" s="142"/>
      <c r="B4341" s="143"/>
      <c r="C4341" s="143"/>
      <c r="D4341" s="143"/>
      <c r="E4341" s="143"/>
      <c r="F4341" s="84"/>
      <c r="G4341" s="146"/>
      <c r="H4341" s="221"/>
    </row>
    <row r="4342" spans="1:9" s="212" customFormat="1">
      <c r="A4342" s="123"/>
      <c r="B4342" s="95"/>
      <c r="C4342" s="95"/>
      <c r="D4342" s="95"/>
      <c r="E4342" s="95"/>
      <c r="G4342" s="213"/>
      <c r="H4342" s="73"/>
    </row>
    <row r="4343" spans="1:9" s="212" customFormat="1">
      <c r="A4343" s="123"/>
      <c r="B4343" s="95"/>
      <c r="C4343" s="95"/>
      <c r="D4343" s="95"/>
      <c r="E4343" s="95"/>
      <c r="G4343" s="73"/>
      <c r="H4343" s="225"/>
    </row>
    <row r="4344" spans="1:9" s="212" customFormat="1">
      <c r="B4344" s="97"/>
      <c r="C4344" s="98"/>
      <c r="D4344" s="98"/>
      <c r="E4344" s="98"/>
      <c r="G4344" s="220"/>
    </row>
    <row r="4345" spans="1:9" s="212" customFormat="1">
      <c r="B4345" s="97"/>
      <c r="C4345" s="98"/>
      <c r="D4345" s="98"/>
      <c r="E4345" s="98"/>
      <c r="F4345" s="220"/>
      <c r="G4345" s="225"/>
      <c r="H4345" s="226"/>
    </row>
    <row r="4346" spans="1:9" s="212" customFormat="1">
      <c r="A4346" s="633"/>
      <c r="B4346" s="633"/>
      <c r="C4346" s="633"/>
      <c r="D4346" s="633"/>
      <c r="E4346" s="633"/>
      <c r="F4346" s="633"/>
      <c r="G4346" s="633"/>
    </row>
    <row r="4347" spans="1:9" s="212" customFormat="1">
      <c r="H4347" s="227"/>
      <c r="I4347" s="228"/>
    </row>
    <row r="4348" spans="1:9" s="212" customFormat="1">
      <c r="A4348" s="658"/>
      <c r="B4348" s="227"/>
      <c r="C4348" s="227"/>
      <c r="D4348" s="227"/>
      <c r="E4348" s="227"/>
      <c r="F4348" s="227"/>
      <c r="G4348" s="227"/>
      <c r="H4348" s="227"/>
      <c r="I4348" s="229"/>
    </row>
    <row r="4349" spans="1:9" s="212" customFormat="1">
      <c r="A4349" s="658"/>
      <c r="B4349" s="227"/>
      <c r="C4349" s="227"/>
      <c r="D4349" s="227"/>
      <c r="E4349" s="227"/>
      <c r="F4349" s="227"/>
      <c r="G4349" s="227"/>
    </row>
    <row r="4350" spans="1:9" s="212" customFormat="1">
      <c r="A4350" s="69"/>
      <c r="B4350" s="69"/>
      <c r="C4350" s="69"/>
      <c r="D4350" s="69"/>
      <c r="E4350" s="69"/>
    </row>
    <row r="4351" spans="1:9" s="212" customFormat="1">
      <c r="A4351" s="120"/>
      <c r="B4351" s="73"/>
      <c r="C4351" s="73"/>
      <c r="D4351" s="73"/>
      <c r="E4351" s="73"/>
      <c r="F4351" s="73"/>
      <c r="G4351" s="73"/>
      <c r="H4351" s="73"/>
    </row>
    <row r="4352" spans="1:9" s="212" customFormat="1">
      <c r="A4352" s="220"/>
      <c r="B4352" s="141"/>
      <c r="C4352" s="141"/>
      <c r="D4352" s="141"/>
      <c r="E4352" s="141"/>
      <c r="F4352" s="141"/>
      <c r="G4352" s="141"/>
      <c r="H4352" s="73"/>
    </row>
    <row r="4353" spans="1:8" s="212" customFormat="1">
      <c r="A4353" s="142"/>
      <c r="B4353" s="143"/>
      <c r="C4353" s="143"/>
      <c r="D4353" s="143"/>
      <c r="E4353" s="143"/>
      <c r="F4353" s="84"/>
      <c r="G4353" s="146"/>
      <c r="H4353" s="221"/>
    </row>
    <row r="4354" spans="1:8" s="212" customFormat="1">
      <c r="A4354" s="84"/>
      <c r="B4354" s="83"/>
      <c r="C4354" s="84"/>
      <c r="D4354" s="84"/>
      <c r="E4354" s="84"/>
      <c r="G4354" s="213"/>
      <c r="H4354" s="222"/>
    </row>
    <row r="4355" spans="1:8" s="212" customFormat="1">
      <c r="A4355" s="120"/>
      <c r="B4355" s="73"/>
      <c r="C4355" s="73"/>
      <c r="D4355" s="73"/>
      <c r="E4355" s="73"/>
      <c r="G4355" s="73"/>
      <c r="H4355" s="222"/>
    </row>
    <row r="4356" spans="1:8" s="212" customFormat="1">
      <c r="A4356" s="220"/>
      <c r="B4356" s="141"/>
      <c r="C4356" s="141"/>
      <c r="D4356" s="141"/>
      <c r="E4356" s="141"/>
      <c r="F4356" s="141"/>
      <c r="G4356" s="141"/>
      <c r="H4356" s="222"/>
    </row>
    <row r="4357" spans="1:8" s="212" customFormat="1">
      <c r="A4357" s="150"/>
      <c r="B4357" s="83"/>
      <c r="C4357" s="148"/>
      <c r="D4357" s="160"/>
      <c r="E4357" s="84"/>
      <c r="F4357" s="84"/>
      <c r="G4357" s="146"/>
      <c r="H4357" s="221"/>
    </row>
    <row r="4358" spans="1:8" s="212" customFormat="1">
      <c r="A4358" s="91"/>
      <c r="B4358" s="91"/>
      <c r="C4358" s="91"/>
      <c r="D4358" s="91"/>
      <c r="E4358" s="91"/>
      <c r="G4358" s="213"/>
      <c r="H4358" s="222"/>
    </row>
    <row r="4359" spans="1:8" s="212" customFormat="1">
      <c r="A4359" s="120"/>
      <c r="B4359" s="73"/>
      <c r="C4359" s="73"/>
      <c r="D4359" s="73"/>
      <c r="E4359" s="73"/>
      <c r="G4359" s="73"/>
      <c r="H4359" s="222"/>
    </row>
    <row r="4360" spans="1:8" s="212" customFormat="1">
      <c r="A4360" s="220"/>
      <c r="B4360" s="141"/>
      <c r="C4360" s="141"/>
      <c r="D4360" s="141"/>
      <c r="E4360" s="141"/>
      <c r="F4360" s="141"/>
      <c r="G4360" s="141"/>
      <c r="H4360" s="222"/>
    </row>
    <row r="4361" spans="1:8" s="212" customFormat="1">
      <c r="A4361" s="142"/>
      <c r="B4361" s="143"/>
      <c r="C4361" s="143"/>
      <c r="D4361" s="143"/>
      <c r="E4361" s="143"/>
      <c r="F4361" s="84"/>
      <c r="G4361" s="146"/>
      <c r="H4361" s="221"/>
    </row>
    <row r="4362" spans="1:8" s="212" customFormat="1">
      <c r="A4362" s="91"/>
      <c r="B4362" s="91"/>
      <c r="C4362" s="91"/>
      <c r="D4362" s="91"/>
      <c r="E4362" s="91"/>
      <c r="G4362" s="213"/>
      <c r="H4362" s="222"/>
    </row>
    <row r="4363" spans="1:8" s="212" customFormat="1">
      <c r="A4363" s="120"/>
      <c r="B4363" s="73"/>
      <c r="C4363" s="73"/>
      <c r="D4363" s="73"/>
      <c r="E4363" s="73"/>
      <c r="G4363" s="73"/>
      <c r="H4363" s="222"/>
    </row>
    <row r="4364" spans="1:8" s="212" customFormat="1">
      <c r="A4364" s="220"/>
      <c r="B4364" s="141"/>
      <c r="C4364" s="141"/>
      <c r="D4364" s="141"/>
      <c r="E4364" s="141"/>
      <c r="F4364" s="141"/>
      <c r="G4364" s="141"/>
      <c r="H4364" s="222"/>
    </row>
    <row r="4365" spans="1:8" s="212" customFormat="1">
      <c r="A4365" s="142"/>
      <c r="B4365" s="143"/>
      <c r="C4365" s="143"/>
      <c r="D4365" s="143"/>
      <c r="E4365" s="143"/>
      <c r="F4365" s="84"/>
      <c r="G4365" s="146"/>
      <c r="H4365" s="221"/>
    </row>
    <row r="4366" spans="1:8" s="212" customFormat="1">
      <c r="A4366" s="123"/>
      <c r="B4366" s="95"/>
      <c r="C4366" s="95"/>
      <c r="D4366" s="95"/>
      <c r="E4366" s="95"/>
      <c r="G4366" s="213"/>
      <c r="H4366" s="73"/>
    </row>
    <row r="4367" spans="1:8" s="212" customFormat="1">
      <c r="A4367" s="123"/>
      <c r="B4367" s="95"/>
      <c r="C4367" s="95"/>
      <c r="D4367" s="95"/>
      <c r="E4367" s="95"/>
      <c r="G4367" s="73"/>
      <c r="H4367" s="225"/>
    </row>
    <row r="4368" spans="1:8" s="212" customFormat="1">
      <c r="B4368" s="97"/>
      <c r="C4368" s="98"/>
      <c r="D4368" s="98"/>
      <c r="E4368" s="98"/>
      <c r="G4368" s="220"/>
    </row>
    <row r="4369" spans="1:9" s="212" customFormat="1">
      <c r="B4369" s="97"/>
      <c r="C4369" s="98"/>
      <c r="D4369" s="98"/>
      <c r="E4369" s="98"/>
      <c r="F4369" s="220"/>
      <c r="G4369" s="225"/>
      <c r="H4369" s="226"/>
    </row>
    <row r="4370" spans="1:9" s="212" customFormat="1">
      <c r="A4370" s="633"/>
      <c r="B4370" s="633"/>
      <c r="C4370" s="633"/>
      <c r="D4370" s="633"/>
      <c r="E4370" s="633"/>
      <c r="F4370" s="633"/>
      <c r="G4370" s="633"/>
    </row>
    <row r="4371" spans="1:9" s="212" customFormat="1">
      <c r="H4371" s="227"/>
      <c r="I4371" s="228"/>
    </row>
    <row r="4372" spans="1:9" s="212" customFormat="1">
      <c r="A4372" s="658"/>
      <c r="B4372" s="227"/>
      <c r="C4372" s="227"/>
      <c r="D4372" s="227"/>
      <c r="E4372" s="227"/>
      <c r="F4372" s="227"/>
      <c r="G4372" s="227"/>
      <c r="H4372" s="227"/>
      <c r="I4372" s="229"/>
    </row>
    <row r="4373" spans="1:9" s="212" customFormat="1">
      <c r="A4373" s="658"/>
      <c r="B4373" s="227"/>
      <c r="C4373" s="227"/>
      <c r="D4373" s="227"/>
      <c r="E4373" s="227"/>
      <c r="F4373" s="227"/>
      <c r="G4373" s="227"/>
    </row>
    <row r="4374" spans="1:9" s="212" customFormat="1">
      <c r="A4374" s="69"/>
      <c r="B4374" s="69"/>
      <c r="C4374" s="69"/>
      <c r="D4374" s="69"/>
      <c r="E4374" s="69"/>
    </row>
    <row r="4375" spans="1:9" s="212" customFormat="1">
      <c r="A4375" s="120"/>
      <c r="B4375" s="73"/>
      <c r="C4375" s="73"/>
      <c r="D4375" s="73"/>
      <c r="E4375" s="73"/>
      <c r="F4375" s="73"/>
      <c r="G4375" s="73"/>
      <c r="H4375" s="73"/>
    </row>
    <row r="4376" spans="1:9" s="212" customFormat="1">
      <c r="A4376" s="220"/>
      <c r="B4376" s="141"/>
      <c r="C4376" s="141"/>
      <c r="D4376" s="141"/>
      <c r="E4376" s="141"/>
      <c r="F4376" s="141"/>
      <c r="G4376" s="141"/>
      <c r="H4376" s="73"/>
    </row>
    <row r="4377" spans="1:9" s="212" customFormat="1">
      <c r="A4377" s="142"/>
      <c r="B4377" s="143"/>
      <c r="C4377" s="143"/>
      <c r="D4377" s="143"/>
      <c r="E4377" s="143"/>
      <c r="F4377" s="84"/>
      <c r="G4377" s="146"/>
      <c r="H4377" s="221"/>
    </row>
    <row r="4378" spans="1:9" s="212" customFormat="1">
      <c r="A4378" s="84"/>
      <c r="B4378" s="83"/>
      <c r="C4378" s="84"/>
      <c r="D4378" s="84"/>
      <c r="E4378" s="84"/>
      <c r="G4378" s="213"/>
      <c r="H4378" s="222"/>
    </row>
    <row r="4379" spans="1:9" s="212" customFormat="1">
      <c r="A4379" s="120"/>
      <c r="B4379" s="73"/>
      <c r="C4379" s="73"/>
      <c r="D4379" s="73"/>
      <c r="E4379" s="73"/>
      <c r="G4379" s="73"/>
      <c r="H4379" s="222"/>
    </row>
    <row r="4380" spans="1:9" s="212" customFormat="1">
      <c r="A4380" s="220"/>
      <c r="B4380" s="141"/>
      <c r="C4380" s="141"/>
      <c r="D4380" s="141"/>
      <c r="E4380" s="141"/>
      <c r="F4380" s="141"/>
      <c r="G4380" s="141"/>
      <c r="H4380" s="222"/>
    </row>
    <row r="4381" spans="1:9" s="212" customFormat="1">
      <c r="A4381" s="150"/>
      <c r="B4381" s="83"/>
      <c r="C4381" s="148"/>
      <c r="D4381" s="160"/>
      <c r="E4381" s="84"/>
      <c r="F4381" s="84"/>
      <c r="G4381" s="146"/>
      <c r="H4381" s="221"/>
    </row>
    <row r="4382" spans="1:9" s="212" customFormat="1">
      <c r="A4382" s="91"/>
      <c r="B4382" s="91"/>
      <c r="C4382" s="91"/>
      <c r="D4382" s="91"/>
      <c r="E4382" s="91"/>
      <c r="G4382" s="213"/>
      <c r="H4382" s="222"/>
    </row>
    <row r="4383" spans="1:9" s="212" customFormat="1">
      <c r="A4383" s="120"/>
      <c r="B4383" s="73"/>
      <c r="C4383" s="73"/>
      <c r="D4383" s="73"/>
      <c r="E4383" s="73"/>
      <c r="G4383" s="73"/>
      <c r="H4383" s="222"/>
    </row>
    <row r="4384" spans="1:9" s="212" customFormat="1">
      <c r="A4384" s="220"/>
      <c r="B4384" s="141"/>
      <c r="C4384" s="141"/>
      <c r="D4384" s="141"/>
      <c r="E4384" s="141"/>
      <c r="F4384" s="141"/>
      <c r="G4384" s="141"/>
      <c r="H4384" s="222"/>
    </row>
    <row r="4385" spans="1:9" s="212" customFormat="1">
      <c r="A4385" s="142"/>
      <c r="B4385" s="143"/>
      <c r="C4385" s="143"/>
      <c r="D4385" s="143"/>
      <c r="E4385" s="143"/>
      <c r="F4385" s="84"/>
      <c r="G4385" s="146"/>
      <c r="H4385" s="221"/>
    </row>
    <row r="4386" spans="1:9" s="212" customFormat="1">
      <c r="A4386" s="91"/>
      <c r="B4386" s="91"/>
      <c r="C4386" s="91"/>
      <c r="D4386" s="91"/>
      <c r="E4386" s="91"/>
      <c r="G4386" s="213"/>
      <c r="H4386" s="222"/>
    </row>
    <row r="4387" spans="1:9" s="212" customFormat="1">
      <c r="A4387" s="120"/>
      <c r="B4387" s="73"/>
      <c r="C4387" s="73"/>
      <c r="D4387" s="73"/>
      <c r="E4387" s="73"/>
      <c r="G4387" s="73"/>
      <c r="H4387" s="222"/>
    </row>
    <row r="4388" spans="1:9" s="212" customFormat="1">
      <c r="A4388" s="220"/>
      <c r="B4388" s="141"/>
      <c r="C4388" s="141"/>
      <c r="D4388" s="141"/>
      <c r="E4388" s="141"/>
      <c r="F4388" s="141"/>
      <c r="G4388" s="141"/>
      <c r="H4388" s="222"/>
    </row>
    <row r="4389" spans="1:9" s="212" customFormat="1">
      <c r="A4389" s="142"/>
      <c r="B4389" s="143"/>
      <c r="C4389" s="143"/>
      <c r="D4389" s="143"/>
      <c r="E4389" s="143"/>
      <c r="F4389" s="84"/>
      <c r="G4389" s="146"/>
      <c r="H4389" s="221"/>
    </row>
    <row r="4390" spans="1:9" s="212" customFormat="1">
      <c r="A4390" s="123"/>
      <c r="B4390" s="95"/>
      <c r="C4390" s="95"/>
      <c r="D4390" s="95"/>
      <c r="E4390" s="95"/>
      <c r="G4390" s="213"/>
      <c r="H4390" s="73"/>
    </row>
    <row r="4391" spans="1:9" s="212" customFormat="1">
      <c r="A4391" s="123"/>
      <c r="B4391" s="95"/>
      <c r="C4391" s="95"/>
      <c r="D4391" s="95"/>
      <c r="E4391" s="95"/>
      <c r="G4391" s="73"/>
      <c r="H4391" s="225"/>
    </row>
    <row r="4392" spans="1:9" s="212" customFormat="1">
      <c r="B4392" s="97"/>
      <c r="C4392" s="98"/>
      <c r="D4392" s="98"/>
      <c r="E4392" s="98"/>
      <c r="G4392" s="220"/>
    </row>
    <row r="4393" spans="1:9" s="212" customFormat="1">
      <c r="B4393" s="97"/>
      <c r="C4393" s="98"/>
      <c r="D4393" s="98"/>
      <c r="E4393" s="98"/>
      <c r="F4393" s="220"/>
      <c r="G4393" s="225"/>
      <c r="H4393" s="226"/>
    </row>
    <row r="4394" spans="1:9" s="212" customFormat="1">
      <c r="A4394" s="633"/>
      <c r="B4394" s="633"/>
      <c r="C4394" s="633"/>
      <c r="D4394" s="633"/>
      <c r="E4394" s="633"/>
      <c r="F4394" s="633"/>
      <c r="G4394" s="633"/>
    </row>
    <row r="4395" spans="1:9" s="212" customFormat="1">
      <c r="H4395" s="227"/>
      <c r="I4395" s="228"/>
    </row>
    <row r="4396" spans="1:9" s="212" customFormat="1">
      <c r="A4396" s="658"/>
      <c r="B4396" s="227"/>
      <c r="C4396" s="227"/>
      <c r="D4396" s="227"/>
      <c r="E4396" s="227"/>
      <c r="F4396" s="227"/>
      <c r="G4396" s="227"/>
      <c r="H4396" s="227"/>
      <c r="I4396" s="229"/>
    </row>
    <row r="4397" spans="1:9" s="212" customFormat="1">
      <c r="A4397" s="658"/>
      <c r="B4397" s="227"/>
      <c r="C4397" s="227"/>
      <c r="D4397" s="227"/>
      <c r="E4397" s="227"/>
      <c r="F4397" s="227"/>
      <c r="G4397" s="227"/>
    </row>
    <row r="4398" spans="1:9" s="212" customFormat="1">
      <c r="A4398" s="69"/>
      <c r="B4398" s="69"/>
      <c r="C4398" s="69"/>
      <c r="D4398" s="69"/>
      <c r="E4398" s="69"/>
    </row>
    <row r="4399" spans="1:9" s="212" customFormat="1">
      <c r="A4399" s="120"/>
      <c r="B4399" s="73"/>
      <c r="C4399" s="73"/>
      <c r="D4399" s="73"/>
      <c r="E4399" s="73"/>
      <c r="F4399" s="73"/>
      <c r="G4399" s="73"/>
      <c r="H4399" s="73"/>
    </row>
    <row r="4400" spans="1:9" s="212" customFormat="1">
      <c r="A4400" s="220"/>
      <c r="B4400" s="141"/>
      <c r="C4400" s="141"/>
      <c r="D4400" s="141"/>
      <c r="E4400" s="141"/>
      <c r="F4400" s="141"/>
      <c r="G4400" s="141"/>
      <c r="H4400" s="73"/>
    </row>
    <row r="4401" spans="1:8" s="212" customFormat="1">
      <c r="A4401" s="142"/>
      <c r="B4401" s="143"/>
      <c r="C4401" s="143"/>
      <c r="D4401" s="143"/>
      <c r="E4401" s="143"/>
      <c r="F4401" s="84"/>
      <c r="G4401" s="146"/>
      <c r="H4401" s="221"/>
    </row>
    <row r="4402" spans="1:8" s="212" customFormat="1">
      <c r="A4402" s="84"/>
      <c r="B4402" s="83"/>
      <c r="C4402" s="84"/>
      <c r="D4402" s="84"/>
      <c r="E4402" s="84"/>
      <c r="G4402" s="213"/>
      <c r="H4402" s="222"/>
    </row>
    <row r="4403" spans="1:8" s="212" customFormat="1">
      <c r="A4403" s="120"/>
      <c r="B4403" s="73"/>
      <c r="C4403" s="73"/>
      <c r="D4403" s="73"/>
      <c r="E4403" s="73"/>
      <c r="G4403" s="73"/>
      <c r="H4403" s="222"/>
    </row>
    <row r="4404" spans="1:8" s="212" customFormat="1">
      <c r="A4404" s="220"/>
      <c r="B4404" s="141"/>
      <c r="C4404" s="141"/>
      <c r="D4404" s="141"/>
      <c r="E4404" s="141"/>
      <c r="F4404" s="141"/>
      <c r="G4404" s="141"/>
      <c r="H4404" s="222"/>
    </row>
    <row r="4405" spans="1:8" s="212" customFormat="1">
      <c r="A4405" s="150"/>
      <c r="B4405" s="83"/>
      <c r="C4405" s="148"/>
      <c r="D4405" s="160"/>
      <c r="E4405" s="84"/>
      <c r="F4405" s="84"/>
      <c r="G4405" s="146"/>
      <c r="H4405" s="221"/>
    </row>
    <row r="4406" spans="1:8" s="212" customFormat="1">
      <c r="A4406" s="91"/>
      <c r="B4406" s="91"/>
      <c r="C4406" s="91"/>
      <c r="D4406" s="91"/>
      <c r="E4406" s="91"/>
      <c r="G4406" s="213"/>
      <c r="H4406" s="222"/>
    </row>
    <row r="4407" spans="1:8" s="212" customFormat="1">
      <c r="A4407" s="120"/>
      <c r="B4407" s="73"/>
      <c r="C4407" s="73"/>
      <c r="D4407" s="73"/>
      <c r="E4407" s="73"/>
      <c r="G4407" s="73"/>
      <c r="H4407" s="222"/>
    </row>
    <row r="4408" spans="1:8" s="212" customFormat="1">
      <c r="A4408" s="220"/>
      <c r="B4408" s="141"/>
      <c r="C4408" s="141"/>
      <c r="D4408" s="141"/>
      <c r="E4408" s="141"/>
      <c r="F4408" s="141"/>
      <c r="G4408" s="141"/>
      <c r="H4408" s="222"/>
    </row>
    <row r="4409" spans="1:8" s="212" customFormat="1">
      <c r="A4409" s="142"/>
      <c r="B4409" s="143"/>
      <c r="C4409" s="143"/>
      <c r="D4409" s="143"/>
      <c r="E4409" s="143"/>
      <c r="F4409" s="84"/>
      <c r="G4409" s="146"/>
      <c r="H4409" s="221"/>
    </row>
    <row r="4410" spans="1:8" s="212" customFormat="1">
      <c r="A4410" s="91"/>
      <c r="B4410" s="91"/>
      <c r="C4410" s="91"/>
      <c r="D4410" s="91"/>
      <c r="E4410" s="91"/>
      <c r="G4410" s="213"/>
      <c r="H4410" s="222"/>
    </row>
    <row r="4411" spans="1:8" s="212" customFormat="1">
      <c r="A4411" s="120"/>
      <c r="B4411" s="73"/>
      <c r="C4411" s="73"/>
      <c r="D4411" s="73"/>
      <c r="E4411" s="73"/>
      <c r="G4411" s="73"/>
      <c r="H4411" s="222"/>
    </row>
    <row r="4412" spans="1:8" s="212" customFormat="1">
      <c r="A4412" s="220"/>
      <c r="B4412" s="141"/>
      <c r="C4412" s="141"/>
      <c r="D4412" s="141"/>
      <c r="E4412" s="141"/>
      <c r="F4412" s="141"/>
      <c r="G4412" s="141"/>
      <c r="H4412" s="222"/>
    </row>
    <row r="4413" spans="1:8" s="212" customFormat="1">
      <c r="A4413" s="142"/>
      <c r="B4413" s="143"/>
      <c r="C4413" s="143"/>
      <c r="D4413" s="143"/>
      <c r="E4413" s="143"/>
      <c r="F4413" s="84"/>
      <c r="G4413" s="146"/>
      <c r="H4413" s="221"/>
    </row>
    <row r="4414" spans="1:8" s="212" customFormat="1">
      <c r="A4414" s="123"/>
      <c r="B4414" s="95"/>
      <c r="C4414" s="95"/>
      <c r="D4414" s="95"/>
      <c r="E4414" s="95"/>
      <c r="G4414" s="213"/>
      <c r="H4414" s="73"/>
    </row>
    <row r="4415" spans="1:8" s="212" customFormat="1">
      <c r="A4415" s="123"/>
      <c r="B4415" s="95"/>
      <c r="C4415" s="95"/>
      <c r="D4415" s="95"/>
      <c r="E4415" s="95"/>
      <c r="G4415" s="73"/>
      <c r="H4415" s="225"/>
    </row>
    <row r="4416" spans="1:8" s="212" customFormat="1">
      <c r="B4416" s="97"/>
      <c r="C4416" s="98"/>
      <c r="D4416" s="98"/>
      <c r="E4416" s="98"/>
      <c r="G4416" s="220"/>
    </row>
    <row r="4417" spans="1:9" s="212" customFormat="1">
      <c r="B4417" s="97"/>
      <c r="C4417" s="98"/>
      <c r="D4417" s="98"/>
      <c r="E4417" s="98"/>
      <c r="F4417" s="220"/>
      <c r="G4417" s="225"/>
      <c r="H4417" s="226"/>
    </row>
    <row r="4418" spans="1:9" s="212" customFormat="1">
      <c r="A4418" s="633"/>
      <c r="B4418" s="633"/>
      <c r="C4418" s="633"/>
      <c r="D4418" s="633"/>
      <c r="E4418" s="633"/>
      <c r="F4418" s="633"/>
      <c r="G4418" s="633"/>
    </row>
    <row r="4419" spans="1:9" s="212" customFormat="1">
      <c r="H4419" s="227"/>
      <c r="I4419" s="228"/>
    </row>
    <row r="4420" spans="1:9" s="212" customFormat="1">
      <c r="A4420" s="658"/>
      <c r="B4420" s="227"/>
      <c r="C4420" s="227"/>
      <c r="D4420" s="227"/>
      <c r="E4420" s="227"/>
      <c r="F4420" s="227"/>
      <c r="G4420" s="227"/>
      <c r="H4420" s="227"/>
      <c r="I4420" s="229"/>
    </row>
    <row r="4421" spans="1:9" s="212" customFormat="1">
      <c r="A4421" s="658"/>
      <c r="B4421" s="227"/>
      <c r="C4421" s="227"/>
      <c r="D4421" s="227"/>
      <c r="E4421" s="227"/>
      <c r="F4421" s="227"/>
      <c r="G4421" s="227"/>
    </row>
    <row r="4422" spans="1:9" s="212" customFormat="1">
      <c r="A4422" s="69"/>
      <c r="B4422" s="69"/>
      <c r="C4422" s="69"/>
      <c r="D4422" s="69"/>
      <c r="E4422" s="69"/>
    </row>
    <row r="4423" spans="1:9" s="212" customFormat="1">
      <c r="A4423" s="120"/>
      <c r="B4423" s="73"/>
      <c r="C4423" s="73"/>
      <c r="D4423" s="73"/>
      <c r="E4423" s="73"/>
      <c r="F4423" s="73"/>
      <c r="G4423" s="73"/>
      <c r="H4423" s="73"/>
    </row>
    <row r="4424" spans="1:9" s="212" customFormat="1">
      <c r="A4424" s="220"/>
      <c r="B4424" s="141"/>
      <c r="C4424" s="141"/>
      <c r="D4424" s="141"/>
      <c r="E4424" s="141"/>
      <c r="F4424" s="141"/>
      <c r="G4424" s="141"/>
      <c r="H4424" s="73"/>
    </row>
    <row r="4425" spans="1:9" s="212" customFormat="1">
      <c r="A4425" s="142"/>
      <c r="B4425" s="143"/>
      <c r="C4425" s="143"/>
      <c r="D4425" s="143"/>
      <c r="E4425" s="143"/>
      <c r="F4425" s="84"/>
      <c r="G4425" s="146"/>
      <c r="H4425" s="221"/>
    </row>
    <row r="4426" spans="1:9" s="212" customFormat="1">
      <c r="A4426" s="84"/>
      <c r="B4426" s="83"/>
      <c r="C4426" s="84"/>
      <c r="D4426" s="84"/>
      <c r="E4426" s="84"/>
      <c r="G4426" s="213"/>
      <c r="H4426" s="222"/>
    </row>
    <row r="4427" spans="1:9" s="212" customFormat="1">
      <c r="A4427" s="120"/>
      <c r="B4427" s="73"/>
      <c r="C4427" s="73"/>
      <c r="D4427" s="73"/>
      <c r="E4427" s="73"/>
      <c r="G4427" s="73"/>
      <c r="H4427" s="222"/>
    </row>
    <row r="4428" spans="1:9" s="212" customFormat="1">
      <c r="A4428" s="220"/>
      <c r="B4428" s="141"/>
      <c r="C4428" s="141"/>
      <c r="D4428" s="141"/>
      <c r="E4428" s="141"/>
      <c r="F4428" s="141"/>
      <c r="G4428" s="141"/>
      <c r="H4428" s="222"/>
    </row>
    <row r="4429" spans="1:9" s="212" customFormat="1">
      <c r="A4429" s="150"/>
      <c r="B4429" s="83"/>
      <c r="C4429" s="148"/>
      <c r="D4429" s="160"/>
      <c r="E4429" s="84"/>
      <c r="F4429" s="84"/>
      <c r="G4429" s="146"/>
      <c r="H4429" s="221"/>
    </row>
    <row r="4430" spans="1:9" s="212" customFormat="1">
      <c r="A4430" s="91"/>
      <c r="B4430" s="91"/>
      <c r="C4430" s="91"/>
      <c r="D4430" s="91"/>
      <c r="E4430" s="91"/>
      <c r="G4430" s="213"/>
      <c r="H4430" s="222"/>
    </row>
    <row r="4431" spans="1:9" s="212" customFormat="1">
      <c r="A4431" s="120"/>
      <c r="B4431" s="73"/>
      <c r="C4431" s="73"/>
      <c r="D4431" s="73"/>
      <c r="E4431" s="73"/>
      <c r="G4431" s="73"/>
      <c r="H4431" s="222"/>
    </row>
    <row r="4432" spans="1:9" s="212" customFormat="1">
      <c r="A4432" s="220"/>
      <c r="B4432" s="141"/>
      <c r="C4432" s="141"/>
      <c r="D4432" s="141"/>
      <c r="E4432" s="141"/>
      <c r="F4432" s="141"/>
      <c r="G4432" s="141"/>
      <c r="H4432" s="222"/>
    </row>
    <row r="4433" spans="1:9" s="212" customFormat="1">
      <c r="A4433" s="142"/>
      <c r="B4433" s="143"/>
      <c r="C4433" s="143"/>
      <c r="D4433" s="143"/>
      <c r="E4433" s="143"/>
      <c r="F4433" s="84"/>
      <c r="G4433" s="146"/>
      <c r="H4433" s="221"/>
    </row>
    <row r="4434" spans="1:9" s="212" customFormat="1">
      <c r="A4434" s="91"/>
      <c r="B4434" s="91"/>
      <c r="C4434" s="91"/>
      <c r="D4434" s="91"/>
      <c r="E4434" s="91"/>
      <c r="G4434" s="213"/>
      <c r="H4434" s="222"/>
    </row>
    <row r="4435" spans="1:9" s="212" customFormat="1">
      <c r="A4435" s="120"/>
      <c r="B4435" s="73"/>
      <c r="C4435" s="73"/>
      <c r="D4435" s="73"/>
      <c r="E4435" s="73"/>
      <c r="G4435" s="73"/>
      <c r="H4435" s="222"/>
    </row>
    <row r="4436" spans="1:9" s="212" customFormat="1">
      <c r="A4436" s="220"/>
      <c r="B4436" s="141"/>
      <c r="C4436" s="141"/>
      <c r="D4436" s="141"/>
      <c r="E4436" s="141"/>
      <c r="F4436" s="141"/>
      <c r="G4436" s="141"/>
      <c r="H4436" s="222"/>
    </row>
    <row r="4437" spans="1:9" s="212" customFormat="1">
      <c r="A4437" s="142"/>
      <c r="B4437" s="143"/>
      <c r="C4437" s="143"/>
      <c r="D4437" s="143"/>
      <c r="E4437" s="143"/>
      <c r="F4437" s="84"/>
      <c r="G4437" s="146"/>
      <c r="H4437" s="221"/>
    </row>
    <row r="4438" spans="1:9" s="212" customFormat="1">
      <c r="A4438" s="123"/>
      <c r="B4438" s="95"/>
      <c r="C4438" s="95"/>
      <c r="D4438" s="95"/>
      <c r="E4438" s="95"/>
      <c r="G4438" s="213"/>
      <c r="H4438" s="73"/>
    </row>
    <row r="4439" spans="1:9" s="212" customFormat="1">
      <c r="A4439" s="123"/>
      <c r="B4439" s="95"/>
      <c r="C4439" s="95"/>
      <c r="D4439" s="95"/>
      <c r="E4439" s="95"/>
      <c r="G4439" s="73"/>
      <c r="H4439" s="225"/>
    </row>
    <row r="4440" spans="1:9" s="212" customFormat="1">
      <c r="B4440" s="97"/>
      <c r="C4440" s="98"/>
      <c r="D4440" s="98"/>
      <c r="E4440" s="98"/>
      <c r="G4440" s="220"/>
    </row>
    <row r="4441" spans="1:9" s="212" customFormat="1">
      <c r="B4441" s="97"/>
      <c r="C4441" s="98"/>
      <c r="D4441" s="98"/>
      <c r="E4441" s="98"/>
      <c r="F4441" s="220"/>
      <c r="G4441" s="225"/>
      <c r="H4441" s="226"/>
    </row>
    <row r="4442" spans="1:9" s="212" customFormat="1">
      <c r="A4442" s="633"/>
      <c r="B4442" s="633"/>
      <c r="C4442" s="633"/>
      <c r="D4442" s="633"/>
      <c r="E4442" s="633"/>
      <c r="F4442" s="633"/>
      <c r="G4442" s="633"/>
    </row>
    <row r="4443" spans="1:9" s="212" customFormat="1">
      <c r="H4443" s="227"/>
      <c r="I4443" s="228"/>
    </row>
    <row r="4444" spans="1:9" s="212" customFormat="1">
      <c r="A4444" s="658"/>
      <c r="B4444" s="227"/>
      <c r="C4444" s="227"/>
      <c r="D4444" s="227"/>
      <c r="E4444" s="227"/>
      <c r="F4444" s="227"/>
      <c r="G4444" s="227"/>
      <c r="H4444" s="227"/>
      <c r="I4444" s="229"/>
    </row>
    <row r="4445" spans="1:9" s="212" customFormat="1">
      <c r="A4445" s="658"/>
      <c r="B4445" s="227"/>
      <c r="C4445" s="227"/>
      <c r="D4445" s="227"/>
      <c r="E4445" s="227"/>
      <c r="F4445" s="227"/>
      <c r="G4445" s="227"/>
    </row>
    <row r="4446" spans="1:9" s="212" customFormat="1">
      <c r="A4446" s="69"/>
      <c r="B4446" s="69"/>
      <c r="C4446" s="69"/>
      <c r="D4446" s="69"/>
      <c r="E4446" s="69"/>
    </row>
    <row r="4447" spans="1:9" s="212" customFormat="1">
      <c r="A4447" s="120"/>
      <c r="B4447" s="73"/>
      <c r="C4447" s="73"/>
      <c r="D4447" s="73"/>
      <c r="E4447" s="73"/>
      <c r="F4447" s="73"/>
      <c r="G4447" s="73"/>
      <c r="H4447" s="73"/>
    </row>
    <row r="4448" spans="1:9" s="212" customFormat="1">
      <c r="A4448" s="220"/>
      <c r="B4448" s="141"/>
      <c r="C4448" s="141"/>
      <c r="D4448" s="141"/>
      <c r="E4448" s="141"/>
      <c r="F4448" s="141"/>
      <c r="G4448" s="141"/>
      <c r="H4448" s="73"/>
    </row>
    <row r="4449" spans="1:8" s="212" customFormat="1">
      <c r="A4449" s="142"/>
      <c r="B4449" s="143"/>
      <c r="C4449" s="143"/>
      <c r="D4449" s="143"/>
      <c r="E4449" s="143"/>
      <c r="F4449" s="84"/>
      <c r="G4449" s="146"/>
      <c r="H4449" s="221"/>
    </row>
    <row r="4450" spans="1:8" s="212" customFormat="1">
      <c r="A4450" s="84"/>
      <c r="B4450" s="83"/>
      <c r="C4450" s="84"/>
      <c r="D4450" s="84"/>
      <c r="E4450" s="84"/>
      <c r="G4450" s="213"/>
      <c r="H4450" s="222"/>
    </row>
    <row r="4451" spans="1:8" s="212" customFormat="1">
      <c r="A4451" s="120"/>
      <c r="B4451" s="73"/>
      <c r="C4451" s="73"/>
      <c r="D4451" s="73"/>
      <c r="E4451" s="73"/>
      <c r="G4451" s="73"/>
      <c r="H4451" s="222"/>
    </row>
    <row r="4452" spans="1:8" s="212" customFormat="1">
      <c r="A4452" s="220"/>
      <c r="B4452" s="141"/>
      <c r="C4452" s="141"/>
      <c r="D4452" s="141"/>
      <c r="E4452" s="141"/>
      <c r="F4452" s="141"/>
      <c r="G4452" s="141"/>
      <c r="H4452" s="222"/>
    </row>
    <row r="4453" spans="1:8" s="212" customFormat="1">
      <c r="A4453" s="150"/>
      <c r="B4453" s="83"/>
      <c r="C4453" s="148"/>
      <c r="D4453" s="160"/>
      <c r="E4453" s="84"/>
      <c r="F4453" s="84"/>
      <c r="G4453" s="146"/>
      <c r="H4453" s="221"/>
    </row>
    <row r="4454" spans="1:8" s="212" customFormat="1">
      <c r="A4454" s="91"/>
      <c r="B4454" s="91"/>
      <c r="C4454" s="91"/>
      <c r="D4454" s="91"/>
      <c r="E4454" s="91"/>
      <c r="G4454" s="213"/>
      <c r="H4454" s="222"/>
    </row>
    <row r="4455" spans="1:8" s="212" customFormat="1">
      <c r="A4455" s="120"/>
      <c r="B4455" s="73"/>
      <c r="C4455" s="73"/>
      <c r="D4455" s="73"/>
      <c r="E4455" s="73"/>
      <c r="G4455" s="73"/>
      <c r="H4455" s="222"/>
    </row>
    <row r="4456" spans="1:8" s="212" customFormat="1">
      <c r="A4456" s="220"/>
      <c r="B4456" s="141"/>
      <c r="C4456" s="141"/>
      <c r="D4456" s="141"/>
      <c r="E4456" s="141"/>
      <c r="F4456" s="141"/>
      <c r="G4456" s="141"/>
      <c r="H4456" s="222"/>
    </row>
    <row r="4457" spans="1:8" s="212" customFormat="1">
      <c r="A4457" s="142"/>
      <c r="B4457" s="143"/>
      <c r="C4457" s="143"/>
      <c r="D4457" s="143"/>
      <c r="E4457" s="143"/>
      <c r="F4457" s="84"/>
      <c r="G4457" s="146"/>
      <c r="H4457" s="221"/>
    </row>
    <row r="4458" spans="1:8" s="212" customFormat="1">
      <c r="A4458" s="91"/>
      <c r="B4458" s="91"/>
      <c r="C4458" s="91"/>
      <c r="D4458" s="91"/>
      <c r="E4458" s="91"/>
      <c r="G4458" s="213"/>
      <c r="H4458" s="222"/>
    </row>
    <row r="4459" spans="1:8" s="212" customFormat="1">
      <c r="A4459" s="120"/>
      <c r="B4459" s="73"/>
      <c r="C4459" s="73"/>
      <c r="D4459" s="73"/>
      <c r="E4459" s="73"/>
      <c r="G4459" s="73"/>
      <c r="H4459" s="222"/>
    </row>
    <row r="4460" spans="1:8" s="212" customFormat="1">
      <c r="A4460" s="220"/>
      <c r="B4460" s="141"/>
      <c r="C4460" s="141"/>
      <c r="D4460" s="141"/>
      <c r="E4460" s="141"/>
      <c r="F4460" s="141"/>
      <c r="G4460" s="141"/>
      <c r="H4460" s="222"/>
    </row>
    <row r="4461" spans="1:8" s="212" customFormat="1">
      <c r="A4461" s="142"/>
      <c r="B4461" s="143"/>
      <c r="C4461" s="143"/>
      <c r="D4461" s="143"/>
      <c r="E4461" s="143"/>
      <c r="F4461" s="84"/>
      <c r="G4461" s="146"/>
      <c r="H4461" s="221"/>
    </row>
    <row r="4462" spans="1:8" s="212" customFormat="1">
      <c r="A4462" s="123"/>
      <c r="B4462" s="95"/>
      <c r="C4462" s="95"/>
      <c r="D4462" s="95"/>
      <c r="E4462" s="95"/>
      <c r="G4462" s="213"/>
      <c r="H4462" s="73"/>
    </row>
    <row r="4463" spans="1:8" s="212" customFormat="1">
      <c r="A4463" s="123"/>
      <c r="B4463" s="95"/>
      <c r="C4463" s="95"/>
      <c r="D4463" s="95"/>
      <c r="E4463" s="95"/>
      <c r="G4463" s="73"/>
      <c r="H4463" s="225"/>
    </row>
    <row r="4464" spans="1:8" s="212" customFormat="1">
      <c r="B4464" s="97"/>
      <c r="C4464" s="98"/>
      <c r="D4464" s="98"/>
      <c r="E4464" s="98"/>
      <c r="G4464" s="220"/>
    </row>
    <row r="4465" spans="1:9" s="212" customFormat="1">
      <c r="B4465" s="97"/>
      <c r="C4465" s="98"/>
      <c r="D4465" s="98"/>
      <c r="E4465" s="98"/>
      <c r="F4465" s="220"/>
      <c r="G4465" s="225"/>
      <c r="H4465" s="226"/>
    </row>
    <row r="4466" spans="1:9" s="212" customFormat="1">
      <c r="A4466" s="633"/>
      <c r="B4466" s="633"/>
      <c r="C4466" s="633"/>
      <c r="D4466" s="633"/>
      <c r="E4466" s="633"/>
      <c r="F4466" s="633"/>
      <c r="G4466" s="633"/>
    </row>
    <row r="4467" spans="1:9" s="212" customFormat="1">
      <c r="H4467" s="227"/>
      <c r="I4467" s="228"/>
    </row>
    <row r="4468" spans="1:9" s="212" customFormat="1">
      <c r="A4468" s="658"/>
      <c r="B4468" s="227"/>
      <c r="C4468" s="227"/>
      <c r="D4468" s="227"/>
      <c r="E4468" s="227"/>
      <c r="F4468" s="227"/>
      <c r="G4468" s="227"/>
      <c r="H4468" s="227"/>
      <c r="I4468" s="229"/>
    </row>
    <row r="4469" spans="1:9" s="212" customFormat="1">
      <c r="A4469" s="658"/>
      <c r="B4469" s="227"/>
      <c r="C4469" s="227"/>
      <c r="D4469" s="227"/>
      <c r="E4469" s="227"/>
      <c r="F4469" s="227"/>
      <c r="G4469" s="227"/>
    </row>
    <row r="4470" spans="1:9" s="212" customFormat="1">
      <c r="A4470" s="69"/>
      <c r="B4470" s="69"/>
      <c r="C4470" s="69"/>
      <c r="D4470" s="69"/>
      <c r="E4470" s="69"/>
    </row>
    <row r="4471" spans="1:9" s="212" customFormat="1">
      <c r="A4471" s="120"/>
      <c r="B4471" s="73"/>
      <c r="C4471" s="73"/>
      <c r="D4471" s="73"/>
      <c r="E4471" s="73"/>
      <c r="F4471" s="73"/>
      <c r="G4471" s="73"/>
      <c r="H4471" s="73"/>
    </row>
    <row r="4472" spans="1:9" s="212" customFormat="1">
      <c r="A4472" s="220"/>
      <c r="B4472" s="141"/>
      <c r="C4472" s="141"/>
      <c r="D4472" s="141"/>
      <c r="E4472" s="141"/>
      <c r="F4472" s="141"/>
      <c r="G4472" s="141"/>
      <c r="H4472" s="73"/>
    </row>
    <row r="4473" spans="1:9" s="212" customFormat="1">
      <c r="A4473" s="142"/>
      <c r="B4473" s="143"/>
      <c r="C4473" s="143"/>
      <c r="D4473" s="143"/>
      <c r="E4473" s="143"/>
      <c r="F4473" s="84"/>
      <c r="G4473" s="146"/>
      <c r="H4473" s="221"/>
    </row>
    <row r="4474" spans="1:9" s="212" customFormat="1">
      <c r="A4474" s="84"/>
      <c r="B4474" s="83"/>
      <c r="C4474" s="84"/>
      <c r="D4474" s="84"/>
      <c r="E4474" s="84"/>
      <c r="G4474" s="213"/>
      <c r="H4474" s="222"/>
    </row>
    <row r="4475" spans="1:9" s="212" customFormat="1">
      <c r="A4475" s="120"/>
      <c r="B4475" s="73"/>
      <c r="C4475" s="73"/>
      <c r="D4475" s="73"/>
      <c r="E4475" s="73"/>
      <c r="G4475" s="73"/>
      <c r="H4475" s="222"/>
    </row>
    <row r="4476" spans="1:9" s="212" customFormat="1">
      <c r="A4476" s="220"/>
      <c r="B4476" s="141"/>
      <c r="C4476" s="141"/>
      <c r="D4476" s="141"/>
      <c r="E4476" s="141"/>
      <c r="F4476" s="141"/>
      <c r="G4476" s="141"/>
      <c r="H4476" s="222"/>
    </row>
    <row r="4477" spans="1:9" s="212" customFormat="1">
      <c r="A4477" s="150"/>
      <c r="B4477" s="83"/>
      <c r="C4477" s="148"/>
      <c r="D4477" s="160"/>
      <c r="E4477" s="84"/>
      <c r="F4477" s="84"/>
      <c r="G4477" s="146"/>
      <c r="H4477" s="221"/>
    </row>
    <row r="4478" spans="1:9" s="212" customFormat="1">
      <c r="A4478" s="91"/>
      <c r="B4478" s="91"/>
      <c r="C4478" s="91"/>
      <c r="D4478" s="91"/>
      <c r="E4478" s="91"/>
      <c r="G4478" s="213"/>
      <c r="H4478" s="222"/>
    </row>
    <row r="4479" spans="1:9" s="212" customFormat="1">
      <c r="A4479" s="120"/>
      <c r="B4479" s="73"/>
      <c r="C4479" s="73"/>
      <c r="D4479" s="73"/>
      <c r="E4479" s="73"/>
      <c r="G4479" s="73"/>
      <c r="H4479" s="222"/>
    </row>
    <row r="4480" spans="1:9" s="212" customFormat="1">
      <c r="A4480" s="220"/>
      <c r="B4480" s="141"/>
      <c r="C4480" s="141"/>
      <c r="D4480" s="141"/>
      <c r="E4480" s="141"/>
      <c r="F4480" s="141"/>
      <c r="G4480" s="141"/>
      <c r="H4480" s="222"/>
    </row>
    <row r="4481" spans="1:9" s="212" customFormat="1">
      <c r="A4481" s="142"/>
      <c r="B4481" s="143"/>
      <c r="C4481" s="143"/>
      <c r="D4481" s="143"/>
      <c r="E4481" s="143"/>
      <c r="F4481" s="84"/>
      <c r="G4481" s="146"/>
      <c r="H4481" s="221"/>
    </row>
    <row r="4482" spans="1:9" s="212" customFormat="1">
      <c r="A4482" s="91"/>
      <c r="B4482" s="91"/>
      <c r="C4482" s="91"/>
      <c r="D4482" s="91"/>
      <c r="E4482" s="91"/>
      <c r="G4482" s="213"/>
      <c r="H4482" s="222"/>
    </row>
    <row r="4483" spans="1:9" s="212" customFormat="1">
      <c r="A4483" s="120"/>
      <c r="B4483" s="73"/>
      <c r="C4483" s="73"/>
      <c r="D4483" s="73"/>
      <c r="E4483" s="73"/>
      <c r="G4483" s="73"/>
      <c r="H4483" s="222"/>
    </row>
    <row r="4484" spans="1:9" s="212" customFormat="1">
      <c r="A4484" s="220"/>
      <c r="B4484" s="141"/>
      <c r="C4484" s="141"/>
      <c r="D4484" s="141"/>
      <c r="E4484" s="141"/>
      <c r="F4484" s="141"/>
      <c r="G4484" s="141"/>
      <c r="H4484" s="222"/>
    </row>
    <row r="4485" spans="1:9" s="212" customFormat="1">
      <c r="A4485" s="142"/>
      <c r="B4485" s="143"/>
      <c r="C4485" s="143"/>
      <c r="D4485" s="143"/>
      <c r="E4485" s="143"/>
      <c r="F4485" s="84"/>
      <c r="G4485" s="146"/>
      <c r="H4485" s="221"/>
    </row>
    <row r="4486" spans="1:9" s="212" customFormat="1">
      <c r="A4486" s="123"/>
      <c r="B4486" s="95"/>
      <c r="C4486" s="95"/>
      <c r="D4486" s="95"/>
      <c r="E4486" s="95"/>
      <c r="G4486" s="213"/>
      <c r="H4486" s="73"/>
    </row>
    <row r="4487" spans="1:9" s="212" customFormat="1">
      <c r="A4487" s="123"/>
      <c r="B4487" s="95"/>
      <c r="C4487" s="95"/>
      <c r="D4487" s="95"/>
      <c r="E4487" s="95"/>
      <c r="G4487" s="73"/>
      <c r="H4487" s="225"/>
    </row>
    <row r="4488" spans="1:9" s="212" customFormat="1">
      <c r="B4488" s="97"/>
      <c r="C4488" s="98"/>
      <c r="D4488" s="98"/>
      <c r="E4488" s="98"/>
      <c r="G4488" s="220"/>
    </row>
    <row r="4489" spans="1:9" s="212" customFormat="1">
      <c r="B4489" s="97"/>
      <c r="C4489" s="98"/>
      <c r="D4489" s="98"/>
      <c r="E4489" s="98"/>
      <c r="F4489" s="220"/>
      <c r="G4489" s="225"/>
      <c r="H4489" s="226"/>
    </row>
    <row r="4490" spans="1:9" s="212" customFormat="1">
      <c r="A4490" s="633"/>
      <c r="B4490" s="633"/>
      <c r="C4490" s="633"/>
      <c r="D4490" s="633"/>
      <c r="E4490" s="633"/>
      <c r="F4490" s="633"/>
      <c r="G4490" s="633"/>
    </row>
    <row r="4491" spans="1:9" s="212" customFormat="1">
      <c r="H4491" s="227"/>
      <c r="I4491" s="228"/>
    </row>
    <row r="4492" spans="1:9" s="212" customFormat="1">
      <c r="A4492" s="658"/>
      <c r="B4492" s="227"/>
      <c r="C4492" s="227"/>
      <c r="D4492" s="227"/>
      <c r="E4492" s="227"/>
      <c r="F4492" s="227"/>
      <c r="G4492" s="227"/>
      <c r="H4492" s="227"/>
      <c r="I4492" s="229"/>
    </row>
    <row r="4493" spans="1:9" s="212" customFormat="1">
      <c r="A4493" s="658"/>
      <c r="B4493" s="227"/>
      <c r="C4493" s="227"/>
      <c r="D4493" s="227"/>
      <c r="E4493" s="227"/>
      <c r="F4493" s="227"/>
      <c r="G4493" s="227"/>
    </row>
    <row r="4494" spans="1:9" s="212" customFormat="1">
      <c r="A4494" s="69"/>
      <c r="B4494" s="69"/>
      <c r="C4494" s="69"/>
      <c r="D4494" s="69"/>
      <c r="E4494" s="69"/>
    </row>
    <row r="4495" spans="1:9" s="212" customFormat="1">
      <c r="A4495" s="120"/>
      <c r="B4495" s="73"/>
      <c r="C4495" s="73"/>
      <c r="D4495" s="73"/>
      <c r="E4495" s="73"/>
      <c r="F4495" s="73"/>
      <c r="G4495" s="73"/>
      <c r="H4495" s="73"/>
    </row>
    <row r="4496" spans="1:9" s="212" customFormat="1">
      <c r="A4496" s="220"/>
      <c r="B4496" s="141"/>
      <c r="C4496" s="141"/>
      <c r="D4496" s="141"/>
      <c r="E4496" s="141"/>
      <c r="F4496" s="141"/>
      <c r="G4496" s="141"/>
      <c r="H4496" s="73"/>
    </row>
    <row r="4497" spans="1:8" s="212" customFormat="1">
      <c r="A4497" s="142"/>
      <c r="B4497" s="143"/>
      <c r="C4497" s="143"/>
      <c r="D4497" s="143"/>
      <c r="E4497" s="143"/>
      <c r="F4497" s="84"/>
      <c r="G4497" s="146"/>
      <c r="H4497" s="221"/>
    </row>
    <row r="4498" spans="1:8" s="212" customFormat="1">
      <c r="A4498" s="84"/>
      <c r="B4498" s="83"/>
      <c r="C4498" s="84"/>
      <c r="D4498" s="84"/>
      <c r="E4498" s="84"/>
      <c r="G4498" s="213"/>
      <c r="H4498" s="222"/>
    </row>
    <row r="4499" spans="1:8" s="212" customFormat="1">
      <c r="A4499" s="120"/>
      <c r="B4499" s="73"/>
      <c r="C4499" s="73"/>
      <c r="D4499" s="73"/>
      <c r="E4499" s="73"/>
      <c r="G4499" s="73"/>
      <c r="H4499" s="222"/>
    </row>
    <row r="4500" spans="1:8" s="212" customFormat="1">
      <c r="A4500" s="220"/>
      <c r="B4500" s="141"/>
      <c r="C4500" s="141"/>
      <c r="D4500" s="141"/>
      <c r="E4500" s="141"/>
      <c r="F4500" s="141"/>
      <c r="G4500" s="141"/>
      <c r="H4500" s="222"/>
    </row>
    <row r="4501" spans="1:8" s="212" customFormat="1">
      <c r="A4501" s="150"/>
      <c r="B4501" s="83"/>
      <c r="C4501" s="148"/>
      <c r="D4501" s="160"/>
      <c r="E4501" s="84"/>
      <c r="F4501" s="84"/>
      <c r="G4501" s="146"/>
      <c r="H4501" s="221"/>
    </row>
    <row r="4502" spans="1:8" s="212" customFormat="1">
      <c r="A4502" s="91"/>
      <c r="B4502" s="91"/>
      <c r="C4502" s="91"/>
      <c r="D4502" s="91"/>
      <c r="E4502" s="91"/>
      <c r="G4502" s="213"/>
      <c r="H4502" s="222"/>
    </row>
    <row r="4503" spans="1:8" s="212" customFormat="1">
      <c r="A4503" s="120"/>
      <c r="B4503" s="73"/>
      <c r="C4503" s="73"/>
      <c r="D4503" s="73"/>
      <c r="E4503" s="73"/>
      <c r="G4503" s="73"/>
      <c r="H4503" s="222"/>
    </row>
    <row r="4504" spans="1:8" s="212" customFormat="1">
      <c r="A4504" s="220"/>
      <c r="B4504" s="141"/>
      <c r="C4504" s="141"/>
      <c r="D4504" s="141"/>
      <c r="E4504" s="141"/>
      <c r="F4504" s="141"/>
      <c r="G4504" s="141"/>
      <c r="H4504" s="222"/>
    </row>
    <row r="4505" spans="1:8" s="212" customFormat="1">
      <c r="A4505" s="142"/>
      <c r="B4505" s="143"/>
      <c r="C4505" s="143"/>
      <c r="D4505" s="143"/>
      <c r="E4505" s="143"/>
      <c r="F4505" s="84"/>
      <c r="G4505" s="146"/>
      <c r="H4505" s="221"/>
    </row>
    <row r="4506" spans="1:8" s="212" customFormat="1">
      <c r="A4506" s="91"/>
      <c r="B4506" s="91"/>
      <c r="C4506" s="91"/>
      <c r="D4506" s="91"/>
      <c r="E4506" s="91"/>
      <c r="G4506" s="213"/>
      <c r="H4506" s="222"/>
    </row>
    <row r="4507" spans="1:8" s="212" customFormat="1">
      <c r="A4507" s="120"/>
      <c r="B4507" s="73"/>
      <c r="C4507" s="73"/>
      <c r="D4507" s="73"/>
      <c r="E4507" s="73"/>
      <c r="G4507" s="73"/>
      <c r="H4507" s="222"/>
    </row>
    <row r="4508" spans="1:8" s="212" customFormat="1">
      <c r="A4508" s="220"/>
      <c r="B4508" s="141"/>
      <c r="C4508" s="141"/>
      <c r="D4508" s="141"/>
      <c r="E4508" s="141"/>
      <c r="F4508" s="141"/>
      <c r="G4508" s="141"/>
      <c r="H4508" s="222"/>
    </row>
    <row r="4509" spans="1:8" s="212" customFormat="1">
      <c r="A4509" s="142"/>
      <c r="B4509" s="143"/>
      <c r="C4509" s="143"/>
      <c r="D4509" s="143"/>
      <c r="E4509" s="143"/>
      <c r="F4509" s="84"/>
      <c r="G4509" s="146"/>
      <c r="H4509" s="221"/>
    </row>
    <row r="4510" spans="1:8" s="212" customFormat="1">
      <c r="A4510" s="123"/>
      <c r="B4510" s="95"/>
      <c r="C4510" s="95"/>
      <c r="D4510" s="95"/>
      <c r="E4510" s="95"/>
      <c r="G4510" s="213"/>
      <c r="H4510" s="73"/>
    </row>
    <row r="4511" spans="1:8" s="212" customFormat="1">
      <c r="A4511" s="123"/>
      <c r="B4511" s="95"/>
      <c r="C4511" s="95"/>
      <c r="D4511" s="95"/>
      <c r="E4511" s="95"/>
      <c r="G4511" s="73"/>
      <c r="H4511" s="225"/>
    </row>
    <row r="4512" spans="1:8" s="212" customFormat="1">
      <c r="B4512" s="97"/>
      <c r="C4512" s="98"/>
      <c r="D4512" s="98"/>
      <c r="E4512" s="98"/>
      <c r="G4512" s="220"/>
    </row>
    <row r="4513" spans="1:9" s="212" customFormat="1">
      <c r="B4513" s="97"/>
      <c r="C4513" s="98"/>
      <c r="D4513" s="98"/>
      <c r="E4513" s="98"/>
      <c r="F4513" s="220"/>
      <c r="G4513" s="225"/>
      <c r="H4513" s="226"/>
    </row>
    <row r="4514" spans="1:9" s="212" customFormat="1">
      <c r="A4514" s="633"/>
      <c r="B4514" s="633"/>
      <c r="C4514" s="633"/>
      <c r="D4514" s="633"/>
      <c r="E4514" s="633"/>
      <c r="F4514" s="633"/>
      <c r="G4514" s="633"/>
    </row>
    <row r="4515" spans="1:9" s="212" customFormat="1">
      <c r="H4515" s="227"/>
      <c r="I4515" s="228"/>
    </row>
    <row r="4516" spans="1:9" s="212" customFormat="1">
      <c r="A4516" s="658"/>
      <c r="B4516" s="227"/>
      <c r="C4516" s="227"/>
      <c r="D4516" s="227"/>
      <c r="E4516" s="227"/>
      <c r="F4516" s="227"/>
      <c r="G4516" s="227"/>
      <c r="H4516" s="227"/>
      <c r="I4516" s="229"/>
    </row>
    <row r="4517" spans="1:9" s="212" customFormat="1">
      <c r="A4517" s="658"/>
      <c r="B4517" s="227"/>
      <c r="C4517" s="227"/>
      <c r="D4517" s="227"/>
      <c r="E4517" s="227"/>
      <c r="F4517" s="227"/>
      <c r="G4517" s="227"/>
    </row>
    <row r="4518" spans="1:9" s="212" customFormat="1">
      <c r="A4518" s="69"/>
      <c r="B4518" s="69"/>
      <c r="C4518" s="69"/>
      <c r="D4518" s="69"/>
      <c r="E4518" s="69"/>
    </row>
    <row r="4519" spans="1:9" s="212" customFormat="1">
      <c r="A4519" s="120"/>
      <c r="B4519" s="73"/>
      <c r="C4519" s="73"/>
      <c r="D4519" s="73"/>
      <c r="E4519" s="73"/>
      <c r="F4519" s="73"/>
      <c r="G4519" s="73"/>
      <c r="H4519" s="73"/>
    </row>
    <row r="4520" spans="1:9" s="212" customFormat="1">
      <c r="A4520" s="220"/>
      <c r="B4520" s="141"/>
      <c r="C4520" s="141"/>
      <c r="D4520" s="141"/>
      <c r="E4520" s="141"/>
      <c r="F4520" s="141"/>
      <c r="G4520" s="141"/>
      <c r="H4520" s="73"/>
    </row>
    <row r="4521" spans="1:9" s="212" customFormat="1">
      <c r="A4521" s="142"/>
      <c r="B4521" s="143"/>
      <c r="C4521" s="143"/>
      <c r="D4521" s="143"/>
      <c r="E4521" s="143"/>
      <c r="F4521" s="84"/>
      <c r="G4521" s="146"/>
      <c r="H4521" s="221"/>
    </row>
    <row r="4522" spans="1:9" s="212" customFormat="1">
      <c r="A4522" s="84"/>
      <c r="B4522" s="83"/>
      <c r="C4522" s="84"/>
      <c r="D4522" s="84"/>
      <c r="E4522" s="84"/>
      <c r="G4522" s="213"/>
      <c r="H4522" s="222"/>
    </row>
    <row r="4523" spans="1:9" s="212" customFormat="1">
      <c r="A4523" s="120"/>
      <c r="B4523" s="73"/>
      <c r="C4523" s="73"/>
      <c r="D4523" s="73"/>
      <c r="E4523" s="73"/>
      <c r="G4523" s="73"/>
      <c r="H4523" s="222"/>
    </row>
    <row r="4524" spans="1:9" s="212" customFormat="1">
      <c r="A4524" s="220"/>
      <c r="B4524" s="141"/>
      <c r="C4524" s="141"/>
      <c r="D4524" s="141"/>
      <c r="E4524" s="141"/>
      <c r="F4524" s="141"/>
      <c r="G4524" s="141"/>
      <c r="H4524" s="222"/>
    </row>
    <row r="4525" spans="1:9" s="212" customFormat="1">
      <c r="A4525" s="150"/>
      <c r="B4525" s="83"/>
      <c r="C4525" s="148"/>
      <c r="D4525" s="160"/>
      <c r="E4525" s="84"/>
      <c r="F4525" s="84"/>
      <c r="G4525" s="146"/>
      <c r="H4525" s="221"/>
    </row>
    <row r="4526" spans="1:9" s="212" customFormat="1">
      <c r="A4526" s="91"/>
      <c r="B4526" s="91"/>
      <c r="C4526" s="91"/>
      <c r="D4526" s="91"/>
      <c r="E4526" s="91"/>
      <c r="G4526" s="213"/>
      <c r="H4526" s="222"/>
    </row>
    <row r="4527" spans="1:9" s="212" customFormat="1">
      <c r="A4527" s="120"/>
      <c r="B4527" s="73"/>
      <c r="C4527" s="73"/>
      <c r="D4527" s="73"/>
      <c r="E4527" s="73"/>
      <c r="G4527" s="73"/>
      <c r="H4527" s="222"/>
    </row>
    <row r="4528" spans="1:9" s="212" customFormat="1">
      <c r="A4528" s="220"/>
      <c r="B4528" s="141"/>
      <c r="C4528" s="141"/>
      <c r="D4528" s="141"/>
      <c r="E4528" s="141"/>
      <c r="F4528" s="141"/>
      <c r="G4528" s="141"/>
      <c r="H4528" s="222"/>
    </row>
    <row r="4529" spans="1:9" s="212" customFormat="1">
      <c r="A4529" s="142"/>
      <c r="B4529" s="143"/>
      <c r="C4529" s="143"/>
      <c r="D4529" s="143"/>
      <c r="E4529" s="143"/>
      <c r="F4529" s="84"/>
      <c r="G4529" s="146"/>
      <c r="H4529" s="221"/>
    </row>
    <row r="4530" spans="1:9" s="212" customFormat="1">
      <c r="A4530" s="91"/>
      <c r="B4530" s="91"/>
      <c r="C4530" s="91"/>
      <c r="D4530" s="91"/>
      <c r="E4530" s="91"/>
      <c r="G4530" s="213"/>
      <c r="H4530" s="222"/>
    </row>
    <row r="4531" spans="1:9" s="212" customFormat="1">
      <c r="A4531" s="120"/>
      <c r="B4531" s="73"/>
      <c r="C4531" s="73"/>
      <c r="D4531" s="73"/>
      <c r="E4531" s="73"/>
      <c r="G4531" s="73"/>
      <c r="H4531" s="222"/>
    </row>
    <row r="4532" spans="1:9" s="212" customFormat="1">
      <c r="A4532" s="220"/>
      <c r="B4532" s="141"/>
      <c r="C4532" s="141"/>
      <c r="D4532" s="141"/>
      <c r="E4532" s="141"/>
      <c r="F4532" s="141"/>
      <c r="G4532" s="141"/>
      <c r="H4532" s="222"/>
    </row>
    <row r="4533" spans="1:9" s="212" customFormat="1">
      <c r="A4533" s="142"/>
      <c r="B4533" s="143"/>
      <c r="C4533" s="143"/>
      <c r="D4533" s="143"/>
      <c r="E4533" s="143"/>
      <c r="F4533" s="84"/>
      <c r="G4533" s="146"/>
      <c r="H4533" s="221"/>
    </row>
    <row r="4534" spans="1:9" s="212" customFormat="1">
      <c r="A4534" s="123"/>
      <c r="B4534" s="95"/>
      <c r="C4534" s="95"/>
      <c r="D4534" s="95"/>
      <c r="E4534" s="95"/>
      <c r="G4534" s="213"/>
      <c r="H4534" s="73"/>
    </row>
    <row r="4535" spans="1:9" s="212" customFormat="1">
      <c r="A4535" s="123"/>
      <c r="B4535" s="95"/>
      <c r="C4535" s="95"/>
      <c r="D4535" s="95"/>
      <c r="E4535" s="95"/>
      <c r="G4535" s="73"/>
      <c r="H4535" s="225"/>
    </row>
    <row r="4536" spans="1:9" s="212" customFormat="1">
      <c r="B4536" s="97"/>
      <c r="C4536" s="98"/>
      <c r="D4536" s="98"/>
      <c r="E4536" s="98"/>
      <c r="G4536" s="220"/>
    </row>
    <row r="4537" spans="1:9" s="212" customFormat="1">
      <c r="B4537" s="97"/>
      <c r="C4537" s="98"/>
      <c r="D4537" s="98"/>
      <c r="E4537" s="98"/>
      <c r="F4537" s="220"/>
      <c r="G4537" s="225"/>
      <c r="H4537" s="226"/>
    </row>
    <row r="4538" spans="1:9" s="212" customFormat="1">
      <c r="A4538" s="633"/>
      <c r="B4538" s="633"/>
      <c r="C4538" s="633"/>
      <c r="D4538" s="633"/>
      <c r="E4538" s="633"/>
      <c r="F4538" s="633"/>
      <c r="G4538" s="633"/>
    </row>
    <row r="4539" spans="1:9" s="212" customFormat="1">
      <c r="H4539" s="227"/>
      <c r="I4539" s="228"/>
    </row>
    <row r="4540" spans="1:9" s="212" customFormat="1">
      <c r="A4540" s="658"/>
      <c r="B4540" s="227"/>
      <c r="C4540" s="227"/>
      <c r="D4540" s="227"/>
      <c r="E4540" s="227"/>
      <c r="F4540" s="227"/>
      <c r="G4540" s="227"/>
      <c r="H4540" s="227"/>
      <c r="I4540" s="229"/>
    </row>
    <row r="4541" spans="1:9" s="212" customFormat="1">
      <c r="A4541" s="658"/>
      <c r="B4541" s="227"/>
      <c r="C4541" s="227"/>
      <c r="D4541" s="227"/>
      <c r="E4541" s="227"/>
      <c r="F4541" s="227"/>
      <c r="G4541" s="227"/>
    </row>
    <row r="4542" spans="1:9" s="212" customFormat="1">
      <c r="A4542" s="69"/>
      <c r="B4542" s="69"/>
      <c r="C4542" s="69"/>
      <c r="D4542" s="69"/>
      <c r="E4542" s="69"/>
    </row>
    <row r="4543" spans="1:9" s="212" customFormat="1">
      <c r="A4543" s="120"/>
      <c r="B4543" s="73"/>
      <c r="C4543" s="73"/>
      <c r="D4543" s="73"/>
      <c r="E4543" s="73"/>
      <c r="F4543" s="73"/>
      <c r="G4543" s="73"/>
      <c r="H4543" s="73"/>
    </row>
    <row r="4544" spans="1:9" s="212" customFormat="1">
      <c r="A4544" s="220"/>
      <c r="B4544" s="141"/>
      <c r="C4544" s="141"/>
      <c r="D4544" s="141"/>
      <c r="E4544" s="141"/>
      <c r="F4544" s="141"/>
      <c r="G4544" s="141"/>
      <c r="H4544" s="73"/>
    </row>
    <row r="4545" spans="1:8" s="212" customFormat="1">
      <c r="A4545" s="142"/>
      <c r="B4545" s="143"/>
      <c r="C4545" s="143"/>
      <c r="D4545" s="143"/>
      <c r="E4545" s="143"/>
      <c r="F4545" s="84"/>
      <c r="G4545" s="146"/>
      <c r="H4545" s="221"/>
    </row>
    <row r="4546" spans="1:8" s="212" customFormat="1">
      <c r="A4546" s="84"/>
      <c r="B4546" s="83"/>
      <c r="C4546" s="84"/>
      <c r="D4546" s="84"/>
      <c r="E4546" s="84"/>
      <c r="G4546" s="213"/>
      <c r="H4546" s="222"/>
    </row>
    <row r="4547" spans="1:8" s="212" customFormat="1">
      <c r="A4547" s="120"/>
      <c r="B4547" s="73"/>
      <c r="C4547" s="73"/>
      <c r="D4547" s="73"/>
      <c r="E4547" s="73"/>
      <c r="G4547" s="73"/>
      <c r="H4547" s="222"/>
    </row>
    <row r="4548" spans="1:8" s="212" customFormat="1">
      <c r="A4548" s="220"/>
      <c r="B4548" s="141"/>
      <c r="C4548" s="141"/>
      <c r="D4548" s="141"/>
      <c r="E4548" s="141"/>
      <c r="F4548" s="141"/>
      <c r="G4548" s="141"/>
      <c r="H4548" s="222"/>
    </row>
    <row r="4549" spans="1:8" s="212" customFormat="1">
      <c r="A4549" s="150"/>
      <c r="B4549" s="83"/>
      <c r="C4549" s="148"/>
      <c r="D4549" s="160"/>
      <c r="E4549" s="84"/>
      <c r="F4549" s="84"/>
      <c r="G4549" s="146"/>
      <c r="H4549" s="221"/>
    </row>
    <row r="4550" spans="1:8" s="212" customFormat="1">
      <c r="A4550" s="91"/>
      <c r="B4550" s="91"/>
      <c r="C4550" s="91"/>
      <c r="D4550" s="91"/>
      <c r="E4550" s="91"/>
      <c r="G4550" s="213"/>
      <c r="H4550" s="222"/>
    </row>
    <row r="4551" spans="1:8" s="212" customFormat="1">
      <c r="A4551" s="120"/>
      <c r="B4551" s="73"/>
      <c r="C4551" s="73"/>
      <c r="D4551" s="73"/>
      <c r="E4551" s="73"/>
      <c r="G4551" s="73"/>
      <c r="H4551" s="222"/>
    </row>
    <row r="4552" spans="1:8" s="212" customFormat="1">
      <c r="A4552" s="220"/>
      <c r="B4552" s="141"/>
      <c r="C4552" s="141"/>
      <c r="D4552" s="141"/>
      <c r="E4552" s="141"/>
      <c r="F4552" s="141"/>
      <c r="G4552" s="141"/>
      <c r="H4552" s="222"/>
    </row>
    <row r="4553" spans="1:8" s="212" customFormat="1">
      <c r="A4553" s="142"/>
      <c r="B4553" s="143"/>
      <c r="C4553" s="143"/>
      <c r="D4553" s="143"/>
      <c r="E4553" s="143"/>
      <c r="F4553" s="84"/>
      <c r="G4553" s="146"/>
      <c r="H4553" s="221"/>
    </row>
    <row r="4554" spans="1:8" s="212" customFormat="1">
      <c r="A4554" s="91"/>
      <c r="B4554" s="91"/>
      <c r="C4554" s="91"/>
      <c r="D4554" s="91"/>
      <c r="E4554" s="91"/>
      <c r="G4554" s="213"/>
      <c r="H4554" s="222"/>
    </row>
    <row r="4555" spans="1:8" s="212" customFormat="1">
      <c r="A4555" s="120"/>
      <c r="B4555" s="73"/>
      <c r="C4555" s="73"/>
      <c r="D4555" s="73"/>
      <c r="E4555" s="73"/>
      <c r="G4555" s="73"/>
      <c r="H4555" s="222"/>
    </row>
    <row r="4556" spans="1:8" s="212" customFormat="1">
      <c r="A4556" s="220"/>
      <c r="B4556" s="141"/>
      <c r="C4556" s="141"/>
      <c r="D4556" s="141"/>
      <c r="E4556" s="141"/>
      <c r="F4556" s="141"/>
      <c r="G4556" s="141"/>
      <c r="H4556" s="222"/>
    </row>
    <row r="4557" spans="1:8" s="212" customFormat="1">
      <c r="A4557" s="142"/>
      <c r="B4557" s="143"/>
      <c r="C4557" s="143"/>
      <c r="D4557" s="143"/>
      <c r="E4557" s="143"/>
      <c r="F4557" s="84"/>
      <c r="G4557" s="146"/>
      <c r="H4557" s="221"/>
    </row>
    <row r="4558" spans="1:8" s="212" customFormat="1">
      <c r="A4558" s="123"/>
      <c r="B4558" s="95"/>
      <c r="C4558" s="95"/>
      <c r="D4558" s="95"/>
      <c r="E4558" s="95"/>
      <c r="G4558" s="213"/>
      <c r="H4558" s="73"/>
    </row>
    <row r="4559" spans="1:8" s="212" customFormat="1">
      <c r="A4559" s="123"/>
      <c r="B4559" s="95"/>
      <c r="C4559" s="95"/>
      <c r="D4559" s="95"/>
      <c r="E4559" s="95"/>
      <c r="G4559" s="73"/>
      <c r="H4559" s="225"/>
    </row>
    <row r="4560" spans="1:8" s="212" customFormat="1">
      <c r="B4560" s="97"/>
      <c r="C4560" s="98"/>
      <c r="D4560" s="98"/>
      <c r="E4560" s="98"/>
      <c r="G4560" s="220"/>
    </row>
    <row r="4561" spans="1:9" s="212" customFormat="1">
      <c r="B4561" s="97"/>
      <c r="C4561" s="98"/>
      <c r="D4561" s="98"/>
      <c r="E4561" s="98"/>
      <c r="F4561" s="220"/>
      <c r="G4561" s="225"/>
      <c r="H4561" s="226"/>
    </row>
    <row r="4562" spans="1:9" s="212" customFormat="1">
      <c r="A4562" s="633"/>
      <c r="B4562" s="633"/>
      <c r="C4562" s="633"/>
      <c r="D4562" s="633"/>
      <c r="E4562" s="633"/>
      <c r="F4562" s="633"/>
      <c r="G4562" s="633"/>
    </row>
    <row r="4563" spans="1:9" s="212" customFormat="1">
      <c r="H4563" s="227"/>
      <c r="I4563" s="228"/>
    </row>
    <row r="4564" spans="1:9" s="212" customFormat="1">
      <c r="A4564" s="658"/>
      <c r="B4564" s="227"/>
      <c r="C4564" s="227"/>
      <c r="D4564" s="227"/>
      <c r="E4564" s="227"/>
      <c r="F4564" s="227"/>
      <c r="G4564" s="227"/>
      <c r="H4564" s="227"/>
      <c r="I4564" s="229"/>
    </row>
    <row r="4565" spans="1:9" s="212" customFormat="1">
      <c r="A4565" s="658"/>
      <c r="B4565" s="227"/>
      <c r="C4565" s="227"/>
      <c r="D4565" s="227"/>
      <c r="E4565" s="227"/>
      <c r="F4565" s="227"/>
      <c r="G4565" s="227"/>
    </row>
    <row r="4566" spans="1:9" s="212" customFormat="1">
      <c r="A4566" s="69"/>
      <c r="B4566" s="69"/>
      <c r="C4566" s="69"/>
      <c r="D4566" s="69"/>
      <c r="E4566" s="69"/>
    </row>
    <row r="4567" spans="1:9" s="212" customFormat="1">
      <c r="A4567" s="120"/>
      <c r="B4567" s="73"/>
      <c r="C4567" s="73"/>
      <c r="D4567" s="73"/>
      <c r="E4567" s="73"/>
      <c r="F4567" s="73"/>
      <c r="G4567" s="73"/>
      <c r="H4567" s="73"/>
    </row>
    <row r="4568" spans="1:9" s="212" customFormat="1">
      <c r="A4568" s="220"/>
      <c r="B4568" s="141"/>
      <c r="C4568" s="141"/>
      <c r="D4568" s="141"/>
      <c r="E4568" s="141"/>
      <c r="F4568" s="141"/>
      <c r="G4568" s="141"/>
      <c r="H4568" s="73"/>
    </row>
    <row r="4569" spans="1:9" s="212" customFormat="1">
      <c r="A4569" s="142"/>
      <c r="B4569" s="143"/>
      <c r="C4569" s="143"/>
      <c r="D4569" s="143"/>
      <c r="E4569" s="143"/>
      <c r="F4569" s="84"/>
      <c r="G4569" s="146"/>
      <c r="H4569" s="221"/>
    </row>
    <row r="4570" spans="1:9" s="212" customFormat="1">
      <c r="A4570" s="84"/>
      <c r="B4570" s="83"/>
      <c r="C4570" s="84"/>
      <c r="D4570" s="84"/>
      <c r="E4570" s="84"/>
      <c r="G4570" s="213"/>
      <c r="H4570" s="222"/>
    </row>
    <row r="4571" spans="1:9" s="212" customFormat="1">
      <c r="A4571" s="120"/>
      <c r="B4571" s="73"/>
      <c r="C4571" s="73"/>
      <c r="D4571" s="73"/>
      <c r="E4571" s="73"/>
      <c r="G4571" s="73"/>
      <c r="H4571" s="222"/>
    </row>
    <row r="4572" spans="1:9" s="212" customFormat="1">
      <c r="A4572" s="220"/>
      <c r="B4572" s="141"/>
      <c r="C4572" s="141"/>
      <c r="D4572" s="141"/>
      <c r="E4572" s="141"/>
      <c r="F4572" s="141"/>
      <c r="G4572" s="141"/>
      <c r="H4572" s="222"/>
    </row>
    <row r="4573" spans="1:9" s="212" customFormat="1">
      <c r="A4573" s="150"/>
      <c r="B4573" s="83"/>
      <c r="C4573" s="148"/>
      <c r="D4573" s="160"/>
      <c r="E4573" s="84"/>
      <c r="F4573" s="84"/>
      <c r="G4573" s="146"/>
      <c r="H4573" s="221"/>
    </row>
    <row r="4574" spans="1:9" s="212" customFormat="1">
      <c r="A4574" s="91"/>
      <c r="B4574" s="91"/>
      <c r="C4574" s="91"/>
      <c r="D4574" s="91"/>
      <c r="E4574" s="91"/>
      <c r="G4574" s="213"/>
      <c r="H4574" s="222"/>
    </row>
    <row r="4575" spans="1:9" s="212" customFormat="1">
      <c r="A4575" s="120"/>
      <c r="B4575" s="73"/>
      <c r="C4575" s="73"/>
      <c r="D4575" s="73"/>
      <c r="E4575" s="73"/>
      <c r="G4575" s="73"/>
      <c r="H4575" s="222"/>
    </row>
    <row r="4576" spans="1:9" s="212" customFormat="1">
      <c r="A4576" s="220"/>
      <c r="B4576" s="141"/>
      <c r="C4576" s="141"/>
      <c r="D4576" s="141"/>
      <c r="E4576" s="141"/>
      <c r="F4576" s="141"/>
      <c r="G4576" s="141"/>
      <c r="H4576" s="222"/>
    </row>
    <row r="4577" spans="1:9" s="212" customFormat="1">
      <c r="A4577" s="142"/>
      <c r="B4577" s="143"/>
      <c r="C4577" s="143"/>
      <c r="D4577" s="143"/>
      <c r="E4577" s="143"/>
      <c r="F4577" s="84"/>
      <c r="G4577" s="146"/>
      <c r="H4577" s="221"/>
    </row>
    <row r="4578" spans="1:9" s="212" customFormat="1">
      <c r="A4578" s="91"/>
      <c r="B4578" s="91"/>
      <c r="C4578" s="91"/>
      <c r="D4578" s="91"/>
      <c r="E4578" s="91"/>
      <c r="G4578" s="213"/>
      <c r="H4578" s="222"/>
    </row>
    <row r="4579" spans="1:9" s="212" customFormat="1">
      <c r="A4579" s="120"/>
      <c r="B4579" s="73"/>
      <c r="C4579" s="73"/>
      <c r="D4579" s="73"/>
      <c r="E4579" s="73"/>
      <c r="G4579" s="73"/>
      <c r="H4579" s="222"/>
    </row>
    <row r="4580" spans="1:9" s="212" customFormat="1">
      <c r="A4580" s="220"/>
      <c r="B4580" s="141"/>
      <c r="C4580" s="141"/>
      <c r="D4580" s="141"/>
      <c r="E4580" s="141"/>
      <c r="F4580" s="141"/>
      <c r="G4580" s="141"/>
      <c r="H4580" s="222"/>
    </row>
    <row r="4581" spans="1:9" s="212" customFormat="1">
      <c r="A4581" s="142"/>
      <c r="B4581" s="143"/>
      <c r="C4581" s="143"/>
      <c r="D4581" s="143"/>
      <c r="E4581" s="143"/>
      <c r="F4581" s="84"/>
      <c r="G4581" s="146"/>
      <c r="H4581" s="221"/>
    </row>
    <row r="4582" spans="1:9" s="212" customFormat="1">
      <c r="A4582" s="123"/>
      <c r="B4582" s="95"/>
      <c r="C4582" s="95"/>
      <c r="D4582" s="95"/>
      <c r="E4582" s="95"/>
      <c r="G4582" s="213"/>
      <c r="H4582" s="73"/>
    </row>
    <row r="4583" spans="1:9" s="212" customFormat="1">
      <c r="A4583" s="123"/>
      <c r="B4583" s="95"/>
      <c r="C4583" s="95"/>
      <c r="D4583" s="95"/>
      <c r="E4583" s="95"/>
      <c r="G4583" s="73"/>
      <c r="H4583" s="225"/>
    </row>
    <row r="4584" spans="1:9" s="212" customFormat="1">
      <c r="B4584" s="97"/>
      <c r="C4584" s="98"/>
      <c r="D4584" s="98"/>
      <c r="E4584" s="98"/>
      <c r="G4584" s="220"/>
    </row>
    <row r="4585" spans="1:9" s="212" customFormat="1">
      <c r="B4585" s="97"/>
      <c r="C4585" s="98"/>
      <c r="D4585" s="98"/>
      <c r="E4585" s="98"/>
      <c r="F4585" s="220"/>
      <c r="G4585" s="225"/>
      <c r="H4585" s="226"/>
    </row>
    <row r="4586" spans="1:9" s="212" customFormat="1">
      <c r="A4586" s="633"/>
      <c r="B4586" s="633"/>
      <c r="C4586" s="633"/>
      <c r="D4586" s="633"/>
      <c r="E4586" s="633"/>
      <c r="F4586" s="633"/>
      <c r="G4586" s="633"/>
    </row>
    <row r="4587" spans="1:9" s="212" customFormat="1">
      <c r="H4587" s="227"/>
      <c r="I4587" s="228"/>
    </row>
    <row r="4588" spans="1:9" s="212" customFormat="1">
      <c r="A4588" s="658"/>
      <c r="B4588" s="227"/>
      <c r="C4588" s="227"/>
      <c r="D4588" s="227"/>
      <c r="E4588" s="227"/>
      <c r="F4588" s="227"/>
      <c r="G4588" s="227"/>
      <c r="H4588" s="227"/>
      <c r="I4588" s="229"/>
    </row>
    <row r="4589" spans="1:9" s="212" customFormat="1">
      <c r="A4589" s="658"/>
      <c r="B4589" s="227"/>
      <c r="C4589" s="227"/>
      <c r="D4589" s="227"/>
      <c r="E4589" s="227"/>
      <c r="F4589" s="227"/>
      <c r="G4589" s="227"/>
    </row>
    <row r="4590" spans="1:9" s="212" customFormat="1">
      <c r="A4590" s="69"/>
      <c r="B4590" s="69"/>
      <c r="C4590" s="69"/>
      <c r="D4590" s="69"/>
      <c r="E4590" s="69"/>
    </row>
    <row r="4591" spans="1:9" s="212" customFormat="1">
      <c r="A4591" s="120"/>
      <c r="B4591" s="73"/>
      <c r="C4591" s="73"/>
      <c r="D4591" s="73"/>
      <c r="E4591" s="73"/>
      <c r="F4591" s="73"/>
      <c r="G4591" s="73"/>
      <c r="H4591" s="73"/>
    </row>
    <row r="4592" spans="1:9" s="212" customFormat="1">
      <c r="A4592" s="220"/>
      <c r="B4592" s="141"/>
      <c r="C4592" s="141"/>
      <c r="D4592" s="141"/>
      <c r="E4592" s="141"/>
      <c r="F4592" s="141"/>
      <c r="G4592" s="141"/>
      <c r="H4592" s="73"/>
    </row>
    <row r="4593" spans="1:8" s="212" customFormat="1">
      <c r="A4593" s="142"/>
      <c r="B4593" s="143"/>
      <c r="C4593" s="143"/>
      <c r="D4593" s="143"/>
      <c r="E4593" s="143"/>
      <c r="F4593" s="84"/>
      <c r="G4593" s="146"/>
      <c r="H4593" s="221"/>
    </row>
    <row r="4594" spans="1:8" s="212" customFormat="1">
      <c r="A4594" s="84"/>
      <c r="B4594" s="83"/>
      <c r="C4594" s="84"/>
      <c r="D4594" s="84"/>
      <c r="E4594" s="84"/>
      <c r="G4594" s="213"/>
      <c r="H4594" s="222"/>
    </row>
    <row r="4595" spans="1:8" s="212" customFormat="1">
      <c r="A4595" s="120"/>
      <c r="B4595" s="73"/>
      <c r="C4595" s="73"/>
      <c r="D4595" s="73"/>
      <c r="E4595" s="73"/>
      <c r="G4595" s="73"/>
      <c r="H4595" s="222"/>
    </row>
    <row r="4596" spans="1:8" s="212" customFormat="1">
      <c r="A4596" s="220"/>
      <c r="B4596" s="141"/>
      <c r="C4596" s="141"/>
      <c r="D4596" s="141"/>
      <c r="E4596" s="141"/>
      <c r="F4596" s="141"/>
      <c r="G4596" s="141"/>
      <c r="H4596" s="222"/>
    </row>
    <row r="4597" spans="1:8" s="212" customFormat="1">
      <c r="A4597" s="150"/>
      <c r="B4597" s="83"/>
      <c r="C4597" s="148"/>
      <c r="D4597" s="160"/>
      <c r="E4597" s="84"/>
      <c r="F4597" s="84"/>
      <c r="G4597" s="146"/>
      <c r="H4597" s="221"/>
    </row>
    <row r="4598" spans="1:8" s="212" customFormat="1">
      <c r="A4598" s="91"/>
      <c r="B4598" s="91"/>
      <c r="C4598" s="91"/>
      <c r="D4598" s="91"/>
      <c r="E4598" s="91"/>
      <c r="G4598" s="213"/>
      <c r="H4598" s="222"/>
    </row>
    <row r="4599" spans="1:8" s="212" customFormat="1">
      <c r="A4599" s="120"/>
      <c r="B4599" s="73"/>
      <c r="C4599" s="73"/>
      <c r="D4599" s="73"/>
      <c r="E4599" s="73"/>
      <c r="G4599" s="73"/>
      <c r="H4599" s="222"/>
    </row>
    <row r="4600" spans="1:8" s="212" customFormat="1">
      <c r="A4600" s="220"/>
      <c r="B4600" s="141"/>
      <c r="C4600" s="141"/>
      <c r="D4600" s="141"/>
      <c r="E4600" s="141"/>
      <c r="F4600" s="141"/>
      <c r="G4600" s="141"/>
      <c r="H4600" s="222"/>
    </row>
    <row r="4601" spans="1:8" s="212" customFormat="1">
      <c r="A4601" s="142"/>
      <c r="B4601" s="143"/>
      <c r="C4601" s="143"/>
      <c r="D4601" s="143"/>
      <c r="E4601" s="143"/>
      <c r="F4601" s="84"/>
      <c r="G4601" s="146"/>
      <c r="H4601" s="221"/>
    </row>
    <row r="4602" spans="1:8" s="212" customFormat="1">
      <c r="A4602" s="91"/>
      <c r="B4602" s="91"/>
      <c r="C4602" s="91"/>
      <c r="D4602" s="91"/>
      <c r="E4602" s="91"/>
      <c r="G4602" s="213"/>
      <c r="H4602" s="222"/>
    </row>
    <row r="4603" spans="1:8" s="212" customFormat="1">
      <c r="A4603" s="120"/>
      <c r="B4603" s="73"/>
      <c r="C4603" s="73"/>
      <c r="D4603" s="73"/>
      <c r="E4603" s="73"/>
      <c r="G4603" s="73"/>
      <c r="H4603" s="222"/>
    </row>
    <row r="4604" spans="1:8" s="212" customFormat="1">
      <c r="A4604" s="220"/>
      <c r="B4604" s="141"/>
      <c r="C4604" s="141"/>
      <c r="D4604" s="141"/>
      <c r="E4604" s="141"/>
      <c r="F4604" s="141"/>
      <c r="G4604" s="141"/>
      <c r="H4604" s="222"/>
    </row>
    <row r="4605" spans="1:8" s="212" customFormat="1">
      <c r="A4605" s="142"/>
      <c r="B4605" s="143"/>
      <c r="C4605" s="143"/>
      <c r="D4605" s="143"/>
      <c r="E4605" s="143"/>
      <c r="F4605" s="84"/>
      <c r="G4605" s="146"/>
      <c r="H4605" s="221"/>
    </row>
    <row r="4606" spans="1:8" s="212" customFormat="1">
      <c r="A4606" s="123"/>
      <c r="B4606" s="95"/>
      <c r="C4606" s="95"/>
      <c r="D4606" s="95"/>
      <c r="E4606" s="95"/>
      <c r="G4606" s="213"/>
      <c r="H4606" s="73"/>
    </row>
    <row r="4607" spans="1:8" s="212" customFormat="1">
      <c r="A4607" s="123"/>
      <c r="B4607" s="95"/>
      <c r="C4607" s="95"/>
      <c r="D4607" s="95"/>
      <c r="E4607" s="95"/>
      <c r="G4607" s="73"/>
      <c r="H4607" s="225"/>
    </row>
    <row r="4608" spans="1:8" s="212" customFormat="1">
      <c r="B4608" s="97"/>
      <c r="C4608" s="98"/>
      <c r="D4608" s="98"/>
      <c r="E4608" s="98"/>
      <c r="G4608" s="220"/>
    </row>
    <row r="4609" spans="1:9" s="212" customFormat="1">
      <c r="B4609" s="97"/>
      <c r="C4609" s="98"/>
      <c r="D4609" s="98"/>
      <c r="E4609" s="98"/>
      <c r="F4609" s="220"/>
      <c r="G4609" s="225"/>
      <c r="H4609" s="226"/>
    </row>
    <row r="4610" spans="1:9" s="212" customFormat="1">
      <c r="A4610" s="633"/>
      <c r="B4610" s="633"/>
      <c r="C4610" s="633"/>
      <c r="D4610" s="633"/>
      <c r="E4610" s="633"/>
      <c r="F4610" s="633"/>
      <c r="G4610" s="633"/>
    </row>
    <row r="4611" spans="1:9" s="212" customFormat="1">
      <c r="H4611" s="227"/>
      <c r="I4611" s="228"/>
    </row>
    <row r="4612" spans="1:9" s="212" customFormat="1">
      <c r="A4612" s="658"/>
      <c r="B4612" s="227"/>
      <c r="C4612" s="227"/>
      <c r="D4612" s="227"/>
      <c r="E4612" s="227"/>
      <c r="F4612" s="227"/>
      <c r="G4612" s="227"/>
      <c r="H4612" s="227"/>
      <c r="I4612" s="229"/>
    </row>
    <row r="4613" spans="1:9" s="212" customFormat="1">
      <c r="A4613" s="658"/>
      <c r="B4613" s="227"/>
      <c r="C4613" s="227"/>
      <c r="D4613" s="227"/>
      <c r="E4613" s="227"/>
      <c r="F4613" s="227"/>
      <c r="G4613" s="227"/>
    </row>
    <row r="4614" spans="1:9" s="212" customFormat="1">
      <c r="A4614" s="69"/>
      <c r="B4614" s="69"/>
      <c r="C4614" s="69"/>
      <c r="D4614" s="69"/>
      <c r="E4614" s="69"/>
    </row>
    <row r="4615" spans="1:9" s="212" customFormat="1">
      <c r="A4615" s="120"/>
      <c r="B4615" s="73"/>
      <c r="C4615" s="73"/>
      <c r="D4615" s="73"/>
      <c r="E4615" s="73"/>
      <c r="F4615" s="73"/>
      <c r="G4615" s="73"/>
      <c r="H4615" s="73"/>
    </row>
    <row r="4616" spans="1:9" s="212" customFormat="1">
      <c r="A4616" s="220"/>
      <c r="B4616" s="141"/>
      <c r="C4616" s="141"/>
      <c r="D4616" s="141"/>
      <c r="E4616" s="141"/>
      <c r="F4616" s="141"/>
      <c r="G4616" s="141"/>
      <c r="H4616" s="73"/>
    </row>
    <row r="4617" spans="1:9" s="212" customFormat="1">
      <c r="A4617" s="142"/>
      <c r="B4617" s="143"/>
      <c r="C4617" s="143"/>
      <c r="D4617" s="143"/>
      <c r="E4617" s="143"/>
      <c r="F4617" s="84"/>
      <c r="G4617" s="146"/>
      <c r="H4617" s="221"/>
    </row>
    <row r="4618" spans="1:9" s="212" customFormat="1">
      <c r="A4618" s="84"/>
      <c r="B4618" s="83"/>
      <c r="C4618" s="84"/>
      <c r="D4618" s="84"/>
      <c r="E4618" s="84"/>
      <c r="G4618" s="213"/>
      <c r="H4618" s="222"/>
    </row>
    <row r="4619" spans="1:9" s="212" customFormat="1">
      <c r="A4619" s="120"/>
      <c r="B4619" s="73"/>
      <c r="C4619" s="73"/>
      <c r="D4619" s="73"/>
      <c r="E4619" s="73"/>
      <c r="G4619" s="73"/>
      <c r="H4619" s="222"/>
    </row>
    <row r="4620" spans="1:9" s="212" customFormat="1">
      <c r="A4620" s="220"/>
      <c r="B4620" s="141"/>
      <c r="C4620" s="141"/>
      <c r="D4620" s="141"/>
      <c r="E4620" s="141"/>
      <c r="F4620" s="141"/>
      <c r="G4620" s="141"/>
      <c r="H4620" s="222"/>
    </row>
    <row r="4621" spans="1:9" s="212" customFormat="1">
      <c r="A4621" s="150"/>
      <c r="B4621" s="83"/>
      <c r="C4621" s="148"/>
      <c r="D4621" s="160"/>
      <c r="E4621" s="84"/>
      <c r="F4621" s="84"/>
      <c r="G4621" s="146"/>
      <c r="H4621" s="221"/>
    </row>
    <row r="4622" spans="1:9" s="212" customFormat="1">
      <c r="A4622" s="91"/>
      <c r="B4622" s="91"/>
      <c r="C4622" s="91"/>
      <c r="D4622" s="91"/>
      <c r="E4622" s="91"/>
      <c r="G4622" s="213"/>
      <c r="H4622" s="222"/>
    </row>
    <row r="4623" spans="1:9" s="212" customFormat="1">
      <c r="A4623" s="120"/>
      <c r="B4623" s="73"/>
      <c r="C4623" s="73"/>
      <c r="D4623" s="73"/>
      <c r="E4623" s="73"/>
      <c r="G4623" s="73"/>
      <c r="H4623" s="222"/>
    </row>
    <row r="4624" spans="1:9" s="212" customFormat="1">
      <c r="A4624" s="220"/>
      <c r="B4624" s="141"/>
      <c r="C4624" s="141"/>
      <c r="D4624" s="141"/>
      <c r="E4624" s="141"/>
      <c r="F4624" s="141"/>
      <c r="G4624" s="141"/>
      <c r="H4624" s="222"/>
    </row>
    <row r="4625" spans="1:9" s="212" customFormat="1">
      <c r="A4625" s="142"/>
      <c r="B4625" s="143"/>
      <c r="C4625" s="143"/>
      <c r="D4625" s="143"/>
      <c r="E4625" s="143"/>
      <c r="F4625" s="84"/>
      <c r="G4625" s="146"/>
      <c r="H4625" s="221"/>
    </row>
    <row r="4626" spans="1:9" s="212" customFormat="1">
      <c r="A4626" s="91"/>
      <c r="B4626" s="91"/>
      <c r="C4626" s="91"/>
      <c r="D4626" s="91"/>
      <c r="E4626" s="91"/>
      <c r="G4626" s="213"/>
      <c r="H4626" s="222"/>
    </row>
    <row r="4627" spans="1:9" s="212" customFormat="1">
      <c r="A4627" s="120"/>
      <c r="B4627" s="73"/>
      <c r="C4627" s="73"/>
      <c r="D4627" s="73"/>
      <c r="E4627" s="73"/>
      <c r="G4627" s="73"/>
      <c r="H4627" s="222"/>
    </row>
    <row r="4628" spans="1:9" s="212" customFormat="1">
      <c r="A4628" s="220"/>
      <c r="B4628" s="141"/>
      <c r="C4628" s="141"/>
      <c r="D4628" s="141"/>
      <c r="E4628" s="141"/>
      <c r="F4628" s="141"/>
      <c r="G4628" s="141"/>
      <c r="H4628" s="222"/>
    </row>
    <row r="4629" spans="1:9" s="212" customFormat="1">
      <c r="A4629" s="142"/>
      <c r="B4629" s="143"/>
      <c r="C4629" s="143"/>
      <c r="D4629" s="143"/>
      <c r="E4629" s="143"/>
      <c r="F4629" s="84"/>
      <c r="G4629" s="146"/>
      <c r="H4629" s="221"/>
    </row>
    <row r="4630" spans="1:9" s="212" customFormat="1">
      <c r="A4630" s="123"/>
      <c r="B4630" s="95"/>
      <c r="C4630" s="95"/>
      <c r="D4630" s="95"/>
      <c r="E4630" s="95"/>
      <c r="G4630" s="213"/>
      <c r="H4630" s="73"/>
    </row>
    <row r="4631" spans="1:9" s="212" customFormat="1">
      <c r="A4631" s="123"/>
      <c r="B4631" s="95"/>
      <c r="C4631" s="95"/>
      <c r="D4631" s="95"/>
      <c r="E4631" s="95"/>
      <c r="G4631" s="73"/>
      <c r="H4631" s="225"/>
    </row>
    <row r="4632" spans="1:9" s="212" customFormat="1">
      <c r="B4632" s="97"/>
      <c r="C4632" s="98"/>
      <c r="D4632" s="98"/>
      <c r="E4632" s="98"/>
      <c r="G4632" s="220"/>
    </row>
    <row r="4633" spans="1:9" s="212" customFormat="1">
      <c r="B4633" s="97"/>
      <c r="C4633" s="98"/>
      <c r="D4633" s="98"/>
      <c r="E4633" s="98"/>
      <c r="F4633" s="220"/>
      <c r="G4633" s="225"/>
      <c r="H4633" s="226"/>
    </row>
    <row r="4634" spans="1:9" s="212" customFormat="1">
      <c r="A4634" s="633"/>
      <c r="B4634" s="633"/>
      <c r="C4634" s="633"/>
      <c r="D4634" s="633"/>
      <c r="E4634" s="633"/>
      <c r="F4634" s="633"/>
      <c r="G4634" s="633"/>
    </row>
    <row r="4635" spans="1:9" s="212" customFormat="1">
      <c r="H4635" s="227"/>
      <c r="I4635" s="228"/>
    </row>
    <row r="4636" spans="1:9" s="212" customFormat="1">
      <c r="A4636" s="658"/>
      <c r="B4636" s="227"/>
      <c r="C4636" s="227"/>
      <c r="D4636" s="227"/>
      <c r="E4636" s="227"/>
      <c r="F4636" s="227"/>
      <c r="G4636" s="227"/>
      <c r="H4636" s="227"/>
      <c r="I4636" s="229"/>
    </row>
    <row r="4637" spans="1:9" s="212" customFormat="1">
      <c r="A4637" s="658"/>
      <c r="B4637" s="227"/>
      <c r="C4637" s="227"/>
      <c r="D4637" s="227"/>
      <c r="E4637" s="227"/>
      <c r="F4637" s="227"/>
      <c r="G4637" s="227"/>
    </row>
    <row r="4638" spans="1:9" s="212" customFormat="1">
      <c r="A4638" s="69"/>
      <c r="B4638" s="69"/>
      <c r="C4638" s="69"/>
      <c r="D4638" s="69"/>
      <c r="E4638" s="69"/>
    </row>
    <row r="4639" spans="1:9" s="212" customFormat="1">
      <c r="A4639" s="120"/>
      <c r="B4639" s="73"/>
      <c r="C4639" s="73"/>
      <c r="D4639" s="73"/>
      <c r="E4639" s="73"/>
      <c r="F4639" s="73"/>
      <c r="G4639" s="73"/>
      <c r="H4639" s="73"/>
    </row>
    <row r="4640" spans="1:9" s="212" customFormat="1">
      <c r="A4640" s="220"/>
      <c r="B4640" s="141"/>
      <c r="C4640" s="141"/>
      <c r="D4640" s="141"/>
      <c r="E4640" s="141"/>
      <c r="F4640" s="141"/>
      <c r="G4640" s="141"/>
      <c r="H4640" s="73"/>
    </row>
    <row r="4641" spans="1:8" s="212" customFormat="1">
      <c r="A4641" s="142"/>
      <c r="B4641" s="143"/>
      <c r="C4641" s="143"/>
      <c r="D4641" s="143"/>
      <c r="E4641" s="143"/>
      <c r="F4641" s="84"/>
      <c r="G4641" s="146"/>
      <c r="H4641" s="221"/>
    </row>
    <row r="4642" spans="1:8" s="212" customFormat="1">
      <c r="A4642" s="84"/>
      <c r="B4642" s="83"/>
      <c r="C4642" s="84"/>
      <c r="D4642" s="84"/>
      <c r="E4642" s="84"/>
      <c r="G4642" s="213"/>
      <c r="H4642" s="222"/>
    </row>
    <row r="4643" spans="1:8" s="212" customFormat="1">
      <c r="A4643" s="120"/>
      <c r="B4643" s="73"/>
      <c r="C4643" s="73"/>
      <c r="D4643" s="73"/>
      <c r="E4643" s="73"/>
      <c r="G4643" s="73"/>
      <c r="H4643" s="222"/>
    </row>
    <row r="4644" spans="1:8" s="212" customFormat="1">
      <c r="A4644" s="220"/>
      <c r="B4644" s="141"/>
      <c r="C4644" s="141"/>
      <c r="D4644" s="141"/>
      <c r="E4644" s="141"/>
      <c r="F4644" s="141"/>
      <c r="G4644" s="141"/>
      <c r="H4644" s="222"/>
    </row>
    <row r="4645" spans="1:8" s="212" customFormat="1">
      <c r="A4645" s="150"/>
      <c r="B4645" s="83"/>
      <c r="C4645" s="148"/>
      <c r="D4645" s="160"/>
      <c r="E4645" s="84"/>
      <c r="F4645" s="84"/>
      <c r="G4645" s="146"/>
      <c r="H4645" s="221"/>
    </row>
    <row r="4646" spans="1:8" s="212" customFormat="1">
      <c r="A4646" s="91"/>
      <c r="B4646" s="91"/>
      <c r="C4646" s="91"/>
      <c r="D4646" s="91"/>
      <c r="E4646" s="91"/>
      <c r="G4646" s="213"/>
      <c r="H4646" s="222"/>
    </row>
    <row r="4647" spans="1:8" s="212" customFormat="1">
      <c r="A4647" s="120"/>
      <c r="B4647" s="73"/>
      <c r="C4647" s="73"/>
      <c r="D4647" s="73"/>
      <c r="E4647" s="73"/>
      <c r="G4647" s="73"/>
      <c r="H4647" s="222"/>
    </row>
    <row r="4648" spans="1:8" s="212" customFormat="1">
      <c r="A4648" s="220"/>
      <c r="B4648" s="141"/>
      <c r="C4648" s="141"/>
      <c r="D4648" s="141"/>
      <c r="E4648" s="141"/>
      <c r="F4648" s="141"/>
      <c r="G4648" s="141"/>
      <c r="H4648" s="222"/>
    </row>
    <row r="4649" spans="1:8" s="212" customFormat="1">
      <c r="A4649" s="142"/>
      <c r="B4649" s="143"/>
      <c r="C4649" s="143"/>
      <c r="D4649" s="143"/>
      <c r="E4649" s="143"/>
      <c r="F4649" s="84"/>
      <c r="G4649" s="146"/>
      <c r="H4649" s="221"/>
    </row>
    <row r="4650" spans="1:8" s="212" customFormat="1">
      <c r="A4650" s="91"/>
      <c r="B4650" s="91"/>
      <c r="C4650" s="91"/>
      <c r="D4650" s="91"/>
      <c r="E4650" s="91"/>
      <c r="G4650" s="213"/>
      <c r="H4650" s="222"/>
    </row>
    <row r="4651" spans="1:8" s="212" customFormat="1">
      <c r="A4651" s="120"/>
      <c r="B4651" s="73"/>
      <c r="C4651" s="73"/>
      <c r="D4651" s="73"/>
      <c r="E4651" s="73"/>
      <c r="G4651" s="73"/>
      <c r="H4651" s="222"/>
    </row>
    <row r="4652" spans="1:8" s="212" customFormat="1">
      <c r="A4652" s="220"/>
      <c r="B4652" s="141"/>
      <c r="C4652" s="141"/>
      <c r="D4652" s="141"/>
      <c r="E4652" s="141"/>
      <c r="F4652" s="141"/>
      <c r="G4652" s="141"/>
      <c r="H4652" s="222"/>
    </row>
    <row r="4653" spans="1:8" s="212" customFormat="1">
      <c r="A4653" s="142"/>
      <c r="B4653" s="143"/>
      <c r="C4653" s="143"/>
      <c r="D4653" s="143"/>
      <c r="E4653" s="143"/>
      <c r="F4653" s="84"/>
      <c r="G4653" s="146"/>
      <c r="H4653" s="221"/>
    </row>
    <row r="4654" spans="1:8" s="212" customFormat="1">
      <c r="A4654" s="123"/>
      <c r="B4654" s="95"/>
      <c r="C4654" s="95"/>
      <c r="D4654" s="95"/>
      <c r="E4654" s="95"/>
      <c r="G4654" s="213"/>
      <c r="H4654" s="73"/>
    </row>
    <row r="4655" spans="1:8" s="212" customFormat="1">
      <c r="A4655" s="123"/>
      <c r="B4655" s="95"/>
      <c r="C4655" s="95"/>
      <c r="D4655" s="95"/>
      <c r="E4655" s="95"/>
      <c r="G4655" s="73"/>
      <c r="H4655" s="225"/>
    </row>
    <row r="4656" spans="1:8" s="212" customFormat="1">
      <c r="B4656" s="97"/>
      <c r="C4656" s="98"/>
      <c r="D4656" s="98"/>
      <c r="E4656" s="98"/>
      <c r="G4656" s="220"/>
    </row>
    <row r="4657" spans="1:9" s="212" customFormat="1">
      <c r="B4657" s="97"/>
      <c r="C4657" s="98"/>
      <c r="D4657" s="98"/>
      <c r="E4657" s="98"/>
      <c r="F4657" s="220"/>
      <c r="G4657" s="225"/>
      <c r="H4657" s="226"/>
    </row>
    <row r="4658" spans="1:9" s="212" customFormat="1">
      <c r="A4658" s="633"/>
      <c r="B4658" s="633"/>
      <c r="C4658" s="633"/>
      <c r="D4658" s="633"/>
      <c r="E4658" s="633"/>
      <c r="F4658" s="633"/>
      <c r="G4658" s="633"/>
    </row>
    <row r="4659" spans="1:9" s="212" customFormat="1">
      <c r="H4659" s="227"/>
      <c r="I4659" s="228"/>
    </row>
    <row r="4660" spans="1:9" s="212" customFormat="1">
      <c r="A4660" s="658"/>
      <c r="B4660" s="227"/>
      <c r="C4660" s="227"/>
      <c r="D4660" s="227"/>
      <c r="E4660" s="227"/>
      <c r="F4660" s="227"/>
      <c r="G4660" s="227"/>
      <c r="H4660" s="227"/>
      <c r="I4660" s="229"/>
    </row>
    <row r="4661" spans="1:9" s="212" customFormat="1">
      <c r="A4661" s="658"/>
      <c r="B4661" s="227"/>
      <c r="C4661" s="227"/>
      <c r="D4661" s="227"/>
      <c r="E4661" s="227"/>
      <c r="F4661" s="227"/>
      <c r="G4661" s="227"/>
    </row>
    <row r="4662" spans="1:9" s="212" customFormat="1">
      <c r="A4662" s="69"/>
      <c r="B4662" s="69"/>
      <c r="C4662" s="69"/>
      <c r="D4662" s="69"/>
      <c r="E4662" s="69"/>
    </row>
    <row r="4663" spans="1:9" s="212" customFormat="1">
      <c r="A4663" s="120"/>
      <c r="B4663" s="73"/>
      <c r="C4663" s="73"/>
      <c r="D4663" s="73"/>
      <c r="E4663" s="73"/>
      <c r="F4663" s="73"/>
      <c r="G4663" s="73"/>
      <c r="H4663" s="73"/>
    </row>
    <row r="4664" spans="1:9" s="212" customFormat="1">
      <c r="A4664" s="220"/>
      <c r="B4664" s="141"/>
      <c r="C4664" s="141"/>
      <c r="D4664" s="141"/>
      <c r="E4664" s="141"/>
      <c r="F4664" s="141"/>
      <c r="G4664" s="141"/>
      <c r="H4664" s="73"/>
    </row>
    <row r="4665" spans="1:9" s="212" customFormat="1">
      <c r="A4665" s="142"/>
      <c r="B4665" s="143"/>
      <c r="C4665" s="143"/>
      <c r="D4665" s="143"/>
      <c r="E4665" s="143"/>
      <c r="F4665" s="84"/>
      <c r="G4665" s="146"/>
      <c r="H4665" s="221"/>
    </row>
    <row r="4666" spans="1:9" s="212" customFormat="1">
      <c r="A4666" s="84"/>
      <c r="B4666" s="83"/>
      <c r="C4666" s="84"/>
      <c r="D4666" s="84"/>
      <c r="E4666" s="84"/>
      <c r="G4666" s="213"/>
      <c r="H4666" s="222"/>
    </row>
    <row r="4667" spans="1:9" s="212" customFormat="1">
      <c r="A4667" s="120"/>
      <c r="B4667" s="73"/>
      <c r="C4667" s="73"/>
      <c r="D4667" s="73"/>
      <c r="E4667" s="73"/>
      <c r="G4667" s="73"/>
      <c r="H4667" s="222"/>
    </row>
    <row r="4668" spans="1:9" s="212" customFormat="1">
      <c r="A4668" s="220"/>
      <c r="B4668" s="141"/>
      <c r="C4668" s="141"/>
      <c r="D4668" s="141"/>
      <c r="E4668" s="141"/>
      <c r="F4668" s="141"/>
      <c r="G4668" s="141"/>
      <c r="H4668" s="222"/>
    </row>
    <row r="4669" spans="1:9" s="212" customFormat="1">
      <c r="A4669" s="150"/>
      <c r="B4669" s="83"/>
      <c r="C4669" s="148"/>
      <c r="D4669" s="160"/>
      <c r="E4669" s="84"/>
      <c r="F4669" s="84"/>
      <c r="G4669" s="146"/>
      <c r="H4669" s="221"/>
    </row>
    <row r="4670" spans="1:9" s="212" customFormat="1">
      <c r="A4670" s="91"/>
      <c r="B4670" s="91"/>
      <c r="C4670" s="91"/>
      <c r="D4670" s="91"/>
      <c r="E4670" s="91"/>
      <c r="G4670" s="213"/>
      <c r="H4670" s="222"/>
    </row>
    <row r="4671" spans="1:9" s="212" customFormat="1">
      <c r="A4671" s="120"/>
      <c r="B4671" s="73"/>
      <c r="C4671" s="73"/>
      <c r="D4671" s="73"/>
      <c r="E4671" s="73"/>
      <c r="G4671" s="73"/>
      <c r="H4671" s="222"/>
    </row>
    <row r="4672" spans="1:9" s="212" customFormat="1">
      <c r="A4672" s="220"/>
      <c r="B4672" s="141"/>
      <c r="C4672" s="141"/>
      <c r="D4672" s="141"/>
      <c r="E4672" s="141"/>
      <c r="F4672" s="141"/>
      <c r="G4672" s="141"/>
      <c r="H4672" s="222"/>
    </row>
    <row r="4673" spans="1:9" s="212" customFormat="1">
      <c r="A4673" s="142"/>
      <c r="B4673" s="143"/>
      <c r="C4673" s="143"/>
      <c r="D4673" s="143"/>
      <c r="E4673" s="143"/>
      <c r="F4673" s="84"/>
      <c r="G4673" s="146"/>
      <c r="H4673" s="221"/>
    </row>
    <row r="4674" spans="1:9" s="212" customFormat="1">
      <c r="A4674" s="91"/>
      <c r="B4674" s="91"/>
      <c r="C4674" s="91"/>
      <c r="D4674" s="91"/>
      <c r="E4674" s="91"/>
      <c r="G4674" s="213"/>
      <c r="H4674" s="222"/>
    </row>
    <row r="4675" spans="1:9" s="212" customFormat="1">
      <c r="A4675" s="120"/>
      <c r="B4675" s="73"/>
      <c r="C4675" s="73"/>
      <c r="D4675" s="73"/>
      <c r="E4675" s="73"/>
      <c r="G4675" s="73"/>
      <c r="H4675" s="222"/>
    </row>
    <row r="4676" spans="1:9" s="212" customFormat="1">
      <c r="A4676" s="220"/>
      <c r="B4676" s="141"/>
      <c r="C4676" s="141"/>
      <c r="D4676" s="141"/>
      <c r="E4676" s="141"/>
      <c r="F4676" s="141"/>
      <c r="G4676" s="141"/>
      <c r="H4676" s="222"/>
    </row>
    <row r="4677" spans="1:9" s="212" customFormat="1">
      <c r="A4677" s="142"/>
      <c r="B4677" s="143"/>
      <c r="C4677" s="143"/>
      <c r="D4677" s="143"/>
      <c r="E4677" s="143"/>
      <c r="F4677" s="84"/>
      <c r="G4677" s="146"/>
      <c r="H4677" s="221"/>
    </row>
    <row r="4678" spans="1:9" s="212" customFormat="1">
      <c r="A4678" s="123"/>
      <c r="B4678" s="95"/>
      <c r="C4678" s="95"/>
      <c r="D4678" s="95"/>
      <c r="E4678" s="95"/>
      <c r="G4678" s="213"/>
      <c r="H4678" s="73"/>
    </row>
    <row r="4679" spans="1:9" s="212" customFormat="1">
      <c r="A4679" s="123"/>
      <c r="B4679" s="95"/>
      <c r="C4679" s="95"/>
      <c r="D4679" s="95"/>
      <c r="E4679" s="95"/>
      <c r="G4679" s="73"/>
      <c r="H4679" s="225"/>
    </row>
    <row r="4680" spans="1:9" s="212" customFormat="1">
      <c r="B4680" s="97"/>
      <c r="C4680" s="98"/>
      <c r="D4680" s="98"/>
      <c r="E4680" s="98"/>
      <c r="G4680" s="220"/>
    </row>
    <row r="4681" spans="1:9" s="212" customFormat="1">
      <c r="B4681" s="97"/>
      <c r="C4681" s="98"/>
      <c r="D4681" s="98"/>
      <c r="E4681" s="98"/>
      <c r="F4681" s="220"/>
      <c r="G4681" s="225"/>
      <c r="H4681" s="226"/>
    </row>
    <row r="4682" spans="1:9" s="212" customFormat="1">
      <c r="A4682" s="633"/>
      <c r="B4682" s="633"/>
      <c r="C4682" s="633"/>
      <c r="D4682" s="633"/>
      <c r="E4682" s="633"/>
      <c r="F4682" s="633"/>
      <c r="G4682" s="633"/>
    </row>
    <row r="4683" spans="1:9" s="212" customFormat="1">
      <c r="H4683" s="227"/>
      <c r="I4683" s="228"/>
    </row>
    <row r="4684" spans="1:9" s="212" customFormat="1">
      <c r="A4684" s="658"/>
      <c r="B4684" s="227"/>
      <c r="C4684" s="227"/>
      <c r="D4684" s="227"/>
      <c r="E4684" s="227"/>
      <c r="F4684" s="227"/>
      <c r="G4684" s="227"/>
      <c r="H4684" s="227"/>
      <c r="I4684" s="229"/>
    </row>
    <row r="4685" spans="1:9" s="212" customFormat="1">
      <c r="A4685" s="658"/>
      <c r="B4685" s="227"/>
      <c r="C4685" s="227"/>
      <c r="D4685" s="227"/>
      <c r="E4685" s="227"/>
      <c r="F4685" s="227"/>
      <c r="G4685" s="227"/>
    </row>
    <row r="4686" spans="1:9" s="212" customFormat="1">
      <c r="A4686" s="69"/>
      <c r="B4686" s="69"/>
      <c r="C4686" s="69"/>
      <c r="D4686" s="69"/>
      <c r="E4686" s="69"/>
    </row>
    <row r="4687" spans="1:9" s="212" customFormat="1">
      <c r="A4687" s="120"/>
      <c r="B4687" s="73"/>
      <c r="C4687" s="73"/>
      <c r="D4687" s="73"/>
      <c r="E4687" s="73"/>
      <c r="F4687" s="73"/>
      <c r="G4687" s="73"/>
      <c r="H4687" s="73"/>
    </row>
    <row r="4688" spans="1:9" s="212" customFormat="1">
      <c r="A4688" s="220"/>
      <c r="B4688" s="141"/>
      <c r="C4688" s="141"/>
      <c r="D4688" s="141"/>
      <c r="E4688" s="141"/>
      <c r="F4688" s="141"/>
      <c r="G4688" s="141"/>
      <c r="H4688" s="73"/>
    </row>
    <row r="4689" spans="1:8" s="212" customFormat="1">
      <c r="A4689" s="142"/>
      <c r="B4689" s="143"/>
      <c r="C4689" s="143"/>
      <c r="D4689" s="143"/>
      <c r="E4689" s="143"/>
      <c r="F4689" s="84"/>
      <c r="G4689" s="146"/>
      <c r="H4689" s="221"/>
    </row>
    <row r="4690" spans="1:8" s="212" customFormat="1">
      <c r="A4690" s="84"/>
      <c r="B4690" s="83"/>
      <c r="C4690" s="84"/>
      <c r="D4690" s="84"/>
      <c r="E4690" s="84"/>
      <c r="G4690" s="213"/>
      <c r="H4690" s="222"/>
    </row>
    <row r="4691" spans="1:8" s="212" customFormat="1">
      <c r="A4691" s="120"/>
      <c r="B4691" s="73"/>
      <c r="C4691" s="73"/>
      <c r="D4691" s="73"/>
      <c r="E4691" s="73"/>
      <c r="G4691" s="73"/>
      <c r="H4691" s="222"/>
    </row>
    <row r="4692" spans="1:8" s="212" customFormat="1">
      <c r="A4692" s="220"/>
      <c r="B4692" s="141"/>
      <c r="C4692" s="141"/>
      <c r="D4692" s="141"/>
      <c r="E4692" s="141"/>
      <c r="F4692" s="141"/>
      <c r="G4692" s="141"/>
      <c r="H4692" s="222"/>
    </row>
    <row r="4693" spans="1:8" s="212" customFormat="1">
      <c r="A4693" s="150"/>
      <c r="B4693" s="83"/>
      <c r="C4693" s="148"/>
      <c r="D4693" s="160"/>
      <c r="E4693" s="84"/>
      <c r="F4693" s="84"/>
      <c r="G4693" s="146"/>
      <c r="H4693" s="221"/>
    </row>
    <row r="4694" spans="1:8" s="212" customFormat="1">
      <c r="A4694" s="91"/>
      <c r="B4694" s="91"/>
      <c r="C4694" s="91"/>
      <c r="D4694" s="91"/>
      <c r="E4694" s="91"/>
      <c r="G4694" s="213"/>
      <c r="H4694" s="222"/>
    </row>
    <row r="4695" spans="1:8" s="212" customFormat="1">
      <c r="A4695" s="120"/>
      <c r="B4695" s="73"/>
      <c r="C4695" s="73"/>
      <c r="D4695" s="73"/>
      <c r="E4695" s="73"/>
      <c r="G4695" s="73"/>
      <c r="H4695" s="222"/>
    </row>
    <row r="4696" spans="1:8" s="212" customFormat="1">
      <c r="A4696" s="220"/>
      <c r="B4696" s="141"/>
      <c r="C4696" s="141"/>
      <c r="D4696" s="141"/>
      <c r="E4696" s="141"/>
      <c r="F4696" s="141"/>
      <c r="G4696" s="141"/>
      <c r="H4696" s="222"/>
    </row>
    <row r="4697" spans="1:8" s="212" customFormat="1">
      <c r="A4697" s="142"/>
      <c r="B4697" s="143"/>
      <c r="C4697" s="143"/>
      <c r="D4697" s="143"/>
      <c r="E4697" s="143"/>
      <c r="F4697" s="84"/>
      <c r="G4697" s="146"/>
      <c r="H4697" s="221"/>
    </row>
    <row r="4698" spans="1:8" s="212" customFormat="1">
      <c r="A4698" s="91"/>
      <c r="B4698" s="91"/>
      <c r="C4698" s="91"/>
      <c r="D4698" s="91"/>
      <c r="E4698" s="91"/>
      <c r="G4698" s="213"/>
      <c r="H4698" s="222"/>
    </row>
    <row r="4699" spans="1:8" s="212" customFormat="1">
      <c r="A4699" s="120"/>
      <c r="B4699" s="73"/>
      <c r="C4699" s="73"/>
      <c r="D4699" s="73"/>
      <c r="E4699" s="73"/>
      <c r="G4699" s="73"/>
      <c r="H4699" s="222"/>
    </row>
    <row r="4700" spans="1:8" s="212" customFormat="1">
      <c r="A4700" s="220"/>
      <c r="B4700" s="141"/>
      <c r="C4700" s="141"/>
      <c r="D4700" s="141"/>
      <c r="E4700" s="141"/>
      <c r="F4700" s="141"/>
      <c r="G4700" s="141"/>
      <c r="H4700" s="222"/>
    </row>
    <row r="4701" spans="1:8" s="212" customFormat="1">
      <c r="A4701" s="142"/>
      <c r="B4701" s="143"/>
      <c r="C4701" s="143"/>
      <c r="D4701" s="143"/>
      <c r="E4701" s="143"/>
      <c r="F4701" s="84"/>
      <c r="G4701" s="146"/>
      <c r="H4701" s="221"/>
    </row>
    <row r="4702" spans="1:8" s="212" customFormat="1">
      <c r="A4702" s="123"/>
      <c r="B4702" s="95"/>
      <c r="C4702" s="95"/>
      <c r="D4702" s="95"/>
      <c r="E4702" s="95"/>
      <c r="G4702" s="213"/>
      <c r="H4702" s="73"/>
    </row>
    <row r="4703" spans="1:8" s="212" customFormat="1">
      <c r="A4703" s="123"/>
      <c r="B4703" s="95"/>
      <c r="C4703" s="95"/>
      <c r="D4703" s="95"/>
      <c r="E4703" s="95"/>
      <c r="G4703" s="73"/>
      <c r="H4703" s="225"/>
    </row>
    <row r="4704" spans="1:8" s="212" customFormat="1">
      <c r="B4704" s="97"/>
      <c r="C4704" s="98"/>
      <c r="D4704" s="98"/>
      <c r="E4704" s="98"/>
      <c r="G4704" s="220"/>
    </row>
    <row r="4705" spans="1:9" s="212" customFormat="1">
      <c r="B4705" s="97"/>
      <c r="C4705" s="98"/>
      <c r="D4705" s="98"/>
      <c r="E4705" s="98"/>
      <c r="F4705" s="220"/>
      <c r="G4705" s="225"/>
      <c r="H4705" s="226"/>
    </row>
    <row r="4706" spans="1:9" s="212" customFormat="1">
      <c r="A4706" s="633"/>
      <c r="B4706" s="633"/>
      <c r="C4706" s="633"/>
      <c r="D4706" s="633"/>
      <c r="E4706" s="633"/>
      <c r="F4706" s="633"/>
      <c r="G4706" s="633"/>
    </row>
    <row r="4707" spans="1:9" s="212" customFormat="1">
      <c r="H4707" s="227"/>
      <c r="I4707" s="228"/>
    </row>
    <row r="4708" spans="1:9" s="212" customFormat="1">
      <c r="A4708" s="658"/>
      <c r="B4708" s="227"/>
      <c r="C4708" s="227"/>
      <c r="D4708" s="227"/>
      <c r="E4708" s="227"/>
      <c r="F4708" s="227"/>
      <c r="G4708" s="227"/>
      <c r="H4708" s="227"/>
      <c r="I4708" s="229"/>
    </row>
    <row r="4709" spans="1:9" s="212" customFormat="1">
      <c r="A4709" s="658"/>
      <c r="B4709" s="227"/>
      <c r="C4709" s="227"/>
      <c r="D4709" s="227"/>
      <c r="E4709" s="227"/>
      <c r="F4709" s="227"/>
      <c r="G4709" s="227"/>
    </row>
    <row r="4710" spans="1:9" s="212" customFormat="1">
      <c r="A4710" s="69"/>
      <c r="B4710" s="69"/>
      <c r="C4710" s="69"/>
      <c r="D4710" s="69"/>
      <c r="E4710" s="69"/>
    </row>
    <row r="4711" spans="1:9" s="212" customFormat="1">
      <c r="A4711" s="120"/>
      <c r="B4711" s="73"/>
      <c r="C4711" s="73"/>
      <c r="D4711" s="73"/>
      <c r="E4711" s="73"/>
      <c r="F4711" s="73"/>
      <c r="G4711" s="73"/>
      <c r="H4711" s="73"/>
    </row>
    <row r="4712" spans="1:9" s="212" customFormat="1">
      <c r="A4712" s="220"/>
      <c r="B4712" s="141"/>
      <c r="C4712" s="141"/>
      <c r="D4712" s="141"/>
      <c r="E4712" s="141"/>
      <c r="F4712" s="141"/>
      <c r="G4712" s="141"/>
      <c r="H4712" s="73"/>
    </row>
    <row r="4713" spans="1:9" s="212" customFormat="1">
      <c r="A4713" s="142"/>
      <c r="B4713" s="143"/>
      <c r="C4713" s="143"/>
      <c r="D4713" s="143"/>
      <c r="E4713" s="143"/>
      <c r="F4713" s="84"/>
      <c r="G4713" s="146"/>
      <c r="H4713" s="221"/>
    </row>
    <row r="4714" spans="1:9" s="212" customFormat="1">
      <c r="A4714" s="84"/>
      <c r="B4714" s="83"/>
      <c r="C4714" s="84"/>
      <c r="D4714" s="84"/>
      <c r="E4714" s="84"/>
      <c r="G4714" s="213"/>
      <c r="H4714" s="222"/>
    </row>
    <row r="4715" spans="1:9" s="212" customFormat="1">
      <c r="A4715" s="120"/>
      <c r="B4715" s="73"/>
      <c r="C4715" s="73"/>
      <c r="D4715" s="73"/>
      <c r="E4715" s="73"/>
      <c r="G4715" s="73"/>
      <c r="H4715" s="222"/>
    </row>
    <row r="4716" spans="1:9" s="212" customFormat="1">
      <c r="A4716" s="220"/>
      <c r="B4716" s="141"/>
      <c r="C4716" s="141"/>
      <c r="D4716" s="141"/>
      <c r="E4716" s="141"/>
      <c r="F4716" s="141"/>
      <c r="G4716" s="141"/>
      <c r="H4716" s="222"/>
    </row>
    <row r="4717" spans="1:9" s="212" customFormat="1">
      <c r="A4717" s="150"/>
      <c r="B4717" s="83"/>
      <c r="C4717" s="148"/>
      <c r="D4717" s="160"/>
      <c r="E4717" s="84"/>
      <c r="F4717" s="84"/>
      <c r="G4717" s="146"/>
      <c r="H4717" s="221"/>
    </row>
    <row r="4718" spans="1:9" s="212" customFormat="1">
      <c r="A4718" s="91"/>
      <c r="B4718" s="91"/>
      <c r="C4718" s="91"/>
      <c r="D4718" s="91"/>
      <c r="E4718" s="91"/>
      <c r="G4718" s="213"/>
      <c r="H4718" s="222"/>
    </row>
    <row r="4719" spans="1:9" s="212" customFormat="1">
      <c r="A4719" s="120"/>
      <c r="B4719" s="73"/>
      <c r="C4719" s="73"/>
      <c r="D4719" s="73"/>
      <c r="E4719" s="73"/>
      <c r="G4719" s="73"/>
      <c r="H4719" s="222"/>
    </row>
    <row r="4720" spans="1:9" s="212" customFormat="1">
      <c r="A4720" s="220"/>
      <c r="B4720" s="141"/>
      <c r="C4720" s="141"/>
      <c r="D4720" s="141"/>
      <c r="E4720" s="141"/>
      <c r="F4720" s="141"/>
      <c r="G4720" s="141"/>
      <c r="H4720" s="222"/>
    </row>
    <row r="4721" spans="1:9" s="212" customFormat="1">
      <c r="A4721" s="142"/>
      <c r="B4721" s="143"/>
      <c r="C4721" s="143"/>
      <c r="D4721" s="143"/>
      <c r="E4721" s="143"/>
      <c r="F4721" s="84"/>
      <c r="G4721" s="146"/>
      <c r="H4721" s="221"/>
    </row>
    <row r="4722" spans="1:9" s="212" customFormat="1">
      <c r="A4722" s="91"/>
      <c r="B4722" s="91"/>
      <c r="C4722" s="91"/>
      <c r="D4722" s="91"/>
      <c r="E4722" s="91"/>
      <c r="G4722" s="213"/>
      <c r="H4722" s="222"/>
    </row>
    <row r="4723" spans="1:9" s="212" customFormat="1">
      <c r="A4723" s="120"/>
      <c r="B4723" s="73"/>
      <c r="C4723" s="73"/>
      <c r="D4723" s="73"/>
      <c r="E4723" s="73"/>
      <c r="G4723" s="73"/>
      <c r="H4723" s="222"/>
    </row>
    <row r="4724" spans="1:9" s="212" customFormat="1">
      <c r="A4724" s="220"/>
      <c r="B4724" s="141"/>
      <c r="C4724" s="141"/>
      <c r="D4724" s="141"/>
      <c r="E4724" s="141"/>
      <c r="F4724" s="141"/>
      <c r="G4724" s="141"/>
      <c r="H4724" s="222"/>
    </row>
    <row r="4725" spans="1:9" s="212" customFormat="1">
      <c r="A4725" s="142"/>
      <c r="B4725" s="143"/>
      <c r="C4725" s="143"/>
      <c r="D4725" s="143"/>
      <c r="E4725" s="143"/>
      <c r="F4725" s="84"/>
      <c r="G4725" s="146"/>
      <c r="H4725" s="221"/>
    </row>
    <row r="4726" spans="1:9" s="212" customFormat="1">
      <c r="A4726" s="123"/>
      <c r="B4726" s="95"/>
      <c r="C4726" s="95"/>
      <c r="D4726" s="95"/>
      <c r="E4726" s="95"/>
      <c r="G4726" s="213"/>
      <c r="H4726" s="73"/>
    </row>
    <row r="4727" spans="1:9" s="212" customFormat="1">
      <c r="A4727" s="123"/>
      <c r="B4727" s="95"/>
      <c r="C4727" s="95"/>
      <c r="D4727" s="95"/>
      <c r="E4727" s="95"/>
      <c r="G4727" s="73"/>
      <c r="H4727" s="225"/>
    </row>
    <row r="4728" spans="1:9" s="212" customFormat="1">
      <c r="B4728" s="97"/>
      <c r="C4728" s="98"/>
      <c r="D4728" s="98"/>
      <c r="E4728" s="98"/>
      <c r="G4728" s="220"/>
    </row>
    <row r="4729" spans="1:9" s="212" customFormat="1">
      <c r="B4729" s="97"/>
      <c r="C4729" s="98"/>
      <c r="D4729" s="98"/>
      <c r="E4729" s="98"/>
      <c r="F4729" s="220"/>
      <c r="G4729" s="225"/>
      <c r="H4729" s="226"/>
    </row>
    <row r="4730" spans="1:9" s="212" customFormat="1">
      <c r="A4730" s="633"/>
      <c r="B4730" s="633"/>
      <c r="C4730" s="633"/>
      <c r="D4730" s="633"/>
      <c r="E4730" s="633"/>
      <c r="F4730" s="633"/>
      <c r="G4730" s="633"/>
    </row>
    <row r="4731" spans="1:9" s="212" customFormat="1">
      <c r="H4731" s="227"/>
      <c r="I4731" s="228"/>
    </row>
    <row r="4732" spans="1:9" s="212" customFormat="1">
      <c r="A4732" s="658"/>
      <c r="B4732" s="227"/>
      <c r="C4732" s="227"/>
      <c r="D4732" s="227"/>
      <c r="E4732" s="227"/>
      <c r="F4732" s="227"/>
      <c r="G4732" s="227"/>
      <c r="H4732" s="227"/>
      <c r="I4732" s="229"/>
    </row>
    <row r="4733" spans="1:9" s="212" customFormat="1">
      <c r="A4733" s="658"/>
      <c r="B4733" s="227"/>
      <c r="C4733" s="227"/>
      <c r="D4733" s="227"/>
      <c r="E4733" s="227"/>
      <c r="F4733" s="227"/>
      <c r="G4733" s="227"/>
    </row>
    <row r="4734" spans="1:9" s="212" customFormat="1">
      <c r="A4734" s="69"/>
      <c r="B4734" s="69"/>
      <c r="C4734" s="69"/>
      <c r="D4734" s="69"/>
      <c r="E4734" s="69"/>
    </row>
    <row r="4735" spans="1:9" s="212" customFormat="1">
      <c r="A4735" s="120"/>
      <c r="B4735" s="73"/>
      <c r="C4735" s="73"/>
      <c r="D4735" s="73"/>
      <c r="E4735" s="73"/>
      <c r="F4735" s="73"/>
      <c r="G4735" s="73"/>
      <c r="H4735" s="73"/>
    </row>
    <row r="4736" spans="1:9" s="212" customFormat="1">
      <c r="A4736" s="220"/>
      <c r="B4736" s="141"/>
      <c r="C4736" s="141"/>
      <c r="D4736" s="141"/>
      <c r="E4736" s="141"/>
      <c r="F4736" s="141"/>
      <c r="G4736" s="141"/>
      <c r="H4736" s="73"/>
    </row>
    <row r="4737" spans="1:8" s="212" customFormat="1">
      <c r="A4737" s="142"/>
      <c r="B4737" s="143"/>
      <c r="C4737" s="143"/>
      <c r="D4737" s="143"/>
      <c r="E4737" s="143"/>
      <c r="F4737" s="84"/>
      <c r="G4737" s="146"/>
      <c r="H4737" s="221"/>
    </row>
    <row r="4738" spans="1:8" s="212" customFormat="1">
      <c r="A4738" s="84"/>
      <c r="B4738" s="83"/>
      <c r="C4738" s="84"/>
      <c r="D4738" s="84"/>
      <c r="E4738" s="84"/>
      <c r="G4738" s="213"/>
      <c r="H4738" s="222"/>
    </row>
    <row r="4739" spans="1:8" s="212" customFormat="1">
      <c r="A4739" s="120"/>
      <c r="B4739" s="73"/>
      <c r="C4739" s="73"/>
      <c r="D4739" s="73"/>
      <c r="E4739" s="73"/>
      <c r="G4739" s="73"/>
      <c r="H4739" s="222"/>
    </row>
    <row r="4740" spans="1:8" s="212" customFormat="1">
      <c r="A4740" s="220"/>
      <c r="B4740" s="141"/>
      <c r="C4740" s="141"/>
      <c r="D4740" s="141"/>
      <c r="E4740" s="141"/>
      <c r="F4740" s="141"/>
      <c r="G4740" s="141"/>
      <c r="H4740" s="222"/>
    </row>
    <row r="4741" spans="1:8" s="212" customFormat="1">
      <c r="A4741" s="150"/>
      <c r="B4741" s="83"/>
      <c r="C4741" s="148"/>
      <c r="D4741" s="160"/>
      <c r="E4741" s="84"/>
      <c r="F4741" s="84"/>
      <c r="G4741" s="146"/>
      <c r="H4741" s="221"/>
    </row>
    <row r="4742" spans="1:8" s="212" customFormat="1">
      <c r="A4742" s="91"/>
      <c r="B4742" s="91"/>
      <c r="C4742" s="91"/>
      <c r="D4742" s="91"/>
      <c r="E4742" s="91"/>
      <c r="G4742" s="213"/>
      <c r="H4742" s="222"/>
    </row>
    <row r="4743" spans="1:8" s="212" customFormat="1">
      <c r="A4743" s="120"/>
      <c r="B4743" s="73"/>
      <c r="C4743" s="73"/>
      <c r="D4743" s="73"/>
      <c r="E4743" s="73"/>
      <c r="G4743" s="73"/>
      <c r="H4743" s="222"/>
    </row>
    <row r="4744" spans="1:8" s="212" customFormat="1">
      <c r="A4744" s="220"/>
      <c r="B4744" s="141"/>
      <c r="C4744" s="141"/>
      <c r="D4744" s="141"/>
      <c r="E4744" s="141"/>
      <c r="F4744" s="141"/>
      <c r="G4744" s="141"/>
      <c r="H4744" s="222"/>
    </row>
    <row r="4745" spans="1:8" s="212" customFormat="1">
      <c r="A4745" s="142"/>
      <c r="B4745" s="143"/>
      <c r="C4745" s="143"/>
      <c r="D4745" s="143"/>
      <c r="E4745" s="143"/>
      <c r="F4745" s="84"/>
      <c r="G4745" s="146"/>
      <c r="H4745" s="221"/>
    </row>
    <row r="4746" spans="1:8" s="212" customFormat="1">
      <c r="A4746" s="91"/>
      <c r="B4746" s="91"/>
      <c r="C4746" s="91"/>
      <c r="D4746" s="91"/>
      <c r="E4746" s="91"/>
      <c r="G4746" s="213"/>
      <c r="H4746" s="222"/>
    </row>
    <row r="4747" spans="1:8" s="212" customFormat="1">
      <c r="A4747" s="120"/>
      <c r="B4747" s="73"/>
      <c r="C4747" s="73"/>
      <c r="D4747" s="73"/>
      <c r="E4747" s="73"/>
      <c r="G4747" s="73"/>
      <c r="H4747" s="222"/>
    </row>
    <row r="4748" spans="1:8" s="212" customFormat="1">
      <c r="A4748" s="220"/>
      <c r="B4748" s="141"/>
      <c r="C4748" s="141"/>
      <c r="D4748" s="141"/>
      <c r="E4748" s="141"/>
      <c r="F4748" s="141"/>
      <c r="G4748" s="141"/>
      <c r="H4748" s="222"/>
    </row>
    <row r="4749" spans="1:8" s="212" customFormat="1">
      <c r="A4749" s="142"/>
      <c r="B4749" s="143"/>
      <c r="C4749" s="143"/>
      <c r="D4749" s="143"/>
      <c r="E4749" s="143"/>
      <c r="F4749" s="84"/>
      <c r="G4749" s="146"/>
      <c r="H4749" s="221"/>
    </row>
    <row r="4750" spans="1:8" s="212" customFormat="1">
      <c r="A4750" s="123"/>
      <c r="B4750" s="95"/>
      <c r="C4750" s="95"/>
      <c r="D4750" s="95"/>
      <c r="E4750" s="95"/>
      <c r="G4750" s="213"/>
      <c r="H4750" s="73"/>
    </row>
    <row r="4751" spans="1:8" s="212" customFormat="1">
      <c r="A4751" s="123"/>
      <c r="B4751" s="95"/>
      <c r="C4751" s="95"/>
      <c r="D4751" s="95"/>
      <c r="E4751" s="95"/>
      <c r="G4751" s="73"/>
      <c r="H4751" s="225"/>
    </row>
    <row r="4752" spans="1:8" s="212" customFormat="1">
      <c r="B4752" s="97"/>
      <c r="C4752" s="98"/>
      <c r="D4752" s="98"/>
      <c r="E4752" s="98"/>
      <c r="G4752" s="220"/>
    </row>
    <row r="4753" spans="1:9" s="212" customFormat="1">
      <c r="B4753" s="97"/>
      <c r="C4753" s="98"/>
      <c r="D4753" s="98"/>
      <c r="E4753" s="98"/>
      <c r="F4753" s="220"/>
      <c r="G4753" s="225"/>
      <c r="H4753" s="226"/>
    </row>
    <row r="4754" spans="1:9" s="212" customFormat="1">
      <c r="A4754" s="633"/>
      <c r="B4754" s="633"/>
      <c r="C4754" s="633"/>
      <c r="D4754" s="633"/>
      <c r="E4754" s="633"/>
      <c r="F4754" s="633"/>
      <c r="G4754" s="633"/>
    </row>
    <row r="4755" spans="1:9" s="212" customFormat="1">
      <c r="H4755" s="227"/>
      <c r="I4755" s="228"/>
    </row>
    <row r="4756" spans="1:9" s="212" customFormat="1">
      <c r="A4756" s="658"/>
      <c r="B4756" s="227"/>
      <c r="C4756" s="227"/>
      <c r="D4756" s="227"/>
      <c r="E4756" s="227"/>
      <c r="F4756" s="227"/>
      <c r="G4756" s="227"/>
      <c r="H4756" s="227"/>
      <c r="I4756" s="229"/>
    </row>
    <row r="4757" spans="1:9" s="212" customFormat="1">
      <c r="A4757" s="658"/>
      <c r="B4757" s="227"/>
      <c r="C4757" s="227"/>
      <c r="D4757" s="227"/>
      <c r="E4757" s="227"/>
      <c r="F4757" s="227"/>
      <c r="G4757" s="227"/>
    </row>
    <row r="4758" spans="1:9" s="212" customFormat="1">
      <c r="A4758" s="69"/>
      <c r="B4758" s="69"/>
      <c r="C4758" s="69"/>
      <c r="D4758" s="69"/>
      <c r="E4758" s="69"/>
    </row>
    <row r="4759" spans="1:9" s="212" customFormat="1">
      <c r="A4759" s="120"/>
      <c r="B4759" s="73"/>
      <c r="C4759" s="73"/>
      <c r="D4759" s="73"/>
      <c r="E4759" s="73"/>
      <c r="F4759" s="73"/>
      <c r="G4759" s="73"/>
      <c r="H4759" s="73"/>
    </row>
    <row r="4760" spans="1:9" s="212" customFormat="1">
      <c r="A4760" s="220"/>
      <c r="B4760" s="141"/>
      <c r="C4760" s="141"/>
      <c r="D4760" s="141"/>
      <c r="E4760" s="141"/>
      <c r="F4760" s="141"/>
      <c r="G4760" s="141"/>
      <c r="H4760" s="73"/>
    </row>
    <row r="4761" spans="1:9" s="212" customFormat="1">
      <c r="A4761" s="142"/>
      <c r="B4761" s="143"/>
      <c r="C4761" s="143"/>
      <c r="D4761" s="143"/>
      <c r="E4761" s="143"/>
      <c r="F4761" s="84"/>
      <c r="G4761" s="146"/>
      <c r="H4761" s="221"/>
    </row>
    <row r="4762" spans="1:9" s="212" customFormat="1">
      <c r="A4762" s="84"/>
      <c r="B4762" s="83"/>
      <c r="C4762" s="84"/>
      <c r="D4762" s="84"/>
      <c r="E4762" s="84"/>
      <c r="G4762" s="213"/>
      <c r="H4762" s="222"/>
    </row>
    <row r="4763" spans="1:9" s="212" customFormat="1">
      <c r="A4763" s="120"/>
      <c r="B4763" s="73"/>
      <c r="C4763" s="73"/>
      <c r="D4763" s="73"/>
      <c r="E4763" s="73"/>
      <c r="G4763" s="73"/>
      <c r="H4763" s="222"/>
    </row>
    <row r="4764" spans="1:9" s="212" customFormat="1">
      <c r="A4764" s="220"/>
      <c r="B4764" s="141"/>
      <c r="C4764" s="141"/>
      <c r="D4764" s="141"/>
      <c r="E4764" s="141"/>
      <c r="F4764" s="141"/>
      <c r="G4764" s="141"/>
      <c r="H4764" s="222"/>
    </row>
    <row r="4765" spans="1:9" s="212" customFormat="1">
      <c r="A4765" s="150"/>
      <c r="B4765" s="83"/>
      <c r="C4765" s="148"/>
      <c r="D4765" s="160"/>
      <c r="E4765" s="84"/>
      <c r="F4765" s="84"/>
      <c r="G4765" s="146"/>
      <c r="H4765" s="221"/>
    </row>
    <row r="4766" spans="1:9" s="212" customFormat="1">
      <c r="A4766" s="91"/>
      <c r="B4766" s="91"/>
      <c r="C4766" s="91"/>
      <c r="D4766" s="91"/>
      <c r="E4766" s="91"/>
      <c r="G4766" s="213"/>
      <c r="H4766" s="222"/>
    </row>
    <row r="4767" spans="1:9" s="212" customFormat="1">
      <c r="A4767" s="120"/>
      <c r="B4767" s="73"/>
      <c r="C4767" s="73"/>
      <c r="D4767" s="73"/>
      <c r="E4767" s="73"/>
      <c r="G4767" s="73"/>
      <c r="H4767" s="222"/>
    </row>
    <row r="4768" spans="1:9" s="212" customFormat="1">
      <c r="A4768" s="220"/>
      <c r="B4768" s="141"/>
      <c r="C4768" s="141"/>
      <c r="D4768" s="141"/>
      <c r="E4768" s="141"/>
      <c r="F4768" s="141"/>
      <c r="G4768" s="141"/>
      <c r="H4768" s="222"/>
    </row>
    <row r="4769" spans="1:9" s="212" customFormat="1">
      <c r="A4769" s="142"/>
      <c r="B4769" s="143"/>
      <c r="C4769" s="143"/>
      <c r="D4769" s="143"/>
      <c r="E4769" s="143"/>
      <c r="F4769" s="84"/>
      <c r="G4769" s="146"/>
      <c r="H4769" s="221"/>
    </row>
    <row r="4770" spans="1:9" s="212" customFormat="1">
      <c r="A4770" s="91"/>
      <c r="B4770" s="91"/>
      <c r="C4770" s="91"/>
      <c r="D4770" s="91"/>
      <c r="E4770" s="91"/>
      <c r="G4770" s="213"/>
      <c r="H4770" s="222"/>
    </row>
    <row r="4771" spans="1:9" s="212" customFormat="1">
      <c r="A4771" s="120"/>
      <c r="B4771" s="73"/>
      <c r="C4771" s="73"/>
      <c r="D4771" s="73"/>
      <c r="E4771" s="73"/>
      <c r="G4771" s="73"/>
      <c r="H4771" s="222"/>
    </row>
    <row r="4772" spans="1:9" s="212" customFormat="1">
      <c r="A4772" s="220"/>
      <c r="B4772" s="141"/>
      <c r="C4772" s="141"/>
      <c r="D4772" s="141"/>
      <c r="E4772" s="141"/>
      <c r="F4772" s="141"/>
      <c r="G4772" s="141"/>
      <c r="H4772" s="222"/>
    </row>
    <row r="4773" spans="1:9" s="212" customFormat="1">
      <c r="A4773" s="142"/>
      <c r="B4773" s="143"/>
      <c r="C4773" s="143"/>
      <c r="D4773" s="143"/>
      <c r="E4773" s="143"/>
      <c r="F4773" s="84"/>
      <c r="G4773" s="146"/>
      <c r="H4773" s="221"/>
    </row>
    <row r="4774" spans="1:9" s="212" customFormat="1">
      <c r="A4774" s="123"/>
      <c r="B4774" s="95"/>
      <c r="C4774" s="95"/>
      <c r="D4774" s="95"/>
      <c r="E4774" s="95"/>
      <c r="G4774" s="213"/>
      <c r="H4774" s="73"/>
    </row>
    <row r="4775" spans="1:9" s="212" customFormat="1">
      <c r="A4775" s="123"/>
      <c r="B4775" s="95"/>
      <c r="C4775" s="95"/>
      <c r="D4775" s="95"/>
      <c r="E4775" s="95"/>
      <c r="G4775" s="73"/>
      <c r="H4775" s="225"/>
    </row>
    <row r="4776" spans="1:9" s="212" customFormat="1">
      <c r="B4776" s="97"/>
      <c r="C4776" s="98"/>
      <c r="D4776" s="98"/>
      <c r="E4776" s="98"/>
      <c r="G4776" s="220"/>
    </row>
    <row r="4777" spans="1:9" s="212" customFormat="1">
      <c r="B4777" s="97"/>
      <c r="C4777" s="98"/>
      <c r="D4777" s="98"/>
      <c r="E4777" s="98"/>
      <c r="F4777" s="220"/>
      <c r="G4777" s="225"/>
      <c r="H4777" s="226"/>
    </row>
    <row r="4778" spans="1:9" s="212" customFormat="1">
      <c r="A4778" s="633"/>
      <c r="B4778" s="633"/>
      <c r="C4778" s="633"/>
      <c r="D4778" s="633"/>
      <c r="E4778" s="633"/>
      <c r="F4778" s="633"/>
      <c r="G4778" s="633"/>
    </row>
    <row r="4779" spans="1:9" s="212" customFormat="1">
      <c r="H4779" s="227"/>
      <c r="I4779" s="228"/>
    </row>
    <row r="4780" spans="1:9" s="212" customFormat="1">
      <c r="A4780" s="658"/>
      <c r="B4780" s="227"/>
      <c r="C4780" s="227"/>
      <c r="D4780" s="227"/>
      <c r="E4780" s="227"/>
      <c r="F4780" s="227"/>
      <c r="G4780" s="227"/>
      <c r="H4780" s="227"/>
      <c r="I4780" s="229"/>
    </row>
    <row r="4781" spans="1:9" s="212" customFormat="1">
      <c r="A4781" s="658"/>
      <c r="B4781" s="227"/>
      <c r="C4781" s="227"/>
      <c r="D4781" s="227"/>
      <c r="E4781" s="227"/>
      <c r="F4781" s="227"/>
      <c r="G4781" s="227"/>
    </row>
    <row r="4782" spans="1:9" s="212" customFormat="1">
      <c r="A4782" s="69"/>
      <c r="B4782" s="69"/>
      <c r="C4782" s="69"/>
      <c r="D4782" s="69"/>
      <c r="E4782" s="69"/>
    </row>
    <row r="4783" spans="1:9" s="212" customFormat="1">
      <c r="A4783" s="120"/>
      <c r="B4783" s="73"/>
      <c r="C4783" s="73"/>
      <c r="D4783" s="73"/>
      <c r="E4783" s="73"/>
      <c r="F4783" s="73"/>
      <c r="G4783" s="73"/>
      <c r="H4783" s="73"/>
    </row>
    <row r="4784" spans="1:9" s="212" customFormat="1">
      <c r="A4784" s="220"/>
      <c r="B4784" s="141"/>
      <c r="C4784" s="141"/>
      <c r="D4784" s="141"/>
      <c r="E4784" s="141"/>
      <c r="F4784" s="141"/>
      <c r="G4784" s="141"/>
      <c r="H4784" s="73"/>
    </row>
    <row r="4785" spans="1:8" s="212" customFormat="1">
      <c r="A4785" s="142"/>
      <c r="B4785" s="143"/>
      <c r="C4785" s="143"/>
      <c r="D4785" s="143"/>
      <c r="E4785" s="143"/>
      <c r="F4785" s="84"/>
      <c r="G4785" s="146"/>
      <c r="H4785" s="221"/>
    </row>
    <row r="4786" spans="1:8" s="212" customFormat="1">
      <c r="A4786" s="84"/>
      <c r="B4786" s="83"/>
      <c r="C4786" s="84"/>
      <c r="D4786" s="84"/>
      <c r="E4786" s="84"/>
      <c r="G4786" s="213"/>
      <c r="H4786" s="222"/>
    </row>
    <row r="4787" spans="1:8" s="212" customFormat="1">
      <c r="A4787" s="120"/>
      <c r="B4787" s="73"/>
      <c r="C4787" s="73"/>
      <c r="D4787" s="73"/>
      <c r="E4787" s="73"/>
      <c r="G4787" s="73"/>
      <c r="H4787" s="222"/>
    </row>
    <row r="4788" spans="1:8" s="212" customFormat="1">
      <c r="A4788" s="220"/>
      <c r="B4788" s="141"/>
      <c r="C4788" s="141"/>
      <c r="D4788" s="141"/>
      <c r="E4788" s="141"/>
      <c r="F4788" s="141"/>
      <c r="G4788" s="141"/>
      <c r="H4788" s="222"/>
    </row>
    <row r="4789" spans="1:8" s="212" customFormat="1">
      <c r="A4789" s="150"/>
      <c r="B4789" s="83"/>
      <c r="C4789" s="148"/>
      <c r="D4789" s="160"/>
      <c r="E4789" s="84"/>
      <c r="F4789" s="84"/>
      <c r="G4789" s="146"/>
      <c r="H4789" s="221"/>
    </row>
    <row r="4790" spans="1:8" s="212" customFormat="1">
      <c r="A4790" s="91"/>
      <c r="B4790" s="91"/>
      <c r="C4790" s="91"/>
      <c r="D4790" s="91"/>
      <c r="E4790" s="91"/>
      <c r="G4790" s="213"/>
      <c r="H4790" s="222"/>
    </row>
    <row r="4791" spans="1:8" s="212" customFormat="1">
      <c r="A4791" s="120"/>
      <c r="B4791" s="73"/>
      <c r="C4791" s="73"/>
      <c r="D4791" s="73"/>
      <c r="E4791" s="73"/>
      <c r="G4791" s="73"/>
      <c r="H4791" s="222"/>
    </row>
    <row r="4792" spans="1:8" s="212" customFormat="1">
      <c r="A4792" s="220"/>
      <c r="B4792" s="141"/>
      <c r="C4792" s="141"/>
      <c r="D4792" s="141"/>
      <c r="E4792" s="141"/>
      <c r="F4792" s="141"/>
      <c r="G4792" s="141"/>
      <c r="H4792" s="222"/>
    </row>
    <row r="4793" spans="1:8" s="212" customFormat="1">
      <c r="A4793" s="142"/>
      <c r="B4793" s="143"/>
      <c r="C4793" s="143"/>
      <c r="D4793" s="143"/>
      <c r="E4793" s="143"/>
      <c r="F4793" s="84"/>
      <c r="G4793" s="146"/>
      <c r="H4793" s="221"/>
    </row>
    <row r="4794" spans="1:8" s="212" customFormat="1">
      <c r="A4794" s="91"/>
      <c r="B4794" s="91"/>
      <c r="C4794" s="91"/>
      <c r="D4794" s="91"/>
      <c r="E4794" s="91"/>
      <c r="G4794" s="213"/>
      <c r="H4794" s="222"/>
    </row>
    <row r="4795" spans="1:8" s="212" customFormat="1">
      <c r="A4795" s="120"/>
      <c r="B4795" s="73"/>
      <c r="C4795" s="73"/>
      <c r="D4795" s="73"/>
      <c r="E4795" s="73"/>
      <c r="G4795" s="73"/>
      <c r="H4795" s="222"/>
    </row>
    <row r="4796" spans="1:8" s="212" customFormat="1">
      <c r="A4796" s="220"/>
      <c r="B4796" s="141"/>
      <c r="C4796" s="141"/>
      <c r="D4796" s="141"/>
      <c r="E4796" s="141"/>
      <c r="F4796" s="141"/>
      <c r="G4796" s="141"/>
      <c r="H4796" s="222"/>
    </row>
    <row r="4797" spans="1:8" s="212" customFormat="1">
      <c r="A4797" s="142"/>
      <c r="B4797" s="143"/>
      <c r="C4797" s="143"/>
      <c r="D4797" s="143"/>
      <c r="E4797" s="143"/>
      <c r="F4797" s="84"/>
      <c r="G4797" s="146"/>
      <c r="H4797" s="221"/>
    </row>
    <row r="4798" spans="1:8" s="212" customFormat="1">
      <c r="A4798" s="123"/>
      <c r="B4798" s="95"/>
      <c r="C4798" s="95"/>
      <c r="D4798" s="95"/>
      <c r="E4798" s="95"/>
      <c r="G4798" s="213"/>
      <c r="H4798" s="73"/>
    </row>
    <row r="4799" spans="1:8" s="212" customFormat="1">
      <c r="A4799" s="123"/>
      <c r="B4799" s="95"/>
      <c r="C4799" s="95"/>
      <c r="D4799" s="95"/>
      <c r="E4799" s="95"/>
      <c r="G4799" s="73"/>
      <c r="H4799" s="225"/>
    </row>
    <row r="4800" spans="1:8" s="212" customFormat="1">
      <c r="B4800" s="97"/>
      <c r="C4800" s="98"/>
      <c r="D4800" s="98"/>
      <c r="E4800" s="98"/>
      <c r="G4800" s="220"/>
    </row>
    <row r="4801" spans="1:9" s="212" customFormat="1">
      <c r="B4801" s="97"/>
      <c r="C4801" s="98"/>
      <c r="D4801" s="98"/>
      <c r="E4801" s="98"/>
      <c r="F4801" s="220"/>
      <c r="G4801" s="225"/>
      <c r="H4801" s="226"/>
    </row>
    <row r="4802" spans="1:9" s="212" customFormat="1">
      <c r="A4802" s="633"/>
      <c r="B4802" s="633"/>
      <c r="C4802" s="633"/>
      <c r="D4802" s="633"/>
      <c r="E4802" s="633"/>
      <c r="F4802" s="633"/>
      <c r="G4802" s="633"/>
    </row>
    <row r="4803" spans="1:9" s="212" customFormat="1">
      <c r="H4803" s="227"/>
      <c r="I4803" s="228"/>
    </row>
    <row r="4804" spans="1:9" s="212" customFormat="1">
      <c r="A4804" s="658"/>
      <c r="B4804" s="227"/>
      <c r="C4804" s="227"/>
      <c r="D4804" s="227"/>
      <c r="E4804" s="227"/>
      <c r="F4804" s="227"/>
      <c r="G4804" s="227"/>
      <c r="H4804" s="227"/>
      <c r="I4804" s="229"/>
    </row>
    <row r="4805" spans="1:9" s="212" customFormat="1">
      <c r="A4805" s="658"/>
      <c r="B4805" s="227"/>
      <c r="C4805" s="227"/>
      <c r="D4805" s="227"/>
      <c r="E4805" s="227"/>
      <c r="F4805" s="227"/>
      <c r="G4805" s="227"/>
    </row>
    <row r="4806" spans="1:9" s="212" customFormat="1">
      <c r="A4806" s="69"/>
      <c r="B4806" s="69"/>
      <c r="C4806" s="69"/>
      <c r="D4806" s="69"/>
      <c r="E4806" s="69"/>
    </row>
    <row r="4807" spans="1:9" s="212" customFormat="1">
      <c r="A4807" s="120"/>
      <c r="B4807" s="73"/>
      <c r="C4807" s="73"/>
      <c r="D4807" s="73"/>
      <c r="E4807" s="73"/>
      <c r="F4807" s="73"/>
      <c r="G4807" s="73"/>
      <c r="H4807" s="73"/>
    </row>
    <row r="4808" spans="1:9" s="212" customFormat="1">
      <c r="A4808" s="220"/>
      <c r="B4808" s="141"/>
      <c r="C4808" s="141"/>
      <c r="D4808" s="141"/>
      <c r="E4808" s="141"/>
      <c r="F4808" s="141"/>
      <c r="G4808" s="141"/>
      <c r="H4808" s="73"/>
    </row>
    <row r="4809" spans="1:9" s="212" customFormat="1">
      <c r="A4809" s="142"/>
      <c r="B4809" s="143"/>
      <c r="C4809" s="143"/>
      <c r="D4809" s="143"/>
      <c r="E4809" s="143"/>
      <c r="F4809" s="84"/>
      <c r="G4809" s="146"/>
      <c r="H4809" s="221"/>
    </row>
    <row r="4810" spans="1:9" s="212" customFormat="1">
      <c r="A4810" s="84"/>
      <c r="B4810" s="83"/>
      <c r="C4810" s="84"/>
      <c r="D4810" s="84"/>
      <c r="E4810" s="84"/>
      <c r="G4810" s="213"/>
      <c r="H4810" s="222"/>
    </row>
    <row r="4811" spans="1:9" s="212" customFormat="1">
      <c r="A4811" s="120"/>
      <c r="B4811" s="73"/>
      <c r="C4811" s="73"/>
      <c r="D4811" s="73"/>
      <c r="E4811" s="73"/>
      <c r="G4811" s="73"/>
      <c r="H4811" s="222"/>
    </row>
    <row r="4812" spans="1:9" s="212" customFormat="1">
      <c r="A4812" s="220"/>
      <c r="B4812" s="141"/>
      <c r="C4812" s="141"/>
      <c r="D4812" s="141"/>
      <c r="E4812" s="141"/>
      <c r="F4812" s="141"/>
      <c r="G4812" s="141"/>
      <c r="H4812" s="222"/>
    </row>
    <row r="4813" spans="1:9" s="212" customFormat="1">
      <c r="A4813" s="150"/>
      <c r="B4813" s="83"/>
      <c r="C4813" s="148"/>
      <c r="D4813" s="160"/>
      <c r="E4813" s="84"/>
      <c r="F4813" s="84"/>
      <c r="G4813" s="146"/>
      <c r="H4813" s="221"/>
    </row>
    <row r="4814" spans="1:9" s="212" customFormat="1">
      <c r="A4814" s="91"/>
      <c r="B4814" s="91"/>
      <c r="C4814" s="91"/>
      <c r="D4814" s="91"/>
      <c r="E4814" s="91"/>
      <c r="G4814" s="213"/>
      <c r="H4814" s="222"/>
    </row>
    <row r="4815" spans="1:9" s="212" customFormat="1">
      <c r="A4815" s="120"/>
      <c r="B4815" s="73"/>
      <c r="C4815" s="73"/>
      <c r="D4815" s="73"/>
      <c r="E4815" s="73"/>
      <c r="G4815" s="73"/>
      <c r="H4815" s="222"/>
    </row>
    <row r="4816" spans="1:9" s="212" customFormat="1">
      <c r="A4816" s="220"/>
      <c r="B4816" s="141"/>
      <c r="C4816" s="141"/>
      <c r="D4816" s="141"/>
      <c r="E4816" s="141"/>
      <c r="F4816" s="141"/>
      <c r="G4816" s="141"/>
      <c r="H4816" s="222"/>
    </row>
    <row r="4817" spans="1:9" s="212" customFormat="1">
      <c r="A4817" s="142"/>
      <c r="B4817" s="143"/>
      <c r="C4817" s="143"/>
      <c r="D4817" s="143"/>
      <c r="E4817" s="143"/>
      <c r="F4817" s="84"/>
      <c r="G4817" s="146"/>
      <c r="H4817" s="221"/>
    </row>
    <row r="4818" spans="1:9" s="212" customFormat="1">
      <c r="A4818" s="91"/>
      <c r="B4818" s="91"/>
      <c r="C4818" s="91"/>
      <c r="D4818" s="91"/>
      <c r="E4818" s="91"/>
      <c r="G4818" s="213"/>
      <c r="H4818" s="222"/>
    </row>
    <row r="4819" spans="1:9" s="212" customFormat="1">
      <c r="A4819" s="120"/>
      <c r="B4819" s="73"/>
      <c r="C4819" s="73"/>
      <c r="D4819" s="73"/>
      <c r="E4819" s="73"/>
      <c r="G4819" s="73"/>
      <c r="H4819" s="222"/>
    </row>
    <row r="4820" spans="1:9" s="212" customFormat="1">
      <c r="A4820" s="220"/>
      <c r="B4820" s="141"/>
      <c r="C4820" s="141"/>
      <c r="D4820" s="141"/>
      <c r="E4820" s="141"/>
      <c r="F4820" s="141"/>
      <c r="G4820" s="141"/>
      <c r="H4820" s="222"/>
    </row>
    <row r="4821" spans="1:9" s="212" customFormat="1">
      <c r="A4821" s="142"/>
      <c r="B4821" s="143"/>
      <c r="C4821" s="143"/>
      <c r="D4821" s="143"/>
      <c r="E4821" s="143"/>
      <c r="F4821" s="84"/>
      <c r="G4821" s="146"/>
      <c r="H4821" s="221"/>
    </row>
    <row r="4822" spans="1:9" s="212" customFormat="1">
      <c r="A4822" s="123"/>
      <c r="B4822" s="95"/>
      <c r="C4822" s="95"/>
      <c r="D4822" s="95"/>
      <c r="E4822" s="95"/>
      <c r="G4822" s="213"/>
      <c r="H4822" s="73"/>
    </row>
    <row r="4823" spans="1:9" s="212" customFormat="1">
      <c r="A4823" s="123"/>
      <c r="B4823" s="95"/>
      <c r="C4823" s="95"/>
      <c r="D4823" s="95"/>
      <c r="E4823" s="95"/>
      <c r="G4823" s="73"/>
      <c r="H4823" s="225"/>
    </row>
    <row r="4824" spans="1:9" s="212" customFormat="1">
      <c r="B4824" s="97"/>
      <c r="C4824" s="98"/>
      <c r="D4824" s="98"/>
      <c r="E4824" s="98"/>
      <c r="G4824" s="220"/>
    </row>
    <row r="4825" spans="1:9" s="212" customFormat="1">
      <c r="B4825" s="97"/>
      <c r="C4825" s="98"/>
      <c r="D4825" s="98"/>
      <c r="E4825" s="98"/>
      <c r="F4825" s="220"/>
      <c r="G4825" s="225"/>
      <c r="H4825" s="226"/>
    </row>
    <row r="4826" spans="1:9" s="212" customFormat="1">
      <c r="A4826" s="633"/>
      <c r="B4826" s="633"/>
      <c r="C4826" s="633"/>
      <c r="D4826" s="633"/>
      <c r="E4826" s="633"/>
      <c r="F4826" s="633"/>
      <c r="G4826" s="633"/>
    </row>
    <row r="4827" spans="1:9" s="212" customFormat="1">
      <c r="H4827" s="227"/>
      <c r="I4827" s="228"/>
    </row>
    <row r="4828" spans="1:9" s="212" customFormat="1">
      <c r="A4828" s="658"/>
      <c r="B4828" s="227"/>
      <c r="C4828" s="227"/>
      <c r="D4828" s="227"/>
      <c r="E4828" s="227"/>
      <c r="F4828" s="227"/>
      <c r="G4828" s="227"/>
      <c r="H4828" s="227"/>
      <c r="I4828" s="229"/>
    </row>
    <row r="4829" spans="1:9" s="212" customFormat="1">
      <c r="A4829" s="658"/>
      <c r="B4829" s="227"/>
      <c r="C4829" s="227"/>
      <c r="D4829" s="227"/>
      <c r="E4829" s="227"/>
      <c r="F4829" s="227"/>
      <c r="G4829" s="227"/>
    </row>
    <row r="4830" spans="1:9" s="212" customFormat="1">
      <c r="A4830" s="69"/>
      <c r="B4830" s="69"/>
      <c r="C4830" s="69"/>
      <c r="D4830" s="69"/>
      <c r="E4830" s="69"/>
    </row>
    <row r="4831" spans="1:9" s="212" customFormat="1">
      <c r="A4831" s="120"/>
      <c r="B4831" s="73"/>
      <c r="C4831" s="73"/>
      <c r="D4831" s="73"/>
      <c r="E4831" s="73"/>
      <c r="F4831" s="73"/>
      <c r="G4831" s="73"/>
      <c r="H4831" s="73"/>
    </row>
    <row r="4832" spans="1:9" s="212" customFormat="1">
      <c r="A4832" s="220"/>
      <c r="B4832" s="141"/>
      <c r="C4832" s="141"/>
      <c r="D4832" s="141"/>
      <c r="E4832" s="141"/>
      <c r="F4832" s="141"/>
      <c r="G4832" s="141"/>
      <c r="H4832" s="73"/>
    </row>
    <row r="4833" spans="1:8" s="212" customFormat="1">
      <c r="A4833" s="142"/>
      <c r="B4833" s="143"/>
      <c r="C4833" s="143"/>
      <c r="D4833" s="143"/>
      <c r="E4833" s="143"/>
      <c r="F4833" s="84"/>
      <c r="G4833" s="146"/>
      <c r="H4833" s="221"/>
    </row>
    <row r="4834" spans="1:8" s="212" customFormat="1">
      <c r="A4834" s="84"/>
      <c r="B4834" s="83"/>
      <c r="C4834" s="84"/>
      <c r="D4834" s="84"/>
      <c r="E4834" s="84"/>
      <c r="G4834" s="213"/>
      <c r="H4834" s="222"/>
    </row>
    <row r="4835" spans="1:8" s="212" customFormat="1">
      <c r="A4835" s="120"/>
      <c r="B4835" s="73"/>
      <c r="C4835" s="73"/>
      <c r="D4835" s="73"/>
      <c r="E4835" s="73"/>
      <c r="G4835" s="73"/>
      <c r="H4835" s="222"/>
    </row>
    <row r="4836" spans="1:8" s="212" customFormat="1">
      <c r="A4836" s="220"/>
      <c r="B4836" s="141"/>
      <c r="C4836" s="141"/>
      <c r="D4836" s="141"/>
      <c r="E4836" s="141"/>
      <c r="F4836" s="141"/>
      <c r="G4836" s="141"/>
      <c r="H4836" s="222"/>
    </row>
    <row r="4837" spans="1:8" s="212" customFormat="1">
      <c r="A4837" s="150"/>
      <c r="B4837" s="83"/>
      <c r="C4837" s="148"/>
      <c r="D4837" s="160"/>
      <c r="E4837" s="84"/>
      <c r="F4837" s="84"/>
      <c r="G4837" s="146"/>
      <c r="H4837" s="221"/>
    </row>
    <row r="4838" spans="1:8" s="212" customFormat="1">
      <c r="A4838" s="91"/>
      <c r="B4838" s="91"/>
      <c r="C4838" s="91"/>
      <c r="D4838" s="91"/>
      <c r="E4838" s="91"/>
      <c r="G4838" s="213"/>
      <c r="H4838" s="222"/>
    </row>
    <row r="4839" spans="1:8" s="212" customFormat="1">
      <c r="A4839" s="120"/>
      <c r="B4839" s="73"/>
      <c r="C4839" s="73"/>
      <c r="D4839" s="73"/>
      <c r="E4839" s="73"/>
      <c r="G4839" s="73"/>
      <c r="H4839" s="222"/>
    </row>
    <row r="4840" spans="1:8" s="212" customFormat="1">
      <c r="A4840" s="220"/>
      <c r="B4840" s="141"/>
      <c r="C4840" s="141"/>
      <c r="D4840" s="141"/>
      <c r="E4840" s="141"/>
      <c r="F4840" s="141"/>
      <c r="G4840" s="141"/>
      <c r="H4840" s="222"/>
    </row>
    <row r="4841" spans="1:8" s="212" customFormat="1">
      <c r="A4841" s="142"/>
      <c r="B4841" s="143"/>
      <c r="C4841" s="143"/>
      <c r="D4841" s="143"/>
      <c r="E4841" s="143"/>
      <c r="F4841" s="84"/>
      <c r="G4841" s="146"/>
      <c r="H4841" s="221"/>
    </row>
    <row r="4842" spans="1:8" s="212" customFormat="1">
      <c r="A4842" s="91"/>
      <c r="B4842" s="91"/>
      <c r="C4842" s="91"/>
      <c r="D4842" s="91"/>
      <c r="E4842" s="91"/>
      <c r="G4842" s="213"/>
      <c r="H4842" s="222"/>
    </row>
    <row r="4843" spans="1:8" s="212" customFormat="1">
      <c r="A4843" s="120"/>
      <c r="B4843" s="73"/>
      <c r="C4843" s="73"/>
      <c r="D4843" s="73"/>
      <c r="E4843" s="73"/>
      <c r="G4843" s="73"/>
      <c r="H4843" s="222"/>
    </row>
    <row r="4844" spans="1:8" s="212" customFormat="1">
      <c r="A4844" s="220"/>
      <c r="B4844" s="141"/>
      <c r="C4844" s="141"/>
      <c r="D4844" s="141"/>
      <c r="E4844" s="141"/>
      <c r="F4844" s="141"/>
      <c r="G4844" s="141"/>
      <c r="H4844" s="222"/>
    </row>
    <row r="4845" spans="1:8" s="212" customFormat="1">
      <c r="A4845" s="142"/>
      <c r="B4845" s="143"/>
      <c r="C4845" s="143"/>
      <c r="D4845" s="143"/>
      <c r="E4845" s="143"/>
      <c r="F4845" s="84"/>
      <c r="G4845" s="146"/>
      <c r="H4845" s="221"/>
    </row>
    <row r="4846" spans="1:8" s="212" customFormat="1">
      <c r="A4846" s="123"/>
      <c r="B4846" s="95"/>
      <c r="C4846" s="95"/>
      <c r="D4846" s="95"/>
      <c r="E4846" s="95"/>
      <c r="G4846" s="213"/>
      <c r="H4846" s="73"/>
    </row>
    <row r="4847" spans="1:8" s="212" customFormat="1">
      <c r="A4847" s="123"/>
      <c r="B4847" s="95"/>
      <c r="C4847" s="95"/>
      <c r="D4847" s="95"/>
      <c r="E4847" s="95"/>
      <c r="G4847" s="73"/>
      <c r="H4847" s="225"/>
    </row>
    <row r="4848" spans="1:8" s="212" customFormat="1">
      <c r="B4848" s="97"/>
      <c r="C4848" s="98"/>
      <c r="D4848" s="98"/>
      <c r="E4848" s="98"/>
      <c r="G4848" s="220"/>
    </row>
    <row r="4849" spans="1:9" s="212" customFormat="1">
      <c r="B4849" s="97"/>
      <c r="C4849" s="98"/>
      <c r="D4849" s="98"/>
      <c r="E4849" s="98"/>
      <c r="F4849" s="220"/>
      <c r="G4849" s="225"/>
      <c r="H4849" s="226"/>
    </row>
    <row r="4850" spans="1:9" s="212" customFormat="1">
      <c r="A4850" s="633"/>
      <c r="B4850" s="633"/>
      <c r="C4850" s="633"/>
      <c r="D4850" s="633"/>
      <c r="E4850" s="633"/>
      <c r="F4850" s="633"/>
      <c r="G4850" s="633"/>
    </row>
    <row r="4851" spans="1:9" s="212" customFormat="1">
      <c r="H4851" s="227"/>
      <c r="I4851" s="228"/>
    </row>
    <row r="4852" spans="1:9" s="212" customFormat="1">
      <c r="A4852" s="658"/>
      <c r="B4852" s="227"/>
      <c r="C4852" s="227"/>
      <c r="D4852" s="227"/>
      <c r="E4852" s="227"/>
      <c r="F4852" s="227"/>
      <c r="G4852" s="227"/>
      <c r="H4852" s="227"/>
      <c r="I4852" s="229"/>
    </row>
    <row r="4853" spans="1:9" s="212" customFormat="1">
      <c r="A4853" s="658"/>
      <c r="B4853" s="227"/>
      <c r="C4853" s="227"/>
      <c r="D4853" s="227"/>
      <c r="E4853" s="227"/>
      <c r="F4853" s="227"/>
      <c r="G4853" s="227"/>
    </row>
    <row r="4854" spans="1:9" s="212" customFormat="1">
      <c r="A4854" s="69"/>
      <c r="B4854" s="69"/>
      <c r="C4854" s="69"/>
      <c r="D4854" s="69"/>
      <c r="E4854" s="69"/>
    </row>
    <row r="4855" spans="1:9" s="212" customFormat="1">
      <c r="A4855" s="120"/>
      <c r="B4855" s="73"/>
      <c r="C4855" s="73"/>
      <c r="D4855" s="73"/>
      <c r="E4855" s="73"/>
      <c r="F4855" s="73"/>
      <c r="G4855" s="73"/>
      <c r="H4855" s="73"/>
    </row>
    <row r="4856" spans="1:9" s="212" customFormat="1">
      <c r="A4856" s="220"/>
      <c r="B4856" s="141"/>
      <c r="C4856" s="141"/>
      <c r="D4856" s="141"/>
      <c r="E4856" s="141"/>
      <c r="F4856" s="141"/>
      <c r="G4856" s="141"/>
      <c r="H4856" s="73"/>
    </row>
    <row r="4857" spans="1:9" s="212" customFormat="1">
      <c r="A4857" s="142"/>
      <c r="B4857" s="143"/>
      <c r="C4857" s="143"/>
      <c r="D4857" s="143"/>
      <c r="E4857" s="143"/>
      <c r="F4857" s="84"/>
      <c r="G4857" s="146"/>
      <c r="H4857" s="221"/>
    </row>
    <row r="4858" spans="1:9" s="212" customFormat="1">
      <c r="A4858" s="84"/>
      <c r="B4858" s="83"/>
      <c r="C4858" s="84"/>
      <c r="D4858" s="84"/>
      <c r="E4858" s="84"/>
      <c r="G4858" s="213"/>
      <c r="H4858" s="222"/>
    </row>
    <row r="4859" spans="1:9" s="212" customFormat="1">
      <c r="A4859" s="120"/>
      <c r="B4859" s="73"/>
      <c r="C4859" s="73"/>
      <c r="D4859" s="73"/>
      <c r="E4859" s="73"/>
      <c r="G4859" s="73"/>
      <c r="H4859" s="222"/>
    </row>
    <row r="4860" spans="1:9" s="212" customFormat="1">
      <c r="A4860" s="220"/>
      <c r="B4860" s="141"/>
      <c r="C4860" s="141"/>
      <c r="D4860" s="141"/>
      <c r="E4860" s="141"/>
      <c r="F4860" s="141"/>
      <c r="G4860" s="141"/>
      <c r="H4860" s="222"/>
    </row>
    <row r="4861" spans="1:9" s="212" customFormat="1">
      <c r="A4861" s="150"/>
      <c r="B4861" s="83"/>
      <c r="C4861" s="148"/>
      <c r="D4861" s="160"/>
      <c r="E4861" s="84"/>
      <c r="F4861" s="84"/>
      <c r="G4861" s="146"/>
      <c r="H4861" s="221"/>
    </row>
    <row r="4862" spans="1:9" s="212" customFormat="1">
      <c r="A4862" s="91"/>
      <c r="B4862" s="91"/>
      <c r="C4862" s="91"/>
      <c r="D4862" s="91"/>
      <c r="E4862" s="91"/>
      <c r="G4862" s="213"/>
      <c r="H4862" s="222"/>
    </row>
    <row r="4863" spans="1:9" s="212" customFormat="1">
      <c r="A4863" s="120"/>
      <c r="B4863" s="73"/>
      <c r="C4863" s="73"/>
      <c r="D4863" s="73"/>
      <c r="E4863" s="73"/>
      <c r="G4863" s="73"/>
      <c r="H4863" s="222"/>
    </row>
    <row r="4864" spans="1:9" s="212" customFormat="1">
      <c r="A4864" s="220"/>
      <c r="B4864" s="141"/>
      <c r="C4864" s="141"/>
      <c r="D4864" s="141"/>
      <c r="E4864" s="141"/>
      <c r="F4864" s="141"/>
      <c r="G4864" s="141"/>
      <c r="H4864" s="222"/>
    </row>
    <row r="4865" spans="1:9" s="212" customFormat="1">
      <c r="A4865" s="142"/>
      <c r="B4865" s="143"/>
      <c r="C4865" s="143"/>
      <c r="D4865" s="143"/>
      <c r="E4865" s="143"/>
      <c r="F4865" s="84"/>
      <c r="G4865" s="146"/>
      <c r="H4865" s="221"/>
    </row>
    <row r="4866" spans="1:9" s="212" customFormat="1">
      <c r="A4866" s="91"/>
      <c r="B4866" s="91"/>
      <c r="C4866" s="91"/>
      <c r="D4866" s="91"/>
      <c r="E4866" s="91"/>
      <c r="G4866" s="213"/>
      <c r="H4866" s="222"/>
    </row>
    <row r="4867" spans="1:9" s="212" customFormat="1">
      <c r="A4867" s="120"/>
      <c r="B4867" s="73"/>
      <c r="C4867" s="73"/>
      <c r="D4867" s="73"/>
      <c r="E4867" s="73"/>
      <c r="G4867" s="73"/>
      <c r="H4867" s="222"/>
    </row>
    <row r="4868" spans="1:9" s="212" customFormat="1">
      <c r="A4868" s="220"/>
      <c r="B4868" s="141"/>
      <c r="C4868" s="141"/>
      <c r="D4868" s="141"/>
      <c r="E4868" s="141"/>
      <c r="F4868" s="141"/>
      <c r="G4868" s="141"/>
      <c r="H4868" s="222"/>
    </row>
    <row r="4869" spans="1:9" s="212" customFormat="1">
      <c r="A4869" s="142"/>
      <c r="B4869" s="143"/>
      <c r="C4869" s="143"/>
      <c r="D4869" s="143"/>
      <c r="E4869" s="143"/>
      <c r="F4869" s="84"/>
      <c r="G4869" s="146"/>
      <c r="H4869" s="221"/>
    </row>
    <row r="4870" spans="1:9" s="212" customFormat="1">
      <c r="A4870" s="123"/>
      <c r="B4870" s="95"/>
      <c r="C4870" s="95"/>
      <c r="D4870" s="95"/>
      <c r="E4870" s="95"/>
      <c r="G4870" s="213"/>
      <c r="H4870" s="73"/>
    </row>
    <row r="4871" spans="1:9" s="212" customFormat="1">
      <c r="A4871" s="123"/>
      <c r="B4871" s="95"/>
      <c r="C4871" s="95"/>
      <c r="D4871" s="95"/>
      <c r="E4871" s="95"/>
      <c r="G4871" s="73"/>
      <c r="H4871" s="225"/>
    </row>
    <row r="4872" spans="1:9" s="212" customFormat="1">
      <c r="B4872" s="97"/>
      <c r="C4872" s="98"/>
      <c r="D4872" s="98"/>
      <c r="E4872" s="98"/>
      <c r="G4872" s="220"/>
    </row>
    <row r="4873" spans="1:9" s="212" customFormat="1">
      <c r="B4873" s="97"/>
      <c r="C4873" s="98"/>
      <c r="D4873" s="98"/>
      <c r="E4873" s="98"/>
      <c r="F4873" s="220"/>
      <c r="G4873" s="225"/>
      <c r="H4873" s="226"/>
    </row>
    <row r="4874" spans="1:9" s="212" customFormat="1">
      <c r="A4874" s="633"/>
      <c r="B4874" s="633"/>
      <c r="C4874" s="633"/>
      <c r="D4874" s="633"/>
      <c r="E4874" s="633"/>
      <c r="F4874" s="633"/>
      <c r="G4874" s="633"/>
    </row>
    <row r="4875" spans="1:9" s="212" customFormat="1" ht="18.75" customHeight="1">
      <c r="H4875" s="227"/>
      <c r="I4875" s="228"/>
    </row>
    <row r="4876" spans="1:9" s="212" customFormat="1">
      <c r="A4876" s="658"/>
      <c r="B4876" s="227"/>
      <c r="C4876" s="227"/>
      <c r="D4876" s="227"/>
      <c r="E4876" s="227"/>
      <c r="F4876" s="227"/>
      <c r="G4876" s="227"/>
      <c r="H4876" s="227"/>
      <c r="I4876" s="229"/>
    </row>
    <row r="4877" spans="1:9" s="212" customFormat="1">
      <c r="A4877" s="658"/>
      <c r="B4877" s="227"/>
      <c r="C4877" s="227"/>
      <c r="D4877" s="227"/>
      <c r="E4877" s="227"/>
      <c r="F4877" s="227"/>
      <c r="G4877" s="227"/>
    </row>
    <row r="4878" spans="1:9" s="212" customFormat="1">
      <c r="A4878" s="69"/>
      <c r="B4878" s="69"/>
      <c r="C4878" s="69"/>
      <c r="D4878" s="69"/>
      <c r="E4878" s="69"/>
    </row>
    <row r="4879" spans="1:9" s="212" customFormat="1">
      <c r="A4879" s="120"/>
      <c r="B4879" s="73"/>
      <c r="C4879" s="73"/>
      <c r="D4879" s="73"/>
      <c r="E4879" s="73"/>
      <c r="F4879" s="73"/>
      <c r="G4879" s="73"/>
      <c r="H4879" s="73"/>
    </row>
    <row r="4880" spans="1:9" s="212" customFormat="1">
      <c r="A4880" s="220"/>
      <c r="B4880" s="141"/>
      <c r="C4880" s="141"/>
      <c r="D4880" s="141"/>
      <c r="E4880" s="141"/>
      <c r="F4880" s="141"/>
      <c r="G4880" s="141"/>
      <c r="H4880" s="73"/>
    </row>
    <row r="4881" spans="1:8" s="212" customFormat="1">
      <c r="A4881" s="142"/>
      <c r="B4881" s="143"/>
      <c r="C4881" s="143"/>
      <c r="D4881" s="143"/>
      <c r="E4881" s="143"/>
      <c r="F4881" s="84"/>
      <c r="G4881" s="146"/>
      <c r="H4881" s="221"/>
    </row>
    <row r="4882" spans="1:8" s="212" customFormat="1">
      <c r="A4882" s="84"/>
      <c r="B4882" s="83"/>
      <c r="C4882" s="84"/>
      <c r="D4882" s="84"/>
      <c r="E4882" s="84"/>
      <c r="G4882" s="213"/>
      <c r="H4882" s="222"/>
    </row>
    <row r="4883" spans="1:8" s="212" customFormat="1">
      <c r="A4883" s="120"/>
      <c r="B4883" s="73"/>
      <c r="C4883" s="73"/>
      <c r="D4883" s="73"/>
      <c r="E4883" s="73"/>
      <c r="G4883" s="73"/>
      <c r="H4883" s="222"/>
    </row>
    <row r="4884" spans="1:8" s="212" customFormat="1">
      <c r="A4884" s="220"/>
      <c r="B4884" s="141"/>
      <c r="C4884" s="141"/>
      <c r="D4884" s="141"/>
      <c r="E4884" s="141"/>
      <c r="F4884" s="141"/>
      <c r="G4884" s="141"/>
      <c r="H4884" s="222"/>
    </row>
    <row r="4885" spans="1:8" s="212" customFormat="1">
      <c r="A4885" s="150"/>
      <c r="B4885" s="83"/>
      <c r="C4885" s="148"/>
      <c r="D4885" s="160"/>
      <c r="E4885" s="84"/>
      <c r="F4885" s="84"/>
      <c r="G4885" s="146"/>
      <c r="H4885" s="221"/>
    </row>
    <row r="4886" spans="1:8" s="212" customFormat="1">
      <c r="A4886" s="91"/>
      <c r="B4886" s="91"/>
      <c r="C4886" s="91"/>
      <c r="D4886" s="91"/>
      <c r="E4886" s="91"/>
      <c r="G4886" s="213"/>
      <c r="H4886" s="222"/>
    </row>
    <row r="4887" spans="1:8" s="212" customFormat="1">
      <c r="A4887" s="120"/>
      <c r="B4887" s="73"/>
      <c r="C4887" s="73"/>
      <c r="D4887" s="73"/>
      <c r="E4887" s="73"/>
      <c r="G4887" s="73"/>
      <c r="H4887" s="222"/>
    </row>
    <row r="4888" spans="1:8" s="212" customFormat="1">
      <c r="A4888" s="220"/>
      <c r="B4888" s="141"/>
      <c r="C4888" s="141"/>
      <c r="D4888" s="141"/>
      <c r="E4888" s="141"/>
      <c r="F4888" s="141"/>
      <c r="G4888" s="141"/>
      <c r="H4888" s="222"/>
    </row>
    <row r="4889" spans="1:8" s="212" customFormat="1">
      <c r="A4889" s="142"/>
      <c r="B4889" s="143"/>
      <c r="C4889" s="143"/>
      <c r="D4889" s="143"/>
      <c r="E4889" s="143"/>
      <c r="F4889" s="84"/>
      <c r="G4889" s="146"/>
      <c r="H4889" s="221"/>
    </row>
    <row r="4890" spans="1:8" s="212" customFormat="1">
      <c r="A4890" s="91"/>
      <c r="B4890" s="91"/>
      <c r="C4890" s="91"/>
      <c r="D4890" s="91"/>
      <c r="E4890" s="91"/>
      <c r="G4890" s="213"/>
      <c r="H4890" s="222"/>
    </row>
    <row r="4891" spans="1:8" s="212" customFormat="1">
      <c r="A4891" s="120"/>
      <c r="B4891" s="73"/>
      <c r="C4891" s="73"/>
      <c r="D4891" s="73"/>
      <c r="E4891" s="73"/>
      <c r="G4891" s="73"/>
      <c r="H4891" s="222"/>
    </row>
    <row r="4892" spans="1:8" s="212" customFormat="1">
      <c r="A4892" s="220"/>
      <c r="B4892" s="141"/>
      <c r="C4892" s="141"/>
      <c r="D4892" s="141"/>
      <c r="E4892" s="141"/>
      <c r="F4892" s="141"/>
      <c r="G4892" s="141"/>
      <c r="H4892" s="222"/>
    </row>
    <row r="4893" spans="1:8" s="212" customFormat="1">
      <c r="A4893" s="142"/>
      <c r="B4893" s="143"/>
      <c r="C4893" s="143"/>
      <c r="D4893" s="143"/>
      <c r="E4893" s="143"/>
      <c r="F4893" s="84"/>
      <c r="G4893" s="146"/>
      <c r="H4893" s="221"/>
    </row>
    <row r="4894" spans="1:8" s="212" customFormat="1">
      <c r="A4894" s="123"/>
      <c r="B4894" s="95"/>
      <c r="C4894" s="95"/>
      <c r="D4894" s="95"/>
      <c r="E4894" s="95"/>
      <c r="G4894" s="213"/>
      <c r="H4894" s="73"/>
    </row>
    <row r="4895" spans="1:8" s="212" customFormat="1">
      <c r="A4895" s="123"/>
      <c r="B4895" s="95"/>
      <c r="C4895" s="95"/>
      <c r="D4895" s="95"/>
      <c r="E4895" s="95"/>
      <c r="G4895" s="73"/>
      <c r="H4895" s="225"/>
    </row>
    <row r="4896" spans="1:8" s="212" customFormat="1">
      <c r="B4896" s="97"/>
      <c r="C4896" s="98"/>
      <c r="D4896" s="98"/>
      <c r="E4896" s="98"/>
      <c r="G4896" s="220"/>
    </row>
    <row r="4897" spans="1:9" s="212" customFormat="1">
      <c r="B4897" s="97"/>
      <c r="C4897" s="98"/>
      <c r="D4897" s="98"/>
      <c r="E4897" s="98"/>
      <c r="F4897" s="220"/>
      <c r="G4897" s="225"/>
      <c r="H4897" s="226"/>
    </row>
    <row r="4898" spans="1:9" s="212" customFormat="1">
      <c r="A4898" s="633"/>
      <c r="B4898" s="633"/>
      <c r="C4898" s="633"/>
      <c r="D4898" s="633"/>
      <c r="E4898" s="633"/>
      <c r="F4898" s="633"/>
      <c r="G4898" s="633"/>
    </row>
    <row r="4899" spans="1:9" s="212" customFormat="1">
      <c r="H4899" s="227"/>
      <c r="I4899" s="228"/>
    </row>
    <row r="4900" spans="1:9" s="212" customFormat="1">
      <c r="A4900" s="658"/>
      <c r="B4900" s="227"/>
      <c r="C4900" s="227"/>
      <c r="D4900" s="227"/>
      <c r="E4900" s="227"/>
      <c r="F4900" s="227"/>
      <c r="G4900" s="227"/>
      <c r="H4900" s="227"/>
      <c r="I4900" s="229"/>
    </row>
    <row r="4901" spans="1:9" s="212" customFormat="1">
      <c r="A4901" s="658"/>
      <c r="B4901" s="227"/>
      <c r="C4901" s="227"/>
      <c r="D4901" s="227"/>
      <c r="E4901" s="227"/>
      <c r="F4901" s="227"/>
      <c r="G4901" s="227"/>
    </row>
    <row r="4902" spans="1:9" s="212" customFormat="1">
      <c r="A4902" s="69"/>
      <c r="B4902" s="69"/>
      <c r="C4902" s="69"/>
      <c r="D4902" s="69"/>
      <c r="E4902" s="69"/>
    </row>
    <row r="4903" spans="1:9" s="212" customFormat="1">
      <c r="A4903" s="120"/>
      <c r="B4903" s="73"/>
      <c r="C4903" s="73"/>
      <c r="D4903" s="73"/>
      <c r="E4903" s="73"/>
      <c r="F4903" s="73"/>
      <c r="G4903" s="73"/>
      <c r="H4903" s="73"/>
    </row>
    <row r="4904" spans="1:9" s="212" customFormat="1">
      <c r="A4904" s="220"/>
      <c r="B4904" s="141"/>
      <c r="C4904" s="141"/>
      <c r="D4904" s="141"/>
      <c r="E4904" s="141"/>
      <c r="F4904" s="141"/>
      <c r="G4904" s="141"/>
      <c r="H4904" s="73"/>
    </row>
    <row r="4905" spans="1:9" s="212" customFormat="1">
      <c r="A4905" s="142"/>
      <c r="B4905" s="143"/>
      <c r="C4905" s="143"/>
      <c r="D4905" s="143"/>
      <c r="E4905" s="143"/>
      <c r="F4905" s="84"/>
      <c r="G4905" s="146"/>
      <c r="H4905" s="221"/>
    </row>
    <row r="4906" spans="1:9" s="212" customFormat="1">
      <c r="A4906" s="84"/>
      <c r="B4906" s="83"/>
      <c r="C4906" s="84"/>
      <c r="D4906" s="84"/>
      <c r="E4906" s="84"/>
      <c r="G4906" s="213"/>
      <c r="H4906" s="222"/>
    </row>
    <row r="4907" spans="1:9" s="212" customFormat="1">
      <c r="A4907" s="120"/>
      <c r="B4907" s="73"/>
      <c r="C4907" s="73"/>
      <c r="D4907" s="73"/>
      <c r="E4907" s="73"/>
      <c r="G4907" s="73"/>
      <c r="H4907" s="222"/>
    </row>
    <row r="4908" spans="1:9" s="212" customFormat="1">
      <c r="A4908" s="220"/>
      <c r="B4908" s="141"/>
      <c r="C4908" s="141"/>
      <c r="D4908" s="141"/>
      <c r="E4908" s="141"/>
      <c r="F4908" s="141"/>
      <c r="G4908" s="141"/>
      <c r="H4908" s="222"/>
    </row>
    <row r="4909" spans="1:9" s="212" customFormat="1">
      <c r="A4909" s="150"/>
      <c r="B4909" s="83"/>
      <c r="C4909" s="148"/>
      <c r="D4909" s="160"/>
      <c r="E4909" s="84"/>
      <c r="F4909" s="84"/>
      <c r="G4909" s="146"/>
      <c r="H4909" s="221"/>
    </row>
    <row r="4910" spans="1:9" s="212" customFormat="1">
      <c r="A4910" s="91"/>
      <c r="B4910" s="91"/>
      <c r="C4910" s="91"/>
      <c r="D4910" s="91"/>
      <c r="E4910" s="91"/>
      <c r="G4910" s="213"/>
      <c r="H4910" s="222"/>
    </row>
    <row r="4911" spans="1:9" s="212" customFormat="1">
      <c r="A4911" s="120"/>
      <c r="B4911" s="73"/>
      <c r="C4911" s="73"/>
      <c r="D4911" s="73"/>
      <c r="E4911" s="73"/>
      <c r="G4911" s="73"/>
      <c r="H4911" s="222"/>
    </row>
    <row r="4912" spans="1:9" s="212" customFormat="1">
      <c r="A4912" s="220"/>
      <c r="B4912" s="141"/>
      <c r="C4912" s="141"/>
      <c r="D4912" s="141"/>
      <c r="E4912" s="141"/>
      <c r="F4912" s="141"/>
      <c r="G4912" s="141"/>
      <c r="H4912" s="222"/>
    </row>
    <row r="4913" spans="1:9" s="212" customFormat="1">
      <c r="A4913" s="142"/>
      <c r="B4913" s="143"/>
      <c r="C4913" s="143"/>
      <c r="D4913" s="143"/>
      <c r="E4913" s="143"/>
      <c r="F4913" s="84"/>
      <c r="G4913" s="146"/>
      <c r="H4913" s="221"/>
    </row>
    <row r="4914" spans="1:9" s="212" customFormat="1">
      <c r="A4914" s="91"/>
      <c r="B4914" s="91"/>
      <c r="C4914" s="91"/>
      <c r="D4914" s="91"/>
      <c r="E4914" s="91"/>
      <c r="G4914" s="213"/>
      <c r="H4914" s="222"/>
    </row>
    <row r="4915" spans="1:9" s="212" customFormat="1">
      <c r="A4915" s="120"/>
      <c r="B4915" s="73"/>
      <c r="C4915" s="73"/>
      <c r="D4915" s="73"/>
      <c r="E4915" s="73"/>
      <c r="G4915" s="73"/>
      <c r="H4915" s="222"/>
    </row>
    <row r="4916" spans="1:9" s="212" customFormat="1">
      <c r="A4916" s="220"/>
      <c r="B4916" s="141"/>
      <c r="C4916" s="141"/>
      <c r="D4916" s="141"/>
      <c r="E4916" s="141"/>
      <c r="F4916" s="141"/>
      <c r="G4916" s="141"/>
      <c r="H4916" s="222"/>
    </row>
    <row r="4917" spans="1:9" s="212" customFormat="1">
      <c r="A4917" s="142"/>
      <c r="B4917" s="143"/>
      <c r="C4917" s="143"/>
      <c r="D4917" s="143"/>
      <c r="E4917" s="143"/>
      <c r="F4917" s="84"/>
      <c r="G4917" s="146"/>
      <c r="H4917" s="221"/>
    </row>
    <row r="4918" spans="1:9" s="212" customFormat="1">
      <c r="A4918" s="123"/>
      <c r="B4918" s="95"/>
      <c r="C4918" s="95"/>
      <c r="D4918" s="95"/>
      <c r="E4918" s="95"/>
      <c r="G4918" s="213"/>
      <c r="H4918" s="73"/>
    </row>
    <row r="4919" spans="1:9" s="212" customFormat="1">
      <c r="A4919" s="123"/>
      <c r="B4919" s="95"/>
      <c r="C4919" s="95"/>
      <c r="D4919" s="95"/>
      <c r="E4919" s="95"/>
      <c r="G4919" s="73"/>
      <c r="H4919" s="225"/>
    </row>
    <row r="4920" spans="1:9" s="212" customFormat="1">
      <c r="B4920" s="97"/>
      <c r="C4920" s="98"/>
      <c r="D4920" s="98"/>
      <c r="E4920" s="98"/>
      <c r="G4920" s="220"/>
    </row>
    <row r="4921" spans="1:9" s="212" customFormat="1">
      <c r="B4921" s="97"/>
      <c r="C4921" s="98"/>
      <c r="D4921" s="98"/>
      <c r="E4921" s="98"/>
      <c r="F4921" s="220"/>
      <c r="G4921" s="225"/>
      <c r="H4921" s="226"/>
    </row>
    <row r="4922" spans="1:9" s="212" customFormat="1">
      <c r="A4922" s="633"/>
      <c r="B4922" s="633"/>
      <c r="C4922" s="633"/>
      <c r="D4922" s="633"/>
      <c r="E4922" s="633"/>
      <c r="F4922" s="633"/>
      <c r="G4922" s="633"/>
    </row>
    <row r="4923" spans="1:9" s="212" customFormat="1">
      <c r="H4923" s="227"/>
      <c r="I4923" s="228"/>
    </row>
    <row r="4924" spans="1:9" s="212" customFormat="1">
      <c r="A4924" s="658"/>
      <c r="B4924" s="227"/>
      <c r="C4924" s="227"/>
      <c r="D4924" s="227"/>
      <c r="E4924" s="227"/>
      <c r="F4924" s="227"/>
      <c r="G4924" s="227"/>
      <c r="H4924" s="227"/>
      <c r="I4924" s="229"/>
    </row>
    <row r="4925" spans="1:9" s="212" customFormat="1">
      <c r="A4925" s="658"/>
      <c r="B4925" s="227"/>
      <c r="C4925" s="227"/>
      <c r="D4925" s="227"/>
      <c r="E4925" s="227"/>
      <c r="F4925" s="227"/>
      <c r="G4925" s="227"/>
    </row>
    <row r="4926" spans="1:9" s="212" customFormat="1">
      <c r="A4926" s="69"/>
      <c r="B4926" s="69"/>
      <c r="C4926" s="69"/>
      <c r="D4926" s="69"/>
      <c r="E4926" s="69"/>
    </row>
    <row r="4927" spans="1:9" s="212" customFormat="1">
      <c r="A4927" s="120"/>
      <c r="B4927" s="73"/>
      <c r="C4927" s="73"/>
      <c r="D4927" s="73"/>
      <c r="E4927" s="73"/>
      <c r="F4927" s="73"/>
      <c r="G4927" s="73"/>
      <c r="H4927" s="73"/>
    </row>
    <row r="4928" spans="1:9" s="212" customFormat="1">
      <c r="A4928" s="220"/>
      <c r="B4928" s="141"/>
      <c r="C4928" s="141"/>
      <c r="D4928" s="141"/>
      <c r="E4928" s="141"/>
      <c r="F4928" s="141"/>
      <c r="G4928" s="141"/>
      <c r="H4928" s="73"/>
    </row>
    <row r="4929" spans="1:8" s="212" customFormat="1">
      <c r="A4929" s="84"/>
      <c r="B4929" s="83"/>
      <c r="C4929" s="84"/>
      <c r="D4929" s="84"/>
      <c r="E4929" s="84"/>
      <c r="F4929" s="84"/>
      <c r="G4929" s="146"/>
      <c r="H4929" s="225"/>
    </row>
    <row r="4930" spans="1:8" s="212" customFormat="1">
      <c r="A4930" s="84"/>
      <c r="B4930" s="83"/>
      <c r="C4930" s="84"/>
      <c r="D4930" s="84"/>
      <c r="E4930" s="84"/>
      <c r="G4930" s="213"/>
      <c r="H4930" s="222"/>
    </row>
    <row r="4931" spans="1:8" s="212" customFormat="1">
      <c r="A4931" s="120"/>
      <c r="B4931" s="73"/>
      <c r="C4931" s="73"/>
      <c r="D4931" s="73"/>
      <c r="E4931" s="73"/>
      <c r="G4931" s="73"/>
      <c r="H4931" s="222"/>
    </row>
    <row r="4932" spans="1:8" s="212" customFormat="1">
      <c r="A4932" s="220"/>
      <c r="B4932" s="141"/>
      <c r="C4932" s="141"/>
      <c r="D4932" s="141"/>
      <c r="E4932" s="141"/>
      <c r="F4932" s="141"/>
      <c r="G4932" s="141"/>
      <c r="H4932" s="222"/>
    </row>
    <row r="4933" spans="1:8" s="212" customFormat="1">
      <c r="A4933" s="84"/>
      <c r="B4933" s="83"/>
      <c r="C4933" s="84"/>
      <c r="D4933" s="84"/>
      <c r="E4933" s="84"/>
      <c r="F4933" s="141"/>
      <c r="G4933" s="168"/>
      <c r="H4933" s="222"/>
    </row>
    <row r="4934" spans="1:8" s="212" customFormat="1">
      <c r="A4934" s="150"/>
      <c r="B4934" s="83"/>
      <c r="C4934" s="148"/>
      <c r="D4934" s="84"/>
      <c r="E4934" s="84"/>
      <c r="F4934" s="141"/>
      <c r="G4934" s="168"/>
      <c r="H4934" s="222"/>
    </row>
    <row r="4935" spans="1:8" s="212" customFormat="1">
      <c r="A4935" s="150"/>
      <c r="B4935" s="83"/>
      <c r="C4935" s="148"/>
      <c r="D4935" s="84"/>
      <c r="E4935" s="84"/>
      <c r="F4935" s="141"/>
      <c r="G4935" s="168"/>
      <c r="H4935" s="222"/>
    </row>
    <row r="4936" spans="1:8" s="212" customFormat="1">
      <c r="A4936" s="150"/>
      <c r="B4936" s="83"/>
      <c r="C4936" s="148"/>
      <c r="D4936" s="84"/>
      <c r="E4936" s="84"/>
      <c r="F4936" s="84"/>
      <c r="G4936" s="168"/>
      <c r="H4936" s="225"/>
    </row>
    <row r="4937" spans="1:8" s="212" customFormat="1">
      <c r="A4937" s="91"/>
      <c r="B4937" s="91"/>
      <c r="C4937" s="91"/>
      <c r="D4937" s="91"/>
      <c r="E4937" s="91"/>
      <c r="G4937" s="213"/>
      <c r="H4937" s="222"/>
    </row>
    <row r="4938" spans="1:8" s="212" customFormat="1">
      <c r="A4938" s="120"/>
      <c r="B4938" s="73"/>
      <c r="C4938" s="73"/>
      <c r="D4938" s="73"/>
      <c r="E4938" s="73"/>
      <c r="G4938" s="73"/>
      <c r="H4938" s="222"/>
    </row>
    <row r="4939" spans="1:8" s="212" customFormat="1">
      <c r="A4939" s="220"/>
      <c r="B4939" s="141"/>
      <c r="C4939" s="141"/>
      <c r="D4939" s="141"/>
      <c r="E4939" s="141"/>
      <c r="F4939" s="141"/>
      <c r="G4939" s="141"/>
      <c r="H4939" s="222"/>
    </row>
    <row r="4940" spans="1:8" s="212" customFormat="1">
      <c r="A4940" s="146"/>
      <c r="B4940" s="147"/>
      <c r="C4940" s="148"/>
      <c r="D4940" s="84"/>
      <c r="E4940" s="143"/>
      <c r="F4940" s="84"/>
      <c r="G4940" s="146"/>
      <c r="H4940" s="225"/>
    </row>
    <row r="4941" spans="1:8" s="212" customFormat="1">
      <c r="A4941" s="91"/>
      <c r="B4941" s="91"/>
      <c r="C4941" s="91"/>
      <c r="D4941" s="91"/>
      <c r="E4941" s="91"/>
      <c r="G4941" s="213"/>
      <c r="H4941" s="222"/>
    </row>
    <row r="4942" spans="1:8" s="212" customFormat="1">
      <c r="A4942" s="120"/>
      <c r="B4942" s="73"/>
      <c r="C4942" s="73"/>
      <c r="D4942" s="73"/>
      <c r="E4942" s="73"/>
      <c r="G4942" s="73"/>
      <c r="H4942" s="222"/>
    </row>
    <row r="4943" spans="1:8" s="212" customFormat="1">
      <c r="A4943" s="220"/>
      <c r="B4943" s="141"/>
      <c r="C4943" s="141"/>
      <c r="D4943" s="141"/>
      <c r="E4943" s="141"/>
      <c r="F4943" s="141"/>
      <c r="G4943" s="141"/>
      <c r="H4943" s="222"/>
    </row>
    <row r="4944" spans="1:8" s="212" customFormat="1">
      <c r="A4944" s="142"/>
      <c r="B4944" s="143"/>
      <c r="C4944" s="143"/>
      <c r="D4944" s="143"/>
      <c r="E4944" s="143"/>
      <c r="F4944" s="84"/>
      <c r="G4944" s="146"/>
      <c r="H4944" s="221"/>
    </row>
    <row r="4945" spans="1:9" s="212" customFormat="1">
      <c r="A4945" s="123"/>
      <c r="B4945" s="95"/>
      <c r="C4945" s="95"/>
      <c r="D4945" s="95"/>
      <c r="E4945" s="95"/>
      <c r="G4945" s="213"/>
      <c r="H4945" s="73"/>
    </row>
    <row r="4946" spans="1:9" s="212" customFormat="1">
      <c r="A4946" s="123"/>
      <c r="B4946" s="95"/>
      <c r="C4946" s="95"/>
      <c r="D4946" s="95"/>
      <c r="E4946" s="95"/>
      <c r="G4946" s="73"/>
      <c r="H4946" s="225"/>
    </row>
    <row r="4947" spans="1:9" s="212" customFormat="1">
      <c r="B4947" s="97"/>
      <c r="C4947" s="98"/>
      <c r="D4947" s="98"/>
      <c r="E4947" s="98"/>
      <c r="G4947" s="220"/>
    </row>
    <row r="4948" spans="1:9" s="212" customFormat="1">
      <c r="B4948" s="97"/>
      <c r="C4948" s="98"/>
      <c r="D4948" s="98"/>
      <c r="E4948" s="98"/>
      <c r="F4948" s="220"/>
      <c r="G4948" s="225"/>
      <c r="H4948" s="226"/>
    </row>
    <row r="4949" spans="1:9" s="212" customFormat="1">
      <c r="A4949" s="633"/>
      <c r="B4949" s="633"/>
      <c r="C4949" s="633"/>
      <c r="D4949" s="633"/>
      <c r="E4949" s="633"/>
      <c r="F4949" s="633"/>
      <c r="G4949" s="633"/>
    </row>
    <row r="4950" spans="1:9" s="212" customFormat="1">
      <c r="H4950" s="227"/>
      <c r="I4950" s="228"/>
    </row>
    <row r="4951" spans="1:9" s="212" customFormat="1">
      <c r="A4951" s="658"/>
      <c r="B4951" s="227"/>
      <c r="C4951" s="227"/>
      <c r="D4951" s="227"/>
      <c r="E4951" s="227"/>
      <c r="F4951" s="227"/>
      <c r="G4951" s="227"/>
      <c r="H4951" s="227"/>
      <c r="I4951" s="229"/>
    </row>
    <row r="4952" spans="1:9" s="212" customFormat="1">
      <c r="A4952" s="658"/>
      <c r="B4952" s="227"/>
      <c r="C4952" s="227"/>
      <c r="D4952" s="227"/>
      <c r="E4952" s="227"/>
      <c r="F4952" s="227"/>
      <c r="G4952" s="227"/>
    </row>
    <row r="4953" spans="1:9" s="212" customFormat="1">
      <c r="A4953" s="69"/>
      <c r="B4953" s="69"/>
      <c r="C4953" s="69"/>
      <c r="D4953" s="69"/>
      <c r="E4953" s="69"/>
    </row>
    <row r="4954" spans="1:9" s="212" customFormat="1">
      <c r="A4954" s="120"/>
      <c r="B4954" s="73"/>
      <c r="C4954" s="73"/>
      <c r="D4954" s="73"/>
      <c r="E4954" s="73"/>
      <c r="F4954" s="73"/>
      <c r="G4954" s="73"/>
      <c r="H4954" s="73"/>
    </row>
    <row r="4955" spans="1:9" s="212" customFormat="1">
      <c r="A4955" s="220"/>
      <c r="B4955" s="141"/>
      <c r="C4955" s="141"/>
      <c r="D4955" s="141"/>
      <c r="E4955" s="141"/>
      <c r="F4955" s="141"/>
      <c r="G4955" s="141"/>
      <c r="H4955" s="73"/>
    </row>
    <row r="4956" spans="1:9" s="212" customFormat="1">
      <c r="A4956" s="84"/>
      <c r="B4956" s="83"/>
      <c r="C4956" s="84"/>
      <c r="D4956" s="84"/>
      <c r="E4956" s="84"/>
      <c r="F4956" s="84"/>
      <c r="G4956" s="146"/>
      <c r="H4956" s="225"/>
    </row>
    <row r="4957" spans="1:9" s="212" customFormat="1">
      <c r="A4957" s="84"/>
      <c r="B4957" s="83"/>
      <c r="C4957" s="84"/>
      <c r="D4957" s="84"/>
      <c r="E4957" s="84"/>
      <c r="G4957" s="213"/>
      <c r="H4957" s="222"/>
    </row>
    <row r="4958" spans="1:9" s="212" customFormat="1">
      <c r="A4958" s="120"/>
      <c r="B4958" s="73"/>
      <c r="C4958" s="73"/>
      <c r="D4958" s="73"/>
      <c r="E4958" s="73"/>
      <c r="G4958" s="73"/>
      <c r="H4958" s="222"/>
    </row>
    <row r="4959" spans="1:9" s="212" customFormat="1">
      <c r="A4959" s="220"/>
      <c r="B4959" s="141"/>
      <c r="C4959" s="141"/>
      <c r="D4959" s="141"/>
      <c r="E4959" s="141"/>
      <c r="F4959" s="141"/>
      <c r="G4959" s="141"/>
      <c r="H4959" s="222"/>
    </row>
    <row r="4960" spans="1:9" s="212" customFormat="1">
      <c r="A4960" s="172"/>
      <c r="B4960" s="83"/>
      <c r="C4960" s="84"/>
      <c r="D4960" s="84"/>
      <c r="E4960" s="84"/>
      <c r="F4960" s="141"/>
      <c r="G4960" s="168"/>
      <c r="H4960" s="222"/>
    </row>
    <row r="4961" spans="1:8" s="212" customFormat="1">
      <c r="A4961" s="173"/>
      <c r="B4961" s="83"/>
      <c r="C4961" s="148"/>
      <c r="D4961" s="84"/>
      <c r="E4961" s="84"/>
      <c r="F4961" s="141"/>
      <c r="G4961" s="168"/>
      <c r="H4961" s="222"/>
    </row>
    <row r="4962" spans="1:8" s="212" customFormat="1">
      <c r="A4962" s="150"/>
      <c r="B4962" s="83"/>
      <c r="C4962" s="148"/>
      <c r="D4962" s="84"/>
      <c r="E4962" s="84"/>
      <c r="F4962" s="141"/>
      <c r="G4962" s="168"/>
      <c r="H4962" s="222"/>
    </row>
    <row r="4963" spans="1:8" s="212" customFormat="1">
      <c r="A4963" s="150"/>
      <c r="B4963" s="83"/>
      <c r="C4963" s="148"/>
      <c r="D4963" s="84"/>
      <c r="E4963" s="84"/>
      <c r="F4963" s="84"/>
      <c r="G4963" s="168"/>
      <c r="H4963" s="225"/>
    </row>
    <row r="4964" spans="1:8" s="212" customFormat="1">
      <c r="A4964" s="91"/>
      <c r="B4964" s="91"/>
      <c r="C4964" s="91"/>
      <c r="D4964" s="91"/>
      <c r="E4964" s="91"/>
      <c r="G4964" s="213"/>
      <c r="H4964" s="222"/>
    </row>
    <row r="4965" spans="1:8" s="212" customFormat="1">
      <c r="A4965" s="120"/>
      <c r="B4965" s="73"/>
      <c r="C4965" s="73"/>
      <c r="D4965" s="73"/>
      <c r="E4965" s="73"/>
      <c r="G4965" s="73"/>
      <c r="H4965" s="222"/>
    </row>
    <row r="4966" spans="1:8" s="212" customFormat="1">
      <c r="A4966" s="220"/>
      <c r="B4966" s="141"/>
      <c r="C4966" s="141"/>
      <c r="D4966" s="141"/>
      <c r="E4966" s="141"/>
      <c r="F4966" s="141"/>
      <c r="G4966" s="141"/>
      <c r="H4966" s="222"/>
    </row>
    <row r="4967" spans="1:8" s="212" customFormat="1">
      <c r="A4967" s="146"/>
      <c r="B4967" s="147"/>
      <c r="C4967" s="148"/>
      <c r="D4967" s="84"/>
      <c r="E4967" s="143"/>
      <c r="F4967" s="84"/>
      <c r="G4967" s="146"/>
      <c r="H4967" s="225"/>
    </row>
    <row r="4968" spans="1:8" s="212" customFormat="1">
      <c r="A4968" s="91"/>
      <c r="B4968" s="91"/>
      <c r="C4968" s="91"/>
      <c r="D4968" s="91"/>
      <c r="E4968" s="91"/>
      <c r="G4968" s="213"/>
      <c r="H4968" s="222"/>
    </row>
    <row r="4969" spans="1:8" s="212" customFormat="1">
      <c r="A4969" s="120"/>
      <c r="B4969" s="73"/>
      <c r="C4969" s="73"/>
      <c r="D4969" s="73"/>
      <c r="E4969" s="73"/>
      <c r="G4969" s="73"/>
      <c r="H4969" s="222"/>
    </row>
    <row r="4970" spans="1:8" s="212" customFormat="1">
      <c r="A4970" s="220"/>
      <c r="B4970" s="141"/>
      <c r="C4970" s="141"/>
      <c r="D4970" s="141"/>
      <c r="E4970" s="141"/>
      <c r="F4970" s="141"/>
      <c r="G4970" s="141"/>
      <c r="H4970" s="222"/>
    </row>
    <row r="4971" spans="1:8" s="212" customFormat="1">
      <c r="A4971" s="142"/>
      <c r="B4971" s="143"/>
      <c r="C4971" s="143"/>
      <c r="D4971" s="143"/>
      <c r="E4971" s="143"/>
      <c r="F4971" s="84"/>
      <c r="G4971" s="146"/>
      <c r="H4971" s="221"/>
    </row>
    <row r="4972" spans="1:8" s="212" customFormat="1">
      <c r="A4972" s="123"/>
      <c r="B4972" s="95"/>
      <c r="C4972" s="95"/>
      <c r="D4972" s="95"/>
      <c r="E4972" s="95"/>
      <c r="G4972" s="213"/>
      <c r="H4972" s="73"/>
    </row>
    <row r="4973" spans="1:8" s="212" customFormat="1">
      <c r="A4973" s="123"/>
      <c r="B4973" s="95"/>
      <c r="C4973" s="95"/>
      <c r="D4973" s="95"/>
      <c r="E4973" s="95"/>
      <c r="G4973" s="73"/>
      <c r="H4973" s="225"/>
    </row>
    <row r="4974" spans="1:8" s="212" customFormat="1">
      <c r="B4974" s="97"/>
      <c r="C4974" s="98"/>
      <c r="D4974" s="98"/>
      <c r="E4974" s="98"/>
      <c r="G4974" s="220"/>
    </row>
    <row r="4975" spans="1:8" s="212" customFormat="1">
      <c r="B4975" s="97"/>
      <c r="C4975" s="98"/>
      <c r="D4975" s="98"/>
      <c r="E4975" s="98"/>
      <c r="F4975" s="220"/>
      <c r="G4975" s="225"/>
      <c r="H4975" s="226"/>
    </row>
    <row r="4976" spans="1:8" s="212" customFormat="1">
      <c r="A4976" s="633"/>
      <c r="B4976" s="633"/>
      <c r="C4976" s="633"/>
      <c r="D4976" s="633"/>
      <c r="E4976" s="633"/>
      <c r="F4976" s="633"/>
      <c r="G4976" s="633"/>
    </row>
    <row r="4977" spans="1:9" s="212" customFormat="1">
      <c r="H4977" s="227"/>
      <c r="I4977" s="228"/>
    </row>
    <row r="4978" spans="1:9" s="212" customFormat="1">
      <c r="A4978" s="658"/>
      <c r="B4978" s="227"/>
      <c r="C4978" s="227"/>
      <c r="D4978" s="227"/>
      <c r="E4978" s="227"/>
      <c r="F4978" s="227"/>
      <c r="G4978" s="227"/>
      <c r="H4978" s="227"/>
      <c r="I4978" s="229"/>
    </row>
    <row r="4979" spans="1:9" s="212" customFormat="1">
      <c r="A4979" s="658"/>
      <c r="B4979" s="227"/>
      <c r="C4979" s="227"/>
      <c r="D4979" s="227"/>
      <c r="E4979" s="227"/>
      <c r="F4979" s="227"/>
      <c r="G4979" s="227"/>
    </row>
    <row r="4980" spans="1:9" s="212" customFormat="1">
      <c r="A4980" s="69"/>
      <c r="B4980" s="69"/>
      <c r="C4980" s="69"/>
      <c r="D4980" s="69"/>
      <c r="E4980" s="69"/>
    </row>
    <row r="4981" spans="1:9" s="212" customFormat="1">
      <c r="A4981" s="120"/>
      <c r="B4981" s="73"/>
      <c r="C4981" s="73"/>
      <c r="D4981" s="73"/>
      <c r="E4981" s="73"/>
      <c r="F4981" s="73"/>
      <c r="G4981" s="73"/>
      <c r="H4981" s="73"/>
    </row>
    <row r="4982" spans="1:9" s="212" customFormat="1">
      <c r="A4982" s="220"/>
      <c r="B4982" s="141"/>
      <c r="C4982" s="141"/>
      <c r="D4982" s="141"/>
      <c r="E4982" s="141"/>
      <c r="F4982" s="141"/>
      <c r="G4982" s="141"/>
      <c r="H4982" s="73"/>
    </row>
    <row r="4983" spans="1:9" s="212" customFormat="1">
      <c r="A4983" s="84"/>
      <c r="B4983" s="83"/>
      <c r="C4983" s="84"/>
      <c r="D4983" s="84"/>
      <c r="E4983" s="84"/>
      <c r="F4983" s="84"/>
      <c r="G4983" s="146"/>
      <c r="H4983" s="225"/>
    </row>
    <row r="4984" spans="1:9" s="212" customFormat="1">
      <c r="A4984" s="84"/>
      <c r="B4984" s="83"/>
      <c r="C4984" s="84"/>
      <c r="D4984" s="84"/>
      <c r="E4984" s="84"/>
      <c r="G4984" s="213"/>
      <c r="H4984" s="222"/>
    </row>
    <row r="4985" spans="1:9" s="212" customFormat="1">
      <c r="A4985" s="120"/>
      <c r="B4985" s="73"/>
      <c r="C4985" s="73"/>
      <c r="D4985" s="73"/>
      <c r="E4985" s="73"/>
      <c r="G4985" s="73"/>
      <c r="H4985" s="222"/>
    </row>
    <row r="4986" spans="1:9" s="212" customFormat="1">
      <c r="A4986" s="220"/>
      <c r="B4986" s="141"/>
      <c r="C4986" s="141"/>
      <c r="D4986" s="141"/>
      <c r="E4986" s="141"/>
      <c r="F4986" s="141"/>
      <c r="G4986" s="141"/>
      <c r="H4986" s="222"/>
    </row>
    <row r="4987" spans="1:9" s="212" customFormat="1">
      <c r="A4987" s="172"/>
      <c r="B4987" s="83"/>
      <c r="C4987" s="84"/>
      <c r="D4987" s="84"/>
      <c r="E4987" s="84"/>
      <c r="F4987" s="141"/>
      <c r="G4987" s="168"/>
      <c r="H4987" s="222"/>
    </row>
    <row r="4988" spans="1:9" s="212" customFormat="1">
      <c r="A4988" s="173"/>
      <c r="B4988" s="83"/>
      <c r="C4988" s="148"/>
      <c r="D4988" s="84"/>
      <c r="E4988" s="84"/>
      <c r="F4988" s="141"/>
      <c r="G4988" s="168"/>
      <c r="H4988" s="222"/>
    </row>
    <row r="4989" spans="1:9" s="212" customFormat="1">
      <c r="A4989" s="150"/>
      <c r="B4989" s="83"/>
      <c r="C4989" s="148"/>
      <c r="D4989" s="84"/>
      <c r="E4989" s="84"/>
      <c r="F4989" s="84"/>
      <c r="G4989" s="168"/>
      <c r="H4989" s="225"/>
    </row>
    <row r="4990" spans="1:9" s="212" customFormat="1">
      <c r="A4990" s="91"/>
      <c r="B4990" s="91"/>
      <c r="C4990" s="91"/>
      <c r="D4990" s="91"/>
      <c r="E4990" s="91"/>
      <c r="G4990" s="213"/>
      <c r="H4990" s="222"/>
    </row>
    <row r="4991" spans="1:9" s="212" customFormat="1">
      <c r="A4991" s="120"/>
      <c r="B4991" s="73"/>
      <c r="C4991" s="73"/>
      <c r="D4991" s="73"/>
      <c r="E4991" s="73"/>
      <c r="G4991" s="73"/>
      <c r="H4991" s="222"/>
    </row>
    <row r="4992" spans="1:9" s="212" customFormat="1">
      <c r="A4992" s="220"/>
      <c r="B4992" s="141"/>
      <c r="C4992" s="141"/>
      <c r="D4992" s="141"/>
      <c r="E4992" s="141"/>
      <c r="F4992" s="141"/>
      <c r="G4992" s="141"/>
      <c r="H4992" s="222"/>
    </row>
    <row r="4993" spans="1:9" s="212" customFormat="1">
      <c r="A4993" s="146"/>
      <c r="B4993" s="147"/>
      <c r="C4993" s="148"/>
      <c r="D4993" s="84"/>
      <c r="E4993" s="143"/>
      <c r="F4993" s="84"/>
      <c r="G4993" s="146"/>
      <c r="H4993" s="225"/>
    </row>
    <row r="4994" spans="1:9" s="212" customFormat="1">
      <c r="A4994" s="91"/>
      <c r="B4994" s="91"/>
      <c r="C4994" s="91"/>
      <c r="D4994" s="91"/>
      <c r="E4994" s="91"/>
      <c r="G4994" s="213"/>
      <c r="H4994" s="222"/>
    </row>
    <row r="4995" spans="1:9" s="212" customFormat="1">
      <c r="A4995" s="120"/>
      <c r="B4995" s="73"/>
      <c r="C4995" s="73"/>
      <c r="D4995" s="73"/>
      <c r="E4995" s="73"/>
      <c r="G4995" s="73"/>
      <c r="H4995" s="222"/>
    </row>
    <row r="4996" spans="1:9" s="212" customFormat="1">
      <c r="A4996" s="220"/>
      <c r="B4996" s="141"/>
      <c r="C4996" s="141"/>
      <c r="D4996" s="141"/>
      <c r="E4996" s="141"/>
      <c r="F4996" s="141"/>
      <c r="G4996" s="141"/>
      <c r="H4996" s="222"/>
    </row>
    <row r="4997" spans="1:9" s="212" customFormat="1">
      <c r="A4997" s="142"/>
      <c r="B4997" s="143"/>
      <c r="C4997" s="143"/>
      <c r="D4997" s="143"/>
      <c r="E4997" s="143"/>
      <c r="F4997" s="84"/>
      <c r="G4997" s="146"/>
      <c r="H4997" s="221"/>
    </row>
    <row r="4998" spans="1:9" s="212" customFormat="1">
      <c r="A4998" s="123"/>
      <c r="B4998" s="95"/>
      <c r="C4998" s="95"/>
      <c r="D4998" s="95"/>
      <c r="E4998" s="95"/>
      <c r="G4998" s="213"/>
      <c r="H4998" s="73"/>
    </row>
    <row r="4999" spans="1:9" s="212" customFormat="1">
      <c r="A4999" s="123"/>
      <c r="B4999" s="95"/>
      <c r="C4999" s="95"/>
      <c r="D4999" s="95"/>
      <c r="E4999" s="95"/>
      <c r="G4999" s="73"/>
      <c r="H4999" s="225"/>
    </row>
    <row r="5000" spans="1:9" s="212" customFormat="1">
      <c r="B5000" s="97"/>
      <c r="C5000" s="98"/>
      <c r="D5000" s="98"/>
      <c r="E5000" s="98"/>
      <c r="G5000" s="220"/>
    </row>
    <row r="5001" spans="1:9" s="212" customFormat="1">
      <c r="B5001" s="97"/>
      <c r="C5001" s="98"/>
      <c r="D5001" s="98"/>
      <c r="E5001" s="98"/>
      <c r="F5001" s="220"/>
      <c r="G5001" s="225"/>
      <c r="H5001" s="226"/>
    </row>
    <row r="5002" spans="1:9" s="212" customFormat="1">
      <c r="A5002" s="633"/>
      <c r="B5002" s="633"/>
      <c r="C5002" s="633"/>
      <c r="D5002" s="633"/>
      <c r="E5002" s="633"/>
      <c r="F5002" s="633"/>
      <c r="G5002" s="633"/>
    </row>
    <row r="5003" spans="1:9" s="212" customFormat="1">
      <c r="H5003" s="227"/>
      <c r="I5003" s="228"/>
    </row>
    <row r="5004" spans="1:9" s="212" customFormat="1">
      <c r="A5004" s="658"/>
      <c r="B5004" s="227"/>
      <c r="C5004" s="227"/>
      <c r="D5004" s="227"/>
      <c r="E5004" s="227"/>
      <c r="F5004" s="227"/>
      <c r="G5004" s="227"/>
      <c r="H5004" s="227"/>
      <c r="I5004" s="229"/>
    </row>
    <row r="5005" spans="1:9" s="212" customFormat="1">
      <c r="A5005" s="658"/>
      <c r="B5005" s="227"/>
      <c r="C5005" s="227"/>
      <c r="D5005" s="227"/>
      <c r="E5005" s="227"/>
      <c r="F5005" s="227"/>
      <c r="G5005" s="227"/>
    </row>
    <row r="5006" spans="1:9" s="212" customFormat="1">
      <c r="A5006" s="69"/>
      <c r="B5006" s="69"/>
      <c r="C5006" s="69"/>
      <c r="D5006" s="69"/>
      <c r="E5006" s="69"/>
    </row>
    <row r="5007" spans="1:9" s="212" customFormat="1">
      <c r="A5007" s="120"/>
      <c r="B5007" s="73"/>
      <c r="C5007" s="73"/>
      <c r="D5007" s="73"/>
      <c r="E5007" s="73"/>
      <c r="F5007" s="73"/>
      <c r="G5007" s="73"/>
      <c r="H5007" s="73"/>
    </row>
    <row r="5008" spans="1:9" s="212" customFormat="1">
      <c r="A5008" s="220"/>
      <c r="B5008" s="141"/>
      <c r="C5008" s="141"/>
      <c r="D5008" s="141"/>
      <c r="E5008" s="141"/>
      <c r="F5008" s="141"/>
      <c r="G5008" s="141"/>
      <c r="H5008" s="73"/>
    </row>
    <row r="5009" spans="1:8" s="212" customFormat="1">
      <c r="A5009" s="84"/>
      <c r="B5009" s="83"/>
      <c r="C5009" s="84"/>
      <c r="D5009" s="84"/>
      <c r="E5009" s="84"/>
      <c r="F5009" s="84"/>
      <c r="G5009" s="146"/>
      <c r="H5009" s="225"/>
    </row>
    <row r="5010" spans="1:8" s="212" customFormat="1">
      <c r="A5010" s="84"/>
      <c r="B5010" s="83"/>
      <c r="C5010" s="84"/>
      <c r="D5010" s="84"/>
      <c r="E5010" s="84"/>
      <c r="G5010" s="213"/>
      <c r="H5010" s="222"/>
    </row>
    <row r="5011" spans="1:8" s="212" customFormat="1">
      <c r="A5011" s="120"/>
      <c r="B5011" s="73"/>
      <c r="C5011" s="73"/>
      <c r="D5011" s="73"/>
      <c r="E5011" s="73"/>
      <c r="G5011" s="73"/>
      <c r="H5011" s="222"/>
    </row>
    <row r="5012" spans="1:8" s="212" customFormat="1">
      <c r="A5012" s="220"/>
      <c r="B5012" s="141"/>
      <c r="C5012" s="141"/>
      <c r="D5012" s="141"/>
      <c r="E5012" s="141"/>
      <c r="F5012" s="141"/>
      <c r="G5012" s="141"/>
      <c r="H5012" s="222"/>
    </row>
    <row r="5013" spans="1:8" s="212" customFormat="1">
      <c r="A5013" s="172"/>
      <c r="B5013" s="83"/>
      <c r="C5013" s="84"/>
      <c r="D5013" s="84"/>
      <c r="E5013" s="84"/>
      <c r="F5013" s="141"/>
      <c r="G5013" s="168"/>
      <c r="H5013" s="222"/>
    </row>
    <row r="5014" spans="1:8" s="212" customFormat="1">
      <c r="A5014" s="173"/>
      <c r="B5014" s="83"/>
      <c r="C5014" s="148"/>
      <c r="D5014" s="84"/>
      <c r="E5014" s="84"/>
      <c r="F5014" s="141"/>
      <c r="G5014" s="168"/>
      <c r="H5014" s="222"/>
    </row>
    <row r="5015" spans="1:8" s="212" customFormat="1">
      <c r="A5015" s="150"/>
      <c r="B5015" s="83"/>
      <c r="C5015" s="148"/>
      <c r="D5015" s="84"/>
      <c r="E5015" s="84"/>
      <c r="F5015" s="84"/>
      <c r="G5015" s="168"/>
      <c r="H5015" s="225"/>
    </row>
    <row r="5016" spans="1:8" s="212" customFormat="1">
      <c r="A5016" s="91"/>
      <c r="B5016" s="91"/>
      <c r="C5016" s="91"/>
      <c r="D5016" s="91"/>
      <c r="E5016" s="91"/>
      <c r="G5016" s="213"/>
      <c r="H5016" s="222"/>
    </row>
    <row r="5017" spans="1:8" s="212" customFormat="1">
      <c r="A5017" s="120"/>
      <c r="B5017" s="73"/>
      <c r="C5017" s="73"/>
      <c r="D5017" s="73"/>
      <c r="E5017" s="73"/>
      <c r="G5017" s="73"/>
      <c r="H5017" s="222"/>
    </row>
    <row r="5018" spans="1:8" s="212" customFormat="1">
      <c r="A5018" s="220"/>
      <c r="B5018" s="141"/>
      <c r="C5018" s="141"/>
      <c r="D5018" s="141"/>
      <c r="E5018" s="141"/>
      <c r="F5018" s="141"/>
      <c r="G5018" s="141"/>
      <c r="H5018" s="222"/>
    </row>
    <row r="5019" spans="1:8" s="212" customFormat="1">
      <c r="A5019" s="146"/>
      <c r="B5019" s="147"/>
      <c r="C5019" s="148"/>
      <c r="D5019" s="84"/>
      <c r="E5019" s="143"/>
      <c r="F5019" s="84"/>
      <c r="G5019" s="146"/>
      <c r="H5019" s="225"/>
    </row>
    <row r="5020" spans="1:8" s="212" customFormat="1">
      <c r="A5020" s="91"/>
      <c r="B5020" s="91"/>
      <c r="C5020" s="91"/>
      <c r="D5020" s="91"/>
      <c r="E5020" s="91"/>
      <c r="G5020" s="213"/>
      <c r="H5020" s="222"/>
    </row>
    <row r="5021" spans="1:8" s="212" customFormat="1">
      <c r="A5021" s="120"/>
      <c r="B5021" s="73"/>
      <c r="C5021" s="73"/>
      <c r="D5021" s="73"/>
      <c r="E5021" s="73"/>
      <c r="G5021" s="73"/>
      <c r="H5021" s="222"/>
    </row>
    <row r="5022" spans="1:8" s="212" customFormat="1">
      <c r="A5022" s="220"/>
      <c r="B5022" s="141"/>
      <c r="C5022" s="141"/>
      <c r="D5022" s="141"/>
      <c r="E5022" s="141"/>
      <c r="F5022" s="141"/>
      <c r="G5022" s="141"/>
      <c r="H5022" s="222"/>
    </row>
    <row r="5023" spans="1:8" s="212" customFormat="1">
      <c r="A5023" s="142"/>
      <c r="B5023" s="143"/>
      <c r="C5023" s="143"/>
      <c r="D5023" s="143"/>
      <c r="E5023" s="143"/>
      <c r="F5023" s="84"/>
      <c r="G5023" s="146"/>
      <c r="H5023" s="221"/>
    </row>
    <row r="5024" spans="1:8" s="212" customFormat="1">
      <c r="A5024" s="123"/>
      <c r="B5024" s="95"/>
      <c r="C5024" s="95"/>
      <c r="D5024" s="95"/>
      <c r="E5024" s="95"/>
      <c r="G5024" s="213"/>
      <c r="H5024" s="73"/>
    </row>
    <row r="5025" spans="1:9" s="212" customFormat="1">
      <c r="A5025" s="123"/>
      <c r="B5025" s="95"/>
      <c r="C5025" s="95"/>
      <c r="D5025" s="95"/>
      <c r="E5025" s="95"/>
      <c r="G5025" s="73"/>
      <c r="H5025" s="225"/>
    </row>
    <row r="5026" spans="1:9" s="212" customFormat="1">
      <c r="B5026" s="97"/>
      <c r="C5026" s="98"/>
      <c r="D5026" s="98"/>
      <c r="E5026" s="98"/>
      <c r="G5026" s="220"/>
    </row>
    <row r="5027" spans="1:9" s="212" customFormat="1">
      <c r="B5027" s="97"/>
      <c r="C5027" s="98"/>
      <c r="D5027" s="98"/>
      <c r="E5027" s="98"/>
      <c r="F5027" s="220"/>
      <c r="G5027" s="225"/>
      <c r="H5027" s="226"/>
    </row>
    <row r="5028" spans="1:9" s="212" customFormat="1">
      <c r="A5028" s="633"/>
      <c r="B5028" s="633"/>
      <c r="C5028" s="633"/>
      <c r="D5028" s="633"/>
      <c r="E5028" s="633"/>
      <c r="F5028" s="633"/>
      <c r="G5028" s="633"/>
    </row>
    <row r="5029" spans="1:9" s="212" customFormat="1">
      <c r="H5029" s="227"/>
      <c r="I5029" s="228"/>
    </row>
    <row r="5030" spans="1:9" s="212" customFormat="1">
      <c r="A5030" s="658"/>
      <c r="B5030" s="227"/>
      <c r="C5030" s="227"/>
      <c r="D5030" s="227"/>
      <c r="E5030" s="227"/>
      <c r="F5030" s="227"/>
      <c r="G5030" s="227"/>
      <c r="H5030" s="227"/>
      <c r="I5030" s="229"/>
    </row>
    <row r="5031" spans="1:9" s="212" customFormat="1">
      <c r="A5031" s="658"/>
      <c r="B5031" s="227"/>
      <c r="C5031" s="227"/>
      <c r="D5031" s="227"/>
      <c r="E5031" s="227"/>
      <c r="F5031" s="227"/>
      <c r="G5031" s="227"/>
    </row>
    <row r="5032" spans="1:9" s="212" customFormat="1">
      <c r="A5032" s="69"/>
      <c r="B5032" s="69"/>
      <c r="C5032" s="69"/>
      <c r="D5032" s="69"/>
      <c r="E5032" s="69"/>
    </row>
    <row r="5033" spans="1:9" s="212" customFormat="1">
      <c r="A5033" s="120"/>
      <c r="B5033" s="73"/>
      <c r="C5033" s="73"/>
      <c r="D5033" s="73"/>
      <c r="E5033" s="73"/>
      <c r="F5033" s="73"/>
      <c r="G5033" s="73"/>
      <c r="H5033" s="73"/>
    </row>
    <row r="5034" spans="1:9" s="212" customFormat="1">
      <c r="A5034" s="220"/>
      <c r="B5034" s="141"/>
      <c r="C5034" s="141"/>
      <c r="D5034" s="141"/>
      <c r="E5034" s="141"/>
      <c r="F5034" s="141"/>
      <c r="G5034" s="141"/>
      <c r="H5034" s="73"/>
    </row>
    <row r="5035" spans="1:9" s="212" customFormat="1">
      <c r="A5035" s="84"/>
      <c r="B5035" s="83"/>
      <c r="C5035" s="84"/>
      <c r="D5035" s="84"/>
      <c r="E5035" s="84"/>
      <c r="F5035" s="84"/>
      <c r="G5035" s="146"/>
      <c r="H5035" s="225"/>
    </row>
    <row r="5036" spans="1:9" s="212" customFormat="1">
      <c r="A5036" s="84"/>
      <c r="B5036" s="83"/>
      <c r="C5036" s="84"/>
      <c r="D5036" s="84"/>
      <c r="E5036" s="84"/>
      <c r="G5036" s="213"/>
      <c r="H5036" s="222"/>
    </row>
    <row r="5037" spans="1:9" s="212" customFormat="1">
      <c r="A5037" s="120"/>
      <c r="B5037" s="73"/>
      <c r="C5037" s="73"/>
      <c r="D5037" s="73"/>
      <c r="E5037" s="73"/>
      <c r="G5037" s="73"/>
      <c r="H5037" s="222"/>
    </row>
    <row r="5038" spans="1:9" s="212" customFormat="1">
      <c r="A5038" s="220"/>
      <c r="B5038" s="141"/>
      <c r="C5038" s="141"/>
      <c r="D5038" s="141"/>
      <c r="E5038" s="141"/>
      <c r="F5038" s="141"/>
      <c r="G5038" s="141"/>
      <c r="H5038" s="222"/>
    </row>
    <row r="5039" spans="1:9" s="212" customFormat="1">
      <c r="A5039" s="172"/>
      <c r="B5039" s="83"/>
      <c r="C5039" s="84"/>
      <c r="D5039" s="84"/>
      <c r="E5039" s="84"/>
      <c r="F5039" s="141"/>
      <c r="G5039" s="168"/>
      <c r="H5039" s="222"/>
    </row>
    <row r="5040" spans="1:9" s="212" customFormat="1">
      <c r="A5040" s="173"/>
      <c r="B5040" s="83"/>
      <c r="C5040" s="148"/>
      <c r="D5040" s="84"/>
      <c r="E5040" s="84"/>
      <c r="F5040" s="141"/>
      <c r="G5040" s="168"/>
      <c r="H5040" s="222"/>
    </row>
    <row r="5041" spans="1:9" s="212" customFormat="1">
      <c r="A5041" s="150"/>
      <c r="B5041" s="83"/>
      <c r="C5041" s="148"/>
      <c r="D5041" s="84"/>
      <c r="E5041" s="84"/>
      <c r="F5041" s="84"/>
      <c r="G5041" s="168"/>
      <c r="H5041" s="225"/>
    </row>
    <row r="5042" spans="1:9" s="212" customFormat="1">
      <c r="A5042" s="91"/>
      <c r="B5042" s="91"/>
      <c r="C5042" s="91"/>
      <c r="D5042" s="91"/>
      <c r="E5042" s="91"/>
      <c r="G5042" s="213"/>
      <c r="H5042" s="222"/>
    </row>
    <row r="5043" spans="1:9" s="212" customFormat="1">
      <c r="A5043" s="120"/>
      <c r="B5043" s="73"/>
      <c r="C5043" s="73"/>
      <c r="D5043" s="73"/>
      <c r="E5043" s="73"/>
      <c r="G5043" s="73"/>
      <c r="H5043" s="222"/>
    </row>
    <row r="5044" spans="1:9" s="212" customFormat="1">
      <c r="A5044" s="220"/>
      <c r="B5044" s="141"/>
      <c r="C5044" s="141"/>
      <c r="D5044" s="141"/>
      <c r="E5044" s="141"/>
      <c r="F5044" s="141"/>
      <c r="G5044" s="141"/>
      <c r="H5044" s="222"/>
    </row>
    <row r="5045" spans="1:9" s="212" customFormat="1">
      <c r="A5045" s="146"/>
      <c r="B5045" s="147"/>
      <c r="C5045" s="148"/>
      <c r="D5045" s="84"/>
      <c r="E5045" s="143"/>
      <c r="F5045" s="84"/>
      <c r="G5045" s="146"/>
      <c r="H5045" s="225"/>
    </row>
    <row r="5046" spans="1:9" s="212" customFormat="1">
      <c r="A5046" s="91"/>
      <c r="B5046" s="91"/>
      <c r="C5046" s="91"/>
      <c r="D5046" s="91"/>
      <c r="E5046" s="91"/>
      <c r="G5046" s="213"/>
      <c r="H5046" s="222"/>
    </row>
    <row r="5047" spans="1:9" s="212" customFormat="1">
      <c r="A5047" s="120"/>
      <c r="B5047" s="73"/>
      <c r="C5047" s="73"/>
      <c r="D5047" s="73"/>
      <c r="E5047" s="73"/>
      <c r="G5047" s="73"/>
      <c r="H5047" s="222"/>
    </row>
    <row r="5048" spans="1:9" s="212" customFormat="1">
      <c r="A5048" s="220"/>
      <c r="B5048" s="141"/>
      <c r="C5048" s="141"/>
      <c r="D5048" s="141"/>
      <c r="E5048" s="141"/>
      <c r="F5048" s="141"/>
      <c r="G5048" s="141"/>
      <c r="H5048" s="222"/>
    </row>
    <row r="5049" spans="1:9" s="212" customFormat="1">
      <c r="A5049" s="142"/>
      <c r="B5049" s="143"/>
      <c r="C5049" s="143"/>
      <c r="D5049" s="143"/>
      <c r="E5049" s="143"/>
      <c r="F5049" s="84"/>
      <c r="G5049" s="146"/>
      <c r="H5049" s="221"/>
    </row>
    <row r="5050" spans="1:9" s="212" customFormat="1">
      <c r="A5050" s="123"/>
      <c r="B5050" s="95"/>
      <c r="C5050" s="95"/>
      <c r="D5050" s="95"/>
      <c r="E5050" s="95"/>
      <c r="G5050" s="213"/>
      <c r="H5050" s="73"/>
    </row>
    <row r="5051" spans="1:9" s="212" customFormat="1">
      <c r="A5051" s="123"/>
      <c r="B5051" s="95"/>
      <c r="C5051" s="95"/>
      <c r="D5051" s="95"/>
      <c r="E5051" s="95"/>
      <c r="G5051" s="73"/>
      <c r="H5051" s="225"/>
    </row>
    <row r="5052" spans="1:9" s="212" customFormat="1">
      <c r="B5052" s="97"/>
      <c r="C5052" s="98"/>
      <c r="D5052" s="98"/>
      <c r="E5052" s="98"/>
      <c r="G5052" s="220"/>
    </row>
    <row r="5053" spans="1:9" s="212" customFormat="1">
      <c r="B5053" s="97"/>
      <c r="C5053" s="98"/>
      <c r="D5053" s="98"/>
      <c r="E5053" s="98"/>
      <c r="F5053" s="220"/>
      <c r="G5053" s="225"/>
      <c r="H5053" s="226"/>
    </row>
    <row r="5054" spans="1:9" s="212" customFormat="1">
      <c r="A5054" s="633"/>
      <c r="B5054" s="633"/>
      <c r="C5054" s="633"/>
      <c r="D5054" s="633"/>
      <c r="E5054" s="633"/>
      <c r="F5054" s="633"/>
      <c r="G5054" s="633"/>
    </row>
    <row r="5055" spans="1:9" s="212" customFormat="1">
      <c r="H5055" s="227"/>
      <c r="I5055" s="228"/>
    </row>
    <row r="5056" spans="1:9" s="212" customFormat="1">
      <c r="A5056" s="658"/>
      <c r="B5056" s="227"/>
      <c r="C5056" s="227"/>
      <c r="D5056" s="227"/>
      <c r="E5056" s="227"/>
      <c r="F5056" s="227"/>
      <c r="G5056" s="227"/>
      <c r="H5056" s="227"/>
      <c r="I5056" s="229"/>
    </row>
    <row r="5057" spans="1:8" s="212" customFormat="1">
      <c r="A5057" s="658"/>
      <c r="B5057" s="227"/>
      <c r="C5057" s="227"/>
      <c r="D5057" s="227"/>
      <c r="E5057" s="227"/>
      <c r="F5057" s="227"/>
      <c r="G5057" s="227"/>
    </row>
    <row r="5058" spans="1:8" s="212" customFormat="1">
      <c r="A5058" s="69"/>
      <c r="B5058" s="69"/>
      <c r="C5058" s="69"/>
      <c r="D5058" s="69"/>
      <c r="E5058" s="69"/>
    </row>
    <row r="5059" spans="1:8" s="212" customFormat="1">
      <c r="A5059" s="120"/>
      <c r="B5059" s="73"/>
      <c r="C5059" s="73"/>
      <c r="D5059" s="73"/>
      <c r="E5059" s="73"/>
      <c r="F5059" s="73"/>
      <c r="G5059" s="73"/>
      <c r="H5059" s="73"/>
    </row>
    <row r="5060" spans="1:8" s="212" customFormat="1">
      <c r="A5060" s="220"/>
      <c r="B5060" s="141"/>
      <c r="C5060" s="141"/>
      <c r="D5060" s="141"/>
      <c r="E5060" s="141"/>
      <c r="F5060" s="141"/>
      <c r="G5060" s="141"/>
      <c r="H5060" s="73"/>
    </row>
    <row r="5061" spans="1:8" s="212" customFormat="1">
      <c r="A5061" s="84"/>
      <c r="B5061" s="83"/>
      <c r="C5061" s="84"/>
      <c r="D5061" s="84"/>
      <c r="E5061" s="84"/>
      <c r="F5061" s="84"/>
      <c r="G5061" s="146"/>
      <c r="H5061" s="225"/>
    </row>
    <row r="5062" spans="1:8" s="212" customFormat="1">
      <c r="A5062" s="84"/>
      <c r="B5062" s="83"/>
      <c r="C5062" s="84"/>
      <c r="D5062" s="84"/>
      <c r="E5062" s="84"/>
      <c r="G5062" s="213"/>
      <c r="H5062" s="222"/>
    </row>
    <row r="5063" spans="1:8" s="212" customFormat="1">
      <c r="A5063" s="120"/>
      <c r="B5063" s="73"/>
      <c r="C5063" s="73"/>
      <c r="D5063" s="73"/>
      <c r="E5063" s="73"/>
      <c r="G5063" s="73"/>
      <c r="H5063" s="222"/>
    </row>
    <row r="5064" spans="1:8" s="212" customFormat="1">
      <c r="A5064" s="220"/>
      <c r="B5064" s="141"/>
      <c r="C5064" s="141"/>
      <c r="D5064" s="141"/>
      <c r="E5064" s="141"/>
      <c r="F5064" s="141"/>
      <c r="G5064" s="141"/>
      <c r="H5064" s="222"/>
    </row>
    <row r="5065" spans="1:8" s="212" customFormat="1">
      <c r="A5065" s="172"/>
      <c r="B5065" s="83"/>
      <c r="C5065" s="84"/>
      <c r="D5065" s="84"/>
      <c r="E5065" s="168"/>
      <c r="F5065" s="141"/>
      <c r="G5065" s="168"/>
      <c r="H5065" s="222"/>
    </row>
    <row r="5066" spans="1:8" s="212" customFormat="1">
      <c r="A5066" s="173"/>
      <c r="B5066" s="83"/>
      <c r="C5066" s="84"/>
      <c r="D5066" s="84"/>
      <c r="E5066" s="168"/>
      <c r="F5066" s="141"/>
      <c r="G5066" s="168"/>
      <c r="H5066" s="222"/>
    </row>
    <row r="5067" spans="1:8" s="212" customFormat="1">
      <c r="A5067" s="173"/>
      <c r="B5067" s="83"/>
      <c r="C5067" s="84"/>
      <c r="D5067" s="84"/>
      <c r="E5067" s="168"/>
      <c r="F5067" s="141"/>
      <c r="G5067" s="168"/>
      <c r="H5067" s="222"/>
    </row>
    <row r="5068" spans="1:8" s="212" customFormat="1">
      <c r="A5068" s="150"/>
      <c r="B5068" s="83"/>
      <c r="C5068" s="148"/>
      <c r="D5068" s="84"/>
      <c r="E5068" s="168"/>
      <c r="F5068" s="84"/>
      <c r="G5068" s="168"/>
      <c r="H5068" s="225"/>
    </row>
    <row r="5069" spans="1:8" s="212" customFormat="1">
      <c r="A5069" s="91"/>
      <c r="B5069" s="91"/>
      <c r="C5069" s="91"/>
      <c r="D5069" s="91"/>
      <c r="E5069" s="91"/>
      <c r="G5069" s="213"/>
      <c r="H5069" s="222"/>
    </row>
    <row r="5070" spans="1:8" s="212" customFormat="1">
      <c r="A5070" s="120"/>
      <c r="B5070" s="73"/>
      <c r="C5070" s="73"/>
      <c r="D5070" s="73"/>
      <c r="E5070" s="73"/>
      <c r="G5070" s="73"/>
      <c r="H5070" s="222"/>
    </row>
    <row r="5071" spans="1:8" s="212" customFormat="1">
      <c r="A5071" s="220"/>
      <c r="B5071" s="141"/>
      <c r="C5071" s="141"/>
      <c r="D5071" s="141"/>
      <c r="E5071" s="141"/>
      <c r="F5071" s="141"/>
      <c r="G5071" s="141"/>
      <c r="H5071" s="222"/>
    </row>
    <row r="5072" spans="1:8" s="212" customFormat="1">
      <c r="A5072" s="220"/>
      <c r="B5072" s="83"/>
      <c r="C5072" s="148"/>
      <c r="D5072" s="84"/>
      <c r="E5072" s="84"/>
      <c r="F5072" s="141"/>
      <c r="G5072" s="84"/>
      <c r="H5072" s="222"/>
    </row>
    <row r="5073" spans="1:9" s="212" customFormat="1">
      <c r="A5073" s="146"/>
      <c r="B5073" s="147"/>
      <c r="C5073" s="148"/>
      <c r="D5073" s="84"/>
      <c r="E5073" s="143"/>
      <c r="F5073" s="84"/>
      <c r="G5073" s="146"/>
      <c r="H5073" s="225"/>
    </row>
    <row r="5074" spans="1:9" s="212" customFormat="1">
      <c r="A5074" s="91"/>
      <c r="B5074" s="91"/>
      <c r="C5074" s="91"/>
      <c r="D5074" s="91"/>
      <c r="E5074" s="91"/>
      <c r="G5074" s="213"/>
      <c r="H5074" s="222"/>
    </row>
    <row r="5075" spans="1:9" s="212" customFormat="1">
      <c r="A5075" s="120"/>
      <c r="B5075" s="73"/>
      <c r="C5075" s="73"/>
      <c r="D5075" s="73"/>
      <c r="E5075" s="73"/>
      <c r="G5075" s="73"/>
      <c r="H5075" s="222"/>
    </row>
    <row r="5076" spans="1:9" s="212" customFormat="1">
      <c r="A5076" s="220"/>
      <c r="B5076" s="141"/>
      <c r="C5076" s="141"/>
      <c r="D5076" s="141"/>
      <c r="E5076" s="141"/>
      <c r="F5076" s="141"/>
      <c r="G5076" s="141"/>
      <c r="H5076" s="222"/>
    </row>
    <row r="5077" spans="1:9" s="212" customFormat="1">
      <c r="A5077" s="142"/>
      <c r="B5077" s="143"/>
      <c r="C5077" s="143"/>
      <c r="D5077" s="143"/>
      <c r="E5077" s="143"/>
      <c r="F5077" s="84"/>
      <c r="G5077" s="146"/>
      <c r="H5077" s="221"/>
    </row>
    <row r="5078" spans="1:9" s="212" customFormat="1">
      <c r="A5078" s="123"/>
      <c r="B5078" s="95"/>
      <c r="C5078" s="95"/>
      <c r="D5078" s="95"/>
      <c r="E5078" s="95"/>
      <c r="G5078" s="213"/>
      <c r="H5078" s="73"/>
    </row>
    <row r="5079" spans="1:9" s="212" customFormat="1">
      <c r="A5079" s="123"/>
      <c r="B5079" s="95"/>
      <c r="C5079" s="95"/>
      <c r="D5079" s="95"/>
      <c r="E5079" s="95"/>
      <c r="G5079" s="73"/>
      <c r="H5079" s="225"/>
    </row>
    <row r="5080" spans="1:9" s="212" customFormat="1">
      <c r="B5080" s="97"/>
      <c r="C5080" s="98"/>
      <c r="D5080" s="98"/>
      <c r="E5080" s="98"/>
      <c r="G5080" s="220"/>
    </row>
    <row r="5081" spans="1:9" s="212" customFormat="1">
      <c r="B5081" s="97"/>
      <c r="C5081" s="98"/>
      <c r="D5081" s="98"/>
      <c r="E5081" s="98"/>
      <c r="F5081" s="220"/>
      <c r="G5081" s="225"/>
      <c r="H5081" s="226"/>
    </row>
    <row r="5082" spans="1:9" s="212" customFormat="1">
      <c r="A5082" s="633"/>
      <c r="B5082" s="633"/>
      <c r="C5082" s="633"/>
      <c r="D5082" s="633"/>
      <c r="E5082" s="633"/>
      <c r="F5082" s="633"/>
      <c r="G5082" s="633"/>
    </row>
    <row r="5083" spans="1:9" s="212" customFormat="1">
      <c r="H5083" s="227"/>
      <c r="I5083" s="228"/>
    </row>
    <row r="5084" spans="1:9" s="212" customFormat="1">
      <c r="A5084" s="658"/>
      <c r="B5084" s="227"/>
      <c r="C5084" s="227"/>
      <c r="D5084" s="227"/>
      <c r="E5084" s="227"/>
      <c r="F5084" s="227"/>
      <c r="G5084" s="227"/>
      <c r="H5084" s="227"/>
      <c r="I5084" s="229"/>
    </row>
    <row r="5085" spans="1:9" s="212" customFormat="1">
      <c r="A5085" s="658"/>
      <c r="B5085" s="227"/>
      <c r="C5085" s="227"/>
      <c r="D5085" s="227"/>
      <c r="E5085" s="227"/>
      <c r="F5085" s="227"/>
      <c r="G5085" s="227"/>
    </row>
    <row r="5086" spans="1:9" s="212" customFormat="1">
      <c r="A5086" s="69"/>
      <c r="B5086" s="69"/>
      <c r="C5086" s="69"/>
      <c r="D5086" s="69"/>
      <c r="E5086" s="69"/>
    </row>
    <row r="5087" spans="1:9" s="212" customFormat="1">
      <c r="A5087" s="120"/>
      <c r="B5087" s="73"/>
      <c r="C5087" s="73"/>
      <c r="D5087" s="73"/>
      <c r="E5087" s="73"/>
      <c r="F5087" s="73"/>
      <c r="G5087" s="73"/>
      <c r="H5087" s="73"/>
    </row>
    <row r="5088" spans="1:9" s="212" customFormat="1">
      <c r="A5088" s="220"/>
      <c r="B5088" s="141"/>
      <c r="C5088" s="141"/>
      <c r="D5088" s="141"/>
      <c r="E5088" s="141"/>
      <c r="F5088" s="141"/>
      <c r="G5088" s="141"/>
      <c r="H5088" s="73"/>
    </row>
    <row r="5089" spans="1:8" s="212" customFormat="1">
      <c r="A5089" s="84"/>
      <c r="B5089" s="83"/>
      <c r="C5089" s="84"/>
      <c r="D5089" s="84"/>
      <c r="E5089" s="84"/>
      <c r="F5089" s="84"/>
      <c r="G5089" s="146"/>
      <c r="H5089" s="225"/>
    </row>
    <row r="5090" spans="1:8" s="212" customFormat="1">
      <c r="A5090" s="84"/>
      <c r="B5090" s="83"/>
      <c r="C5090" s="84"/>
      <c r="D5090" s="84"/>
      <c r="E5090" s="84"/>
      <c r="G5090" s="213"/>
      <c r="H5090" s="222"/>
    </row>
    <row r="5091" spans="1:8" s="212" customFormat="1">
      <c r="A5091" s="120"/>
      <c r="B5091" s="73"/>
      <c r="C5091" s="73"/>
      <c r="D5091" s="73"/>
      <c r="E5091" s="73"/>
      <c r="G5091" s="73"/>
      <c r="H5091" s="222"/>
    </row>
    <row r="5092" spans="1:8" s="212" customFormat="1">
      <c r="A5092" s="220"/>
      <c r="B5092" s="141"/>
      <c r="C5092" s="141"/>
      <c r="D5092" s="141"/>
      <c r="E5092" s="141"/>
      <c r="F5092" s="141"/>
      <c r="G5092" s="141"/>
      <c r="H5092" s="222"/>
    </row>
    <row r="5093" spans="1:8" s="212" customFormat="1">
      <c r="A5093" s="172"/>
      <c r="B5093" s="83"/>
      <c r="C5093" s="84"/>
      <c r="D5093" s="84"/>
      <c r="E5093" s="168"/>
      <c r="F5093" s="141"/>
      <c r="G5093" s="168"/>
      <c r="H5093" s="222"/>
    </row>
    <row r="5094" spans="1:8" s="212" customFormat="1">
      <c r="A5094" s="173"/>
      <c r="B5094" s="83"/>
      <c r="C5094" s="84"/>
      <c r="D5094" s="84"/>
      <c r="E5094" s="84"/>
      <c r="F5094" s="141"/>
      <c r="G5094" s="168"/>
      <c r="H5094" s="222"/>
    </row>
    <row r="5095" spans="1:8" s="212" customFormat="1">
      <c r="A5095" s="173"/>
      <c r="B5095" s="83"/>
      <c r="C5095" s="84"/>
      <c r="D5095" s="84"/>
      <c r="E5095" s="84"/>
      <c r="F5095" s="141"/>
      <c r="G5095" s="168"/>
      <c r="H5095" s="222"/>
    </row>
    <row r="5096" spans="1:8" s="212" customFormat="1">
      <c r="A5096" s="150"/>
      <c r="B5096" s="83"/>
      <c r="C5096" s="148"/>
      <c r="D5096" s="84"/>
      <c r="E5096" s="84"/>
      <c r="F5096" s="84"/>
      <c r="G5096" s="168"/>
      <c r="H5096" s="225"/>
    </row>
    <row r="5097" spans="1:8" s="212" customFormat="1">
      <c r="A5097" s="91"/>
      <c r="B5097" s="91"/>
      <c r="C5097" s="91"/>
      <c r="D5097" s="91"/>
      <c r="E5097" s="91"/>
      <c r="G5097" s="213"/>
      <c r="H5097" s="222"/>
    </row>
    <row r="5098" spans="1:8" s="212" customFormat="1">
      <c r="A5098" s="120"/>
      <c r="B5098" s="73"/>
      <c r="C5098" s="73"/>
      <c r="D5098" s="73"/>
      <c r="E5098" s="73"/>
      <c r="G5098" s="73"/>
      <c r="H5098" s="222"/>
    </row>
    <row r="5099" spans="1:8" s="212" customFormat="1">
      <c r="A5099" s="220"/>
      <c r="B5099" s="141"/>
      <c r="C5099" s="141"/>
      <c r="D5099" s="141"/>
      <c r="E5099" s="141"/>
      <c r="F5099" s="141"/>
      <c r="G5099" s="141"/>
      <c r="H5099" s="222"/>
    </row>
    <row r="5100" spans="1:8" s="212" customFormat="1">
      <c r="A5100" s="220"/>
      <c r="B5100" s="83"/>
      <c r="C5100" s="148"/>
      <c r="D5100" s="84"/>
      <c r="E5100" s="84"/>
      <c r="F5100" s="141"/>
      <c r="G5100" s="84"/>
      <c r="H5100" s="222"/>
    </row>
    <row r="5101" spans="1:8" s="212" customFormat="1">
      <c r="A5101" s="146"/>
      <c r="B5101" s="147"/>
      <c r="C5101" s="148"/>
      <c r="D5101" s="84"/>
      <c r="E5101" s="143"/>
      <c r="F5101" s="84"/>
      <c r="G5101" s="146"/>
      <c r="H5101" s="225"/>
    </row>
    <row r="5102" spans="1:8" s="212" customFormat="1">
      <c r="A5102" s="91"/>
      <c r="B5102" s="91"/>
      <c r="C5102" s="91"/>
      <c r="D5102" s="91"/>
      <c r="E5102" s="91"/>
      <c r="G5102" s="213"/>
      <c r="H5102" s="222"/>
    </row>
    <row r="5103" spans="1:8" s="212" customFormat="1">
      <c r="A5103" s="120"/>
      <c r="B5103" s="73"/>
      <c r="C5103" s="73"/>
      <c r="D5103" s="73"/>
      <c r="E5103" s="73"/>
      <c r="G5103" s="73"/>
      <c r="H5103" s="222"/>
    </row>
    <row r="5104" spans="1:8" s="212" customFormat="1">
      <c r="A5104" s="220"/>
      <c r="B5104" s="141"/>
      <c r="C5104" s="141"/>
      <c r="D5104" s="141"/>
      <c r="E5104" s="141"/>
      <c r="F5104" s="141"/>
      <c r="G5104" s="141"/>
      <c r="H5104" s="222"/>
    </row>
    <row r="5105" spans="1:9" s="212" customFormat="1">
      <c r="A5105" s="142"/>
      <c r="B5105" s="143"/>
      <c r="C5105" s="143"/>
      <c r="D5105" s="143"/>
      <c r="E5105" s="143"/>
      <c r="F5105" s="84"/>
      <c r="G5105" s="146"/>
      <c r="H5105" s="221"/>
    </row>
    <row r="5106" spans="1:9" s="212" customFormat="1">
      <c r="A5106" s="123"/>
      <c r="B5106" s="95"/>
      <c r="C5106" s="95"/>
      <c r="D5106" s="95"/>
      <c r="E5106" s="95"/>
      <c r="G5106" s="213"/>
      <c r="H5106" s="73"/>
    </row>
    <row r="5107" spans="1:9" s="212" customFormat="1">
      <c r="A5107" s="123"/>
      <c r="B5107" s="95"/>
      <c r="C5107" s="95"/>
      <c r="D5107" s="95"/>
      <c r="E5107" s="95"/>
      <c r="G5107" s="73"/>
      <c r="H5107" s="225"/>
    </row>
    <row r="5108" spans="1:9" s="212" customFormat="1">
      <c r="B5108" s="97"/>
      <c r="C5108" s="98"/>
      <c r="D5108" s="98"/>
      <c r="E5108" s="98"/>
      <c r="G5108" s="220"/>
    </row>
    <row r="5109" spans="1:9" s="212" customFormat="1">
      <c r="B5109" s="97"/>
      <c r="C5109" s="98"/>
      <c r="D5109" s="98"/>
      <c r="E5109" s="98"/>
      <c r="F5109" s="220"/>
      <c r="G5109" s="225"/>
      <c r="H5109" s="226"/>
    </row>
    <row r="5110" spans="1:9" s="212" customFormat="1">
      <c r="A5110" s="633"/>
      <c r="B5110" s="633"/>
      <c r="C5110" s="633"/>
      <c r="D5110" s="633"/>
      <c r="E5110" s="633"/>
      <c r="F5110" s="633"/>
      <c r="G5110" s="633"/>
    </row>
    <row r="5111" spans="1:9" s="212" customFormat="1">
      <c r="H5111" s="227"/>
      <c r="I5111" s="228"/>
    </row>
    <row r="5112" spans="1:9" s="212" customFormat="1">
      <c r="A5112" s="658"/>
      <c r="B5112" s="227"/>
      <c r="C5112" s="227"/>
      <c r="D5112" s="227"/>
      <c r="E5112" s="227"/>
      <c r="F5112" s="227"/>
      <c r="G5112" s="227"/>
      <c r="H5112" s="227"/>
      <c r="I5112" s="229"/>
    </row>
    <row r="5113" spans="1:9" s="212" customFormat="1">
      <c r="A5113" s="658"/>
      <c r="B5113" s="227"/>
      <c r="C5113" s="227"/>
      <c r="D5113" s="227"/>
      <c r="E5113" s="227"/>
      <c r="F5113" s="227"/>
      <c r="G5113" s="227"/>
    </row>
    <row r="5114" spans="1:9" s="212" customFormat="1">
      <c r="A5114" s="69"/>
      <c r="B5114" s="69"/>
      <c r="C5114" s="69"/>
      <c r="D5114" s="69"/>
      <c r="E5114" s="69"/>
    </row>
    <row r="5115" spans="1:9" s="212" customFormat="1">
      <c r="A5115" s="120"/>
      <c r="B5115" s="73"/>
      <c r="C5115" s="73"/>
      <c r="D5115" s="73"/>
      <c r="E5115" s="73"/>
      <c r="F5115" s="73"/>
      <c r="G5115" s="73"/>
      <c r="H5115" s="73"/>
    </row>
    <row r="5116" spans="1:9" s="212" customFormat="1">
      <c r="A5116" s="220"/>
      <c r="B5116" s="141"/>
      <c r="C5116" s="141"/>
      <c r="D5116" s="141"/>
      <c r="E5116" s="141"/>
      <c r="F5116" s="141"/>
      <c r="G5116" s="141"/>
      <c r="H5116" s="73"/>
    </row>
    <row r="5117" spans="1:9" s="212" customFormat="1">
      <c r="A5117" s="84"/>
      <c r="B5117" s="83"/>
      <c r="C5117" s="84"/>
      <c r="D5117" s="84"/>
      <c r="E5117" s="84"/>
      <c r="F5117" s="84"/>
      <c r="G5117" s="146"/>
      <c r="H5117" s="225"/>
    </row>
    <row r="5118" spans="1:9" s="212" customFormat="1">
      <c r="A5118" s="84"/>
      <c r="B5118" s="83"/>
      <c r="C5118" s="84"/>
      <c r="D5118" s="84"/>
      <c r="E5118" s="84"/>
      <c r="G5118" s="213"/>
      <c r="H5118" s="222"/>
    </row>
    <row r="5119" spans="1:9" s="212" customFormat="1">
      <c r="A5119" s="120"/>
      <c r="B5119" s="73"/>
      <c r="C5119" s="73"/>
      <c r="D5119" s="73"/>
      <c r="E5119" s="73"/>
      <c r="G5119" s="73"/>
      <c r="H5119" s="222"/>
    </row>
    <row r="5120" spans="1:9" s="212" customFormat="1">
      <c r="A5120" s="220"/>
      <c r="B5120" s="141"/>
      <c r="C5120" s="141"/>
      <c r="D5120" s="141"/>
      <c r="E5120" s="141"/>
      <c r="F5120" s="141"/>
      <c r="G5120" s="141"/>
      <c r="H5120" s="222"/>
    </row>
    <row r="5121" spans="1:9" s="212" customFormat="1">
      <c r="A5121" s="172"/>
      <c r="B5121" s="83"/>
      <c r="C5121" s="84"/>
      <c r="D5121" s="84"/>
      <c r="E5121" s="168"/>
      <c r="F5121" s="141"/>
      <c r="G5121" s="168"/>
      <c r="H5121" s="222"/>
    </row>
    <row r="5122" spans="1:9" s="212" customFormat="1">
      <c r="A5122" s="173"/>
      <c r="B5122" s="83"/>
      <c r="C5122" s="84"/>
      <c r="D5122" s="84"/>
      <c r="E5122" s="84"/>
      <c r="F5122" s="141"/>
      <c r="G5122" s="168"/>
      <c r="H5122" s="225"/>
    </row>
    <row r="5123" spans="1:9" s="212" customFormat="1">
      <c r="A5123" s="91"/>
      <c r="B5123" s="91"/>
      <c r="C5123" s="91"/>
      <c r="D5123" s="91"/>
      <c r="E5123" s="91"/>
      <c r="G5123" s="213"/>
      <c r="H5123" s="222"/>
    </row>
    <row r="5124" spans="1:9" s="212" customFormat="1">
      <c r="A5124" s="120"/>
      <c r="B5124" s="73"/>
      <c r="C5124" s="73"/>
      <c r="D5124" s="73"/>
      <c r="E5124" s="73"/>
      <c r="G5124" s="73"/>
      <c r="H5124" s="222"/>
    </row>
    <row r="5125" spans="1:9" s="212" customFormat="1">
      <c r="A5125" s="220"/>
      <c r="B5125" s="141"/>
      <c r="C5125" s="141"/>
      <c r="D5125" s="141"/>
      <c r="E5125" s="141"/>
      <c r="F5125" s="141"/>
      <c r="G5125" s="141"/>
      <c r="H5125" s="222"/>
    </row>
    <row r="5126" spans="1:9" s="212" customFormat="1">
      <c r="A5126" s="146"/>
      <c r="B5126" s="147"/>
      <c r="C5126" s="148"/>
      <c r="D5126" s="84"/>
      <c r="E5126" s="143"/>
      <c r="F5126" s="84"/>
      <c r="G5126" s="146"/>
      <c r="H5126" s="225"/>
    </row>
    <row r="5127" spans="1:9" s="212" customFormat="1">
      <c r="A5127" s="91"/>
      <c r="B5127" s="91"/>
      <c r="C5127" s="91"/>
      <c r="D5127" s="91"/>
      <c r="E5127" s="91"/>
      <c r="G5127" s="213"/>
      <c r="H5127" s="222"/>
    </row>
    <row r="5128" spans="1:9" s="212" customFormat="1">
      <c r="A5128" s="120"/>
      <c r="B5128" s="73"/>
      <c r="C5128" s="73"/>
      <c r="D5128" s="73"/>
      <c r="E5128" s="73"/>
      <c r="G5128" s="73"/>
      <c r="H5128" s="222"/>
    </row>
    <row r="5129" spans="1:9" s="212" customFormat="1">
      <c r="A5129" s="220"/>
      <c r="B5129" s="141"/>
      <c r="C5129" s="141"/>
      <c r="D5129" s="141"/>
      <c r="E5129" s="141"/>
      <c r="F5129" s="141"/>
      <c r="G5129" s="141"/>
      <c r="H5129" s="222"/>
    </row>
    <row r="5130" spans="1:9" s="212" customFormat="1">
      <c r="A5130" s="142"/>
      <c r="B5130" s="143"/>
      <c r="C5130" s="143"/>
      <c r="D5130" s="143"/>
      <c r="E5130" s="143"/>
      <c r="F5130" s="84"/>
      <c r="G5130" s="146"/>
      <c r="H5130" s="225"/>
    </row>
    <row r="5131" spans="1:9" s="212" customFormat="1">
      <c r="A5131" s="123"/>
      <c r="B5131" s="95"/>
      <c r="C5131" s="95"/>
      <c r="D5131" s="95"/>
      <c r="E5131" s="95"/>
      <c r="G5131" s="213"/>
      <c r="H5131" s="73"/>
    </row>
    <row r="5132" spans="1:9" s="212" customFormat="1">
      <c r="A5132" s="123"/>
      <c r="B5132" s="95"/>
      <c r="C5132" s="95"/>
      <c r="D5132" s="95"/>
      <c r="E5132" s="95"/>
      <c r="G5132" s="73"/>
      <c r="H5132" s="225"/>
    </row>
    <row r="5133" spans="1:9" s="212" customFormat="1">
      <c r="B5133" s="97"/>
      <c r="C5133" s="98"/>
      <c r="D5133" s="98"/>
      <c r="E5133" s="98"/>
      <c r="G5133" s="220"/>
    </row>
    <row r="5134" spans="1:9" s="212" customFormat="1">
      <c r="B5134" s="97"/>
      <c r="C5134" s="98"/>
      <c r="D5134" s="98"/>
      <c r="E5134" s="98"/>
      <c r="F5134" s="220"/>
      <c r="G5134" s="225"/>
      <c r="H5134" s="226"/>
    </row>
    <row r="5135" spans="1:9" s="212" customFormat="1">
      <c r="A5135" s="633"/>
      <c r="B5135" s="633"/>
      <c r="C5135" s="633"/>
      <c r="D5135" s="633"/>
      <c r="E5135" s="633"/>
      <c r="F5135" s="633"/>
      <c r="G5135" s="633"/>
    </row>
    <row r="5136" spans="1:9" s="212" customFormat="1">
      <c r="H5136" s="227"/>
      <c r="I5136" s="228"/>
    </row>
    <row r="5137" spans="1:9" s="212" customFormat="1">
      <c r="A5137" s="686"/>
      <c r="B5137" s="227"/>
      <c r="C5137" s="227"/>
      <c r="D5137" s="227"/>
      <c r="E5137" s="227"/>
      <c r="F5137" s="227"/>
      <c r="G5137" s="227"/>
      <c r="H5137" s="227"/>
      <c r="I5137" s="229"/>
    </row>
    <row r="5138" spans="1:9" s="212" customFormat="1">
      <c r="A5138" s="658"/>
      <c r="B5138" s="227"/>
      <c r="C5138" s="227"/>
      <c r="D5138" s="227"/>
      <c r="E5138" s="227"/>
      <c r="F5138" s="227"/>
      <c r="G5138" s="227"/>
    </row>
    <row r="5139" spans="1:9" s="212" customFormat="1">
      <c r="A5139" s="69"/>
      <c r="B5139" s="69"/>
      <c r="C5139" s="69"/>
      <c r="D5139" s="69"/>
      <c r="E5139" s="69"/>
    </row>
    <row r="5140" spans="1:9" s="212" customFormat="1">
      <c r="A5140" s="120"/>
      <c r="B5140" s="73"/>
      <c r="C5140" s="73"/>
      <c r="D5140" s="73"/>
      <c r="E5140" s="73"/>
      <c r="F5140" s="73"/>
      <c r="G5140" s="73"/>
      <c r="H5140" s="73"/>
    </row>
    <row r="5141" spans="1:9" s="212" customFormat="1">
      <c r="A5141" s="220"/>
      <c r="B5141" s="141"/>
      <c r="C5141" s="141"/>
      <c r="D5141" s="141"/>
      <c r="E5141" s="141"/>
      <c r="F5141" s="141"/>
      <c r="G5141" s="141"/>
      <c r="H5141" s="73"/>
    </row>
    <row r="5142" spans="1:9" s="212" customFormat="1">
      <c r="A5142" s="84"/>
      <c r="B5142" s="83"/>
      <c r="C5142" s="84"/>
      <c r="D5142" s="84"/>
      <c r="E5142" s="84"/>
      <c r="F5142" s="84"/>
      <c r="G5142" s="146"/>
      <c r="H5142" s="225"/>
    </row>
    <row r="5143" spans="1:9" s="212" customFormat="1">
      <c r="A5143" s="84"/>
      <c r="B5143" s="83"/>
      <c r="C5143" s="84"/>
      <c r="D5143" s="84"/>
      <c r="E5143" s="84"/>
      <c r="G5143" s="213"/>
      <c r="H5143" s="222"/>
    </row>
    <row r="5144" spans="1:9" s="212" customFormat="1">
      <c r="A5144" s="120"/>
      <c r="B5144" s="73"/>
      <c r="C5144" s="73"/>
      <c r="D5144" s="73"/>
      <c r="E5144" s="73"/>
      <c r="G5144" s="73"/>
      <c r="H5144" s="222"/>
    </row>
    <row r="5145" spans="1:9" s="212" customFormat="1">
      <c r="A5145" s="220"/>
      <c r="B5145" s="141"/>
      <c r="C5145" s="141"/>
      <c r="D5145" s="141"/>
      <c r="E5145" s="141"/>
      <c r="F5145" s="141"/>
      <c r="G5145" s="141"/>
      <c r="H5145" s="222"/>
    </row>
    <row r="5146" spans="1:9" s="212" customFormat="1">
      <c r="A5146" s="172"/>
      <c r="B5146" s="83"/>
      <c r="C5146" s="84"/>
      <c r="D5146" s="84"/>
      <c r="E5146" s="168"/>
      <c r="F5146" s="141"/>
      <c r="G5146" s="168"/>
      <c r="H5146" s="225"/>
    </row>
    <row r="5147" spans="1:9" s="212" customFormat="1">
      <c r="A5147" s="91"/>
      <c r="B5147" s="91"/>
      <c r="C5147" s="91"/>
      <c r="D5147" s="91"/>
      <c r="E5147" s="91"/>
      <c r="G5147" s="213"/>
      <c r="H5147" s="222"/>
    </row>
    <row r="5148" spans="1:9" s="212" customFormat="1">
      <c r="A5148" s="120"/>
      <c r="B5148" s="73"/>
      <c r="C5148" s="73"/>
      <c r="D5148" s="73"/>
      <c r="E5148" s="73"/>
      <c r="G5148" s="73"/>
      <c r="H5148" s="222"/>
    </row>
    <row r="5149" spans="1:9" s="212" customFormat="1">
      <c r="A5149" s="220"/>
      <c r="B5149" s="141"/>
      <c r="C5149" s="141"/>
      <c r="D5149" s="141"/>
      <c r="E5149" s="141"/>
      <c r="F5149" s="141"/>
      <c r="G5149" s="141"/>
      <c r="H5149" s="222"/>
    </row>
    <row r="5150" spans="1:9" s="212" customFormat="1">
      <c r="A5150" s="146"/>
      <c r="B5150" s="147"/>
      <c r="C5150" s="148"/>
      <c r="D5150" s="84"/>
      <c r="E5150" s="143"/>
      <c r="F5150" s="84"/>
      <c r="G5150" s="146"/>
      <c r="H5150" s="225"/>
    </row>
    <row r="5151" spans="1:9" s="212" customFormat="1">
      <c r="A5151" s="91"/>
      <c r="B5151" s="91"/>
      <c r="C5151" s="91"/>
      <c r="D5151" s="91"/>
      <c r="E5151" s="91"/>
      <c r="G5151" s="213"/>
      <c r="H5151" s="222"/>
    </row>
    <row r="5152" spans="1:9" s="212" customFormat="1">
      <c r="A5152" s="120"/>
      <c r="B5152" s="73"/>
      <c r="C5152" s="73"/>
      <c r="D5152" s="73"/>
      <c r="E5152" s="73"/>
      <c r="G5152" s="73"/>
      <c r="H5152" s="222"/>
    </row>
    <row r="5153" spans="1:9" s="212" customFormat="1">
      <c r="A5153" s="220"/>
      <c r="B5153" s="141"/>
      <c r="C5153" s="141"/>
      <c r="D5153" s="141"/>
      <c r="E5153" s="141"/>
      <c r="F5153" s="141"/>
      <c r="G5153" s="141"/>
      <c r="H5153" s="222"/>
    </row>
    <row r="5154" spans="1:9" s="212" customFormat="1">
      <c r="A5154" s="142"/>
      <c r="B5154" s="143"/>
      <c r="C5154" s="143"/>
      <c r="D5154" s="143"/>
      <c r="E5154" s="143"/>
      <c r="F5154" s="84"/>
      <c r="G5154" s="146"/>
      <c r="H5154" s="225"/>
    </row>
    <row r="5155" spans="1:9" s="212" customFormat="1">
      <c r="A5155" s="123"/>
      <c r="B5155" s="95"/>
      <c r="C5155" s="95"/>
      <c r="D5155" s="95"/>
      <c r="E5155" s="95"/>
      <c r="G5155" s="213"/>
      <c r="H5155" s="73"/>
    </row>
    <row r="5156" spans="1:9" s="212" customFormat="1">
      <c r="A5156" s="123"/>
      <c r="B5156" s="95"/>
      <c r="C5156" s="95"/>
      <c r="D5156" s="95"/>
      <c r="E5156" s="95"/>
      <c r="G5156" s="73"/>
      <c r="H5156" s="225"/>
    </row>
    <row r="5157" spans="1:9" s="212" customFormat="1">
      <c r="B5157" s="97"/>
      <c r="C5157" s="98"/>
      <c r="D5157" s="98"/>
      <c r="E5157" s="98"/>
      <c r="G5157" s="220"/>
    </row>
    <row r="5158" spans="1:9" s="212" customFormat="1">
      <c r="B5158" s="97"/>
      <c r="C5158" s="98"/>
      <c r="D5158" s="98"/>
      <c r="E5158" s="98"/>
      <c r="F5158" s="220"/>
      <c r="G5158" s="225"/>
      <c r="H5158" s="226"/>
    </row>
    <row r="5159" spans="1:9" s="212" customFormat="1">
      <c r="A5159" s="633"/>
      <c r="B5159" s="633"/>
      <c r="C5159" s="633"/>
      <c r="D5159" s="633"/>
      <c r="E5159" s="633"/>
      <c r="F5159" s="633"/>
      <c r="G5159" s="633"/>
    </row>
    <row r="5160" spans="1:9" s="212" customFormat="1">
      <c r="H5160" s="227"/>
      <c r="I5160" s="228"/>
    </row>
    <row r="5161" spans="1:9" s="212" customFormat="1">
      <c r="A5161" s="686"/>
      <c r="B5161" s="227"/>
      <c r="C5161" s="227"/>
      <c r="D5161" s="227"/>
      <c r="E5161" s="227"/>
      <c r="F5161" s="227"/>
      <c r="G5161" s="227"/>
      <c r="H5161" s="227"/>
      <c r="I5161" s="229"/>
    </row>
    <row r="5162" spans="1:9" s="212" customFormat="1">
      <c r="A5162" s="658"/>
      <c r="B5162" s="227"/>
      <c r="C5162" s="227"/>
      <c r="D5162" s="227"/>
      <c r="E5162" s="227"/>
      <c r="F5162" s="227"/>
      <c r="G5162" s="227"/>
    </row>
    <row r="5163" spans="1:9" s="212" customFormat="1">
      <c r="A5163" s="69"/>
      <c r="B5163" s="69"/>
      <c r="C5163" s="69"/>
      <c r="D5163" s="69"/>
      <c r="E5163" s="69"/>
    </row>
    <row r="5164" spans="1:9" s="212" customFormat="1">
      <c r="A5164" s="120"/>
      <c r="B5164" s="73"/>
      <c r="C5164" s="73"/>
      <c r="D5164" s="73"/>
      <c r="E5164" s="73"/>
      <c r="F5164" s="73"/>
      <c r="G5164" s="73"/>
      <c r="H5164" s="73"/>
    </row>
    <row r="5165" spans="1:9" s="212" customFormat="1">
      <c r="A5165" s="220"/>
      <c r="B5165" s="141"/>
      <c r="C5165" s="141"/>
      <c r="D5165" s="141"/>
      <c r="E5165" s="141"/>
      <c r="F5165" s="141"/>
      <c r="G5165" s="141"/>
      <c r="H5165" s="73"/>
    </row>
    <row r="5166" spans="1:9" s="212" customFormat="1">
      <c r="A5166" s="142"/>
      <c r="B5166" s="83"/>
      <c r="C5166" s="84"/>
      <c r="D5166" s="84"/>
      <c r="E5166" s="84"/>
      <c r="F5166" s="84"/>
      <c r="G5166" s="84"/>
      <c r="H5166" s="73"/>
    </row>
    <row r="5167" spans="1:9" s="212" customFormat="1">
      <c r="A5167" s="142"/>
      <c r="B5167" s="83"/>
      <c r="C5167" s="84"/>
      <c r="D5167" s="84"/>
      <c r="E5167" s="84"/>
      <c r="F5167" s="84"/>
      <c r="G5167" s="84"/>
      <c r="H5167" s="73"/>
    </row>
    <row r="5168" spans="1:9" s="212" customFormat="1">
      <c r="A5168" s="142"/>
      <c r="B5168" s="83"/>
      <c r="C5168" s="84"/>
      <c r="D5168" s="84"/>
      <c r="E5168" s="84"/>
      <c r="F5168" s="84"/>
      <c r="G5168" s="84"/>
      <c r="H5168" s="73"/>
    </row>
    <row r="5169" spans="1:8" s="212" customFormat="1">
      <c r="A5169" s="84"/>
      <c r="B5169" s="83"/>
      <c r="C5169" s="84"/>
      <c r="D5169" s="84"/>
      <c r="E5169" s="84"/>
      <c r="F5169" s="84"/>
      <c r="G5169" s="146"/>
      <c r="H5169" s="225"/>
    </row>
    <row r="5170" spans="1:8" s="212" customFormat="1">
      <c r="A5170" s="84"/>
      <c r="B5170" s="83"/>
      <c r="C5170" s="84"/>
      <c r="D5170" s="84"/>
      <c r="E5170" s="84"/>
      <c r="G5170" s="213"/>
      <c r="H5170" s="222"/>
    </row>
    <row r="5171" spans="1:8" s="212" customFormat="1">
      <c r="A5171" s="120"/>
      <c r="B5171" s="73"/>
      <c r="C5171" s="73"/>
      <c r="D5171" s="73"/>
      <c r="E5171" s="73"/>
      <c r="G5171" s="73"/>
      <c r="H5171" s="222"/>
    </row>
    <row r="5172" spans="1:8" s="212" customFormat="1">
      <c r="A5172" s="220"/>
      <c r="B5172" s="141"/>
      <c r="C5172" s="141"/>
      <c r="D5172" s="141"/>
      <c r="E5172" s="141"/>
      <c r="F5172" s="141"/>
      <c r="G5172" s="141"/>
      <c r="H5172" s="222"/>
    </row>
    <row r="5173" spans="1:8" s="212" customFormat="1">
      <c r="A5173" s="233"/>
      <c r="B5173" s="83"/>
      <c r="C5173" s="84"/>
      <c r="D5173" s="84"/>
      <c r="E5173" s="84"/>
      <c r="F5173" s="84"/>
      <c r="G5173" s="84"/>
      <c r="H5173" s="222"/>
    </row>
    <row r="5174" spans="1:8" s="212" customFormat="1">
      <c r="A5174" s="233"/>
      <c r="B5174" s="83"/>
      <c r="C5174" s="84"/>
      <c r="D5174" s="84"/>
      <c r="E5174" s="84"/>
      <c r="F5174" s="84"/>
      <c r="G5174" s="84"/>
      <c r="H5174" s="222"/>
    </row>
    <row r="5175" spans="1:8" s="212" customFormat="1">
      <c r="A5175" s="233"/>
      <c r="B5175" s="83"/>
      <c r="C5175" s="84"/>
      <c r="D5175" s="84"/>
      <c r="E5175" s="84"/>
      <c r="F5175" s="84"/>
      <c r="G5175" s="84"/>
      <c r="H5175" s="225"/>
    </row>
    <row r="5176" spans="1:8" s="212" customFormat="1">
      <c r="A5176" s="233"/>
      <c r="B5176" s="83"/>
      <c r="C5176" s="84"/>
      <c r="D5176" s="84"/>
      <c r="E5176" s="84"/>
      <c r="F5176" s="84"/>
      <c r="G5176" s="84"/>
      <c r="H5176" s="222"/>
    </row>
    <row r="5177" spans="1:8" s="212" customFormat="1">
      <c r="A5177" s="120"/>
      <c r="B5177" s="73"/>
      <c r="C5177" s="73"/>
      <c r="D5177" s="73"/>
      <c r="E5177" s="73"/>
      <c r="G5177" s="73"/>
      <c r="H5177" s="222"/>
    </row>
    <row r="5178" spans="1:8" s="212" customFormat="1">
      <c r="A5178" s="220"/>
      <c r="B5178" s="141"/>
      <c r="C5178" s="141"/>
      <c r="D5178" s="141"/>
      <c r="E5178" s="141"/>
      <c r="F5178" s="141"/>
      <c r="G5178" s="141"/>
      <c r="H5178" s="222"/>
    </row>
    <row r="5179" spans="1:8" s="212" customFormat="1">
      <c r="A5179" s="142"/>
      <c r="B5179" s="83"/>
      <c r="C5179" s="84"/>
      <c r="D5179" s="84"/>
      <c r="E5179" s="84"/>
      <c r="F5179" s="141"/>
      <c r="G5179" s="84"/>
      <c r="H5179" s="222"/>
    </row>
    <row r="5180" spans="1:8" s="212" customFormat="1">
      <c r="A5180" s="142"/>
      <c r="B5180" s="83"/>
      <c r="C5180" s="84"/>
      <c r="D5180" s="84"/>
      <c r="E5180" s="84"/>
      <c r="F5180" s="141"/>
      <c r="G5180" s="84"/>
      <c r="H5180" s="222"/>
    </row>
    <row r="5181" spans="1:8" s="212" customFormat="1">
      <c r="A5181" s="146"/>
      <c r="B5181" s="176"/>
      <c r="C5181" s="148"/>
      <c r="D5181" s="84"/>
      <c r="E5181" s="84"/>
      <c r="F5181" s="84"/>
      <c r="G5181" s="146"/>
      <c r="H5181" s="225"/>
    </row>
    <row r="5182" spans="1:8" s="212" customFormat="1">
      <c r="A5182" s="91"/>
      <c r="B5182" s="91"/>
      <c r="C5182" s="91"/>
      <c r="D5182" s="91"/>
      <c r="E5182" s="91"/>
      <c r="G5182" s="213"/>
      <c r="H5182" s="222"/>
    </row>
    <row r="5183" spans="1:8" s="212" customFormat="1">
      <c r="A5183" s="120"/>
      <c r="B5183" s="73"/>
      <c r="C5183" s="73"/>
      <c r="D5183" s="73"/>
      <c r="E5183" s="73"/>
      <c r="G5183" s="73"/>
      <c r="H5183" s="222"/>
    </row>
    <row r="5184" spans="1:8" s="212" customFormat="1">
      <c r="A5184" s="220"/>
      <c r="B5184" s="141"/>
      <c r="C5184" s="141"/>
      <c r="D5184" s="141"/>
      <c r="E5184" s="141"/>
      <c r="F5184" s="141"/>
      <c r="G5184" s="141"/>
      <c r="H5184" s="222"/>
    </row>
    <row r="5185" spans="1:9" s="212" customFormat="1">
      <c r="A5185" s="142"/>
      <c r="B5185" s="143"/>
      <c r="C5185" s="143"/>
      <c r="D5185" s="143"/>
      <c r="E5185" s="143"/>
      <c r="F5185" s="84"/>
      <c r="G5185" s="146"/>
      <c r="H5185" s="225"/>
    </row>
    <row r="5186" spans="1:9" s="212" customFormat="1">
      <c r="A5186" s="123"/>
      <c r="B5186" s="95"/>
      <c r="C5186" s="95"/>
      <c r="D5186" s="95"/>
      <c r="E5186" s="95"/>
      <c r="G5186" s="213"/>
      <c r="H5186" s="73"/>
    </row>
    <row r="5187" spans="1:9" s="212" customFormat="1">
      <c r="A5187" s="123"/>
      <c r="B5187" s="95"/>
      <c r="C5187" s="95"/>
      <c r="D5187" s="95"/>
      <c r="E5187" s="95"/>
      <c r="G5187" s="73"/>
      <c r="H5187" s="225"/>
    </row>
    <row r="5188" spans="1:9" s="212" customFormat="1">
      <c r="B5188" s="97"/>
      <c r="C5188" s="98"/>
      <c r="D5188" s="98"/>
      <c r="E5188" s="98"/>
      <c r="G5188" s="220"/>
    </row>
    <row r="5189" spans="1:9" s="212" customFormat="1">
      <c r="B5189" s="97"/>
      <c r="C5189" s="98"/>
      <c r="D5189" s="98"/>
      <c r="E5189" s="98"/>
      <c r="F5189" s="220"/>
      <c r="G5189" s="225"/>
      <c r="H5189" s="226"/>
    </row>
    <row r="5190" spans="1:9" s="212" customFormat="1">
      <c r="A5190" s="633"/>
      <c r="B5190" s="633"/>
      <c r="C5190" s="633"/>
      <c r="D5190" s="633"/>
      <c r="E5190" s="633"/>
      <c r="F5190" s="633"/>
      <c r="G5190" s="633"/>
    </row>
    <row r="5191" spans="1:9" s="212" customFormat="1">
      <c r="H5191" s="227"/>
      <c r="I5191" s="228"/>
    </row>
    <row r="5192" spans="1:9" s="212" customFormat="1">
      <c r="A5192" s="658"/>
      <c r="B5192" s="227"/>
      <c r="C5192" s="227"/>
      <c r="D5192" s="227"/>
      <c r="E5192" s="227"/>
      <c r="F5192" s="227"/>
      <c r="G5192" s="227"/>
      <c r="H5192" s="227"/>
      <c r="I5192" s="229"/>
    </row>
    <row r="5193" spans="1:9" s="212" customFormat="1">
      <c r="A5193" s="658"/>
      <c r="B5193" s="227"/>
      <c r="C5193" s="227"/>
      <c r="D5193" s="227"/>
      <c r="E5193" s="227"/>
      <c r="F5193" s="227"/>
      <c r="G5193" s="227"/>
      <c r="H5193" s="234"/>
    </row>
    <row r="5194" spans="1:9" s="212" customFormat="1">
      <c r="A5194" s="69"/>
      <c r="B5194" s="69"/>
      <c r="C5194" s="69"/>
      <c r="D5194" s="69"/>
      <c r="E5194" s="69"/>
      <c r="G5194" s="234"/>
      <c r="H5194" s="234"/>
    </row>
    <row r="5195" spans="1:9" s="212" customFormat="1">
      <c r="A5195" s="120"/>
      <c r="B5195" s="73"/>
      <c r="C5195" s="73"/>
      <c r="D5195" s="73"/>
      <c r="E5195" s="73"/>
      <c r="F5195" s="73"/>
      <c r="G5195" s="235"/>
      <c r="H5195" s="235"/>
    </row>
    <row r="5196" spans="1:9" s="212" customFormat="1">
      <c r="A5196" s="220"/>
      <c r="B5196" s="141"/>
      <c r="C5196" s="141"/>
      <c r="D5196" s="141"/>
      <c r="E5196" s="141"/>
      <c r="F5196" s="141"/>
      <c r="G5196" s="184"/>
      <c r="H5196" s="235"/>
    </row>
    <row r="5197" spans="1:9" s="212" customFormat="1">
      <c r="A5197" s="150"/>
      <c r="B5197" s="83"/>
      <c r="C5197" s="148"/>
      <c r="D5197" s="84"/>
      <c r="E5197" s="84"/>
      <c r="F5197" s="84"/>
      <c r="G5197" s="236"/>
      <c r="H5197" s="221"/>
    </row>
    <row r="5198" spans="1:9" s="212" customFormat="1">
      <c r="A5198" s="84"/>
      <c r="B5198" s="83"/>
      <c r="C5198" s="84"/>
      <c r="D5198" s="84"/>
      <c r="E5198" s="84"/>
      <c r="G5198" s="237"/>
      <c r="H5198" s="238"/>
    </row>
    <row r="5199" spans="1:9" s="212" customFormat="1">
      <c r="A5199" s="120"/>
      <c r="B5199" s="73"/>
      <c r="C5199" s="73"/>
      <c r="D5199" s="73"/>
      <c r="E5199" s="73"/>
      <c r="G5199" s="239"/>
      <c r="H5199" s="238"/>
    </row>
    <row r="5200" spans="1:9" s="212" customFormat="1">
      <c r="A5200" s="220"/>
      <c r="B5200" s="141"/>
      <c r="C5200" s="141"/>
      <c r="D5200" s="141"/>
      <c r="E5200" s="141"/>
      <c r="F5200" s="141"/>
      <c r="G5200" s="184"/>
      <c r="H5200" s="238"/>
      <c r="I5200" s="240"/>
    </row>
    <row r="5201" spans="1:9" s="212" customFormat="1">
      <c r="A5201" s="190"/>
      <c r="B5201" s="191"/>
      <c r="C5201" s="148"/>
      <c r="D5201" s="190"/>
      <c r="E5201" s="84"/>
      <c r="F5201" s="84"/>
      <c r="G5201" s="236"/>
      <c r="H5201" s="238"/>
      <c r="I5201" s="240"/>
    </row>
    <row r="5202" spans="1:9" s="212" customFormat="1">
      <c r="A5202" s="150"/>
      <c r="B5202" s="191"/>
      <c r="C5202" s="148"/>
      <c r="D5202" s="84"/>
      <c r="E5202" s="84"/>
      <c r="F5202" s="84"/>
      <c r="G5202" s="236"/>
      <c r="H5202" s="238"/>
    </row>
    <row r="5203" spans="1:9" s="212" customFormat="1">
      <c r="A5203" s="150"/>
      <c r="B5203" s="191"/>
      <c r="C5203" s="148"/>
      <c r="D5203" s="84"/>
      <c r="E5203" s="84"/>
      <c r="F5203" s="84"/>
      <c r="G5203" s="236"/>
      <c r="H5203" s="238"/>
    </row>
    <row r="5204" spans="1:9" s="212" customFormat="1">
      <c r="A5204" s="150"/>
      <c r="B5204" s="191"/>
      <c r="C5204" s="148"/>
      <c r="D5204" s="84"/>
      <c r="E5204" s="84"/>
      <c r="F5204" s="84"/>
      <c r="G5204" s="236"/>
      <c r="H5204" s="221"/>
    </row>
    <row r="5205" spans="1:9" s="212" customFormat="1">
      <c r="A5205" s="91"/>
      <c r="B5205" s="91"/>
      <c r="C5205" s="91"/>
      <c r="D5205" s="91"/>
      <c r="E5205" s="91"/>
      <c r="G5205" s="237"/>
      <c r="H5205" s="238"/>
    </row>
    <row r="5206" spans="1:9" s="212" customFormat="1">
      <c r="A5206" s="120"/>
      <c r="B5206" s="73"/>
      <c r="C5206" s="73"/>
      <c r="D5206" s="73"/>
      <c r="E5206" s="73"/>
      <c r="G5206" s="239"/>
      <c r="H5206" s="238"/>
    </row>
    <row r="5207" spans="1:9" s="212" customFormat="1">
      <c r="A5207" s="220"/>
      <c r="B5207" s="141"/>
      <c r="C5207" s="141"/>
      <c r="D5207" s="141"/>
      <c r="E5207" s="141"/>
      <c r="F5207" s="141"/>
      <c r="G5207" s="184"/>
      <c r="H5207" s="238"/>
    </row>
    <row r="5208" spans="1:9" s="212" customFormat="1">
      <c r="A5208" s="146"/>
      <c r="B5208" s="83"/>
      <c r="C5208" s="148"/>
      <c r="D5208" s="84"/>
      <c r="E5208" s="84"/>
      <c r="F5208" s="84"/>
      <c r="G5208" s="236"/>
      <c r="H5208" s="221"/>
    </row>
    <row r="5209" spans="1:9" s="212" customFormat="1">
      <c r="A5209" s="91"/>
      <c r="B5209" s="91"/>
      <c r="C5209" s="91"/>
      <c r="D5209" s="91"/>
      <c r="E5209" s="91"/>
      <c r="G5209" s="237"/>
      <c r="H5209" s="238"/>
    </row>
    <row r="5210" spans="1:9" s="212" customFormat="1">
      <c r="A5210" s="120"/>
      <c r="B5210" s="73"/>
      <c r="C5210" s="73"/>
      <c r="D5210" s="73"/>
      <c r="E5210" s="73"/>
      <c r="G5210" s="239"/>
      <c r="H5210" s="238"/>
    </row>
    <row r="5211" spans="1:9" s="212" customFormat="1">
      <c r="A5211" s="220"/>
      <c r="B5211" s="141"/>
      <c r="C5211" s="141"/>
      <c r="D5211" s="141"/>
      <c r="E5211" s="141"/>
      <c r="F5211" s="141"/>
      <c r="G5211" s="184"/>
      <c r="H5211" s="238"/>
    </row>
    <row r="5212" spans="1:9" s="212" customFormat="1">
      <c r="A5212" s="142"/>
      <c r="B5212" s="143"/>
      <c r="C5212" s="143"/>
      <c r="D5212" s="143"/>
      <c r="E5212" s="143"/>
      <c r="F5212" s="84"/>
      <c r="G5212" s="236"/>
      <c r="H5212" s="221"/>
    </row>
    <row r="5213" spans="1:9" s="212" customFormat="1">
      <c r="A5213" s="123"/>
      <c r="B5213" s="95"/>
      <c r="C5213" s="95"/>
      <c r="D5213" s="95"/>
      <c r="E5213" s="95"/>
      <c r="G5213" s="237"/>
      <c r="H5213" s="235"/>
    </row>
    <row r="5214" spans="1:9" s="212" customFormat="1">
      <c r="A5214" s="123"/>
      <c r="B5214" s="95"/>
      <c r="C5214" s="95"/>
      <c r="D5214" s="95"/>
      <c r="E5214" s="95"/>
      <c r="G5214" s="239"/>
      <c r="H5214" s="225"/>
    </row>
    <row r="5215" spans="1:9" s="212" customFormat="1">
      <c r="B5215" s="97"/>
      <c r="C5215" s="98"/>
      <c r="D5215" s="98"/>
      <c r="E5215" s="98"/>
      <c r="G5215" s="241"/>
      <c r="H5215" s="234"/>
    </row>
    <row r="5216" spans="1:9" s="212" customFormat="1">
      <c r="B5216" s="97"/>
      <c r="C5216" s="98"/>
      <c r="D5216" s="98"/>
      <c r="E5216" s="98"/>
      <c r="F5216" s="220"/>
      <c r="G5216" s="242"/>
      <c r="H5216" s="227"/>
      <c r="I5216" s="228"/>
    </row>
    <row r="5217" spans="1:9" s="212" customFormat="1">
      <c r="A5217" s="658"/>
      <c r="B5217" s="227"/>
      <c r="C5217" s="227"/>
      <c r="D5217" s="227"/>
      <c r="E5217" s="227"/>
      <c r="F5217" s="227"/>
      <c r="G5217" s="227"/>
      <c r="H5217" s="227"/>
      <c r="I5217" s="229"/>
    </row>
    <row r="5218" spans="1:9" s="212" customFormat="1">
      <c r="A5218" s="658"/>
      <c r="B5218" s="227"/>
      <c r="C5218" s="227"/>
      <c r="D5218" s="227"/>
      <c r="E5218" s="227"/>
      <c r="F5218" s="227"/>
      <c r="G5218" s="227"/>
      <c r="H5218" s="234"/>
    </row>
    <row r="5219" spans="1:9" s="212" customFormat="1">
      <c r="A5219" s="69"/>
      <c r="B5219" s="69"/>
      <c r="C5219" s="69"/>
      <c r="D5219" s="69"/>
      <c r="E5219" s="69"/>
      <c r="G5219" s="234"/>
      <c r="H5219" s="234"/>
    </row>
    <row r="5220" spans="1:9" s="212" customFormat="1">
      <c r="A5220" s="120"/>
      <c r="B5220" s="73"/>
      <c r="C5220" s="73"/>
      <c r="D5220" s="73"/>
      <c r="E5220" s="73"/>
      <c r="F5220" s="73"/>
      <c r="G5220" s="235"/>
      <c r="H5220" s="235"/>
    </row>
    <row r="5221" spans="1:9" s="212" customFormat="1">
      <c r="A5221" s="220"/>
      <c r="B5221" s="141"/>
      <c r="C5221" s="141"/>
      <c r="D5221" s="141"/>
      <c r="E5221" s="141"/>
      <c r="F5221" s="141"/>
      <c r="G5221" s="194"/>
      <c r="H5221" s="235"/>
    </row>
    <row r="5222" spans="1:9" s="212" customFormat="1">
      <c r="A5222" s="150"/>
      <c r="B5222" s="83"/>
      <c r="C5222" s="148"/>
      <c r="D5222" s="84"/>
      <c r="E5222" s="84"/>
      <c r="F5222" s="84"/>
      <c r="G5222" s="243"/>
      <c r="H5222" s="238"/>
    </row>
    <row r="5223" spans="1:9" s="212" customFormat="1">
      <c r="A5223" s="84"/>
      <c r="B5223" s="83"/>
      <c r="C5223" s="84"/>
      <c r="D5223" s="84"/>
      <c r="E5223" s="84"/>
      <c r="G5223" s="244"/>
      <c r="H5223" s="238"/>
    </row>
    <row r="5224" spans="1:9" s="212" customFormat="1">
      <c r="A5224" s="120"/>
      <c r="B5224" s="73"/>
      <c r="C5224" s="73"/>
      <c r="D5224" s="73"/>
      <c r="E5224" s="73"/>
      <c r="G5224" s="235"/>
      <c r="H5224" s="238"/>
    </row>
    <row r="5225" spans="1:9" s="212" customFormat="1">
      <c r="A5225" s="220"/>
      <c r="B5225" s="141"/>
      <c r="C5225" s="141"/>
      <c r="D5225" s="141"/>
      <c r="E5225" s="141"/>
      <c r="F5225" s="141"/>
      <c r="G5225" s="194"/>
      <c r="H5225" s="238"/>
      <c r="I5225" s="240"/>
    </row>
    <row r="5226" spans="1:9" s="212" customFormat="1">
      <c r="A5226" s="197"/>
      <c r="B5226" s="83"/>
      <c r="C5226" s="148"/>
      <c r="D5226" s="190"/>
      <c r="E5226" s="84"/>
      <c r="F5226" s="84"/>
      <c r="G5226" s="243"/>
      <c r="H5226" s="238"/>
    </row>
    <row r="5227" spans="1:9" s="212" customFormat="1">
      <c r="A5227" s="91"/>
      <c r="B5227" s="91"/>
      <c r="C5227" s="91"/>
      <c r="D5227" s="91"/>
      <c r="E5227" s="91"/>
      <c r="G5227" s="244"/>
      <c r="H5227" s="238"/>
    </row>
    <row r="5228" spans="1:9" s="212" customFormat="1">
      <c r="A5228" s="120"/>
      <c r="B5228" s="73"/>
      <c r="C5228" s="73"/>
      <c r="D5228" s="73"/>
      <c r="E5228" s="73"/>
      <c r="G5228" s="235"/>
      <c r="H5228" s="238"/>
    </row>
    <row r="5229" spans="1:9" s="212" customFormat="1">
      <c r="A5229" s="220"/>
      <c r="B5229" s="141"/>
      <c r="C5229" s="141"/>
      <c r="D5229" s="141"/>
      <c r="E5229" s="141"/>
      <c r="F5229" s="141"/>
      <c r="G5229" s="194"/>
      <c r="H5229" s="238"/>
    </row>
    <row r="5230" spans="1:9" s="212" customFormat="1">
      <c r="A5230" s="146"/>
      <c r="B5230" s="83"/>
      <c r="C5230" s="148"/>
      <c r="D5230" s="84"/>
      <c r="E5230" s="84"/>
      <c r="F5230" s="84"/>
      <c r="G5230" s="243"/>
      <c r="H5230" s="238"/>
    </row>
    <row r="5231" spans="1:9" s="212" customFormat="1">
      <c r="A5231" s="91"/>
      <c r="B5231" s="91"/>
      <c r="C5231" s="91"/>
      <c r="D5231" s="91"/>
      <c r="E5231" s="91"/>
      <c r="G5231" s="244"/>
      <c r="H5231" s="238"/>
    </row>
    <row r="5232" spans="1:9" s="212" customFormat="1">
      <c r="A5232" s="120"/>
      <c r="B5232" s="73"/>
      <c r="C5232" s="73"/>
      <c r="D5232" s="73"/>
      <c r="E5232" s="73"/>
      <c r="G5232" s="235"/>
      <c r="H5232" s="238"/>
    </row>
    <row r="5233" spans="1:9" s="212" customFormat="1">
      <c r="A5233" s="220"/>
      <c r="B5233" s="141"/>
      <c r="C5233" s="141"/>
      <c r="D5233" s="141"/>
      <c r="E5233" s="141"/>
      <c r="F5233" s="141"/>
      <c r="G5233" s="194"/>
      <c r="H5233" s="238"/>
    </row>
    <row r="5234" spans="1:9" s="212" customFormat="1">
      <c r="A5234" s="142"/>
      <c r="B5234" s="143"/>
      <c r="C5234" s="143"/>
      <c r="D5234" s="143"/>
      <c r="E5234" s="143"/>
      <c r="F5234" s="84"/>
      <c r="G5234" s="243"/>
      <c r="H5234" s="238"/>
    </row>
    <row r="5235" spans="1:9" s="212" customFormat="1">
      <c r="A5235" s="123"/>
      <c r="B5235" s="95"/>
      <c r="C5235" s="95"/>
      <c r="D5235" s="95"/>
      <c r="E5235" s="95"/>
      <c r="G5235" s="244"/>
      <c r="H5235" s="235"/>
    </row>
    <row r="5236" spans="1:9" s="212" customFormat="1">
      <c r="A5236" s="123"/>
      <c r="B5236" s="95"/>
      <c r="C5236" s="95"/>
      <c r="D5236" s="95"/>
      <c r="E5236" s="95"/>
      <c r="G5236" s="235"/>
      <c r="H5236" s="242"/>
    </row>
    <row r="5237" spans="1:9" s="212" customFormat="1">
      <c r="B5237" s="97"/>
      <c r="C5237" s="98"/>
      <c r="D5237" s="98"/>
      <c r="E5237" s="98"/>
      <c r="G5237" s="241"/>
      <c r="H5237" s="242"/>
    </row>
    <row r="5238" spans="1:9" s="212" customFormat="1">
      <c r="B5238" s="97"/>
      <c r="C5238" s="98"/>
      <c r="D5238" s="98"/>
      <c r="E5238" s="98"/>
      <c r="G5238" s="241"/>
      <c r="H5238" s="227"/>
      <c r="I5238" s="228"/>
    </row>
    <row r="5239" spans="1:9" s="212" customFormat="1">
      <c r="A5239" s="658"/>
      <c r="B5239" s="227"/>
      <c r="C5239" s="227"/>
      <c r="D5239" s="227"/>
      <c r="E5239" s="227"/>
      <c r="F5239" s="227"/>
      <c r="G5239" s="227"/>
      <c r="H5239" s="227"/>
      <c r="I5239" s="229"/>
    </row>
    <row r="5240" spans="1:9" s="212" customFormat="1">
      <c r="A5240" s="658"/>
      <c r="B5240" s="227"/>
      <c r="C5240" s="227"/>
      <c r="D5240" s="227"/>
      <c r="E5240" s="227"/>
      <c r="F5240" s="227"/>
      <c r="G5240" s="227"/>
      <c r="H5240" s="234"/>
    </row>
    <row r="5241" spans="1:9" s="212" customFormat="1">
      <c r="A5241" s="69"/>
      <c r="B5241" s="69"/>
      <c r="C5241" s="69"/>
      <c r="D5241" s="69"/>
      <c r="E5241" s="69"/>
      <c r="G5241" s="234"/>
      <c r="H5241" s="234"/>
    </row>
    <row r="5242" spans="1:9" s="212" customFormat="1">
      <c r="A5242" s="120"/>
      <c r="B5242" s="73"/>
      <c r="C5242" s="73"/>
      <c r="D5242" s="73"/>
      <c r="E5242" s="73"/>
      <c r="F5242" s="73"/>
      <c r="G5242" s="235"/>
      <c r="H5242" s="235"/>
    </row>
    <row r="5243" spans="1:9" s="212" customFormat="1">
      <c r="A5243" s="220"/>
      <c r="B5243" s="141"/>
      <c r="C5243" s="141"/>
      <c r="D5243" s="141"/>
      <c r="E5243" s="141"/>
      <c r="F5243" s="141"/>
      <c r="G5243" s="194"/>
      <c r="H5243" s="235"/>
    </row>
    <row r="5244" spans="1:9" s="212" customFormat="1">
      <c r="A5244" s="150"/>
      <c r="B5244" s="83"/>
      <c r="C5244" s="148"/>
      <c r="D5244" s="84"/>
      <c r="E5244" s="84"/>
      <c r="F5244" s="84"/>
      <c r="G5244" s="243"/>
      <c r="H5244" s="238"/>
    </row>
    <row r="5245" spans="1:9" s="212" customFormat="1">
      <c r="A5245" s="84"/>
      <c r="B5245" s="83"/>
      <c r="C5245" s="84"/>
      <c r="D5245" s="84"/>
      <c r="E5245" s="84"/>
      <c r="G5245" s="244"/>
      <c r="H5245" s="238"/>
    </row>
    <row r="5246" spans="1:9" s="212" customFormat="1">
      <c r="A5246" s="120"/>
      <c r="B5246" s="73"/>
      <c r="C5246" s="73"/>
      <c r="D5246" s="73"/>
      <c r="E5246" s="73"/>
      <c r="G5246" s="235"/>
      <c r="H5246" s="238"/>
    </row>
    <row r="5247" spans="1:9" s="212" customFormat="1">
      <c r="A5247" s="220"/>
      <c r="B5247" s="141"/>
      <c r="C5247" s="141"/>
      <c r="D5247" s="141"/>
      <c r="E5247" s="141"/>
      <c r="F5247" s="141"/>
      <c r="G5247" s="194"/>
      <c r="H5247" s="238"/>
      <c r="I5247" s="240"/>
    </row>
    <row r="5248" spans="1:9" s="212" customFormat="1">
      <c r="A5248" s="197"/>
      <c r="B5248" s="83"/>
      <c r="C5248" s="148"/>
      <c r="D5248" s="190"/>
      <c r="E5248" s="84"/>
      <c r="F5248" s="84"/>
      <c r="G5248" s="243"/>
      <c r="H5248" s="238"/>
    </row>
    <row r="5249" spans="1:9" s="212" customFormat="1">
      <c r="A5249" s="150"/>
      <c r="B5249" s="83"/>
      <c r="C5249" s="148"/>
      <c r="D5249" s="84"/>
      <c r="E5249" s="84"/>
      <c r="F5249" s="84"/>
      <c r="G5249" s="243"/>
      <c r="H5249" s="238"/>
    </row>
    <row r="5250" spans="1:9" s="212" customFormat="1">
      <c r="A5250" s="91"/>
      <c r="B5250" s="91"/>
      <c r="C5250" s="91"/>
      <c r="D5250" s="91"/>
      <c r="E5250" s="91"/>
      <c r="G5250" s="244"/>
      <c r="H5250" s="238"/>
    </row>
    <row r="5251" spans="1:9" s="212" customFormat="1">
      <c r="A5251" s="120"/>
      <c r="B5251" s="73"/>
      <c r="C5251" s="73"/>
      <c r="D5251" s="73"/>
      <c r="E5251" s="73"/>
      <c r="G5251" s="235"/>
      <c r="H5251" s="238"/>
    </row>
    <row r="5252" spans="1:9" s="212" customFormat="1">
      <c r="A5252" s="220"/>
      <c r="B5252" s="141"/>
      <c r="C5252" s="141"/>
      <c r="D5252" s="141"/>
      <c r="E5252" s="141"/>
      <c r="F5252" s="141"/>
      <c r="G5252" s="194"/>
      <c r="H5252" s="238"/>
    </row>
    <row r="5253" spans="1:9" s="212" customFormat="1">
      <c r="A5253" s="146"/>
      <c r="B5253" s="83"/>
      <c r="C5253" s="148"/>
      <c r="D5253" s="84"/>
      <c r="E5253" s="84"/>
      <c r="F5253" s="84"/>
      <c r="G5253" s="243"/>
      <c r="H5253" s="238"/>
    </row>
    <row r="5254" spans="1:9" s="212" customFormat="1">
      <c r="A5254" s="91"/>
      <c r="B5254" s="91"/>
      <c r="C5254" s="91"/>
      <c r="D5254" s="91"/>
      <c r="E5254" s="91"/>
      <c r="G5254" s="244"/>
      <c r="H5254" s="238"/>
    </row>
    <row r="5255" spans="1:9" s="212" customFormat="1">
      <c r="A5255" s="120"/>
      <c r="B5255" s="73"/>
      <c r="C5255" s="73"/>
      <c r="D5255" s="73"/>
      <c r="E5255" s="73"/>
      <c r="G5255" s="235"/>
      <c r="H5255" s="238"/>
    </row>
    <row r="5256" spans="1:9" s="212" customFormat="1">
      <c r="A5256" s="220"/>
      <c r="B5256" s="141"/>
      <c r="C5256" s="141"/>
      <c r="D5256" s="141"/>
      <c r="E5256" s="141"/>
      <c r="F5256" s="141"/>
      <c r="G5256" s="194"/>
      <c r="H5256" s="238"/>
    </row>
    <row r="5257" spans="1:9" s="212" customFormat="1">
      <c r="A5257" s="142"/>
      <c r="B5257" s="143"/>
      <c r="C5257" s="143"/>
      <c r="D5257" s="143"/>
      <c r="E5257" s="143"/>
      <c r="F5257" s="84"/>
      <c r="G5257" s="243"/>
      <c r="H5257" s="238"/>
    </row>
    <row r="5258" spans="1:9" s="212" customFormat="1">
      <c r="A5258" s="123"/>
      <c r="B5258" s="95"/>
      <c r="C5258" s="95"/>
      <c r="D5258" s="95"/>
      <c r="E5258" s="95"/>
      <c r="G5258" s="244"/>
      <c r="H5258" s="235"/>
    </row>
    <row r="5259" spans="1:9" s="212" customFormat="1">
      <c r="A5259" s="123"/>
      <c r="B5259" s="95"/>
      <c r="C5259" s="95"/>
      <c r="D5259" s="95"/>
      <c r="E5259" s="95"/>
      <c r="G5259" s="235"/>
      <c r="H5259" s="242"/>
    </row>
    <row r="5260" spans="1:9" s="212" customFormat="1">
      <c r="B5260" s="97"/>
      <c r="C5260" s="98"/>
      <c r="D5260" s="98"/>
      <c r="E5260" s="98"/>
      <c r="G5260" s="241"/>
      <c r="H5260" s="242"/>
    </row>
    <row r="5261" spans="1:9" s="212" customFormat="1">
      <c r="B5261" s="97"/>
      <c r="C5261" s="98"/>
      <c r="D5261" s="98"/>
      <c r="E5261" s="98"/>
      <c r="G5261" s="241"/>
      <c r="H5261" s="227"/>
      <c r="I5261" s="228"/>
    </row>
    <row r="5262" spans="1:9" s="212" customFormat="1">
      <c r="A5262" s="658"/>
      <c r="B5262" s="227"/>
      <c r="C5262" s="227"/>
      <c r="D5262" s="227"/>
      <c r="E5262" s="227"/>
      <c r="F5262" s="227"/>
      <c r="G5262" s="227"/>
      <c r="H5262" s="227"/>
      <c r="I5262" s="229"/>
    </row>
    <row r="5263" spans="1:9" s="212" customFormat="1">
      <c r="A5263" s="658"/>
      <c r="B5263" s="227"/>
      <c r="C5263" s="227"/>
      <c r="D5263" s="227"/>
      <c r="E5263" s="227"/>
      <c r="F5263" s="227"/>
      <c r="G5263" s="227"/>
      <c r="H5263" s="234"/>
    </row>
    <row r="5264" spans="1:9" s="212" customFormat="1">
      <c r="A5264" s="69"/>
      <c r="B5264" s="69"/>
      <c r="C5264" s="69"/>
      <c r="D5264" s="69"/>
      <c r="E5264" s="69"/>
      <c r="G5264" s="234"/>
      <c r="H5264" s="234"/>
    </row>
    <row r="5265" spans="1:9" s="212" customFormat="1">
      <c r="A5265" s="120"/>
      <c r="B5265" s="73"/>
      <c r="C5265" s="73"/>
      <c r="D5265" s="73"/>
      <c r="E5265" s="73"/>
      <c r="F5265" s="73"/>
      <c r="G5265" s="235"/>
      <c r="H5265" s="235"/>
    </row>
    <row r="5266" spans="1:9" s="212" customFormat="1">
      <c r="A5266" s="220"/>
      <c r="B5266" s="141"/>
      <c r="C5266" s="141"/>
      <c r="D5266" s="141"/>
      <c r="E5266" s="141"/>
      <c r="F5266" s="141"/>
      <c r="G5266" s="194"/>
      <c r="H5266" s="235"/>
    </row>
    <row r="5267" spans="1:9" s="212" customFormat="1">
      <c r="A5267" s="150"/>
      <c r="B5267" s="83"/>
      <c r="C5267" s="148"/>
      <c r="D5267" s="84"/>
      <c r="E5267" s="84"/>
      <c r="F5267" s="84"/>
      <c r="G5267" s="243"/>
      <c r="H5267" s="238"/>
    </row>
    <row r="5268" spans="1:9" s="212" customFormat="1">
      <c r="A5268" s="84"/>
      <c r="B5268" s="83"/>
      <c r="C5268" s="84"/>
      <c r="D5268" s="84"/>
      <c r="E5268" s="84"/>
      <c r="G5268" s="244"/>
      <c r="H5268" s="238"/>
    </row>
    <row r="5269" spans="1:9" s="212" customFormat="1">
      <c r="A5269" s="120"/>
      <c r="B5269" s="73"/>
      <c r="C5269" s="73"/>
      <c r="D5269" s="73"/>
      <c r="E5269" s="73"/>
      <c r="G5269" s="235"/>
      <c r="H5269" s="238"/>
    </row>
    <row r="5270" spans="1:9" s="212" customFormat="1">
      <c r="A5270" s="220"/>
      <c r="B5270" s="141"/>
      <c r="C5270" s="141"/>
      <c r="D5270" s="141"/>
      <c r="E5270" s="141"/>
      <c r="F5270" s="141"/>
      <c r="G5270" s="194"/>
      <c r="H5270" s="238"/>
      <c r="I5270" s="240"/>
    </row>
    <row r="5271" spans="1:9" s="212" customFormat="1">
      <c r="A5271" s="197"/>
      <c r="B5271" s="83"/>
      <c r="C5271" s="148"/>
      <c r="D5271" s="190"/>
      <c r="E5271" s="84"/>
      <c r="F5271" s="84"/>
      <c r="G5271" s="243"/>
      <c r="H5271" s="238"/>
    </row>
    <row r="5272" spans="1:9" s="212" customFormat="1">
      <c r="A5272" s="150"/>
      <c r="B5272" s="83"/>
      <c r="C5272" s="148"/>
      <c r="D5272" s="84"/>
      <c r="E5272" s="84"/>
      <c r="F5272" s="84"/>
      <c r="G5272" s="243"/>
      <c r="H5272" s="238"/>
    </row>
    <row r="5273" spans="1:9" s="212" customFormat="1">
      <c r="A5273" s="150"/>
      <c r="B5273" s="83"/>
      <c r="C5273" s="148"/>
      <c r="D5273" s="84"/>
      <c r="E5273" s="84"/>
      <c r="F5273" s="84"/>
      <c r="G5273" s="243"/>
      <c r="H5273" s="238"/>
    </row>
    <row r="5274" spans="1:9" s="212" customFormat="1">
      <c r="A5274" s="91"/>
      <c r="B5274" s="91"/>
      <c r="C5274" s="91"/>
      <c r="D5274" s="91"/>
      <c r="E5274" s="91"/>
      <c r="G5274" s="244"/>
      <c r="H5274" s="238"/>
    </row>
    <row r="5275" spans="1:9" s="212" customFormat="1">
      <c r="A5275" s="120"/>
      <c r="B5275" s="73"/>
      <c r="C5275" s="73"/>
      <c r="D5275" s="73"/>
      <c r="E5275" s="73"/>
      <c r="G5275" s="235"/>
      <c r="H5275" s="238"/>
    </row>
    <row r="5276" spans="1:9" s="212" customFormat="1">
      <c r="A5276" s="220"/>
      <c r="B5276" s="141"/>
      <c r="C5276" s="141"/>
      <c r="D5276" s="141"/>
      <c r="E5276" s="141"/>
      <c r="F5276" s="141"/>
      <c r="G5276" s="194"/>
      <c r="H5276" s="238"/>
    </row>
    <row r="5277" spans="1:9" s="212" customFormat="1">
      <c r="A5277" s="146"/>
      <c r="B5277" s="83"/>
      <c r="C5277" s="148"/>
      <c r="D5277" s="84"/>
      <c r="E5277" s="84"/>
      <c r="F5277" s="84"/>
      <c r="G5277" s="243"/>
      <c r="H5277" s="238"/>
    </row>
    <row r="5278" spans="1:9" s="212" customFormat="1">
      <c r="A5278" s="91"/>
      <c r="B5278" s="91"/>
      <c r="C5278" s="91"/>
      <c r="D5278" s="91"/>
      <c r="E5278" s="91"/>
      <c r="G5278" s="244"/>
      <c r="H5278" s="238"/>
    </row>
    <row r="5279" spans="1:9" s="212" customFormat="1">
      <c r="A5279" s="120"/>
      <c r="B5279" s="73"/>
      <c r="C5279" s="73"/>
      <c r="D5279" s="73"/>
      <c r="E5279" s="73"/>
      <c r="G5279" s="235"/>
      <c r="H5279" s="238"/>
    </row>
    <row r="5280" spans="1:9" s="212" customFormat="1">
      <c r="A5280" s="220"/>
      <c r="B5280" s="141"/>
      <c r="C5280" s="141"/>
      <c r="D5280" s="141"/>
      <c r="E5280" s="141"/>
      <c r="F5280" s="141"/>
      <c r="G5280" s="194"/>
      <c r="H5280" s="238"/>
    </row>
    <row r="5281" spans="1:9" s="212" customFormat="1">
      <c r="A5281" s="142"/>
      <c r="B5281" s="143"/>
      <c r="C5281" s="143"/>
      <c r="D5281" s="143"/>
      <c r="E5281" s="143"/>
      <c r="F5281" s="84"/>
      <c r="G5281" s="243"/>
      <c r="H5281" s="238"/>
    </row>
    <row r="5282" spans="1:9" s="212" customFormat="1">
      <c r="A5282" s="123"/>
      <c r="B5282" s="95"/>
      <c r="C5282" s="95"/>
      <c r="D5282" s="95"/>
      <c r="E5282" s="95"/>
      <c r="G5282" s="244"/>
      <c r="H5282" s="235"/>
    </row>
    <row r="5283" spans="1:9" s="212" customFormat="1">
      <c r="A5283" s="123"/>
      <c r="B5283" s="95"/>
      <c r="C5283" s="95"/>
      <c r="D5283" s="95"/>
      <c r="E5283" s="95"/>
      <c r="G5283" s="235"/>
      <c r="H5283" s="242"/>
    </row>
    <row r="5284" spans="1:9" s="212" customFormat="1">
      <c r="B5284" s="97"/>
      <c r="C5284" s="98"/>
      <c r="D5284" s="98"/>
      <c r="E5284" s="98"/>
      <c r="G5284" s="241"/>
      <c r="H5284" s="242"/>
    </row>
    <row r="5285" spans="1:9" s="212" customFormat="1">
      <c r="B5285" s="97"/>
      <c r="C5285" s="98"/>
      <c r="D5285" s="98"/>
      <c r="E5285" s="98"/>
      <c r="G5285" s="241"/>
      <c r="H5285" s="227"/>
      <c r="I5285" s="228"/>
    </row>
    <row r="5286" spans="1:9" s="212" customFormat="1">
      <c r="A5286" s="658"/>
      <c r="B5286" s="227"/>
      <c r="C5286" s="227"/>
      <c r="D5286" s="227"/>
      <c r="E5286" s="227"/>
      <c r="F5286" s="227"/>
      <c r="G5286" s="227"/>
      <c r="H5286" s="227"/>
      <c r="I5286" s="229"/>
    </row>
    <row r="5287" spans="1:9" s="212" customFormat="1">
      <c r="A5287" s="658"/>
      <c r="B5287" s="227"/>
      <c r="C5287" s="227"/>
      <c r="D5287" s="227"/>
      <c r="E5287" s="227"/>
      <c r="F5287" s="227"/>
      <c r="G5287" s="227"/>
      <c r="H5287" s="234"/>
    </row>
    <row r="5288" spans="1:9" s="212" customFormat="1">
      <c r="A5288" s="69"/>
      <c r="B5288" s="69"/>
      <c r="C5288" s="69"/>
      <c r="D5288" s="69"/>
      <c r="E5288" s="69"/>
      <c r="G5288" s="234"/>
      <c r="H5288" s="234"/>
    </row>
    <row r="5289" spans="1:9" s="212" customFormat="1">
      <c r="A5289" s="120"/>
      <c r="B5289" s="73"/>
      <c r="C5289" s="73"/>
      <c r="D5289" s="73"/>
      <c r="E5289" s="73"/>
      <c r="F5289" s="73"/>
      <c r="G5289" s="235"/>
      <c r="H5289" s="235"/>
    </row>
    <row r="5290" spans="1:9" s="212" customFormat="1">
      <c r="A5290" s="220"/>
      <c r="B5290" s="141"/>
      <c r="C5290" s="141"/>
      <c r="D5290" s="141"/>
      <c r="E5290" s="141"/>
      <c r="F5290" s="141"/>
      <c r="G5290" s="194"/>
      <c r="H5290" s="235"/>
    </row>
    <row r="5291" spans="1:9" s="212" customFormat="1">
      <c r="A5291" s="150"/>
      <c r="B5291" s="83"/>
      <c r="C5291" s="148"/>
      <c r="D5291" s="84"/>
      <c r="E5291" s="84"/>
      <c r="F5291" s="84"/>
      <c r="G5291" s="243"/>
      <c r="H5291" s="238"/>
    </row>
    <row r="5292" spans="1:9" s="212" customFormat="1">
      <c r="A5292" s="84"/>
      <c r="B5292" s="83"/>
      <c r="C5292" s="84"/>
      <c r="D5292" s="84"/>
      <c r="E5292" s="84"/>
      <c r="G5292" s="244"/>
      <c r="H5292" s="238"/>
    </row>
    <row r="5293" spans="1:9" s="212" customFormat="1">
      <c r="A5293" s="120"/>
      <c r="B5293" s="73"/>
      <c r="C5293" s="73"/>
      <c r="D5293" s="73"/>
      <c r="E5293" s="73"/>
      <c r="G5293" s="235"/>
      <c r="H5293" s="238"/>
    </row>
    <row r="5294" spans="1:9" s="212" customFormat="1">
      <c r="A5294" s="220"/>
      <c r="B5294" s="141"/>
      <c r="C5294" s="141"/>
      <c r="D5294" s="141"/>
      <c r="E5294" s="141"/>
      <c r="F5294" s="141"/>
      <c r="G5294" s="194"/>
      <c r="H5294" s="238"/>
      <c r="I5294" s="240"/>
    </row>
    <row r="5295" spans="1:9" s="212" customFormat="1">
      <c r="A5295" s="197"/>
      <c r="B5295" s="83"/>
      <c r="C5295" s="148"/>
      <c r="D5295" s="190"/>
      <c r="E5295" s="84"/>
      <c r="F5295" s="84"/>
      <c r="G5295" s="243"/>
      <c r="H5295" s="238"/>
    </row>
    <row r="5296" spans="1:9" s="212" customFormat="1">
      <c r="A5296" s="91"/>
      <c r="B5296" s="91"/>
      <c r="C5296" s="91"/>
      <c r="D5296" s="91"/>
      <c r="E5296" s="91"/>
      <c r="G5296" s="244"/>
      <c r="H5296" s="238"/>
    </row>
    <row r="5297" spans="1:9" s="212" customFormat="1">
      <c r="A5297" s="120"/>
      <c r="B5297" s="73"/>
      <c r="C5297" s="73"/>
      <c r="D5297" s="73"/>
      <c r="E5297" s="73"/>
      <c r="G5297" s="235"/>
      <c r="H5297" s="238"/>
    </row>
    <row r="5298" spans="1:9" s="212" customFormat="1">
      <c r="A5298" s="220"/>
      <c r="B5298" s="141"/>
      <c r="C5298" s="141"/>
      <c r="D5298" s="141"/>
      <c r="E5298" s="141"/>
      <c r="F5298" s="141"/>
      <c r="G5298" s="194"/>
      <c r="H5298" s="238"/>
    </row>
    <row r="5299" spans="1:9" s="212" customFormat="1">
      <c r="A5299" s="146"/>
      <c r="B5299" s="83"/>
      <c r="C5299" s="148"/>
      <c r="D5299" s="84"/>
      <c r="E5299" s="84"/>
      <c r="F5299" s="84"/>
      <c r="G5299" s="243"/>
      <c r="H5299" s="238"/>
    </row>
    <row r="5300" spans="1:9" s="212" customFormat="1">
      <c r="A5300" s="91"/>
      <c r="B5300" s="91"/>
      <c r="C5300" s="91"/>
      <c r="D5300" s="91"/>
      <c r="E5300" s="91"/>
      <c r="G5300" s="244"/>
      <c r="H5300" s="238"/>
    </row>
    <row r="5301" spans="1:9" s="212" customFormat="1">
      <c r="A5301" s="120"/>
      <c r="B5301" s="73"/>
      <c r="C5301" s="73"/>
      <c r="D5301" s="73"/>
      <c r="E5301" s="73"/>
      <c r="G5301" s="235"/>
      <c r="H5301" s="238"/>
    </row>
    <row r="5302" spans="1:9" s="212" customFormat="1">
      <c r="A5302" s="220"/>
      <c r="B5302" s="141"/>
      <c r="C5302" s="141"/>
      <c r="D5302" s="141"/>
      <c r="E5302" s="141"/>
      <c r="F5302" s="141"/>
      <c r="G5302" s="194"/>
      <c r="H5302" s="238"/>
    </row>
    <row r="5303" spans="1:9" s="212" customFormat="1">
      <c r="A5303" s="142"/>
      <c r="B5303" s="143"/>
      <c r="C5303" s="143"/>
      <c r="D5303" s="143"/>
      <c r="E5303" s="143"/>
      <c r="F5303" s="84"/>
      <c r="G5303" s="243"/>
      <c r="H5303" s="238"/>
    </row>
    <row r="5304" spans="1:9" s="212" customFormat="1">
      <c r="A5304" s="123"/>
      <c r="B5304" s="95"/>
      <c r="C5304" s="95"/>
      <c r="D5304" s="95"/>
      <c r="E5304" s="95"/>
      <c r="G5304" s="244"/>
      <c r="H5304" s="235"/>
    </row>
    <row r="5305" spans="1:9" s="212" customFormat="1">
      <c r="A5305" s="123"/>
      <c r="B5305" s="95"/>
      <c r="C5305" s="95"/>
      <c r="D5305" s="95"/>
      <c r="E5305" s="95"/>
      <c r="G5305" s="235"/>
      <c r="H5305" s="242"/>
    </row>
    <row r="5306" spans="1:9" s="212" customFormat="1">
      <c r="B5306" s="97"/>
      <c r="C5306" s="98"/>
      <c r="D5306" s="98"/>
      <c r="E5306" s="98"/>
      <c r="G5306" s="241"/>
      <c r="H5306" s="242"/>
    </row>
    <row r="5307" spans="1:9" s="212" customFormat="1">
      <c r="B5307" s="97"/>
      <c r="C5307" s="98"/>
      <c r="D5307" s="98"/>
      <c r="E5307" s="98"/>
      <c r="G5307" s="241"/>
      <c r="H5307" s="227"/>
      <c r="I5307" s="228"/>
    </row>
    <row r="5308" spans="1:9" s="212" customFormat="1">
      <c r="A5308" s="658"/>
      <c r="B5308" s="227"/>
      <c r="C5308" s="227"/>
      <c r="D5308" s="227"/>
      <c r="E5308" s="227"/>
      <c r="F5308" s="227"/>
      <c r="G5308" s="227"/>
      <c r="H5308" s="227"/>
      <c r="I5308" s="229"/>
    </row>
    <row r="5309" spans="1:9" s="212" customFormat="1">
      <c r="A5309" s="658"/>
      <c r="B5309" s="227"/>
      <c r="C5309" s="227"/>
      <c r="D5309" s="227"/>
      <c r="E5309" s="227"/>
      <c r="F5309" s="227"/>
      <c r="G5309" s="227"/>
      <c r="H5309" s="234"/>
    </row>
    <row r="5310" spans="1:9" s="212" customFormat="1">
      <c r="A5310" s="69"/>
      <c r="B5310" s="69"/>
      <c r="C5310" s="69"/>
      <c r="D5310" s="69"/>
      <c r="E5310" s="69"/>
      <c r="G5310" s="234"/>
      <c r="H5310" s="234"/>
    </row>
    <row r="5311" spans="1:9" s="212" customFormat="1">
      <c r="A5311" s="120"/>
      <c r="B5311" s="73"/>
      <c r="C5311" s="73"/>
      <c r="D5311" s="73"/>
      <c r="E5311" s="73"/>
      <c r="F5311" s="73"/>
      <c r="G5311" s="235"/>
      <c r="H5311" s="235"/>
    </row>
    <row r="5312" spans="1:9" s="212" customFormat="1">
      <c r="A5312" s="220"/>
      <c r="B5312" s="141"/>
      <c r="C5312" s="141"/>
      <c r="D5312" s="141"/>
      <c r="E5312" s="141"/>
      <c r="F5312" s="141"/>
      <c r="G5312" s="194"/>
      <c r="H5312" s="235"/>
    </row>
    <row r="5313" spans="1:9" s="212" customFormat="1">
      <c r="A5313" s="150"/>
      <c r="B5313" s="83"/>
      <c r="C5313" s="148"/>
      <c r="D5313" s="84"/>
      <c r="E5313" s="84"/>
      <c r="F5313" s="84"/>
      <c r="G5313" s="243"/>
      <c r="H5313" s="238"/>
    </row>
    <row r="5314" spans="1:9" s="212" customFormat="1">
      <c r="A5314" s="84"/>
      <c r="B5314" s="83"/>
      <c r="C5314" s="84"/>
      <c r="D5314" s="84"/>
      <c r="E5314" s="84"/>
      <c r="G5314" s="244"/>
      <c r="H5314" s="238"/>
    </row>
    <row r="5315" spans="1:9" s="212" customFormat="1">
      <c r="A5315" s="120"/>
      <c r="B5315" s="73"/>
      <c r="C5315" s="73"/>
      <c r="D5315" s="73"/>
      <c r="E5315" s="73"/>
      <c r="G5315" s="235"/>
      <c r="H5315" s="238"/>
    </row>
    <row r="5316" spans="1:9" s="212" customFormat="1">
      <c r="A5316" s="220"/>
      <c r="B5316" s="141"/>
      <c r="C5316" s="141"/>
      <c r="D5316" s="141"/>
      <c r="E5316" s="141"/>
      <c r="F5316" s="141"/>
      <c r="G5316" s="194"/>
      <c r="H5316" s="238"/>
      <c r="I5316" s="240"/>
    </row>
    <row r="5317" spans="1:9" s="212" customFormat="1">
      <c r="A5317" s="197"/>
      <c r="B5317" s="83"/>
      <c r="C5317" s="148"/>
      <c r="D5317" s="190"/>
      <c r="E5317" s="84"/>
      <c r="F5317" s="84"/>
      <c r="G5317" s="243"/>
      <c r="H5317" s="238"/>
    </row>
    <row r="5318" spans="1:9" s="212" customFormat="1">
      <c r="A5318" s="91"/>
      <c r="B5318" s="91"/>
      <c r="C5318" s="91"/>
      <c r="D5318" s="91"/>
      <c r="E5318" s="91"/>
      <c r="G5318" s="244"/>
      <c r="H5318" s="238"/>
    </row>
    <row r="5319" spans="1:9" s="212" customFormat="1">
      <c r="A5319" s="120"/>
      <c r="B5319" s="73"/>
      <c r="C5319" s="73"/>
      <c r="D5319" s="73"/>
      <c r="E5319" s="73"/>
      <c r="G5319" s="235"/>
      <c r="H5319" s="238"/>
    </row>
    <row r="5320" spans="1:9" s="212" customFormat="1">
      <c r="A5320" s="220"/>
      <c r="B5320" s="141"/>
      <c r="C5320" s="141"/>
      <c r="D5320" s="141"/>
      <c r="E5320" s="141"/>
      <c r="F5320" s="141"/>
      <c r="G5320" s="194"/>
      <c r="H5320" s="238"/>
    </row>
    <row r="5321" spans="1:9" s="212" customFormat="1">
      <c r="A5321" s="146"/>
      <c r="B5321" s="83"/>
      <c r="C5321" s="148"/>
      <c r="D5321" s="84"/>
      <c r="E5321" s="84"/>
      <c r="F5321" s="84"/>
      <c r="G5321" s="243"/>
      <c r="H5321" s="238"/>
    </row>
    <row r="5322" spans="1:9" s="212" customFormat="1">
      <c r="A5322" s="91"/>
      <c r="B5322" s="91"/>
      <c r="C5322" s="91"/>
      <c r="D5322" s="91"/>
      <c r="E5322" s="91"/>
      <c r="G5322" s="244"/>
      <c r="H5322" s="238"/>
    </row>
    <row r="5323" spans="1:9" s="212" customFormat="1">
      <c r="A5323" s="120"/>
      <c r="B5323" s="73"/>
      <c r="C5323" s="73"/>
      <c r="D5323" s="73"/>
      <c r="E5323" s="73"/>
      <c r="G5323" s="235"/>
      <c r="H5323" s="238"/>
    </row>
    <row r="5324" spans="1:9" s="212" customFormat="1">
      <c r="A5324" s="220"/>
      <c r="B5324" s="141"/>
      <c r="C5324" s="141"/>
      <c r="D5324" s="141"/>
      <c r="E5324" s="141"/>
      <c r="F5324" s="141"/>
      <c r="G5324" s="194"/>
      <c r="H5324" s="238"/>
    </row>
    <row r="5325" spans="1:9" s="212" customFormat="1">
      <c r="A5325" s="142"/>
      <c r="B5325" s="143"/>
      <c r="C5325" s="143"/>
      <c r="D5325" s="143"/>
      <c r="E5325" s="143"/>
      <c r="F5325" s="84"/>
      <c r="G5325" s="243"/>
      <c r="H5325" s="238"/>
    </row>
    <row r="5326" spans="1:9" s="212" customFormat="1">
      <c r="A5326" s="123"/>
      <c r="B5326" s="95"/>
      <c r="C5326" s="95"/>
      <c r="D5326" s="95"/>
      <c r="E5326" s="95"/>
      <c r="G5326" s="244"/>
      <c r="H5326" s="235"/>
    </row>
    <row r="5327" spans="1:9" s="212" customFormat="1">
      <c r="A5327" s="123"/>
      <c r="B5327" s="95"/>
      <c r="C5327" s="95"/>
      <c r="D5327" s="95"/>
      <c r="E5327" s="95"/>
      <c r="G5327" s="235"/>
      <c r="H5327" s="242"/>
    </row>
    <row r="5328" spans="1:9" s="212" customFormat="1">
      <c r="B5328" s="97"/>
      <c r="C5328" s="98"/>
      <c r="D5328" s="98"/>
      <c r="E5328" s="98"/>
      <c r="G5328" s="241"/>
      <c r="H5328" s="242"/>
    </row>
    <row r="5329" spans="1:9" s="212" customFormat="1">
      <c r="B5329" s="97"/>
      <c r="C5329" s="98"/>
      <c r="D5329" s="98"/>
      <c r="E5329" s="98"/>
      <c r="G5329" s="241"/>
      <c r="H5329" s="227"/>
      <c r="I5329" s="228"/>
    </row>
    <row r="5330" spans="1:9" s="212" customFormat="1">
      <c r="A5330" s="658"/>
      <c r="B5330" s="227"/>
      <c r="C5330" s="227"/>
      <c r="D5330" s="227"/>
      <c r="E5330" s="227"/>
      <c r="F5330" s="227"/>
      <c r="G5330" s="227"/>
      <c r="H5330" s="227"/>
      <c r="I5330" s="229"/>
    </row>
    <row r="5331" spans="1:9" s="212" customFormat="1">
      <c r="A5331" s="658"/>
      <c r="B5331" s="227"/>
      <c r="C5331" s="227"/>
      <c r="D5331" s="227"/>
      <c r="E5331" s="227"/>
      <c r="F5331" s="227"/>
      <c r="G5331" s="227"/>
      <c r="H5331" s="234"/>
    </row>
    <row r="5332" spans="1:9" s="212" customFormat="1">
      <c r="A5332" s="69"/>
      <c r="B5332" s="69"/>
      <c r="C5332" s="69"/>
      <c r="D5332" s="69"/>
      <c r="E5332" s="69"/>
      <c r="G5332" s="234"/>
      <c r="H5332" s="234"/>
    </row>
    <row r="5333" spans="1:9" s="212" customFormat="1">
      <c r="A5333" s="120"/>
      <c r="B5333" s="73"/>
      <c r="C5333" s="73"/>
      <c r="D5333" s="73"/>
      <c r="E5333" s="73"/>
      <c r="F5333" s="73"/>
      <c r="G5333" s="235"/>
      <c r="H5333" s="235"/>
    </row>
    <row r="5334" spans="1:9" s="212" customFormat="1">
      <c r="A5334" s="220"/>
      <c r="B5334" s="141"/>
      <c r="C5334" s="141"/>
      <c r="D5334" s="141"/>
      <c r="E5334" s="141"/>
      <c r="F5334" s="141"/>
      <c r="G5334" s="194"/>
      <c r="H5334" s="235"/>
    </row>
    <row r="5335" spans="1:9" s="212" customFormat="1">
      <c r="A5335" s="150"/>
      <c r="B5335" s="83"/>
      <c r="C5335" s="148"/>
      <c r="D5335" s="84"/>
      <c r="E5335" s="84"/>
      <c r="F5335" s="84"/>
      <c r="G5335" s="243"/>
      <c r="H5335" s="238"/>
    </row>
    <row r="5336" spans="1:9" s="212" customFormat="1">
      <c r="A5336" s="84"/>
      <c r="B5336" s="83"/>
      <c r="C5336" s="84"/>
      <c r="D5336" s="84"/>
      <c r="E5336" s="84"/>
      <c r="G5336" s="244"/>
      <c r="H5336" s="238"/>
    </row>
    <row r="5337" spans="1:9" s="212" customFormat="1">
      <c r="A5337" s="120"/>
      <c r="B5337" s="73"/>
      <c r="C5337" s="73"/>
      <c r="D5337" s="73"/>
      <c r="E5337" s="73"/>
      <c r="G5337" s="235"/>
      <c r="H5337" s="238"/>
    </row>
    <row r="5338" spans="1:9" s="212" customFormat="1">
      <c r="A5338" s="220"/>
      <c r="B5338" s="141"/>
      <c r="C5338" s="141"/>
      <c r="D5338" s="141"/>
      <c r="E5338" s="141"/>
      <c r="F5338" s="141"/>
      <c r="G5338" s="194"/>
      <c r="H5338" s="238"/>
      <c r="I5338" s="240"/>
    </row>
    <row r="5339" spans="1:9" s="212" customFormat="1">
      <c r="A5339" s="197"/>
      <c r="B5339" s="83"/>
      <c r="C5339" s="148"/>
      <c r="D5339" s="190"/>
      <c r="E5339" s="84"/>
      <c r="F5339" s="84"/>
      <c r="G5339" s="243"/>
      <c r="H5339" s="238"/>
    </row>
    <row r="5340" spans="1:9" s="212" customFormat="1">
      <c r="A5340" s="91"/>
      <c r="B5340" s="91"/>
      <c r="C5340" s="91"/>
      <c r="D5340" s="91"/>
      <c r="E5340" s="91"/>
      <c r="G5340" s="244"/>
      <c r="H5340" s="238"/>
    </row>
    <row r="5341" spans="1:9" s="212" customFormat="1">
      <c r="A5341" s="120"/>
      <c r="B5341" s="73"/>
      <c r="C5341" s="73"/>
      <c r="D5341" s="73"/>
      <c r="E5341" s="73"/>
      <c r="G5341" s="235"/>
      <c r="H5341" s="238"/>
    </row>
    <row r="5342" spans="1:9" s="212" customFormat="1">
      <c r="A5342" s="220"/>
      <c r="B5342" s="141"/>
      <c r="C5342" s="141"/>
      <c r="D5342" s="141"/>
      <c r="E5342" s="141"/>
      <c r="F5342" s="141"/>
      <c r="G5342" s="194"/>
      <c r="H5342" s="238"/>
    </row>
    <row r="5343" spans="1:9" s="212" customFormat="1">
      <c r="A5343" s="146"/>
      <c r="B5343" s="83"/>
      <c r="C5343" s="148"/>
      <c r="D5343" s="84"/>
      <c r="E5343" s="84"/>
      <c r="F5343" s="84"/>
      <c r="G5343" s="243"/>
      <c r="H5343" s="238"/>
    </row>
    <row r="5344" spans="1:9" s="212" customFormat="1">
      <c r="A5344" s="91"/>
      <c r="B5344" s="91"/>
      <c r="C5344" s="91"/>
      <c r="D5344" s="91"/>
      <c r="E5344" s="91"/>
      <c r="G5344" s="244"/>
      <c r="H5344" s="238"/>
    </row>
    <row r="5345" spans="1:9" s="212" customFormat="1">
      <c r="A5345" s="120"/>
      <c r="B5345" s="73"/>
      <c r="C5345" s="73"/>
      <c r="D5345" s="73"/>
      <c r="E5345" s="73"/>
      <c r="G5345" s="235"/>
      <c r="H5345" s="238"/>
    </row>
    <row r="5346" spans="1:9" s="212" customFormat="1">
      <c r="A5346" s="220"/>
      <c r="B5346" s="141"/>
      <c r="C5346" s="141"/>
      <c r="D5346" s="141"/>
      <c r="E5346" s="141"/>
      <c r="F5346" s="141"/>
      <c r="G5346" s="194"/>
      <c r="H5346" s="238"/>
    </row>
    <row r="5347" spans="1:9" s="212" customFormat="1">
      <c r="A5347" s="142"/>
      <c r="B5347" s="143"/>
      <c r="C5347" s="143"/>
      <c r="D5347" s="143"/>
      <c r="E5347" s="143"/>
      <c r="F5347" s="84"/>
      <c r="G5347" s="243"/>
      <c r="H5347" s="238"/>
    </row>
    <row r="5348" spans="1:9" s="212" customFormat="1">
      <c r="A5348" s="123"/>
      <c r="B5348" s="95"/>
      <c r="C5348" s="95"/>
      <c r="D5348" s="95"/>
      <c r="E5348" s="95"/>
      <c r="G5348" s="244"/>
      <c r="H5348" s="235"/>
    </row>
    <row r="5349" spans="1:9" s="212" customFormat="1">
      <c r="A5349" s="123"/>
      <c r="B5349" s="95"/>
      <c r="C5349" s="95"/>
      <c r="D5349" s="95"/>
      <c r="E5349" s="95"/>
      <c r="G5349" s="235"/>
      <c r="H5349" s="242"/>
    </row>
    <row r="5350" spans="1:9" s="212" customFormat="1">
      <c r="B5350" s="97"/>
      <c r="C5350" s="98"/>
      <c r="D5350" s="98"/>
      <c r="E5350" s="98"/>
      <c r="G5350" s="241"/>
      <c r="H5350" s="242"/>
    </row>
    <row r="5351" spans="1:9" s="212" customFormat="1">
      <c r="B5351" s="97"/>
      <c r="C5351" s="98"/>
      <c r="D5351" s="98"/>
      <c r="E5351" s="98"/>
      <c r="G5351" s="241"/>
      <c r="H5351" s="227"/>
      <c r="I5351" s="228"/>
    </row>
    <row r="5352" spans="1:9" s="212" customFormat="1">
      <c r="A5352" s="658"/>
      <c r="B5352" s="227"/>
      <c r="C5352" s="227"/>
      <c r="D5352" s="227"/>
      <c r="E5352" s="227"/>
      <c r="F5352" s="227"/>
      <c r="G5352" s="227"/>
      <c r="H5352" s="227"/>
      <c r="I5352" s="229"/>
    </row>
    <row r="5353" spans="1:9" s="212" customFormat="1">
      <c r="A5353" s="658"/>
      <c r="B5353" s="227"/>
      <c r="C5353" s="227"/>
      <c r="D5353" s="227"/>
      <c r="E5353" s="227"/>
      <c r="F5353" s="227"/>
      <c r="G5353" s="227"/>
      <c r="H5353" s="234"/>
    </row>
    <row r="5354" spans="1:9" s="212" customFormat="1">
      <c r="A5354" s="69"/>
      <c r="B5354" s="69"/>
      <c r="C5354" s="69"/>
      <c r="D5354" s="69"/>
      <c r="E5354" s="69"/>
      <c r="G5354" s="234"/>
      <c r="H5354" s="234"/>
    </row>
    <row r="5355" spans="1:9" s="212" customFormat="1">
      <c r="A5355" s="120"/>
      <c r="B5355" s="73"/>
      <c r="C5355" s="73"/>
      <c r="D5355" s="73"/>
      <c r="E5355" s="73"/>
      <c r="F5355" s="73"/>
      <c r="G5355" s="235"/>
      <c r="H5355" s="235"/>
    </row>
    <row r="5356" spans="1:9" s="212" customFormat="1">
      <c r="A5356" s="220"/>
      <c r="B5356" s="141"/>
      <c r="C5356" s="141"/>
      <c r="D5356" s="141"/>
      <c r="E5356" s="141"/>
      <c r="F5356" s="141"/>
      <c r="G5356" s="194"/>
      <c r="H5356" s="235"/>
    </row>
    <row r="5357" spans="1:9" s="212" customFormat="1">
      <c r="A5357" s="150"/>
      <c r="B5357" s="83"/>
      <c r="C5357" s="148"/>
      <c r="D5357" s="84"/>
      <c r="E5357" s="84"/>
      <c r="F5357" s="84"/>
      <c r="G5357" s="243"/>
      <c r="H5357" s="238"/>
    </row>
    <row r="5358" spans="1:9" s="212" customFormat="1">
      <c r="A5358" s="84"/>
      <c r="B5358" s="83"/>
      <c r="C5358" s="84"/>
      <c r="D5358" s="84"/>
      <c r="E5358" s="84"/>
      <c r="G5358" s="244"/>
      <c r="H5358" s="238"/>
    </row>
    <row r="5359" spans="1:9" s="212" customFormat="1">
      <c r="A5359" s="120"/>
      <c r="B5359" s="73"/>
      <c r="C5359" s="73"/>
      <c r="D5359" s="73"/>
      <c r="E5359" s="73"/>
      <c r="G5359" s="235"/>
      <c r="H5359" s="238"/>
    </row>
    <row r="5360" spans="1:9" s="212" customFormat="1">
      <c r="A5360" s="220"/>
      <c r="B5360" s="141"/>
      <c r="C5360" s="141"/>
      <c r="D5360" s="141"/>
      <c r="E5360" s="141"/>
      <c r="F5360" s="141"/>
      <c r="G5360" s="194"/>
      <c r="H5360" s="238"/>
      <c r="I5360" s="240"/>
    </row>
    <row r="5361" spans="1:9" s="212" customFormat="1">
      <c r="A5361" s="197"/>
      <c r="B5361" s="83"/>
      <c r="C5361" s="148"/>
      <c r="D5361" s="190"/>
      <c r="E5361" s="84"/>
      <c r="F5361" s="84"/>
      <c r="G5361" s="243"/>
      <c r="H5361" s="238"/>
      <c r="I5361" s="240"/>
    </row>
    <row r="5362" spans="1:9" s="212" customFormat="1">
      <c r="A5362" s="197"/>
      <c r="B5362" s="83"/>
      <c r="C5362" s="148"/>
      <c r="D5362" s="190"/>
      <c r="E5362" s="84"/>
      <c r="F5362" s="84"/>
      <c r="G5362" s="243"/>
      <c r="H5362" s="238"/>
      <c r="I5362" s="240"/>
    </row>
    <row r="5363" spans="1:9" s="212" customFormat="1">
      <c r="A5363" s="197"/>
      <c r="B5363" s="198"/>
      <c r="C5363" s="148"/>
      <c r="D5363" s="190"/>
      <c r="E5363" s="84"/>
      <c r="F5363" s="84"/>
      <c r="G5363" s="243"/>
      <c r="H5363" s="238"/>
    </row>
    <row r="5364" spans="1:9" s="212" customFormat="1">
      <c r="A5364" s="91"/>
      <c r="B5364" s="91"/>
      <c r="C5364" s="91"/>
      <c r="D5364" s="91"/>
      <c r="E5364" s="91"/>
      <c r="G5364" s="244"/>
      <c r="H5364" s="238"/>
    </row>
    <row r="5365" spans="1:9" s="212" customFormat="1">
      <c r="A5365" s="120"/>
      <c r="B5365" s="73"/>
      <c r="C5365" s="73"/>
      <c r="D5365" s="73"/>
      <c r="E5365" s="73"/>
      <c r="G5365" s="235"/>
      <c r="H5365" s="238"/>
    </row>
    <row r="5366" spans="1:9" s="212" customFormat="1">
      <c r="A5366" s="220"/>
      <c r="B5366" s="141"/>
      <c r="C5366" s="141"/>
      <c r="D5366" s="141"/>
      <c r="E5366" s="141"/>
      <c r="F5366" s="141"/>
      <c r="G5366" s="194"/>
      <c r="H5366" s="238"/>
    </row>
    <row r="5367" spans="1:9" s="212" customFormat="1">
      <c r="A5367" s="146"/>
      <c r="B5367" s="83"/>
      <c r="C5367" s="148"/>
      <c r="D5367" s="84"/>
      <c r="E5367" s="84"/>
      <c r="F5367" s="84"/>
      <c r="G5367" s="243"/>
      <c r="H5367" s="238"/>
    </row>
    <row r="5368" spans="1:9" s="212" customFormat="1">
      <c r="A5368" s="91"/>
      <c r="B5368" s="91"/>
      <c r="C5368" s="91"/>
      <c r="D5368" s="91"/>
      <c r="E5368" s="91"/>
      <c r="G5368" s="244"/>
      <c r="H5368" s="238"/>
    </row>
    <row r="5369" spans="1:9" s="212" customFormat="1">
      <c r="A5369" s="120"/>
      <c r="B5369" s="73"/>
      <c r="C5369" s="73"/>
      <c r="D5369" s="73"/>
      <c r="E5369" s="73"/>
      <c r="G5369" s="235"/>
      <c r="H5369" s="238"/>
    </row>
    <row r="5370" spans="1:9" s="212" customFormat="1">
      <c r="A5370" s="220"/>
      <c r="B5370" s="141"/>
      <c r="C5370" s="141"/>
      <c r="D5370" s="141"/>
      <c r="E5370" s="141"/>
      <c r="F5370" s="141"/>
      <c r="G5370" s="194"/>
      <c r="H5370" s="238"/>
    </row>
    <row r="5371" spans="1:9" s="212" customFormat="1">
      <c r="A5371" s="142"/>
      <c r="B5371" s="143"/>
      <c r="C5371" s="143"/>
      <c r="D5371" s="143"/>
      <c r="E5371" s="143"/>
      <c r="F5371" s="84"/>
      <c r="G5371" s="243"/>
      <c r="H5371" s="238"/>
    </row>
    <row r="5372" spans="1:9" s="212" customFormat="1">
      <c r="A5372" s="123"/>
      <c r="B5372" s="95"/>
      <c r="C5372" s="95"/>
      <c r="D5372" s="95"/>
      <c r="E5372" s="95"/>
      <c r="G5372" s="244"/>
      <c r="H5372" s="235"/>
    </row>
    <row r="5373" spans="1:9" s="212" customFormat="1">
      <c r="A5373" s="123"/>
      <c r="B5373" s="95"/>
      <c r="C5373" s="95"/>
      <c r="D5373" s="95"/>
      <c r="E5373" s="95"/>
      <c r="G5373" s="235"/>
      <c r="H5373" s="242"/>
    </row>
    <row r="5374" spans="1:9" s="212" customFormat="1">
      <c r="B5374" s="97"/>
      <c r="C5374" s="98"/>
      <c r="D5374" s="98"/>
      <c r="E5374" s="98"/>
      <c r="G5374" s="241"/>
      <c r="H5374" s="234"/>
    </row>
    <row r="5375" spans="1:9" s="212" customFormat="1">
      <c r="A5375" s="69"/>
      <c r="B5375" s="69"/>
      <c r="C5375" s="69"/>
      <c r="D5375" s="69"/>
      <c r="E5375" s="69"/>
      <c r="G5375" s="234"/>
      <c r="H5375" s="227"/>
      <c r="I5375" s="228"/>
    </row>
    <row r="5376" spans="1:9" s="212" customFormat="1">
      <c r="A5376" s="658"/>
      <c r="B5376" s="227"/>
      <c r="C5376" s="227"/>
      <c r="D5376" s="227"/>
      <c r="E5376" s="227"/>
      <c r="F5376" s="227"/>
      <c r="G5376" s="227"/>
      <c r="H5376" s="227"/>
      <c r="I5376" s="229"/>
    </row>
    <row r="5377" spans="1:9" s="212" customFormat="1">
      <c r="A5377" s="658"/>
      <c r="B5377" s="227"/>
      <c r="C5377" s="227"/>
      <c r="D5377" s="227"/>
      <c r="E5377" s="227"/>
      <c r="F5377" s="227"/>
      <c r="G5377" s="227"/>
      <c r="H5377" s="234"/>
    </row>
    <row r="5378" spans="1:9" s="212" customFormat="1">
      <c r="A5378" s="69"/>
      <c r="B5378" s="69"/>
      <c r="C5378" s="69"/>
      <c r="D5378" s="69"/>
      <c r="E5378" s="69"/>
      <c r="G5378" s="234"/>
      <c r="H5378" s="234"/>
    </row>
    <row r="5379" spans="1:9" s="212" customFormat="1">
      <c r="A5379" s="120"/>
      <c r="B5379" s="73"/>
      <c r="C5379" s="73"/>
      <c r="D5379" s="73"/>
      <c r="E5379" s="73"/>
      <c r="F5379" s="73"/>
      <c r="G5379" s="235"/>
      <c r="H5379" s="235"/>
    </row>
    <row r="5380" spans="1:9" s="212" customFormat="1">
      <c r="A5380" s="220"/>
      <c r="B5380" s="141"/>
      <c r="C5380" s="141"/>
      <c r="D5380" s="141"/>
      <c r="E5380" s="141"/>
      <c r="F5380" s="141"/>
      <c r="G5380" s="194"/>
      <c r="H5380" s="235"/>
    </row>
    <row r="5381" spans="1:9" s="212" customFormat="1">
      <c r="A5381" s="150"/>
      <c r="B5381" s="83"/>
      <c r="C5381" s="148"/>
      <c r="D5381" s="84"/>
      <c r="E5381" s="84"/>
      <c r="F5381" s="84"/>
      <c r="G5381" s="243"/>
      <c r="H5381" s="238"/>
    </row>
    <row r="5382" spans="1:9" s="212" customFormat="1">
      <c r="A5382" s="84"/>
      <c r="B5382" s="83"/>
      <c r="C5382" s="84"/>
      <c r="D5382" s="84"/>
      <c r="E5382" s="84"/>
      <c r="G5382" s="244"/>
      <c r="H5382" s="238"/>
    </row>
    <row r="5383" spans="1:9" s="212" customFormat="1">
      <c r="A5383" s="120"/>
      <c r="B5383" s="73"/>
      <c r="C5383" s="73"/>
      <c r="D5383" s="73"/>
      <c r="E5383" s="73"/>
      <c r="G5383" s="235"/>
      <c r="H5383" s="238"/>
    </row>
    <row r="5384" spans="1:9" s="212" customFormat="1">
      <c r="A5384" s="220"/>
      <c r="B5384" s="141"/>
      <c r="C5384" s="141"/>
      <c r="D5384" s="141"/>
      <c r="E5384" s="141"/>
      <c r="F5384" s="141"/>
      <c r="G5384" s="194"/>
      <c r="H5384" s="238"/>
      <c r="I5384" s="240"/>
    </row>
    <row r="5385" spans="1:9" s="212" customFormat="1">
      <c r="A5385" s="197"/>
      <c r="B5385" s="83"/>
      <c r="C5385" s="148"/>
      <c r="D5385" s="190"/>
      <c r="E5385" s="84"/>
      <c r="F5385" s="84"/>
      <c r="G5385" s="243"/>
      <c r="H5385" s="238"/>
    </row>
    <row r="5386" spans="1:9" s="212" customFormat="1">
      <c r="A5386" s="91"/>
      <c r="B5386" s="91"/>
      <c r="C5386" s="91"/>
      <c r="D5386" s="91"/>
      <c r="E5386" s="91"/>
      <c r="G5386" s="244"/>
      <c r="H5386" s="238"/>
    </row>
    <row r="5387" spans="1:9" s="212" customFormat="1">
      <c r="A5387" s="120"/>
      <c r="B5387" s="73"/>
      <c r="C5387" s="73"/>
      <c r="D5387" s="73"/>
      <c r="E5387" s="73"/>
      <c r="G5387" s="235"/>
      <c r="H5387" s="238"/>
    </row>
    <row r="5388" spans="1:9" s="212" customFormat="1">
      <c r="A5388" s="220"/>
      <c r="B5388" s="141"/>
      <c r="C5388" s="141"/>
      <c r="D5388" s="141"/>
      <c r="E5388" s="141"/>
      <c r="F5388" s="141"/>
      <c r="G5388" s="194"/>
      <c r="H5388" s="238"/>
    </row>
    <row r="5389" spans="1:9" s="212" customFormat="1">
      <c r="A5389" s="146"/>
      <c r="B5389" s="83"/>
      <c r="C5389" s="148"/>
      <c r="D5389" s="84"/>
      <c r="E5389" s="84"/>
      <c r="F5389" s="84"/>
      <c r="G5389" s="243"/>
      <c r="H5389" s="238"/>
    </row>
    <row r="5390" spans="1:9" s="212" customFormat="1">
      <c r="A5390" s="91"/>
      <c r="B5390" s="91"/>
      <c r="C5390" s="91"/>
      <c r="D5390" s="91"/>
      <c r="E5390" s="91"/>
      <c r="G5390" s="244"/>
      <c r="H5390" s="238"/>
    </row>
    <row r="5391" spans="1:9" s="212" customFormat="1">
      <c r="A5391" s="120"/>
      <c r="B5391" s="73"/>
      <c r="C5391" s="73"/>
      <c r="D5391" s="73"/>
      <c r="E5391" s="73"/>
      <c r="G5391" s="235"/>
      <c r="H5391" s="238"/>
    </row>
    <row r="5392" spans="1:9" s="212" customFormat="1">
      <c r="A5392" s="220"/>
      <c r="B5392" s="141"/>
      <c r="C5392" s="141"/>
      <c r="D5392" s="141"/>
      <c r="E5392" s="141"/>
      <c r="F5392" s="141"/>
      <c r="G5392" s="194"/>
      <c r="H5392" s="238"/>
    </row>
    <row r="5393" spans="1:9" s="212" customFormat="1">
      <c r="A5393" s="142"/>
      <c r="B5393" s="143"/>
      <c r="C5393" s="143"/>
      <c r="D5393" s="143"/>
      <c r="E5393" s="143"/>
      <c r="F5393" s="84"/>
      <c r="G5393" s="243"/>
      <c r="H5393" s="238"/>
    </row>
    <row r="5394" spans="1:9" s="212" customFormat="1">
      <c r="A5394" s="123"/>
      <c r="B5394" s="95"/>
      <c r="C5394" s="95"/>
      <c r="D5394" s="95"/>
      <c r="E5394" s="95"/>
      <c r="G5394" s="244"/>
      <c r="H5394" s="235"/>
    </row>
    <row r="5395" spans="1:9" s="212" customFormat="1">
      <c r="A5395" s="123"/>
      <c r="B5395" s="95"/>
      <c r="C5395" s="95"/>
      <c r="D5395" s="95"/>
      <c r="E5395" s="95"/>
      <c r="G5395" s="235"/>
      <c r="H5395" s="242"/>
    </row>
    <row r="5396" spans="1:9" s="212" customFormat="1">
      <c r="B5396" s="97"/>
      <c r="C5396" s="98"/>
      <c r="D5396" s="98"/>
      <c r="E5396" s="98"/>
      <c r="G5396" s="241"/>
      <c r="H5396" s="234"/>
    </row>
    <row r="5397" spans="1:9" s="212" customFormat="1">
      <c r="A5397" s="69"/>
      <c r="B5397" s="69"/>
      <c r="C5397" s="69"/>
      <c r="D5397" s="69"/>
      <c r="E5397" s="69"/>
      <c r="G5397" s="234"/>
      <c r="H5397" s="227"/>
      <c r="I5397" s="228"/>
    </row>
    <row r="5398" spans="1:9" s="212" customFormat="1">
      <c r="A5398" s="658"/>
      <c r="B5398" s="227"/>
      <c r="C5398" s="227"/>
      <c r="D5398" s="227"/>
      <c r="E5398" s="227"/>
      <c r="F5398" s="227"/>
      <c r="G5398" s="227"/>
      <c r="H5398" s="227"/>
      <c r="I5398" s="229"/>
    </row>
    <row r="5399" spans="1:9" s="212" customFormat="1">
      <c r="A5399" s="658"/>
      <c r="B5399" s="227"/>
      <c r="C5399" s="227"/>
      <c r="D5399" s="227"/>
      <c r="E5399" s="227"/>
      <c r="F5399" s="227"/>
      <c r="G5399" s="227"/>
      <c r="H5399" s="234"/>
    </row>
    <row r="5400" spans="1:9" s="212" customFormat="1">
      <c r="A5400" s="69"/>
      <c r="B5400" s="69"/>
      <c r="C5400" s="69"/>
      <c r="D5400" s="69"/>
      <c r="E5400" s="69"/>
      <c r="G5400" s="234"/>
      <c r="H5400" s="234"/>
    </row>
    <row r="5401" spans="1:9" s="212" customFormat="1">
      <c r="A5401" s="120"/>
      <c r="B5401" s="73"/>
      <c r="C5401" s="73"/>
      <c r="D5401" s="73"/>
      <c r="E5401" s="73"/>
      <c r="F5401" s="73"/>
      <c r="G5401" s="235"/>
      <c r="H5401" s="235"/>
    </row>
    <row r="5402" spans="1:9" s="212" customFormat="1">
      <c r="A5402" s="220"/>
      <c r="B5402" s="141"/>
      <c r="C5402" s="141"/>
      <c r="D5402" s="141"/>
      <c r="E5402" s="141"/>
      <c r="F5402" s="141"/>
      <c r="G5402" s="194"/>
      <c r="H5402" s="235"/>
    </row>
    <row r="5403" spans="1:9" s="212" customFormat="1">
      <c r="A5403" s="150"/>
      <c r="B5403" s="83"/>
      <c r="C5403" s="148"/>
      <c r="D5403" s="84"/>
      <c r="E5403" s="84"/>
      <c r="F5403" s="84"/>
      <c r="G5403" s="243"/>
      <c r="H5403" s="238"/>
    </row>
    <row r="5404" spans="1:9" s="212" customFormat="1">
      <c r="A5404" s="84"/>
      <c r="B5404" s="83"/>
      <c r="C5404" s="84"/>
      <c r="D5404" s="84"/>
      <c r="E5404" s="84"/>
      <c r="G5404" s="244"/>
      <c r="H5404" s="238"/>
    </row>
    <row r="5405" spans="1:9" s="212" customFormat="1">
      <c r="A5405" s="120"/>
      <c r="B5405" s="73"/>
      <c r="C5405" s="73"/>
      <c r="D5405" s="73"/>
      <c r="E5405" s="73"/>
      <c r="G5405" s="235"/>
      <c r="H5405" s="238"/>
    </row>
    <row r="5406" spans="1:9" s="212" customFormat="1">
      <c r="A5406" s="220"/>
      <c r="B5406" s="141"/>
      <c r="C5406" s="141"/>
      <c r="D5406" s="141"/>
      <c r="E5406" s="141"/>
      <c r="F5406" s="141"/>
      <c r="G5406" s="194"/>
      <c r="H5406" s="238"/>
      <c r="I5406" s="240"/>
    </row>
    <row r="5407" spans="1:9" s="212" customFormat="1">
      <c r="A5407" s="197"/>
      <c r="B5407" s="83"/>
      <c r="C5407" s="148"/>
      <c r="D5407" s="190"/>
      <c r="E5407" s="84"/>
      <c r="F5407" s="84"/>
      <c r="G5407" s="243"/>
      <c r="H5407" s="238"/>
    </row>
    <row r="5408" spans="1:9" s="212" customFormat="1">
      <c r="A5408" s="91"/>
      <c r="B5408" s="91"/>
      <c r="C5408" s="91"/>
      <c r="D5408" s="91"/>
      <c r="E5408" s="91"/>
      <c r="G5408" s="244"/>
      <c r="H5408" s="238"/>
    </row>
    <row r="5409" spans="1:9" s="212" customFormat="1">
      <c r="A5409" s="120"/>
      <c r="B5409" s="73"/>
      <c r="C5409" s="73"/>
      <c r="D5409" s="73"/>
      <c r="E5409" s="73"/>
      <c r="G5409" s="235"/>
      <c r="H5409" s="238"/>
    </row>
    <row r="5410" spans="1:9" s="212" customFormat="1">
      <c r="A5410" s="220"/>
      <c r="B5410" s="141"/>
      <c r="C5410" s="141"/>
      <c r="D5410" s="141"/>
      <c r="E5410" s="141"/>
      <c r="F5410" s="141"/>
      <c r="G5410" s="194"/>
      <c r="H5410" s="238"/>
    </row>
    <row r="5411" spans="1:9" s="212" customFormat="1">
      <c r="A5411" s="146"/>
      <c r="B5411" s="83"/>
      <c r="C5411" s="148"/>
      <c r="D5411" s="84"/>
      <c r="E5411" s="84"/>
      <c r="F5411" s="84"/>
      <c r="G5411" s="243"/>
      <c r="H5411" s="238"/>
    </row>
    <row r="5412" spans="1:9" s="212" customFormat="1">
      <c r="A5412" s="91"/>
      <c r="B5412" s="91"/>
      <c r="C5412" s="91"/>
      <c r="D5412" s="91"/>
      <c r="E5412" s="91"/>
      <c r="G5412" s="244"/>
      <c r="H5412" s="238"/>
    </row>
    <row r="5413" spans="1:9" s="212" customFormat="1">
      <c r="A5413" s="120"/>
      <c r="B5413" s="73"/>
      <c r="C5413" s="73"/>
      <c r="D5413" s="73"/>
      <c r="E5413" s="73"/>
      <c r="G5413" s="235"/>
      <c r="H5413" s="238"/>
    </row>
    <row r="5414" spans="1:9" s="212" customFormat="1">
      <c r="A5414" s="220"/>
      <c r="B5414" s="141"/>
      <c r="C5414" s="141"/>
      <c r="D5414" s="141"/>
      <c r="E5414" s="141"/>
      <c r="F5414" s="141"/>
      <c r="G5414" s="194"/>
      <c r="H5414" s="238"/>
    </row>
    <row r="5415" spans="1:9" s="212" customFormat="1">
      <c r="A5415" s="142"/>
      <c r="B5415" s="143"/>
      <c r="C5415" s="143"/>
      <c r="D5415" s="143"/>
      <c r="E5415" s="143"/>
      <c r="F5415" s="84"/>
      <c r="G5415" s="243"/>
      <c r="H5415" s="238"/>
    </row>
    <row r="5416" spans="1:9" s="212" customFormat="1">
      <c r="A5416" s="123"/>
      <c r="B5416" s="95"/>
      <c r="C5416" s="95"/>
      <c r="D5416" s="95"/>
      <c r="E5416" s="95"/>
      <c r="G5416" s="244"/>
      <c r="H5416" s="235"/>
    </row>
    <row r="5417" spans="1:9" s="212" customFormat="1">
      <c r="A5417" s="123"/>
      <c r="B5417" s="95"/>
      <c r="C5417" s="95"/>
      <c r="D5417" s="95"/>
      <c r="E5417" s="95"/>
      <c r="G5417" s="235"/>
      <c r="H5417" s="242"/>
    </row>
    <row r="5418" spans="1:9" s="212" customFormat="1">
      <c r="B5418" s="97"/>
      <c r="C5418" s="98"/>
      <c r="D5418" s="98"/>
      <c r="E5418" s="98"/>
      <c r="G5418" s="241"/>
      <c r="H5418" s="242"/>
    </row>
    <row r="5419" spans="1:9" s="212" customFormat="1">
      <c r="B5419" s="97"/>
      <c r="C5419" s="98"/>
      <c r="D5419" s="98"/>
      <c r="E5419" s="98"/>
      <c r="G5419" s="241"/>
      <c r="H5419" s="227"/>
      <c r="I5419" s="228"/>
    </row>
    <row r="5420" spans="1:9" s="212" customFormat="1">
      <c r="A5420" s="658"/>
      <c r="B5420" s="227"/>
      <c r="C5420" s="227"/>
      <c r="D5420" s="227"/>
      <c r="E5420" s="227"/>
      <c r="F5420" s="227"/>
      <c r="G5420" s="227"/>
      <c r="H5420" s="227"/>
      <c r="I5420" s="229"/>
    </row>
    <row r="5421" spans="1:9" s="212" customFormat="1">
      <c r="A5421" s="658"/>
      <c r="B5421" s="227"/>
      <c r="C5421" s="227"/>
      <c r="D5421" s="227"/>
      <c r="E5421" s="227"/>
      <c r="F5421" s="227"/>
      <c r="G5421" s="227"/>
      <c r="H5421" s="234"/>
    </row>
    <row r="5422" spans="1:9" s="212" customFormat="1">
      <c r="A5422" s="69"/>
      <c r="B5422" s="69"/>
      <c r="C5422" s="69"/>
      <c r="D5422" s="69"/>
      <c r="E5422" s="69"/>
      <c r="G5422" s="234"/>
      <c r="H5422" s="234"/>
    </row>
    <row r="5423" spans="1:9" s="212" customFormat="1">
      <c r="A5423" s="120"/>
      <c r="B5423" s="73"/>
      <c r="C5423" s="73"/>
      <c r="D5423" s="73"/>
      <c r="E5423" s="73"/>
      <c r="F5423" s="73"/>
      <c r="G5423" s="235"/>
      <c r="H5423" s="235"/>
    </row>
    <row r="5424" spans="1:9" s="212" customFormat="1">
      <c r="A5424" s="220"/>
      <c r="B5424" s="141"/>
      <c r="C5424" s="141"/>
      <c r="D5424" s="141"/>
      <c r="E5424" s="141"/>
      <c r="F5424" s="141"/>
      <c r="G5424" s="194"/>
      <c r="H5424" s="235"/>
    </row>
    <row r="5425" spans="1:9" s="212" customFormat="1">
      <c r="A5425" s="150"/>
      <c r="B5425" s="83"/>
      <c r="C5425" s="148"/>
      <c r="D5425" s="84"/>
      <c r="E5425" s="84"/>
      <c r="F5425" s="84"/>
      <c r="G5425" s="243"/>
      <c r="H5425" s="238"/>
    </row>
    <row r="5426" spans="1:9" s="212" customFormat="1">
      <c r="A5426" s="84"/>
      <c r="B5426" s="83"/>
      <c r="C5426" s="84"/>
      <c r="D5426" s="84"/>
      <c r="E5426" s="84"/>
      <c r="G5426" s="244"/>
      <c r="H5426" s="238"/>
    </row>
    <row r="5427" spans="1:9" s="212" customFormat="1">
      <c r="A5427" s="120"/>
      <c r="B5427" s="73"/>
      <c r="C5427" s="73"/>
      <c r="D5427" s="73"/>
      <c r="E5427" s="73"/>
      <c r="G5427" s="235"/>
      <c r="H5427" s="238"/>
    </row>
    <row r="5428" spans="1:9" s="212" customFormat="1">
      <c r="A5428" s="220"/>
      <c r="B5428" s="141"/>
      <c r="C5428" s="141"/>
      <c r="D5428" s="141"/>
      <c r="E5428" s="141"/>
      <c r="F5428" s="141"/>
      <c r="G5428" s="194"/>
      <c r="H5428" s="238"/>
      <c r="I5428" s="240"/>
    </row>
    <row r="5429" spans="1:9" s="212" customFormat="1">
      <c r="A5429" s="197"/>
      <c r="B5429" s="83"/>
      <c r="C5429" s="148"/>
      <c r="D5429" s="190"/>
      <c r="E5429" s="84"/>
      <c r="F5429" s="84"/>
      <c r="G5429" s="243"/>
      <c r="H5429" s="238"/>
      <c r="I5429" s="240"/>
    </row>
    <row r="5430" spans="1:9" s="212" customFormat="1">
      <c r="A5430" s="150"/>
      <c r="B5430" s="83"/>
      <c r="C5430" s="148"/>
      <c r="D5430" s="84"/>
      <c r="E5430" s="84"/>
      <c r="F5430" s="84"/>
      <c r="G5430" s="243"/>
      <c r="H5430" s="238"/>
    </row>
    <row r="5431" spans="1:9" s="212" customFormat="1">
      <c r="A5431" s="150"/>
      <c r="B5431" s="83"/>
      <c r="C5431" s="148"/>
      <c r="D5431" s="84"/>
      <c r="E5431" s="84"/>
      <c r="F5431" s="84"/>
      <c r="G5431" s="243"/>
      <c r="H5431" s="238"/>
    </row>
    <row r="5432" spans="1:9" s="212" customFormat="1">
      <c r="A5432" s="150"/>
      <c r="B5432" s="83"/>
      <c r="C5432" s="148"/>
      <c r="D5432" s="84"/>
      <c r="E5432" s="84"/>
      <c r="F5432" s="84"/>
      <c r="G5432" s="243"/>
      <c r="H5432" s="238"/>
    </row>
    <row r="5433" spans="1:9" s="212" customFormat="1">
      <c r="A5433" s="91"/>
      <c r="B5433" s="91"/>
      <c r="C5433" s="91"/>
      <c r="D5433" s="91"/>
      <c r="E5433" s="91"/>
      <c r="G5433" s="244"/>
      <c r="H5433" s="238"/>
    </row>
    <row r="5434" spans="1:9" s="212" customFormat="1">
      <c r="A5434" s="120"/>
      <c r="B5434" s="73"/>
      <c r="C5434" s="73"/>
      <c r="D5434" s="73"/>
      <c r="E5434" s="73"/>
      <c r="G5434" s="235"/>
      <c r="H5434" s="238"/>
    </row>
    <row r="5435" spans="1:9" s="212" customFormat="1">
      <c r="A5435" s="220"/>
      <c r="B5435" s="141"/>
      <c r="C5435" s="141"/>
      <c r="D5435" s="141"/>
      <c r="E5435" s="141"/>
      <c r="F5435" s="141"/>
      <c r="G5435" s="194"/>
      <c r="H5435" s="238"/>
    </row>
    <row r="5436" spans="1:9" s="212" customFormat="1">
      <c r="A5436" s="146"/>
      <c r="B5436" s="83"/>
      <c r="C5436" s="148"/>
      <c r="D5436" s="84"/>
      <c r="E5436" s="84"/>
      <c r="F5436" s="84"/>
      <c r="G5436" s="243"/>
      <c r="H5436" s="238"/>
    </row>
    <row r="5437" spans="1:9" s="212" customFormat="1">
      <c r="A5437" s="91"/>
      <c r="B5437" s="91"/>
      <c r="C5437" s="91"/>
      <c r="D5437" s="91"/>
      <c r="E5437" s="91"/>
      <c r="G5437" s="244"/>
      <c r="H5437" s="238"/>
    </row>
    <row r="5438" spans="1:9" s="212" customFormat="1">
      <c r="A5438" s="120"/>
      <c r="B5438" s="73"/>
      <c r="C5438" s="73"/>
      <c r="D5438" s="73"/>
      <c r="E5438" s="73"/>
      <c r="G5438" s="235"/>
      <c r="H5438" s="238"/>
    </row>
    <row r="5439" spans="1:9" s="212" customFormat="1">
      <c r="A5439" s="220"/>
      <c r="B5439" s="141"/>
      <c r="C5439" s="141"/>
      <c r="D5439" s="141"/>
      <c r="E5439" s="141"/>
      <c r="F5439" s="141"/>
      <c r="G5439" s="194"/>
      <c r="H5439" s="238"/>
    </row>
    <row r="5440" spans="1:9" s="212" customFormat="1">
      <c r="A5440" s="142"/>
      <c r="B5440" s="143"/>
      <c r="C5440" s="143"/>
      <c r="D5440" s="143"/>
      <c r="E5440" s="143"/>
      <c r="F5440" s="84"/>
      <c r="G5440" s="243"/>
      <c r="H5440" s="238"/>
    </row>
    <row r="5441" spans="1:9" s="212" customFormat="1">
      <c r="A5441" s="123"/>
      <c r="B5441" s="95"/>
      <c r="C5441" s="95"/>
      <c r="D5441" s="95"/>
      <c r="E5441" s="95"/>
      <c r="G5441" s="244"/>
      <c r="H5441" s="235"/>
    </row>
    <row r="5442" spans="1:9" s="212" customFormat="1">
      <c r="A5442" s="123"/>
      <c r="B5442" s="95"/>
      <c r="C5442" s="95"/>
      <c r="D5442" s="95"/>
      <c r="E5442" s="95"/>
      <c r="G5442" s="235"/>
      <c r="H5442" s="242"/>
    </row>
    <row r="5443" spans="1:9" s="212" customFormat="1">
      <c r="B5443" s="97"/>
      <c r="C5443" s="98"/>
      <c r="D5443" s="98"/>
      <c r="E5443" s="98"/>
      <c r="G5443" s="241"/>
      <c r="H5443" s="242"/>
    </row>
    <row r="5444" spans="1:9" s="212" customFormat="1">
      <c r="B5444" s="97"/>
      <c r="C5444" s="98"/>
      <c r="D5444" s="98"/>
      <c r="E5444" s="98"/>
      <c r="G5444" s="241"/>
      <c r="H5444" s="227"/>
      <c r="I5444" s="228"/>
    </row>
    <row r="5445" spans="1:9" s="212" customFormat="1">
      <c r="A5445" s="658"/>
      <c r="B5445" s="227"/>
      <c r="C5445" s="227"/>
      <c r="D5445" s="227"/>
      <c r="E5445" s="227"/>
      <c r="F5445" s="227"/>
      <c r="G5445" s="227"/>
      <c r="H5445" s="227"/>
      <c r="I5445" s="229"/>
    </row>
    <row r="5446" spans="1:9" s="212" customFormat="1">
      <c r="A5446" s="658"/>
      <c r="B5446" s="227"/>
      <c r="C5446" s="227"/>
      <c r="D5446" s="227"/>
      <c r="E5446" s="227"/>
      <c r="F5446" s="227"/>
      <c r="G5446" s="227"/>
      <c r="H5446" s="234"/>
    </row>
    <row r="5447" spans="1:9" s="212" customFormat="1">
      <c r="A5447" s="69"/>
      <c r="B5447" s="69"/>
      <c r="C5447" s="69"/>
      <c r="D5447" s="69"/>
      <c r="E5447" s="69"/>
      <c r="G5447" s="234"/>
      <c r="H5447" s="234"/>
    </row>
    <row r="5448" spans="1:9" s="212" customFormat="1">
      <c r="A5448" s="120"/>
      <c r="B5448" s="73"/>
      <c r="C5448" s="73"/>
      <c r="D5448" s="73"/>
      <c r="E5448" s="73"/>
      <c r="F5448" s="73"/>
      <c r="G5448" s="235"/>
      <c r="H5448" s="235"/>
    </row>
    <row r="5449" spans="1:9" s="212" customFormat="1">
      <c r="A5449" s="220"/>
      <c r="B5449" s="141"/>
      <c r="C5449" s="141"/>
      <c r="D5449" s="141"/>
      <c r="E5449" s="141"/>
      <c r="F5449" s="141"/>
      <c r="G5449" s="194"/>
      <c r="H5449" s="235"/>
    </row>
    <row r="5450" spans="1:9" s="212" customFormat="1">
      <c r="A5450" s="150"/>
      <c r="B5450" s="83"/>
      <c r="C5450" s="148"/>
      <c r="D5450" s="84"/>
      <c r="E5450" s="84"/>
      <c r="F5450" s="84"/>
      <c r="G5450" s="243"/>
      <c r="H5450" s="238"/>
    </row>
    <row r="5451" spans="1:9" s="212" customFormat="1">
      <c r="A5451" s="84"/>
      <c r="B5451" s="83"/>
      <c r="C5451" s="84"/>
      <c r="D5451" s="84"/>
      <c r="E5451" s="84"/>
      <c r="G5451" s="244"/>
      <c r="H5451" s="238"/>
    </row>
    <row r="5452" spans="1:9" s="212" customFormat="1">
      <c r="A5452" s="120"/>
      <c r="B5452" s="73"/>
      <c r="C5452" s="73"/>
      <c r="D5452" s="73"/>
      <c r="E5452" s="73"/>
      <c r="G5452" s="235"/>
      <c r="H5452" s="238"/>
    </row>
    <row r="5453" spans="1:9" s="212" customFormat="1">
      <c r="A5453" s="220"/>
      <c r="B5453" s="141"/>
      <c r="C5453" s="141"/>
      <c r="D5453" s="141"/>
      <c r="E5453" s="141"/>
      <c r="F5453" s="141"/>
      <c r="G5453" s="194"/>
      <c r="H5453" s="238"/>
      <c r="I5453" s="240"/>
    </row>
    <row r="5454" spans="1:9" s="212" customFormat="1">
      <c r="A5454" s="197"/>
      <c r="B5454" s="83"/>
      <c r="C5454" s="148"/>
      <c r="D5454" s="190"/>
      <c r="E5454" s="84"/>
      <c r="F5454" s="84"/>
      <c r="G5454" s="243"/>
      <c r="H5454" s="238"/>
      <c r="I5454" s="240"/>
    </row>
    <row r="5455" spans="1:9" s="212" customFormat="1">
      <c r="A5455" s="150"/>
      <c r="B5455" s="83"/>
      <c r="C5455" s="148"/>
      <c r="D5455" s="84"/>
      <c r="E5455" s="84"/>
      <c r="F5455" s="84"/>
      <c r="G5455" s="243"/>
      <c r="H5455" s="238"/>
    </row>
    <row r="5456" spans="1:9" s="212" customFormat="1">
      <c r="A5456" s="150"/>
      <c r="B5456" s="83"/>
      <c r="C5456" s="148"/>
      <c r="D5456" s="84"/>
      <c r="E5456" s="84"/>
      <c r="F5456" s="84"/>
      <c r="G5456" s="243"/>
      <c r="H5456" s="238"/>
    </row>
    <row r="5457" spans="1:9" s="212" customFormat="1">
      <c r="A5457" s="150"/>
      <c r="B5457" s="83"/>
      <c r="C5457" s="148"/>
      <c r="D5457" s="84"/>
      <c r="E5457" s="84"/>
      <c r="F5457" s="84"/>
      <c r="G5457" s="243"/>
      <c r="H5457" s="238"/>
    </row>
    <row r="5458" spans="1:9" s="212" customFormat="1">
      <c r="A5458" s="91"/>
      <c r="B5458" s="91"/>
      <c r="C5458" s="91"/>
      <c r="D5458" s="91"/>
      <c r="E5458" s="91"/>
      <c r="G5458" s="244"/>
      <c r="H5458" s="238"/>
    </row>
    <row r="5459" spans="1:9" s="212" customFormat="1">
      <c r="A5459" s="120"/>
      <c r="B5459" s="73"/>
      <c r="C5459" s="73"/>
      <c r="D5459" s="73"/>
      <c r="E5459" s="73"/>
      <c r="G5459" s="235"/>
      <c r="H5459" s="238"/>
    </row>
    <row r="5460" spans="1:9" s="212" customFormat="1">
      <c r="A5460" s="220"/>
      <c r="B5460" s="141"/>
      <c r="C5460" s="141"/>
      <c r="D5460" s="141"/>
      <c r="E5460" s="141"/>
      <c r="F5460" s="141"/>
      <c r="G5460" s="194"/>
      <c r="H5460" s="238"/>
    </row>
    <row r="5461" spans="1:9" s="212" customFormat="1">
      <c r="A5461" s="146"/>
      <c r="B5461" s="83"/>
      <c r="C5461" s="148"/>
      <c r="D5461" s="84"/>
      <c r="E5461" s="84"/>
      <c r="F5461" s="84"/>
      <c r="G5461" s="243"/>
      <c r="H5461" s="238"/>
    </row>
    <row r="5462" spans="1:9" s="212" customFormat="1">
      <c r="A5462" s="91"/>
      <c r="B5462" s="91"/>
      <c r="C5462" s="91"/>
      <c r="D5462" s="91"/>
      <c r="E5462" s="91"/>
      <c r="G5462" s="244"/>
      <c r="H5462" s="238"/>
    </row>
    <row r="5463" spans="1:9" s="212" customFormat="1">
      <c r="A5463" s="120"/>
      <c r="B5463" s="73"/>
      <c r="C5463" s="73"/>
      <c r="D5463" s="73"/>
      <c r="E5463" s="73"/>
      <c r="G5463" s="235"/>
      <c r="H5463" s="238"/>
    </row>
    <row r="5464" spans="1:9" s="212" customFormat="1">
      <c r="A5464" s="220"/>
      <c r="B5464" s="141"/>
      <c r="C5464" s="141"/>
      <c r="D5464" s="141"/>
      <c r="E5464" s="141"/>
      <c r="F5464" s="141"/>
      <c r="G5464" s="194"/>
      <c r="H5464" s="238"/>
    </row>
    <row r="5465" spans="1:9" s="212" customFormat="1">
      <c r="A5465" s="142"/>
      <c r="B5465" s="143"/>
      <c r="C5465" s="143"/>
      <c r="D5465" s="143"/>
      <c r="E5465" s="143"/>
      <c r="F5465" s="84"/>
      <c r="G5465" s="243"/>
      <c r="H5465" s="238"/>
    </row>
    <row r="5466" spans="1:9" s="212" customFormat="1">
      <c r="A5466" s="123"/>
      <c r="B5466" s="95"/>
      <c r="C5466" s="95"/>
      <c r="D5466" s="95"/>
      <c r="E5466" s="95"/>
      <c r="G5466" s="244"/>
      <c r="H5466" s="235"/>
    </row>
    <row r="5467" spans="1:9" s="212" customFormat="1">
      <c r="A5467" s="123"/>
      <c r="B5467" s="95"/>
      <c r="C5467" s="95"/>
      <c r="D5467" s="95"/>
      <c r="E5467" s="95"/>
      <c r="G5467" s="235"/>
      <c r="H5467" s="242"/>
    </row>
    <row r="5468" spans="1:9" s="212" customFormat="1">
      <c r="B5468" s="97"/>
      <c r="C5468" s="98"/>
      <c r="D5468" s="98"/>
      <c r="E5468" s="98"/>
      <c r="G5468" s="241"/>
      <c r="H5468" s="242"/>
    </row>
    <row r="5469" spans="1:9" s="212" customFormat="1">
      <c r="B5469" s="97"/>
      <c r="C5469" s="98"/>
      <c r="D5469" s="98"/>
      <c r="E5469" s="98"/>
      <c r="G5469" s="241"/>
      <c r="H5469" s="227"/>
      <c r="I5469" s="228"/>
    </row>
    <row r="5470" spans="1:9" s="212" customFormat="1">
      <c r="A5470" s="658"/>
      <c r="B5470" s="227"/>
      <c r="C5470" s="227"/>
      <c r="D5470" s="227"/>
      <c r="E5470" s="227"/>
      <c r="F5470" s="227"/>
      <c r="G5470" s="227"/>
      <c r="H5470" s="227"/>
      <c r="I5470" s="229"/>
    </row>
    <row r="5471" spans="1:9" s="212" customFormat="1">
      <c r="A5471" s="658"/>
      <c r="B5471" s="227"/>
      <c r="C5471" s="227"/>
      <c r="D5471" s="227"/>
      <c r="E5471" s="227"/>
      <c r="F5471" s="227"/>
      <c r="G5471" s="227"/>
      <c r="H5471" s="234"/>
    </row>
    <row r="5472" spans="1:9" s="212" customFormat="1">
      <c r="A5472" s="69"/>
      <c r="B5472" s="69"/>
      <c r="C5472" s="69"/>
      <c r="D5472" s="69"/>
      <c r="E5472" s="69"/>
      <c r="G5472" s="234"/>
      <c r="H5472" s="234"/>
    </row>
    <row r="5473" spans="1:9" s="212" customFormat="1">
      <c r="A5473" s="120"/>
      <c r="B5473" s="73"/>
      <c r="C5473" s="73"/>
      <c r="D5473" s="73"/>
      <c r="E5473" s="73"/>
      <c r="F5473" s="73"/>
      <c r="G5473" s="235"/>
      <c r="H5473" s="235"/>
    </row>
    <row r="5474" spans="1:9" s="212" customFormat="1">
      <c r="A5474" s="220"/>
      <c r="B5474" s="141"/>
      <c r="C5474" s="141"/>
      <c r="D5474" s="141"/>
      <c r="E5474" s="141"/>
      <c r="F5474" s="141"/>
      <c r="G5474" s="194"/>
      <c r="H5474" s="235"/>
    </row>
    <row r="5475" spans="1:9" s="212" customFormat="1">
      <c r="A5475" s="150"/>
      <c r="B5475" s="83"/>
      <c r="C5475" s="148"/>
      <c r="D5475" s="84"/>
      <c r="E5475" s="84"/>
      <c r="F5475" s="84"/>
      <c r="G5475" s="243"/>
      <c r="H5475" s="238"/>
    </row>
    <row r="5476" spans="1:9" s="212" customFormat="1">
      <c r="A5476" s="84"/>
      <c r="B5476" s="83"/>
      <c r="C5476" s="84"/>
      <c r="D5476" s="84"/>
      <c r="E5476" s="84"/>
      <c r="G5476" s="244"/>
      <c r="H5476" s="238"/>
    </row>
    <row r="5477" spans="1:9" s="212" customFormat="1">
      <c r="A5477" s="120"/>
      <c r="B5477" s="73"/>
      <c r="C5477" s="73"/>
      <c r="D5477" s="73"/>
      <c r="E5477" s="73"/>
      <c r="G5477" s="235"/>
      <c r="H5477" s="238"/>
    </row>
    <row r="5478" spans="1:9" s="212" customFormat="1">
      <c r="A5478" s="220"/>
      <c r="B5478" s="141"/>
      <c r="C5478" s="141"/>
      <c r="D5478" s="141"/>
      <c r="E5478" s="141"/>
      <c r="F5478" s="141"/>
      <c r="G5478" s="194"/>
      <c r="H5478" s="238"/>
      <c r="I5478" s="240"/>
    </row>
    <row r="5479" spans="1:9" s="212" customFormat="1">
      <c r="A5479" s="197"/>
      <c r="B5479" s="83"/>
      <c r="C5479" s="148"/>
      <c r="D5479" s="190"/>
      <c r="E5479" s="84"/>
      <c r="F5479" s="84"/>
      <c r="G5479" s="243"/>
      <c r="H5479" s="238"/>
      <c r="I5479" s="240"/>
    </row>
    <row r="5480" spans="1:9" s="212" customFormat="1">
      <c r="A5480" s="150"/>
      <c r="B5480" s="83"/>
      <c r="C5480" s="148"/>
      <c r="D5480" s="84"/>
      <c r="E5480" s="84"/>
      <c r="F5480" s="84"/>
      <c r="G5480" s="243"/>
      <c r="H5480" s="238"/>
    </row>
    <row r="5481" spans="1:9" s="212" customFormat="1">
      <c r="A5481" s="91"/>
      <c r="B5481" s="91"/>
      <c r="C5481" s="91"/>
      <c r="D5481" s="91"/>
      <c r="E5481" s="91"/>
      <c r="G5481" s="244"/>
      <c r="H5481" s="238"/>
    </row>
    <row r="5482" spans="1:9" s="212" customFormat="1">
      <c r="A5482" s="120"/>
      <c r="B5482" s="73"/>
      <c r="C5482" s="73"/>
      <c r="D5482" s="73"/>
      <c r="E5482" s="73"/>
      <c r="G5482" s="235"/>
      <c r="H5482" s="238"/>
    </row>
    <row r="5483" spans="1:9" s="212" customFormat="1">
      <c r="A5483" s="220"/>
      <c r="B5483" s="141"/>
      <c r="C5483" s="141"/>
      <c r="D5483" s="141"/>
      <c r="E5483" s="141"/>
      <c r="F5483" s="141"/>
      <c r="G5483" s="194"/>
      <c r="H5483" s="238"/>
    </row>
    <row r="5484" spans="1:9" s="212" customFormat="1">
      <c r="A5484" s="146"/>
      <c r="B5484" s="83"/>
      <c r="C5484" s="148"/>
      <c r="D5484" s="84"/>
      <c r="E5484" s="84"/>
      <c r="F5484" s="84"/>
      <c r="G5484" s="243"/>
      <c r="H5484" s="238"/>
    </row>
    <row r="5485" spans="1:9" s="212" customFormat="1">
      <c r="A5485" s="91"/>
      <c r="B5485" s="91"/>
      <c r="C5485" s="91"/>
      <c r="D5485" s="91"/>
      <c r="E5485" s="91"/>
      <c r="G5485" s="244"/>
      <c r="H5485" s="238"/>
    </row>
    <row r="5486" spans="1:9" s="212" customFormat="1">
      <c r="A5486" s="120"/>
      <c r="B5486" s="73"/>
      <c r="C5486" s="73"/>
      <c r="D5486" s="73"/>
      <c r="E5486" s="73"/>
      <c r="G5486" s="235"/>
      <c r="H5486" s="238"/>
    </row>
    <row r="5487" spans="1:9" s="212" customFormat="1">
      <c r="A5487" s="220"/>
      <c r="B5487" s="141"/>
      <c r="C5487" s="141"/>
      <c r="D5487" s="141"/>
      <c r="E5487" s="141"/>
      <c r="F5487" s="141"/>
      <c r="G5487" s="194"/>
      <c r="H5487" s="238"/>
    </row>
    <row r="5488" spans="1:9" s="212" customFormat="1">
      <c r="A5488" s="142"/>
      <c r="B5488" s="143"/>
      <c r="C5488" s="143"/>
      <c r="D5488" s="143"/>
      <c r="E5488" s="143"/>
      <c r="F5488" s="84"/>
      <c r="G5488" s="243"/>
      <c r="H5488" s="238"/>
    </row>
    <row r="5489" spans="1:9" s="212" customFormat="1">
      <c r="A5489" s="123"/>
      <c r="B5489" s="95"/>
      <c r="C5489" s="95"/>
      <c r="D5489" s="95"/>
      <c r="E5489" s="95"/>
      <c r="G5489" s="244"/>
      <c r="H5489" s="235"/>
    </row>
    <row r="5490" spans="1:9" s="212" customFormat="1">
      <c r="A5490" s="123"/>
      <c r="B5490" s="95"/>
      <c r="C5490" s="95"/>
      <c r="D5490" s="95"/>
      <c r="E5490" s="95"/>
      <c r="G5490" s="235"/>
      <c r="H5490" s="242"/>
    </row>
    <row r="5491" spans="1:9" s="212" customFormat="1">
      <c r="B5491" s="97"/>
      <c r="C5491" s="98"/>
      <c r="D5491" s="98"/>
      <c r="E5491" s="98"/>
      <c r="G5491" s="241"/>
      <c r="H5491" s="242"/>
    </row>
    <row r="5492" spans="1:9" s="212" customFormat="1">
      <c r="B5492" s="97"/>
      <c r="C5492" s="98"/>
      <c r="D5492" s="98"/>
      <c r="E5492" s="98"/>
      <c r="G5492" s="241"/>
      <c r="H5492" s="227"/>
      <c r="I5492" s="228"/>
    </row>
    <row r="5493" spans="1:9" s="212" customFormat="1">
      <c r="A5493" s="658"/>
      <c r="B5493" s="227"/>
      <c r="C5493" s="227"/>
      <c r="D5493" s="227"/>
      <c r="E5493" s="227"/>
      <c r="F5493" s="227"/>
      <c r="G5493" s="227"/>
      <c r="H5493" s="227"/>
      <c r="I5493" s="229"/>
    </row>
    <row r="5494" spans="1:9" s="212" customFormat="1">
      <c r="A5494" s="658"/>
      <c r="B5494" s="227"/>
      <c r="C5494" s="227"/>
      <c r="D5494" s="227"/>
      <c r="E5494" s="227"/>
      <c r="F5494" s="227"/>
      <c r="G5494" s="227"/>
      <c r="H5494" s="234"/>
    </row>
    <row r="5495" spans="1:9" s="212" customFormat="1">
      <c r="A5495" s="69"/>
      <c r="B5495" s="69"/>
      <c r="C5495" s="69"/>
      <c r="D5495" s="69"/>
      <c r="E5495" s="69"/>
      <c r="G5495" s="234"/>
      <c r="H5495" s="234"/>
    </row>
    <row r="5496" spans="1:9" s="212" customFormat="1">
      <c r="A5496" s="120"/>
      <c r="B5496" s="73"/>
      <c r="C5496" s="73"/>
      <c r="D5496" s="73"/>
      <c r="E5496" s="73"/>
      <c r="F5496" s="73"/>
      <c r="G5496" s="235"/>
      <c r="H5496" s="235"/>
    </row>
    <row r="5497" spans="1:9" s="212" customFormat="1">
      <c r="A5497" s="220"/>
      <c r="B5497" s="141"/>
      <c r="C5497" s="141"/>
      <c r="D5497" s="141"/>
      <c r="E5497" s="141"/>
      <c r="F5497" s="141"/>
      <c r="G5497" s="194"/>
      <c r="H5497" s="235"/>
    </row>
    <row r="5498" spans="1:9" s="212" customFormat="1">
      <c r="A5498" s="150"/>
      <c r="B5498" s="83"/>
      <c r="C5498" s="148"/>
      <c r="D5498" s="84"/>
      <c r="E5498" s="84"/>
      <c r="F5498" s="84"/>
      <c r="G5498" s="243"/>
      <c r="H5498" s="238"/>
    </row>
    <row r="5499" spans="1:9" s="212" customFormat="1">
      <c r="A5499" s="84"/>
      <c r="B5499" s="83"/>
      <c r="C5499" s="84"/>
      <c r="D5499" s="84"/>
      <c r="E5499" s="84"/>
      <c r="G5499" s="244"/>
      <c r="H5499" s="238"/>
    </row>
    <row r="5500" spans="1:9" s="212" customFormat="1">
      <c r="A5500" s="120"/>
      <c r="B5500" s="73"/>
      <c r="C5500" s="73"/>
      <c r="D5500" s="73"/>
      <c r="E5500" s="73"/>
      <c r="G5500" s="235"/>
      <c r="H5500" s="238"/>
    </row>
    <row r="5501" spans="1:9" s="212" customFormat="1">
      <c r="A5501" s="220"/>
      <c r="B5501" s="141"/>
      <c r="C5501" s="141"/>
      <c r="D5501" s="141"/>
      <c r="E5501" s="141"/>
      <c r="F5501" s="141"/>
      <c r="G5501" s="194"/>
      <c r="H5501" s="238"/>
      <c r="I5501" s="240"/>
    </row>
    <row r="5502" spans="1:9" s="212" customFormat="1">
      <c r="A5502" s="197"/>
      <c r="B5502" s="83"/>
      <c r="C5502" s="148"/>
      <c r="D5502" s="190"/>
      <c r="E5502" s="84"/>
      <c r="F5502" s="84"/>
      <c r="G5502" s="243"/>
      <c r="H5502" s="238"/>
      <c r="I5502" s="240"/>
    </row>
    <row r="5503" spans="1:9" s="212" customFormat="1">
      <c r="A5503" s="150"/>
      <c r="B5503" s="83"/>
      <c r="C5503" s="148"/>
      <c r="D5503" s="84"/>
      <c r="E5503" s="84"/>
      <c r="F5503" s="84"/>
      <c r="G5503" s="243"/>
      <c r="H5503" s="238"/>
    </row>
    <row r="5504" spans="1:9" s="212" customFormat="1">
      <c r="A5504" s="91"/>
      <c r="B5504" s="91"/>
      <c r="C5504" s="91"/>
      <c r="D5504" s="91"/>
      <c r="E5504" s="91"/>
      <c r="G5504" s="244"/>
      <c r="H5504" s="238"/>
    </row>
    <row r="5505" spans="1:9" s="212" customFormat="1">
      <c r="A5505" s="120"/>
      <c r="B5505" s="73"/>
      <c r="C5505" s="73"/>
      <c r="D5505" s="73"/>
      <c r="E5505" s="73"/>
      <c r="G5505" s="235"/>
      <c r="H5505" s="238"/>
    </row>
    <row r="5506" spans="1:9" s="212" customFormat="1">
      <c r="A5506" s="220"/>
      <c r="B5506" s="141"/>
      <c r="C5506" s="141"/>
      <c r="D5506" s="141"/>
      <c r="E5506" s="141"/>
      <c r="F5506" s="141"/>
      <c r="G5506" s="194"/>
      <c r="H5506" s="238"/>
    </row>
    <row r="5507" spans="1:9" s="212" customFormat="1">
      <c r="A5507" s="146"/>
      <c r="B5507" s="83"/>
      <c r="C5507" s="148"/>
      <c r="D5507" s="84"/>
      <c r="E5507" s="84"/>
      <c r="F5507" s="84"/>
      <c r="G5507" s="243"/>
      <c r="H5507" s="238"/>
    </row>
    <row r="5508" spans="1:9" s="212" customFormat="1">
      <c r="A5508" s="91"/>
      <c r="B5508" s="91"/>
      <c r="C5508" s="91"/>
      <c r="D5508" s="91"/>
      <c r="E5508" s="91"/>
      <c r="G5508" s="244"/>
      <c r="H5508" s="238"/>
    </row>
    <row r="5509" spans="1:9" s="212" customFormat="1">
      <c r="A5509" s="120"/>
      <c r="B5509" s="73"/>
      <c r="C5509" s="73"/>
      <c r="D5509" s="73"/>
      <c r="E5509" s="73"/>
      <c r="G5509" s="235"/>
      <c r="H5509" s="238"/>
    </row>
    <row r="5510" spans="1:9" s="212" customFormat="1">
      <c r="A5510" s="220"/>
      <c r="B5510" s="141"/>
      <c r="C5510" s="141"/>
      <c r="D5510" s="141"/>
      <c r="E5510" s="141"/>
      <c r="F5510" s="141"/>
      <c r="G5510" s="194"/>
      <c r="H5510" s="238"/>
    </row>
    <row r="5511" spans="1:9" s="212" customFormat="1">
      <c r="A5511" s="142"/>
      <c r="B5511" s="143"/>
      <c r="C5511" s="143"/>
      <c r="D5511" s="143"/>
      <c r="E5511" s="143"/>
      <c r="F5511" s="84"/>
      <c r="G5511" s="243"/>
      <c r="H5511" s="238"/>
    </row>
    <row r="5512" spans="1:9" s="212" customFormat="1">
      <c r="A5512" s="123"/>
      <c r="B5512" s="95"/>
      <c r="C5512" s="95"/>
      <c r="D5512" s="95"/>
      <c r="E5512" s="95"/>
      <c r="G5512" s="244"/>
      <c r="H5512" s="235"/>
    </row>
    <row r="5513" spans="1:9" s="212" customFormat="1">
      <c r="A5513" s="123"/>
      <c r="B5513" s="95"/>
      <c r="C5513" s="95"/>
      <c r="D5513" s="95"/>
      <c r="E5513" s="95"/>
      <c r="G5513" s="235"/>
      <c r="H5513" s="242"/>
    </row>
    <row r="5514" spans="1:9" s="212" customFormat="1">
      <c r="B5514" s="97"/>
      <c r="C5514" s="98"/>
      <c r="D5514" s="98"/>
      <c r="E5514" s="98"/>
      <c r="G5514" s="241"/>
      <c r="H5514" s="242"/>
    </row>
    <row r="5515" spans="1:9" s="212" customFormat="1">
      <c r="B5515" s="97"/>
      <c r="C5515" s="98"/>
      <c r="D5515" s="98"/>
      <c r="E5515" s="98"/>
      <c r="G5515" s="241"/>
      <c r="H5515" s="227"/>
      <c r="I5515" s="228"/>
    </row>
    <row r="5516" spans="1:9" s="212" customFormat="1">
      <c r="A5516" s="658"/>
      <c r="B5516" s="227"/>
      <c r="C5516" s="227"/>
      <c r="D5516" s="227"/>
      <c r="E5516" s="227"/>
      <c r="F5516" s="227"/>
      <c r="G5516" s="227"/>
      <c r="H5516" s="227"/>
      <c r="I5516" s="229"/>
    </row>
    <row r="5517" spans="1:9" s="212" customFormat="1">
      <c r="A5517" s="658"/>
      <c r="B5517" s="227"/>
      <c r="C5517" s="227"/>
      <c r="D5517" s="227"/>
      <c r="E5517" s="227"/>
      <c r="F5517" s="227"/>
      <c r="G5517" s="227"/>
      <c r="H5517" s="234"/>
    </row>
    <row r="5518" spans="1:9" s="212" customFormat="1">
      <c r="A5518" s="69"/>
      <c r="B5518" s="69"/>
      <c r="C5518" s="69"/>
      <c r="D5518" s="69"/>
      <c r="E5518" s="69"/>
      <c r="G5518" s="234"/>
      <c r="H5518" s="234"/>
    </row>
    <row r="5519" spans="1:9" s="212" customFormat="1">
      <c r="A5519" s="120"/>
      <c r="B5519" s="73"/>
      <c r="C5519" s="73"/>
      <c r="D5519" s="73"/>
      <c r="E5519" s="73"/>
      <c r="F5519" s="73"/>
      <c r="G5519" s="235"/>
      <c r="H5519" s="235"/>
    </row>
    <row r="5520" spans="1:9" s="212" customFormat="1">
      <c r="A5520" s="220"/>
      <c r="B5520" s="141"/>
      <c r="C5520" s="141"/>
      <c r="D5520" s="141"/>
      <c r="E5520" s="141"/>
      <c r="F5520" s="141"/>
      <c r="G5520" s="194"/>
      <c r="H5520" s="235"/>
    </row>
    <row r="5521" spans="1:9" s="212" customFormat="1">
      <c r="A5521" s="150"/>
      <c r="B5521" s="83"/>
      <c r="C5521" s="148"/>
      <c r="D5521" s="84"/>
      <c r="E5521" s="84"/>
      <c r="F5521" s="84"/>
      <c r="G5521" s="243"/>
      <c r="H5521" s="238"/>
    </row>
    <row r="5522" spans="1:9" s="212" customFormat="1">
      <c r="A5522" s="84"/>
      <c r="B5522" s="83"/>
      <c r="C5522" s="84"/>
      <c r="D5522" s="84"/>
      <c r="E5522" s="84"/>
      <c r="G5522" s="244"/>
      <c r="H5522" s="238"/>
    </row>
    <row r="5523" spans="1:9" s="212" customFormat="1">
      <c r="A5523" s="120"/>
      <c r="B5523" s="73"/>
      <c r="C5523" s="73"/>
      <c r="D5523" s="73"/>
      <c r="E5523" s="73"/>
      <c r="G5523" s="235"/>
      <c r="H5523" s="238"/>
    </row>
    <row r="5524" spans="1:9" s="212" customFormat="1">
      <c r="A5524" s="220"/>
      <c r="B5524" s="141"/>
      <c r="C5524" s="141"/>
      <c r="D5524" s="141"/>
      <c r="E5524" s="141"/>
      <c r="F5524" s="141"/>
      <c r="G5524" s="194"/>
      <c r="H5524" s="238"/>
      <c r="I5524" s="240"/>
    </row>
    <row r="5525" spans="1:9" s="212" customFormat="1">
      <c r="A5525" s="197"/>
      <c r="B5525" s="83"/>
      <c r="C5525" s="148"/>
      <c r="D5525" s="190"/>
      <c r="E5525" s="84"/>
      <c r="F5525" s="84"/>
      <c r="G5525" s="243"/>
      <c r="H5525" s="238"/>
      <c r="I5525" s="240"/>
    </row>
    <row r="5526" spans="1:9" s="212" customFormat="1">
      <c r="A5526" s="150"/>
      <c r="B5526" s="83"/>
      <c r="C5526" s="148"/>
      <c r="D5526" s="84"/>
      <c r="E5526" s="84"/>
      <c r="F5526" s="84"/>
      <c r="G5526" s="243"/>
      <c r="H5526" s="238"/>
    </row>
    <row r="5527" spans="1:9" s="212" customFormat="1">
      <c r="A5527" s="91"/>
      <c r="B5527" s="91"/>
      <c r="C5527" s="91"/>
      <c r="D5527" s="91"/>
      <c r="E5527" s="91"/>
      <c r="G5527" s="244"/>
      <c r="H5527" s="238"/>
    </row>
    <row r="5528" spans="1:9" s="212" customFormat="1">
      <c r="A5528" s="120"/>
      <c r="B5528" s="73"/>
      <c r="C5528" s="73"/>
      <c r="D5528" s="73"/>
      <c r="E5528" s="73"/>
      <c r="G5528" s="235"/>
      <c r="H5528" s="238"/>
    </row>
    <row r="5529" spans="1:9" s="212" customFormat="1">
      <c r="A5529" s="220"/>
      <c r="B5529" s="141"/>
      <c r="C5529" s="141"/>
      <c r="D5529" s="141"/>
      <c r="E5529" s="141"/>
      <c r="F5529" s="141"/>
      <c r="G5529" s="194"/>
      <c r="H5529" s="238"/>
    </row>
    <row r="5530" spans="1:9" s="212" customFormat="1">
      <c r="A5530" s="146"/>
      <c r="B5530" s="83"/>
      <c r="C5530" s="148"/>
      <c r="D5530" s="84"/>
      <c r="E5530" s="84"/>
      <c r="F5530" s="84"/>
      <c r="G5530" s="243"/>
      <c r="H5530" s="238"/>
    </row>
    <row r="5531" spans="1:9" s="212" customFormat="1">
      <c r="A5531" s="91"/>
      <c r="B5531" s="91"/>
      <c r="C5531" s="91"/>
      <c r="D5531" s="91"/>
      <c r="E5531" s="91"/>
      <c r="G5531" s="244"/>
      <c r="H5531" s="238"/>
    </row>
    <row r="5532" spans="1:9" s="212" customFormat="1">
      <c r="A5532" s="120"/>
      <c r="B5532" s="73"/>
      <c r="C5532" s="73"/>
      <c r="D5532" s="73"/>
      <c r="E5532" s="73"/>
      <c r="G5532" s="235"/>
      <c r="H5532" s="238"/>
    </row>
    <row r="5533" spans="1:9" s="212" customFormat="1">
      <c r="A5533" s="220"/>
      <c r="B5533" s="141"/>
      <c r="C5533" s="141"/>
      <c r="D5533" s="141"/>
      <c r="E5533" s="141"/>
      <c r="F5533" s="141"/>
      <c r="G5533" s="194"/>
      <c r="H5533" s="238"/>
    </row>
    <row r="5534" spans="1:9" s="212" customFormat="1">
      <c r="A5534" s="142"/>
      <c r="B5534" s="143"/>
      <c r="C5534" s="143"/>
      <c r="D5534" s="143"/>
      <c r="E5534" s="143"/>
      <c r="F5534" s="84"/>
      <c r="G5534" s="243"/>
      <c r="H5534" s="238"/>
    </row>
    <row r="5535" spans="1:9" s="212" customFormat="1">
      <c r="A5535" s="123"/>
      <c r="B5535" s="95"/>
      <c r="C5535" s="95"/>
      <c r="D5535" s="95"/>
      <c r="E5535" s="95"/>
      <c r="G5535" s="244"/>
      <c r="H5535" s="235"/>
    </row>
    <row r="5536" spans="1:9" s="212" customFormat="1">
      <c r="A5536" s="123"/>
      <c r="B5536" s="95"/>
      <c r="C5536" s="95"/>
      <c r="D5536" s="95"/>
      <c r="E5536" s="95"/>
      <c r="G5536" s="235"/>
      <c r="H5536" s="242"/>
    </row>
    <row r="5537" spans="1:9" s="212" customFormat="1">
      <c r="B5537" s="97"/>
      <c r="C5537" s="98"/>
      <c r="D5537" s="98"/>
      <c r="E5537" s="98"/>
      <c r="G5537" s="241"/>
      <c r="H5537" s="242"/>
    </row>
    <row r="5538" spans="1:9" s="212" customFormat="1">
      <c r="B5538" s="97"/>
      <c r="C5538" s="98"/>
      <c r="D5538" s="98"/>
      <c r="E5538" s="98"/>
      <c r="G5538" s="241"/>
      <c r="H5538" s="227"/>
      <c r="I5538" s="228"/>
    </row>
    <row r="5539" spans="1:9" s="212" customFormat="1">
      <c r="A5539" s="658"/>
      <c r="B5539" s="227"/>
      <c r="C5539" s="227"/>
      <c r="D5539" s="227"/>
      <c r="E5539" s="227"/>
      <c r="F5539" s="227"/>
      <c r="G5539" s="227"/>
      <c r="H5539" s="227"/>
      <c r="I5539" s="229"/>
    </row>
    <row r="5540" spans="1:9" s="212" customFormat="1">
      <c r="A5540" s="658"/>
      <c r="B5540" s="227"/>
      <c r="C5540" s="227"/>
      <c r="D5540" s="227"/>
      <c r="E5540" s="227"/>
      <c r="F5540" s="227"/>
      <c r="G5540" s="227"/>
      <c r="H5540" s="234"/>
    </row>
    <row r="5541" spans="1:9" s="212" customFormat="1">
      <c r="A5541" s="69"/>
      <c r="B5541" s="69"/>
      <c r="C5541" s="69"/>
      <c r="D5541" s="69"/>
      <c r="E5541" s="69"/>
      <c r="G5541" s="234"/>
      <c r="H5541" s="234"/>
    </row>
    <row r="5542" spans="1:9" s="212" customFormat="1">
      <c r="A5542" s="120"/>
      <c r="B5542" s="73"/>
      <c r="C5542" s="73"/>
      <c r="D5542" s="73"/>
      <c r="E5542" s="73"/>
      <c r="F5542" s="73"/>
      <c r="G5542" s="235"/>
      <c r="H5542" s="235"/>
    </row>
    <row r="5543" spans="1:9" s="212" customFormat="1">
      <c r="A5543" s="220"/>
      <c r="B5543" s="141"/>
      <c r="C5543" s="141"/>
      <c r="D5543" s="141"/>
      <c r="E5543" s="141"/>
      <c r="F5543" s="141"/>
      <c r="G5543" s="194"/>
      <c r="H5543" s="235"/>
    </row>
    <row r="5544" spans="1:9" s="212" customFormat="1">
      <c r="A5544" s="150"/>
      <c r="B5544" s="83"/>
      <c r="C5544" s="148"/>
      <c r="D5544" s="84"/>
      <c r="E5544" s="84"/>
      <c r="F5544" s="84"/>
      <c r="G5544" s="243"/>
      <c r="H5544" s="238"/>
    </row>
    <row r="5545" spans="1:9" s="212" customFormat="1">
      <c r="A5545" s="84"/>
      <c r="B5545" s="83"/>
      <c r="C5545" s="84"/>
      <c r="D5545" s="84"/>
      <c r="E5545" s="84"/>
      <c r="G5545" s="244"/>
      <c r="H5545" s="238"/>
    </row>
    <row r="5546" spans="1:9" s="212" customFormat="1">
      <c r="A5546" s="120"/>
      <c r="B5546" s="73"/>
      <c r="C5546" s="73"/>
      <c r="D5546" s="73"/>
      <c r="E5546" s="73"/>
      <c r="G5546" s="235"/>
      <c r="H5546" s="238"/>
    </row>
    <row r="5547" spans="1:9" s="212" customFormat="1">
      <c r="A5547" s="220"/>
      <c r="B5547" s="141"/>
      <c r="C5547" s="141"/>
      <c r="D5547" s="141"/>
      <c r="E5547" s="141"/>
      <c r="F5547" s="141"/>
      <c r="G5547" s="194"/>
      <c r="H5547" s="238"/>
      <c r="I5547" s="240"/>
    </row>
    <row r="5548" spans="1:9" s="212" customFormat="1">
      <c r="A5548" s="197"/>
      <c r="B5548" s="83"/>
      <c r="C5548" s="148"/>
      <c r="D5548" s="190"/>
      <c r="E5548" s="84"/>
      <c r="F5548" s="84"/>
      <c r="G5548" s="243"/>
      <c r="H5548" s="238"/>
      <c r="I5548" s="240"/>
    </row>
    <row r="5549" spans="1:9" s="212" customFormat="1">
      <c r="A5549" s="150"/>
      <c r="B5549" s="83"/>
      <c r="C5549" s="148"/>
      <c r="D5549" s="84"/>
      <c r="E5549" s="84"/>
      <c r="F5549" s="84"/>
      <c r="G5549" s="243"/>
      <c r="H5549" s="238"/>
    </row>
    <row r="5550" spans="1:9" s="212" customFormat="1">
      <c r="A5550" s="91"/>
      <c r="B5550" s="91"/>
      <c r="C5550" s="91"/>
      <c r="D5550" s="91"/>
      <c r="E5550" s="91"/>
      <c r="G5550" s="244"/>
      <c r="H5550" s="238"/>
    </row>
    <row r="5551" spans="1:9" s="212" customFormat="1">
      <c r="A5551" s="120"/>
      <c r="B5551" s="73"/>
      <c r="C5551" s="73"/>
      <c r="D5551" s="73"/>
      <c r="E5551" s="73"/>
      <c r="G5551" s="235"/>
      <c r="H5551" s="238"/>
    </row>
    <row r="5552" spans="1:9" s="212" customFormat="1">
      <c r="A5552" s="220"/>
      <c r="B5552" s="141"/>
      <c r="C5552" s="141"/>
      <c r="D5552" s="141"/>
      <c r="E5552" s="141"/>
      <c r="F5552" s="141"/>
      <c r="G5552" s="194"/>
      <c r="H5552" s="238"/>
    </row>
    <row r="5553" spans="1:9" s="212" customFormat="1">
      <c r="A5553" s="146"/>
      <c r="B5553" s="83"/>
      <c r="C5553" s="148"/>
      <c r="D5553" s="84"/>
      <c r="E5553" s="84"/>
      <c r="F5553" s="84"/>
      <c r="G5553" s="243"/>
      <c r="H5553" s="238"/>
    </row>
    <row r="5554" spans="1:9" s="212" customFormat="1">
      <c r="A5554" s="91"/>
      <c r="B5554" s="91"/>
      <c r="C5554" s="91"/>
      <c r="D5554" s="91"/>
      <c r="E5554" s="91"/>
      <c r="G5554" s="244"/>
      <c r="H5554" s="238"/>
    </row>
    <row r="5555" spans="1:9" s="212" customFormat="1">
      <c r="A5555" s="120"/>
      <c r="B5555" s="73"/>
      <c r="C5555" s="73"/>
      <c r="D5555" s="73"/>
      <c r="E5555" s="73"/>
      <c r="G5555" s="235"/>
      <c r="H5555" s="238"/>
    </row>
    <row r="5556" spans="1:9" s="212" customFormat="1">
      <c r="A5556" s="220"/>
      <c r="B5556" s="141"/>
      <c r="C5556" s="141"/>
      <c r="D5556" s="141"/>
      <c r="E5556" s="141"/>
      <c r="F5556" s="141"/>
      <c r="G5556" s="194"/>
      <c r="H5556" s="238"/>
    </row>
    <row r="5557" spans="1:9" s="212" customFormat="1">
      <c r="A5557" s="142"/>
      <c r="B5557" s="143"/>
      <c r="C5557" s="143"/>
      <c r="D5557" s="143"/>
      <c r="E5557" s="143"/>
      <c r="F5557" s="84"/>
      <c r="G5557" s="243"/>
      <c r="H5557" s="238"/>
    </row>
    <row r="5558" spans="1:9" s="212" customFormat="1">
      <c r="A5558" s="123"/>
      <c r="B5558" s="95"/>
      <c r="C5558" s="95"/>
      <c r="D5558" s="95"/>
      <c r="E5558" s="95"/>
      <c r="G5558" s="244"/>
      <c r="H5558" s="235"/>
    </row>
    <row r="5559" spans="1:9" s="212" customFormat="1">
      <c r="A5559" s="123"/>
      <c r="B5559" s="95"/>
      <c r="C5559" s="95"/>
      <c r="D5559" s="95"/>
      <c r="E5559" s="95"/>
      <c r="G5559" s="235"/>
      <c r="H5559" s="242"/>
    </row>
    <row r="5560" spans="1:9" s="212" customFormat="1">
      <c r="B5560" s="97"/>
      <c r="C5560" s="98"/>
      <c r="D5560" s="98"/>
      <c r="E5560" s="98"/>
      <c r="G5560" s="241"/>
      <c r="H5560" s="242"/>
    </row>
    <row r="5561" spans="1:9" s="212" customFormat="1">
      <c r="B5561" s="97"/>
      <c r="C5561" s="98"/>
      <c r="D5561" s="98"/>
      <c r="E5561" s="98"/>
      <c r="G5561" s="241"/>
      <c r="H5561" s="227"/>
      <c r="I5561" s="228"/>
    </row>
    <row r="5562" spans="1:9" s="212" customFormat="1">
      <c r="A5562" s="658"/>
      <c r="B5562" s="227"/>
      <c r="C5562" s="227"/>
      <c r="D5562" s="227"/>
      <c r="E5562" s="227"/>
      <c r="F5562" s="227"/>
      <c r="G5562" s="227"/>
      <c r="H5562" s="227"/>
      <c r="I5562" s="229"/>
    </row>
    <row r="5563" spans="1:9" s="212" customFormat="1">
      <c r="A5563" s="658"/>
      <c r="B5563" s="227"/>
      <c r="C5563" s="227"/>
      <c r="D5563" s="227"/>
      <c r="E5563" s="227"/>
      <c r="F5563" s="227"/>
      <c r="G5563" s="227"/>
      <c r="H5563" s="234"/>
    </row>
    <row r="5564" spans="1:9" s="212" customFormat="1">
      <c r="A5564" s="69"/>
      <c r="B5564" s="69"/>
      <c r="C5564" s="69"/>
      <c r="D5564" s="69"/>
      <c r="E5564" s="69"/>
      <c r="G5564" s="234"/>
      <c r="H5564" s="234"/>
    </row>
    <row r="5565" spans="1:9" s="212" customFormat="1">
      <c r="A5565" s="120"/>
      <c r="B5565" s="73"/>
      <c r="C5565" s="73"/>
      <c r="D5565" s="73"/>
      <c r="E5565" s="73"/>
      <c r="F5565" s="73"/>
      <c r="G5565" s="235"/>
      <c r="H5565" s="235"/>
    </row>
    <row r="5566" spans="1:9" s="212" customFormat="1">
      <c r="A5566" s="220"/>
      <c r="B5566" s="141"/>
      <c r="C5566" s="141"/>
      <c r="D5566" s="141"/>
      <c r="E5566" s="141"/>
      <c r="F5566" s="141"/>
      <c r="G5566" s="194"/>
      <c r="H5566" s="235"/>
    </row>
    <row r="5567" spans="1:9" s="212" customFormat="1">
      <c r="A5567" s="150"/>
      <c r="B5567" s="83"/>
      <c r="C5567" s="148"/>
      <c r="D5567" s="84"/>
      <c r="E5567" s="84"/>
      <c r="F5567" s="84"/>
      <c r="G5567" s="243"/>
      <c r="H5567" s="238"/>
    </row>
    <row r="5568" spans="1:9" s="212" customFormat="1">
      <c r="A5568" s="84"/>
      <c r="B5568" s="83"/>
      <c r="C5568" s="84"/>
      <c r="D5568" s="84"/>
      <c r="E5568" s="84"/>
      <c r="G5568" s="244"/>
      <c r="H5568" s="238"/>
    </row>
    <row r="5569" spans="1:9" s="212" customFormat="1">
      <c r="A5569" s="120"/>
      <c r="B5569" s="73"/>
      <c r="C5569" s="73"/>
      <c r="D5569" s="73"/>
      <c r="E5569" s="73"/>
      <c r="G5569" s="235"/>
      <c r="H5569" s="238"/>
    </row>
    <row r="5570" spans="1:9" s="212" customFormat="1">
      <c r="A5570" s="220"/>
      <c r="B5570" s="141"/>
      <c r="C5570" s="141"/>
      <c r="D5570" s="141"/>
      <c r="E5570" s="141"/>
      <c r="F5570" s="141"/>
      <c r="G5570" s="194"/>
      <c r="H5570" s="238"/>
      <c r="I5570" s="240"/>
    </row>
    <row r="5571" spans="1:9" s="212" customFormat="1">
      <c r="A5571" s="197"/>
      <c r="B5571" s="83"/>
      <c r="C5571" s="148"/>
      <c r="D5571" s="190"/>
      <c r="E5571" s="84"/>
      <c r="F5571" s="84"/>
      <c r="G5571" s="243"/>
      <c r="H5571" s="238"/>
      <c r="I5571" s="240"/>
    </row>
    <row r="5572" spans="1:9" s="212" customFormat="1">
      <c r="A5572" s="150"/>
      <c r="B5572" s="83"/>
      <c r="C5572" s="148"/>
      <c r="D5572" s="84"/>
      <c r="E5572" s="84"/>
      <c r="F5572" s="84"/>
      <c r="G5572" s="243"/>
      <c r="H5572" s="238"/>
    </row>
    <row r="5573" spans="1:9" s="212" customFormat="1">
      <c r="A5573" s="91"/>
      <c r="B5573" s="91"/>
      <c r="C5573" s="91"/>
      <c r="D5573" s="91"/>
      <c r="E5573" s="91"/>
      <c r="G5573" s="244"/>
      <c r="H5573" s="238"/>
    </row>
    <row r="5574" spans="1:9" s="212" customFormat="1">
      <c r="A5574" s="120"/>
      <c r="B5574" s="73"/>
      <c r="C5574" s="73"/>
      <c r="D5574" s="73"/>
      <c r="E5574" s="73"/>
      <c r="G5574" s="235"/>
      <c r="H5574" s="238"/>
    </row>
    <row r="5575" spans="1:9" s="212" customFormat="1">
      <c r="A5575" s="220"/>
      <c r="B5575" s="141"/>
      <c r="C5575" s="141"/>
      <c r="D5575" s="141"/>
      <c r="E5575" s="141"/>
      <c r="F5575" s="141"/>
      <c r="G5575" s="194"/>
      <c r="H5575" s="238"/>
    </row>
    <row r="5576" spans="1:9" s="212" customFormat="1">
      <c r="A5576" s="146"/>
      <c r="B5576" s="83"/>
      <c r="C5576" s="148"/>
      <c r="D5576" s="84"/>
      <c r="E5576" s="84"/>
      <c r="F5576" s="84"/>
      <c r="G5576" s="243"/>
      <c r="H5576" s="238"/>
    </row>
    <row r="5577" spans="1:9" s="212" customFormat="1">
      <c r="A5577" s="91"/>
      <c r="B5577" s="91"/>
      <c r="C5577" s="91"/>
      <c r="D5577" s="91"/>
      <c r="E5577" s="91"/>
      <c r="G5577" s="244"/>
      <c r="H5577" s="238"/>
    </row>
    <row r="5578" spans="1:9" s="212" customFormat="1">
      <c r="A5578" s="120"/>
      <c r="B5578" s="73"/>
      <c r="C5578" s="73"/>
      <c r="D5578" s="73"/>
      <c r="E5578" s="73"/>
      <c r="G5578" s="235"/>
      <c r="H5578" s="238"/>
    </row>
    <row r="5579" spans="1:9" s="212" customFormat="1">
      <c r="A5579" s="220"/>
      <c r="B5579" s="141"/>
      <c r="C5579" s="141"/>
      <c r="D5579" s="141"/>
      <c r="E5579" s="141"/>
      <c r="F5579" s="141"/>
      <c r="G5579" s="194"/>
      <c r="H5579" s="238"/>
    </row>
    <row r="5580" spans="1:9" s="212" customFormat="1">
      <c r="A5580" s="142"/>
      <c r="B5580" s="143"/>
      <c r="C5580" s="143"/>
      <c r="D5580" s="143"/>
      <c r="E5580" s="143"/>
      <c r="F5580" s="84"/>
      <c r="G5580" s="243"/>
      <c r="H5580" s="238"/>
    </row>
    <row r="5581" spans="1:9" s="212" customFormat="1">
      <c r="A5581" s="123"/>
      <c r="B5581" s="95"/>
      <c r="C5581" s="95"/>
      <c r="D5581" s="95"/>
      <c r="E5581" s="95"/>
      <c r="G5581" s="244"/>
      <c r="H5581" s="235"/>
    </row>
    <row r="5582" spans="1:9" s="212" customFormat="1">
      <c r="A5582" s="123"/>
      <c r="B5582" s="95"/>
      <c r="C5582" s="95"/>
      <c r="D5582" s="95"/>
      <c r="E5582" s="95"/>
      <c r="G5582" s="235"/>
      <c r="H5582" s="242"/>
    </row>
    <row r="5583" spans="1:9" s="212" customFormat="1">
      <c r="B5583" s="97"/>
      <c r="C5583" s="98"/>
      <c r="D5583" s="98"/>
      <c r="E5583" s="98"/>
      <c r="G5583" s="241"/>
    </row>
    <row r="5584" spans="1:9" s="212" customFormat="1">
      <c r="H5584" s="227"/>
      <c r="I5584" s="228"/>
    </row>
    <row r="5585" spans="1:9" s="212" customFormat="1">
      <c r="A5585" s="686"/>
      <c r="B5585" s="227"/>
      <c r="C5585" s="227"/>
      <c r="D5585" s="227"/>
      <c r="E5585" s="227"/>
      <c r="F5585" s="227"/>
      <c r="G5585" s="227"/>
      <c r="H5585" s="227"/>
      <c r="I5585" s="229"/>
    </row>
    <row r="5586" spans="1:9" s="212" customFormat="1">
      <c r="A5586" s="658"/>
      <c r="B5586" s="227"/>
      <c r="C5586" s="227"/>
      <c r="D5586" s="227"/>
      <c r="E5586" s="227"/>
      <c r="F5586" s="227"/>
      <c r="G5586" s="227"/>
    </row>
    <row r="5587" spans="1:9" s="212" customFormat="1">
      <c r="A5587" s="69"/>
      <c r="B5587" s="69"/>
      <c r="C5587" s="69"/>
      <c r="D5587" s="69"/>
      <c r="E5587" s="69"/>
    </row>
    <row r="5588" spans="1:9" s="212" customFormat="1">
      <c r="A5588" s="120"/>
      <c r="B5588" s="73"/>
      <c r="C5588" s="73"/>
      <c r="D5588" s="73"/>
      <c r="E5588" s="73"/>
      <c r="F5588" s="73"/>
      <c r="G5588" s="73"/>
      <c r="H5588" s="73"/>
    </row>
    <row r="5589" spans="1:9" s="212" customFormat="1">
      <c r="A5589" s="220"/>
      <c r="B5589" s="141"/>
      <c r="C5589" s="141"/>
      <c r="D5589" s="141"/>
      <c r="E5589" s="141"/>
      <c r="F5589" s="141"/>
      <c r="G5589" s="141"/>
      <c r="H5589" s="73"/>
    </row>
    <row r="5590" spans="1:9" s="212" customFormat="1">
      <c r="A5590" s="142"/>
      <c r="B5590" s="83"/>
      <c r="C5590" s="84"/>
      <c r="D5590" s="84"/>
      <c r="E5590" s="84"/>
      <c r="F5590" s="84"/>
      <c r="G5590" s="84"/>
      <c r="H5590" s="225"/>
    </row>
    <row r="5591" spans="1:9" s="212" customFormat="1">
      <c r="A5591" s="84"/>
      <c r="B5591" s="83"/>
      <c r="C5591" s="84"/>
      <c r="D5591" s="84"/>
      <c r="E5591" s="84"/>
      <c r="G5591" s="213"/>
      <c r="H5591" s="222"/>
    </row>
    <row r="5592" spans="1:9" s="212" customFormat="1">
      <c r="A5592" s="120"/>
      <c r="B5592" s="73"/>
      <c r="C5592" s="73"/>
      <c r="D5592" s="73"/>
      <c r="E5592" s="73"/>
      <c r="G5592" s="73"/>
      <c r="H5592" s="222"/>
    </row>
    <row r="5593" spans="1:9" s="212" customFormat="1">
      <c r="A5593" s="220"/>
      <c r="B5593" s="141"/>
      <c r="C5593" s="141"/>
      <c r="D5593" s="141"/>
      <c r="E5593" s="141"/>
      <c r="F5593" s="141"/>
      <c r="G5593" s="141"/>
      <c r="H5593" s="222"/>
    </row>
    <row r="5594" spans="1:9" s="212" customFormat="1">
      <c r="A5594" s="233"/>
      <c r="B5594" s="83"/>
      <c r="C5594" s="84"/>
      <c r="D5594" s="84"/>
      <c r="E5594" s="84"/>
      <c r="F5594" s="84"/>
      <c r="G5594" s="84"/>
      <c r="H5594" s="222"/>
    </row>
    <row r="5595" spans="1:9" s="212" customFormat="1">
      <c r="A5595" s="233"/>
      <c r="B5595" s="83"/>
      <c r="C5595" s="84"/>
      <c r="D5595" s="84"/>
      <c r="E5595" s="84"/>
      <c r="F5595" s="84"/>
      <c r="G5595" s="84"/>
      <c r="H5595" s="225"/>
    </row>
    <row r="5596" spans="1:9" s="212" customFormat="1">
      <c r="A5596" s="233"/>
      <c r="B5596" s="83"/>
      <c r="C5596" s="84"/>
      <c r="D5596" s="84"/>
      <c r="E5596" s="84"/>
      <c r="F5596" s="84"/>
      <c r="G5596" s="213"/>
      <c r="H5596" s="222"/>
    </row>
    <row r="5597" spans="1:9" s="212" customFormat="1">
      <c r="A5597" s="120"/>
      <c r="B5597" s="73"/>
      <c r="C5597" s="73"/>
      <c r="D5597" s="73"/>
      <c r="E5597" s="73"/>
      <c r="G5597" s="73"/>
      <c r="H5597" s="222"/>
    </row>
    <row r="5598" spans="1:9" s="212" customFormat="1">
      <c r="A5598" s="220"/>
      <c r="B5598" s="141"/>
      <c r="C5598" s="141"/>
      <c r="D5598" s="141"/>
      <c r="E5598" s="141"/>
      <c r="F5598" s="141"/>
      <c r="G5598" s="141"/>
      <c r="H5598" s="222"/>
    </row>
    <row r="5599" spans="1:9" s="212" customFormat="1">
      <c r="A5599" s="142"/>
      <c r="B5599" s="83"/>
      <c r="C5599" s="84"/>
      <c r="D5599" s="84"/>
      <c r="E5599" s="84"/>
      <c r="F5599" s="141"/>
      <c r="G5599" s="84"/>
      <c r="H5599" s="225"/>
    </row>
    <row r="5600" spans="1:9" s="212" customFormat="1">
      <c r="A5600" s="91"/>
      <c r="B5600" s="91"/>
      <c r="C5600" s="91"/>
      <c r="D5600" s="91"/>
      <c r="E5600" s="91"/>
      <c r="G5600" s="213"/>
      <c r="H5600" s="222"/>
    </row>
    <row r="5601" spans="1:9" s="212" customFormat="1">
      <c r="A5601" s="120"/>
      <c r="B5601" s="73"/>
      <c r="C5601" s="73"/>
      <c r="D5601" s="73"/>
      <c r="E5601" s="73"/>
      <c r="G5601" s="73"/>
      <c r="H5601" s="222"/>
    </row>
    <row r="5602" spans="1:9" s="212" customFormat="1">
      <c r="A5602" s="220"/>
      <c r="B5602" s="141"/>
      <c r="C5602" s="141"/>
      <c r="D5602" s="141"/>
      <c r="E5602" s="141"/>
      <c r="F5602" s="141"/>
      <c r="G5602" s="141"/>
      <c r="H5602" s="222"/>
    </row>
    <row r="5603" spans="1:9" s="212" customFormat="1">
      <c r="A5603" s="142"/>
      <c r="B5603" s="143"/>
      <c r="C5603" s="143"/>
      <c r="D5603" s="143"/>
      <c r="E5603" s="143"/>
      <c r="F5603" s="84"/>
      <c r="G5603" s="146"/>
      <c r="H5603" s="225"/>
    </row>
    <row r="5604" spans="1:9" s="212" customFormat="1">
      <c r="A5604" s="123"/>
      <c r="B5604" s="95"/>
      <c r="C5604" s="95"/>
      <c r="D5604" s="95"/>
      <c r="E5604" s="95"/>
      <c r="G5604" s="213"/>
      <c r="H5604" s="73"/>
    </row>
    <row r="5605" spans="1:9" s="212" customFormat="1">
      <c r="A5605" s="123"/>
      <c r="B5605" s="95"/>
      <c r="C5605" s="95"/>
      <c r="D5605" s="95"/>
      <c r="E5605" s="95"/>
      <c r="G5605" s="73"/>
      <c r="H5605" s="225"/>
    </row>
    <row r="5606" spans="1:9">
      <c r="A5606" s="212"/>
      <c r="B5606" s="97"/>
      <c r="C5606" s="98"/>
      <c r="D5606" s="98"/>
      <c r="E5606" s="98"/>
      <c r="F5606" s="212"/>
      <c r="G5606" s="220"/>
      <c r="H5606" s="212"/>
      <c r="I5606" s="212"/>
    </row>
    <row r="5607" spans="1:9">
      <c r="A5607" s="212"/>
      <c r="B5607" s="97"/>
      <c r="C5607" s="98"/>
      <c r="D5607" s="98"/>
      <c r="E5607" s="98"/>
      <c r="F5607" s="220"/>
      <c r="G5607" s="225"/>
      <c r="H5607" s="226"/>
      <c r="I5607" s="212"/>
    </row>
    <row r="5608" spans="1:9">
      <c r="A5608" s="633"/>
      <c r="B5608" s="633"/>
      <c r="C5608" s="633"/>
      <c r="D5608" s="633"/>
      <c r="E5608" s="633"/>
      <c r="F5608" s="633"/>
      <c r="G5608" s="633"/>
      <c r="H5608" s="212"/>
      <c r="I5608" s="212"/>
    </row>
    <row r="5609" spans="1:9">
      <c r="A5609" s="212"/>
      <c r="B5609" s="212"/>
      <c r="C5609" s="212"/>
      <c r="D5609" s="212"/>
      <c r="E5609" s="212"/>
      <c r="F5609" s="212"/>
      <c r="G5609" s="212"/>
      <c r="H5609" s="212"/>
      <c r="I5609" s="212"/>
    </row>
    <row r="5610" spans="1:9">
      <c r="A5610" s="212"/>
      <c r="B5610" s="212"/>
      <c r="C5610" s="212"/>
      <c r="D5610" s="212"/>
      <c r="E5610" s="212"/>
      <c r="F5610" s="212"/>
      <c r="G5610" s="212"/>
      <c r="H5610" s="212"/>
      <c r="I5610" s="212"/>
    </row>
    <row r="5611" spans="1:9">
      <c r="A5611" s="212"/>
      <c r="B5611" s="212"/>
      <c r="C5611" s="212"/>
      <c r="D5611" s="212"/>
      <c r="E5611" s="212"/>
      <c r="F5611" s="212"/>
      <c r="G5611" s="212"/>
      <c r="H5611" s="212"/>
      <c r="I5611" s="212"/>
    </row>
    <row r="5612" spans="1:9">
      <c r="A5612" s="212"/>
      <c r="B5612" s="212"/>
      <c r="C5612" s="212"/>
      <c r="D5612" s="212"/>
      <c r="E5612" s="212"/>
      <c r="F5612" s="212"/>
      <c r="G5612" s="212"/>
      <c r="H5612" s="212"/>
      <c r="I5612" s="212"/>
    </row>
    <row r="5613" spans="1:9">
      <c r="A5613" s="212"/>
      <c r="B5613" s="212"/>
      <c r="C5613" s="212"/>
      <c r="D5613" s="212"/>
      <c r="E5613" s="212"/>
      <c r="F5613" s="212"/>
      <c r="G5613" s="212"/>
      <c r="H5613" s="212"/>
      <c r="I5613" s="212"/>
    </row>
    <row r="5614" spans="1:9">
      <c r="A5614" s="212"/>
      <c r="B5614" s="212"/>
      <c r="C5614" s="212"/>
      <c r="D5614" s="212"/>
      <c r="E5614" s="212"/>
      <c r="F5614" s="212"/>
      <c r="G5614" s="212"/>
      <c r="H5614" s="212"/>
      <c r="I5614" s="212"/>
    </row>
    <row r="5615" spans="1:9">
      <c r="A5615" s="212"/>
      <c r="B5615" s="212"/>
      <c r="C5615" s="212"/>
      <c r="D5615" s="212"/>
      <c r="E5615" s="212"/>
      <c r="F5615" s="212"/>
      <c r="G5615" s="212"/>
      <c r="H5615" s="212"/>
      <c r="I5615" s="212"/>
    </row>
    <row r="5616" spans="1:9">
      <c r="A5616" s="212"/>
      <c r="B5616" s="212"/>
      <c r="C5616" s="212"/>
      <c r="D5616" s="212"/>
      <c r="E5616" s="212"/>
      <c r="F5616" s="212"/>
      <c r="G5616" s="212"/>
      <c r="H5616" s="212"/>
      <c r="I5616" s="212"/>
    </row>
    <row r="5617" spans="1:9">
      <c r="A5617" s="212"/>
      <c r="B5617" s="212"/>
      <c r="C5617" s="212"/>
      <c r="D5617" s="212"/>
      <c r="E5617" s="212"/>
      <c r="F5617" s="212"/>
      <c r="G5617" s="212"/>
      <c r="H5617" s="212"/>
      <c r="I5617" s="212"/>
    </row>
    <row r="5618" spans="1:9">
      <c r="A5618" s="212"/>
      <c r="B5618" s="212"/>
      <c r="C5618" s="212"/>
      <c r="D5618" s="212"/>
      <c r="E5618" s="212"/>
      <c r="F5618" s="212"/>
      <c r="G5618" s="212"/>
      <c r="H5618" s="212"/>
      <c r="I5618" s="212"/>
    </row>
    <row r="5619" spans="1:9">
      <c r="A5619" s="212"/>
      <c r="B5619" s="212"/>
      <c r="C5619" s="212"/>
      <c r="D5619" s="212"/>
      <c r="E5619" s="212"/>
      <c r="F5619" s="212"/>
      <c r="G5619" s="212"/>
      <c r="H5619" s="212"/>
      <c r="I5619" s="212"/>
    </row>
    <row r="5620" spans="1:9">
      <c r="A5620" s="212"/>
      <c r="B5620" s="212"/>
      <c r="C5620" s="212"/>
      <c r="D5620" s="212"/>
      <c r="E5620" s="212"/>
      <c r="F5620" s="212"/>
      <c r="G5620" s="212"/>
      <c r="H5620" s="212"/>
      <c r="I5620" s="212"/>
    </row>
    <row r="5621" spans="1:9">
      <c r="A5621" s="212"/>
      <c r="B5621" s="212"/>
      <c r="C5621" s="212"/>
      <c r="D5621" s="212"/>
      <c r="E5621" s="212"/>
      <c r="F5621" s="212"/>
      <c r="G5621" s="212"/>
      <c r="H5621" s="212"/>
      <c r="I5621" s="212"/>
    </row>
    <row r="5622" spans="1:9">
      <c r="A5622" s="212"/>
      <c r="B5622" s="212"/>
      <c r="C5622" s="212"/>
      <c r="D5622" s="212"/>
      <c r="E5622" s="212"/>
      <c r="F5622" s="212"/>
      <c r="G5622" s="212"/>
      <c r="H5622" s="212"/>
      <c r="I5622" s="212"/>
    </row>
    <row r="5623" spans="1:9">
      <c r="A5623" s="212"/>
      <c r="B5623" s="212"/>
      <c r="C5623" s="212"/>
      <c r="D5623" s="212"/>
      <c r="E5623" s="212"/>
      <c r="F5623" s="212"/>
      <c r="G5623" s="212"/>
      <c r="H5623" s="212"/>
      <c r="I5623" s="212"/>
    </row>
    <row r="5624" spans="1:9">
      <c r="A5624" s="212"/>
      <c r="B5624" s="212"/>
      <c r="C5624" s="212"/>
      <c r="D5624" s="212"/>
      <c r="E5624" s="212"/>
      <c r="F5624" s="212"/>
      <c r="G5624" s="212"/>
      <c r="H5624" s="212"/>
      <c r="I5624" s="212"/>
    </row>
    <row r="5625" spans="1:9">
      <c r="A5625" s="212"/>
      <c r="B5625" s="212"/>
      <c r="C5625" s="212"/>
      <c r="D5625" s="212"/>
      <c r="E5625" s="212"/>
      <c r="F5625" s="212"/>
      <c r="G5625" s="212"/>
      <c r="H5625" s="212"/>
      <c r="I5625" s="212"/>
    </row>
    <row r="5626" spans="1:9">
      <c r="A5626" s="212"/>
      <c r="B5626" s="212"/>
      <c r="C5626" s="212"/>
      <c r="D5626" s="212"/>
      <c r="E5626" s="212"/>
      <c r="F5626" s="212"/>
      <c r="G5626" s="212"/>
      <c r="H5626" s="212"/>
      <c r="I5626" s="212"/>
    </row>
    <row r="5627" spans="1:9">
      <c r="A5627" s="212"/>
      <c r="B5627" s="212"/>
      <c r="C5627" s="212"/>
      <c r="D5627" s="212"/>
      <c r="E5627" s="212"/>
      <c r="F5627" s="212"/>
      <c r="G5627" s="212"/>
      <c r="H5627" s="212"/>
      <c r="I5627" s="212"/>
    </row>
    <row r="5628" spans="1:9">
      <c r="A5628" s="212"/>
      <c r="B5628" s="212"/>
      <c r="C5628" s="212"/>
      <c r="D5628" s="212"/>
      <c r="E5628" s="212"/>
      <c r="F5628" s="212"/>
      <c r="G5628" s="212"/>
      <c r="H5628" s="212"/>
      <c r="I5628" s="212"/>
    </row>
    <row r="5629" spans="1:9">
      <c r="A5629" s="212"/>
      <c r="B5629" s="212"/>
      <c r="C5629" s="212"/>
      <c r="D5629" s="212"/>
      <c r="E5629" s="212"/>
      <c r="F5629" s="212"/>
      <c r="G5629" s="212"/>
      <c r="H5629" s="212"/>
      <c r="I5629" s="212"/>
    </row>
    <row r="5630" spans="1:9">
      <c r="A5630" s="212"/>
      <c r="B5630" s="212"/>
      <c r="C5630" s="212"/>
      <c r="D5630" s="212"/>
      <c r="E5630" s="212"/>
      <c r="F5630" s="212"/>
      <c r="G5630" s="212"/>
      <c r="H5630" s="212"/>
      <c r="I5630" s="212"/>
    </row>
    <row r="5631" spans="1:9">
      <c r="A5631" s="212"/>
      <c r="B5631" s="212"/>
      <c r="C5631" s="212"/>
      <c r="D5631" s="212"/>
      <c r="E5631" s="212"/>
      <c r="F5631" s="212"/>
      <c r="G5631" s="212"/>
      <c r="H5631" s="212"/>
      <c r="I5631" s="212"/>
    </row>
    <row r="5632" spans="1:9">
      <c r="A5632" s="212"/>
      <c r="B5632" s="212"/>
      <c r="C5632" s="212"/>
      <c r="D5632" s="212"/>
      <c r="E5632" s="212"/>
      <c r="F5632" s="212"/>
      <c r="G5632" s="212"/>
      <c r="H5632" s="212"/>
      <c r="I5632" s="212"/>
    </row>
    <row r="5633" spans="1:9">
      <c r="A5633" s="212"/>
      <c r="B5633" s="212"/>
      <c r="C5633" s="212"/>
      <c r="D5633" s="212"/>
      <c r="E5633" s="212"/>
      <c r="F5633" s="212"/>
      <c r="G5633" s="212"/>
      <c r="H5633" s="212"/>
      <c r="I5633" s="212"/>
    </row>
    <row r="5634" spans="1:9">
      <c r="A5634" s="212"/>
      <c r="B5634" s="212"/>
      <c r="C5634" s="212"/>
      <c r="D5634" s="212"/>
      <c r="E5634" s="212"/>
      <c r="F5634" s="212"/>
      <c r="G5634" s="212"/>
      <c r="H5634" s="212"/>
      <c r="I5634" s="212"/>
    </row>
    <row r="5635" spans="1:9">
      <c r="A5635" s="212"/>
      <c r="B5635" s="212"/>
      <c r="C5635" s="212"/>
      <c r="D5635" s="212"/>
      <c r="E5635" s="212"/>
      <c r="F5635" s="212"/>
      <c r="G5635" s="212"/>
      <c r="H5635" s="212"/>
      <c r="I5635" s="212"/>
    </row>
    <row r="5636" spans="1:9">
      <c r="A5636" s="212"/>
      <c r="B5636" s="212"/>
      <c r="C5636" s="212"/>
      <c r="D5636" s="212"/>
      <c r="E5636" s="212"/>
      <c r="F5636" s="212"/>
      <c r="G5636" s="212"/>
      <c r="H5636" s="212"/>
      <c r="I5636" s="212"/>
    </row>
    <row r="5637" spans="1:9">
      <c r="A5637" s="212"/>
      <c r="B5637" s="212"/>
      <c r="C5637" s="212"/>
      <c r="D5637" s="212"/>
      <c r="E5637" s="212"/>
      <c r="F5637" s="212"/>
      <c r="G5637" s="212"/>
      <c r="H5637" s="212"/>
      <c r="I5637" s="212"/>
    </row>
    <row r="5638" spans="1:9">
      <c r="A5638" s="212"/>
      <c r="B5638" s="212"/>
      <c r="C5638" s="212"/>
      <c r="D5638" s="212"/>
      <c r="E5638" s="212"/>
      <c r="F5638" s="212"/>
      <c r="G5638" s="212"/>
      <c r="H5638" s="212"/>
      <c r="I5638" s="212"/>
    </row>
    <row r="5639" spans="1:9">
      <c r="A5639" s="212"/>
      <c r="B5639" s="212"/>
      <c r="C5639" s="212"/>
      <c r="D5639" s="212"/>
      <c r="E5639" s="212"/>
      <c r="F5639" s="212"/>
      <c r="G5639" s="212"/>
      <c r="H5639" s="212"/>
      <c r="I5639" s="212"/>
    </row>
    <row r="5640" spans="1:9">
      <c r="A5640" s="212"/>
      <c r="B5640" s="212"/>
      <c r="C5640" s="212"/>
      <c r="D5640" s="212"/>
      <c r="E5640" s="212"/>
      <c r="F5640" s="212"/>
      <c r="G5640" s="212"/>
      <c r="H5640" s="212"/>
      <c r="I5640" s="212"/>
    </row>
    <row r="5641" spans="1:9">
      <c r="A5641" s="212"/>
      <c r="B5641" s="212"/>
      <c r="C5641" s="212"/>
      <c r="D5641" s="212"/>
      <c r="E5641" s="212"/>
      <c r="F5641" s="212"/>
      <c r="G5641" s="212"/>
      <c r="H5641" s="212"/>
      <c r="I5641" s="212"/>
    </row>
    <row r="5642" spans="1:9">
      <c r="A5642" s="212"/>
      <c r="B5642" s="212"/>
      <c r="C5642" s="212"/>
      <c r="D5642" s="212"/>
      <c r="E5642" s="212"/>
      <c r="F5642" s="212"/>
      <c r="G5642" s="212"/>
      <c r="H5642" s="212"/>
      <c r="I5642" s="212"/>
    </row>
    <row r="5643" spans="1:9">
      <c r="A5643" s="212"/>
      <c r="B5643" s="212"/>
      <c r="C5643" s="212"/>
      <c r="D5643" s="212"/>
      <c r="E5643" s="212"/>
      <c r="F5643" s="212"/>
      <c r="G5643" s="212"/>
      <c r="H5643" s="212"/>
      <c r="I5643" s="212"/>
    </row>
    <row r="5644" spans="1:9">
      <c r="A5644" s="212"/>
      <c r="B5644" s="212"/>
      <c r="C5644" s="212"/>
      <c r="D5644" s="212"/>
      <c r="E5644" s="212"/>
      <c r="F5644" s="212"/>
      <c r="G5644" s="212"/>
      <c r="H5644" s="212"/>
      <c r="I5644" s="212"/>
    </row>
    <row r="5645" spans="1:9">
      <c r="A5645" s="212"/>
      <c r="B5645" s="212"/>
      <c r="C5645" s="212"/>
      <c r="D5645" s="212"/>
      <c r="E5645" s="212"/>
      <c r="F5645" s="212"/>
      <c r="G5645" s="212"/>
      <c r="H5645" s="212"/>
      <c r="I5645" s="212"/>
    </row>
    <row r="5646" spans="1:9">
      <c r="A5646" s="212"/>
      <c r="B5646" s="212"/>
      <c r="C5646" s="212"/>
      <c r="D5646" s="212"/>
      <c r="E5646" s="212"/>
      <c r="F5646" s="212"/>
      <c r="G5646" s="212"/>
      <c r="H5646" s="212"/>
      <c r="I5646" s="212"/>
    </row>
    <row r="5647" spans="1:9">
      <c r="A5647" s="212"/>
      <c r="B5647" s="212"/>
      <c r="C5647" s="212"/>
      <c r="D5647" s="212"/>
      <c r="E5647" s="212"/>
      <c r="F5647" s="212"/>
      <c r="G5647" s="212"/>
      <c r="H5647" s="212"/>
      <c r="I5647" s="212"/>
    </row>
    <row r="5648" spans="1:9">
      <c r="A5648" s="212"/>
      <c r="B5648" s="212"/>
      <c r="C5648" s="212"/>
      <c r="D5648" s="212"/>
      <c r="E5648" s="212"/>
      <c r="F5648" s="212"/>
      <c r="G5648" s="212"/>
      <c r="H5648" s="212"/>
      <c r="I5648" s="212"/>
    </row>
    <row r="5649" spans="1:9">
      <c r="A5649" s="212"/>
      <c r="B5649" s="212"/>
      <c r="C5649" s="212"/>
      <c r="D5649" s="212"/>
      <c r="E5649" s="212"/>
      <c r="F5649" s="212"/>
      <c r="G5649" s="212"/>
      <c r="H5649" s="212"/>
      <c r="I5649" s="212"/>
    </row>
    <row r="5650" spans="1:9">
      <c r="A5650" s="212"/>
      <c r="B5650" s="212"/>
      <c r="C5650" s="212"/>
      <c r="D5650" s="212"/>
      <c r="E5650" s="212"/>
      <c r="F5650" s="212"/>
      <c r="G5650" s="212"/>
      <c r="H5650" s="212"/>
      <c r="I5650" s="212"/>
    </row>
    <row r="5651" spans="1:9">
      <c r="A5651" s="212"/>
      <c r="B5651" s="212"/>
      <c r="C5651" s="212"/>
      <c r="D5651" s="212"/>
      <c r="E5651" s="212"/>
      <c r="F5651" s="212"/>
      <c r="G5651" s="212"/>
      <c r="H5651" s="212"/>
      <c r="I5651" s="212"/>
    </row>
    <row r="5652" spans="1:9">
      <c r="A5652" s="212"/>
      <c r="B5652" s="212"/>
      <c r="C5652" s="212"/>
      <c r="D5652" s="212"/>
      <c r="E5652" s="212"/>
      <c r="F5652" s="212"/>
      <c r="G5652" s="212"/>
      <c r="H5652" s="212"/>
      <c r="I5652" s="212"/>
    </row>
    <row r="5653" spans="1:9">
      <c r="A5653" s="212"/>
      <c r="B5653" s="212"/>
      <c r="C5653" s="212"/>
      <c r="D5653" s="212"/>
      <c r="E5653" s="212"/>
      <c r="F5653" s="212"/>
      <c r="G5653" s="212"/>
      <c r="H5653" s="212"/>
      <c r="I5653" s="212"/>
    </row>
    <row r="5654" spans="1:9">
      <c r="A5654" s="212"/>
      <c r="B5654" s="212"/>
      <c r="C5654" s="212"/>
      <c r="D5654" s="212"/>
      <c r="E5654" s="212"/>
      <c r="F5654" s="212"/>
      <c r="G5654" s="212"/>
      <c r="H5654" s="212"/>
      <c r="I5654" s="212"/>
    </row>
    <row r="5655" spans="1:9">
      <c r="A5655" s="212"/>
      <c r="B5655" s="212"/>
      <c r="C5655" s="212"/>
      <c r="D5655" s="212"/>
      <c r="E5655" s="212"/>
      <c r="F5655" s="212"/>
      <c r="G5655" s="212"/>
      <c r="H5655" s="212"/>
      <c r="I5655" s="212"/>
    </row>
    <row r="5656" spans="1:9">
      <c r="A5656" s="212"/>
      <c r="B5656" s="212"/>
      <c r="C5656" s="212"/>
      <c r="D5656" s="212"/>
      <c r="E5656" s="212"/>
      <c r="F5656" s="212"/>
      <c r="G5656" s="212"/>
      <c r="H5656" s="212"/>
      <c r="I5656" s="212"/>
    </row>
    <row r="5657" spans="1:9">
      <c r="A5657" s="212"/>
      <c r="B5657" s="212"/>
      <c r="C5657" s="212"/>
      <c r="D5657" s="212"/>
      <c r="E5657" s="212"/>
      <c r="F5657" s="212"/>
      <c r="G5657" s="212"/>
      <c r="H5657" s="212"/>
      <c r="I5657" s="212"/>
    </row>
    <row r="5658" spans="1:9">
      <c r="A5658" s="212"/>
      <c r="B5658" s="212"/>
      <c r="C5658" s="212"/>
      <c r="D5658" s="212"/>
      <c r="E5658" s="212"/>
      <c r="F5658" s="212"/>
      <c r="G5658" s="212"/>
      <c r="H5658" s="212"/>
      <c r="I5658" s="212"/>
    </row>
    <row r="5659" spans="1:9">
      <c r="A5659" s="212"/>
      <c r="B5659" s="212"/>
      <c r="C5659" s="212"/>
      <c r="D5659" s="212"/>
      <c r="E5659" s="212"/>
      <c r="F5659" s="212"/>
      <c r="G5659" s="212"/>
    </row>
  </sheetData>
  <mergeCells count="424">
    <mergeCell ref="A5516:A5517"/>
    <mergeCell ref="A5539:A5540"/>
    <mergeCell ref="A5562:A5563"/>
    <mergeCell ref="A5585:A5586"/>
    <mergeCell ref="A5608:G5608"/>
    <mergeCell ref="A5376:A5377"/>
    <mergeCell ref="A5398:A5399"/>
    <mergeCell ref="A5420:A5421"/>
    <mergeCell ref="A5445:A5446"/>
    <mergeCell ref="A5470:A5471"/>
    <mergeCell ref="A5493:A5494"/>
    <mergeCell ref="A5239:A5240"/>
    <mergeCell ref="A5262:A5263"/>
    <mergeCell ref="A5286:A5287"/>
    <mergeCell ref="A5308:A5309"/>
    <mergeCell ref="A5330:A5331"/>
    <mergeCell ref="A5352:A5353"/>
    <mergeCell ref="A5137:A5138"/>
    <mergeCell ref="A5159:G5159"/>
    <mergeCell ref="A5161:A5162"/>
    <mergeCell ref="A5190:G5190"/>
    <mergeCell ref="A5192:A5193"/>
    <mergeCell ref="A5217:A5218"/>
    <mergeCell ref="A5056:A5057"/>
    <mergeCell ref="A5082:G5082"/>
    <mergeCell ref="A5084:A5085"/>
    <mergeCell ref="A5110:G5110"/>
    <mergeCell ref="A5112:A5113"/>
    <mergeCell ref="A5135:G5135"/>
    <mergeCell ref="A4978:A4979"/>
    <mergeCell ref="A5002:G5002"/>
    <mergeCell ref="A5004:A5005"/>
    <mergeCell ref="A5028:G5028"/>
    <mergeCell ref="A5030:A5031"/>
    <mergeCell ref="A5054:G5054"/>
    <mergeCell ref="A4900:A4901"/>
    <mergeCell ref="A4922:G4922"/>
    <mergeCell ref="A4924:A4925"/>
    <mergeCell ref="A4949:G4949"/>
    <mergeCell ref="A4951:A4952"/>
    <mergeCell ref="A4976:G4976"/>
    <mergeCell ref="A4828:A4829"/>
    <mergeCell ref="A4850:G4850"/>
    <mergeCell ref="A4852:A4853"/>
    <mergeCell ref="A4874:G4874"/>
    <mergeCell ref="A4876:A4877"/>
    <mergeCell ref="A4898:G4898"/>
    <mergeCell ref="A4756:A4757"/>
    <mergeCell ref="A4778:G4778"/>
    <mergeCell ref="A4780:A4781"/>
    <mergeCell ref="A4802:G4802"/>
    <mergeCell ref="A4804:A4805"/>
    <mergeCell ref="A4826:G4826"/>
    <mergeCell ref="A4684:A4685"/>
    <mergeCell ref="A4706:G4706"/>
    <mergeCell ref="A4708:A4709"/>
    <mergeCell ref="A4730:G4730"/>
    <mergeCell ref="A4732:A4733"/>
    <mergeCell ref="A4754:G4754"/>
    <mergeCell ref="A4612:A4613"/>
    <mergeCell ref="A4634:G4634"/>
    <mergeCell ref="A4636:A4637"/>
    <mergeCell ref="A4658:G4658"/>
    <mergeCell ref="A4660:A4661"/>
    <mergeCell ref="A4682:G4682"/>
    <mergeCell ref="A4540:A4541"/>
    <mergeCell ref="A4562:G4562"/>
    <mergeCell ref="A4564:A4565"/>
    <mergeCell ref="A4586:G4586"/>
    <mergeCell ref="A4588:A4589"/>
    <mergeCell ref="A4610:G4610"/>
    <mergeCell ref="A4468:A4469"/>
    <mergeCell ref="A4490:G4490"/>
    <mergeCell ref="A4492:A4493"/>
    <mergeCell ref="A4514:G4514"/>
    <mergeCell ref="A4516:A4517"/>
    <mergeCell ref="A4538:G4538"/>
    <mergeCell ref="A4396:A4397"/>
    <mergeCell ref="A4418:G4418"/>
    <mergeCell ref="A4420:A4421"/>
    <mergeCell ref="A4442:G4442"/>
    <mergeCell ref="A4444:A4445"/>
    <mergeCell ref="A4466:G4466"/>
    <mergeCell ref="A4324:A4325"/>
    <mergeCell ref="A4346:G4346"/>
    <mergeCell ref="A4348:A4349"/>
    <mergeCell ref="A4370:G4370"/>
    <mergeCell ref="A4372:A4373"/>
    <mergeCell ref="A4394:G4394"/>
    <mergeCell ref="A4252:A4253"/>
    <mergeCell ref="A4274:G4274"/>
    <mergeCell ref="A4276:A4277"/>
    <mergeCell ref="A4298:G4298"/>
    <mergeCell ref="A4300:A4301"/>
    <mergeCell ref="A4322:G4322"/>
    <mergeCell ref="A4180:A4181"/>
    <mergeCell ref="A4202:G4202"/>
    <mergeCell ref="A4204:A4205"/>
    <mergeCell ref="A4226:G4226"/>
    <mergeCell ref="A4228:A4229"/>
    <mergeCell ref="A4250:G4250"/>
    <mergeCell ref="A4108:A4109"/>
    <mergeCell ref="A4130:G4130"/>
    <mergeCell ref="A4132:A4133"/>
    <mergeCell ref="A4154:G4154"/>
    <mergeCell ref="A4156:A4157"/>
    <mergeCell ref="A4178:G4178"/>
    <mergeCell ref="A4036:A4037"/>
    <mergeCell ref="A4058:G4058"/>
    <mergeCell ref="A4060:A4061"/>
    <mergeCell ref="A4082:G4082"/>
    <mergeCell ref="A4084:A4085"/>
    <mergeCell ref="A4106:G4106"/>
    <mergeCell ref="A3964:A3965"/>
    <mergeCell ref="A3986:G3986"/>
    <mergeCell ref="A3988:A3989"/>
    <mergeCell ref="A4010:G4010"/>
    <mergeCell ref="A4012:A4013"/>
    <mergeCell ref="A4034:G4034"/>
    <mergeCell ref="A3892:A3893"/>
    <mergeCell ref="A3914:G3914"/>
    <mergeCell ref="A3916:A3917"/>
    <mergeCell ref="A3938:G3938"/>
    <mergeCell ref="A3940:A3941"/>
    <mergeCell ref="A3962:G3962"/>
    <mergeCell ref="A3820:A3821"/>
    <mergeCell ref="A3842:G3842"/>
    <mergeCell ref="A3844:A3845"/>
    <mergeCell ref="A3866:G3866"/>
    <mergeCell ref="A3868:A3869"/>
    <mergeCell ref="A3890:G3890"/>
    <mergeCell ref="A3748:A3749"/>
    <mergeCell ref="A3770:G3770"/>
    <mergeCell ref="A3772:A3773"/>
    <mergeCell ref="A3794:G3794"/>
    <mergeCell ref="A3796:A3797"/>
    <mergeCell ref="A3818:G3818"/>
    <mergeCell ref="A3676:A3677"/>
    <mergeCell ref="A3698:G3698"/>
    <mergeCell ref="A3700:A3701"/>
    <mergeCell ref="A3722:G3722"/>
    <mergeCell ref="A3724:A3725"/>
    <mergeCell ref="A3746:G3746"/>
    <mergeCell ref="A3604:A3605"/>
    <mergeCell ref="A3626:G3626"/>
    <mergeCell ref="A3628:A3629"/>
    <mergeCell ref="A3650:G3650"/>
    <mergeCell ref="A3652:A3653"/>
    <mergeCell ref="A3674:G3674"/>
    <mergeCell ref="A3532:A3533"/>
    <mergeCell ref="A3554:G3554"/>
    <mergeCell ref="A3556:A3557"/>
    <mergeCell ref="A3578:G3578"/>
    <mergeCell ref="A3580:A3581"/>
    <mergeCell ref="A3602:G3602"/>
    <mergeCell ref="A3445:A3446"/>
    <mergeCell ref="A3472:G3472"/>
    <mergeCell ref="A3474:A3475"/>
    <mergeCell ref="A3501:G3501"/>
    <mergeCell ref="A3503:A3504"/>
    <mergeCell ref="A3530:G3530"/>
    <mergeCell ref="A3366:A3367"/>
    <mergeCell ref="A3389:G3389"/>
    <mergeCell ref="A3391:A3392"/>
    <mergeCell ref="A3416:G3416"/>
    <mergeCell ref="A3418:A3419"/>
    <mergeCell ref="A3443:G3443"/>
    <mergeCell ref="A3288:A3289"/>
    <mergeCell ref="A3310:G3310"/>
    <mergeCell ref="A3312:A3313"/>
    <mergeCell ref="A3337:G3337"/>
    <mergeCell ref="A3339:A3340"/>
    <mergeCell ref="A3364:G3364"/>
    <mergeCell ref="A3206:A3207"/>
    <mergeCell ref="A3233:G3233"/>
    <mergeCell ref="A3235:A3236"/>
    <mergeCell ref="A3260:G3260"/>
    <mergeCell ref="A3262:A3263"/>
    <mergeCell ref="A3286:G3286"/>
    <mergeCell ref="A3121:A3122"/>
    <mergeCell ref="A3144:G3144"/>
    <mergeCell ref="A3146:A3147"/>
    <mergeCell ref="A3175:G3175"/>
    <mergeCell ref="A3177:A3178"/>
    <mergeCell ref="A3204:G3204"/>
    <mergeCell ref="A3042:A3043"/>
    <mergeCell ref="A3066:G3066"/>
    <mergeCell ref="A3068:A3069"/>
    <mergeCell ref="A3093:G3093"/>
    <mergeCell ref="A3095:A3096"/>
    <mergeCell ref="A3119:G3119"/>
    <mergeCell ref="A2964:A2965"/>
    <mergeCell ref="A2988:G2988"/>
    <mergeCell ref="A2990:A2991"/>
    <mergeCell ref="A3014:G3014"/>
    <mergeCell ref="A3016:A3017"/>
    <mergeCell ref="A3040:G3040"/>
    <mergeCell ref="A2889:A2890"/>
    <mergeCell ref="A2911:G2911"/>
    <mergeCell ref="A2913:A2914"/>
    <mergeCell ref="A2935:G2935"/>
    <mergeCell ref="A2937:A2938"/>
    <mergeCell ref="A2962:G2962"/>
    <mergeCell ref="A2808:A2809"/>
    <mergeCell ref="A2830:G2830"/>
    <mergeCell ref="A2832:A2833"/>
    <mergeCell ref="A2854:G2854"/>
    <mergeCell ref="A2856:A2857"/>
    <mergeCell ref="A2887:G2887"/>
    <mergeCell ref="A2728:A2729"/>
    <mergeCell ref="A2757:G2757"/>
    <mergeCell ref="A2759:A2760"/>
    <mergeCell ref="A2782:G2782"/>
    <mergeCell ref="A2784:A2785"/>
    <mergeCell ref="A2806:G2806"/>
    <mergeCell ref="A2640:A2641"/>
    <mergeCell ref="A2667:G2667"/>
    <mergeCell ref="A2669:A2670"/>
    <mergeCell ref="A2702:G2702"/>
    <mergeCell ref="A2704:A2705"/>
    <mergeCell ref="A2726:G2726"/>
    <mergeCell ref="A2553:A2554"/>
    <mergeCell ref="A2577:G2577"/>
    <mergeCell ref="A2579:A2580"/>
    <mergeCell ref="A2605:G2605"/>
    <mergeCell ref="A2607:A2608"/>
    <mergeCell ref="A2638:G2638"/>
    <mergeCell ref="A2476:A2477"/>
    <mergeCell ref="A2500:G2500"/>
    <mergeCell ref="A2502:A2503"/>
    <mergeCell ref="A2526:G2526"/>
    <mergeCell ref="A2528:A2529"/>
    <mergeCell ref="A2551:G2551"/>
    <mergeCell ref="A2381:A2382"/>
    <mergeCell ref="A2412:G2412"/>
    <mergeCell ref="A2414:A2415"/>
    <mergeCell ref="A2447:G2447"/>
    <mergeCell ref="A2449:A2450"/>
    <mergeCell ref="A2474:G2474"/>
    <mergeCell ref="A2290:A2291"/>
    <mergeCell ref="A2313:G2313"/>
    <mergeCell ref="A2315:A2316"/>
    <mergeCell ref="A2346:G2346"/>
    <mergeCell ref="A2348:A2349"/>
    <mergeCell ref="A2379:G2379"/>
    <mergeCell ref="A2202:A2203"/>
    <mergeCell ref="A2228:G2228"/>
    <mergeCell ref="A2230:A2231"/>
    <mergeCell ref="A2263:G2263"/>
    <mergeCell ref="A2265:A2266"/>
    <mergeCell ref="A2288:G2288"/>
    <mergeCell ref="A2119:A2120"/>
    <mergeCell ref="A2146:G2146"/>
    <mergeCell ref="A2148:A2149"/>
    <mergeCell ref="A2173:G2173"/>
    <mergeCell ref="A2175:A2176"/>
    <mergeCell ref="A2200:G2200"/>
    <mergeCell ref="A2034:A2035"/>
    <mergeCell ref="A2058:G2058"/>
    <mergeCell ref="A2060:A2061"/>
    <mergeCell ref="A2088:G2088"/>
    <mergeCell ref="A2090:A2091"/>
    <mergeCell ref="A2117:G2117"/>
    <mergeCell ref="A1950:A1951"/>
    <mergeCell ref="A1974:G1974"/>
    <mergeCell ref="A1976:A1977"/>
    <mergeCell ref="A2002:G2002"/>
    <mergeCell ref="A2004:A2005"/>
    <mergeCell ref="A2032:G2032"/>
    <mergeCell ref="A1868:A1869"/>
    <mergeCell ref="A1895:G1895"/>
    <mergeCell ref="A1897:A1898"/>
    <mergeCell ref="A1921:G1921"/>
    <mergeCell ref="A1923:A1924"/>
    <mergeCell ref="A1948:G1948"/>
    <mergeCell ref="A1782:A1783"/>
    <mergeCell ref="A1807:G1807"/>
    <mergeCell ref="A1809:A1810"/>
    <mergeCell ref="A1836:G1836"/>
    <mergeCell ref="A1838:A1839"/>
    <mergeCell ref="A1866:G1866"/>
    <mergeCell ref="A1701:A1702"/>
    <mergeCell ref="A1725:G1725"/>
    <mergeCell ref="A1727:A1728"/>
    <mergeCell ref="A1753:G1753"/>
    <mergeCell ref="A1755:A1756"/>
    <mergeCell ref="A1780:G1780"/>
    <mergeCell ref="A1619:A1620"/>
    <mergeCell ref="A1641:G1641"/>
    <mergeCell ref="A1643:A1644"/>
    <mergeCell ref="A1670:G1670"/>
    <mergeCell ref="A1672:A1673"/>
    <mergeCell ref="A1699:G1699"/>
    <mergeCell ref="A1541:A1542"/>
    <mergeCell ref="A1566:G1566"/>
    <mergeCell ref="A1568:A1569"/>
    <mergeCell ref="A1590:G1590"/>
    <mergeCell ref="A1592:A1593"/>
    <mergeCell ref="A1617:G1617"/>
    <mergeCell ref="A1469:A1470"/>
    <mergeCell ref="A1491:G1491"/>
    <mergeCell ref="A1493:A1494"/>
    <mergeCell ref="A1515:G1515"/>
    <mergeCell ref="A1517:A1518"/>
    <mergeCell ref="A1539:G1539"/>
    <mergeCell ref="A1397:A1398"/>
    <mergeCell ref="A1419:G1419"/>
    <mergeCell ref="A1421:A1422"/>
    <mergeCell ref="A1443:G1443"/>
    <mergeCell ref="A1445:A1446"/>
    <mergeCell ref="A1467:G1467"/>
    <mergeCell ref="A1325:A1326"/>
    <mergeCell ref="A1347:G1347"/>
    <mergeCell ref="A1349:A1350"/>
    <mergeCell ref="A1371:G1371"/>
    <mergeCell ref="A1373:A1374"/>
    <mergeCell ref="A1395:G1395"/>
    <mergeCell ref="A1243:A1244"/>
    <mergeCell ref="A1267:G1267"/>
    <mergeCell ref="A1269:A1270"/>
    <mergeCell ref="A1299:G1299"/>
    <mergeCell ref="A1301:A1302"/>
    <mergeCell ref="A1323:G1323"/>
    <mergeCell ref="A1168:A1169"/>
    <mergeCell ref="A1190:G1190"/>
    <mergeCell ref="A1192:A1193"/>
    <mergeCell ref="A1215:G1215"/>
    <mergeCell ref="A1217:A1218"/>
    <mergeCell ref="A1241:G1241"/>
    <mergeCell ref="A1081:A1082"/>
    <mergeCell ref="A1108:G1108"/>
    <mergeCell ref="A1110:A1111"/>
    <mergeCell ref="A1136:G1136"/>
    <mergeCell ref="A1138:A1139"/>
    <mergeCell ref="A1166:G1166"/>
    <mergeCell ref="A1004:A1005"/>
    <mergeCell ref="A1026:G1026"/>
    <mergeCell ref="A1028:A1029"/>
    <mergeCell ref="A1054:G1054"/>
    <mergeCell ref="A1056:A1057"/>
    <mergeCell ref="A1079:G1079"/>
    <mergeCell ref="A932:A933"/>
    <mergeCell ref="A954:G954"/>
    <mergeCell ref="A956:A957"/>
    <mergeCell ref="A978:G978"/>
    <mergeCell ref="A980:A981"/>
    <mergeCell ref="A1002:G1002"/>
    <mergeCell ref="A860:A861"/>
    <mergeCell ref="A882:G882"/>
    <mergeCell ref="A884:A885"/>
    <mergeCell ref="A906:G906"/>
    <mergeCell ref="A908:A909"/>
    <mergeCell ref="A930:G930"/>
    <mergeCell ref="A788:A789"/>
    <mergeCell ref="A810:G810"/>
    <mergeCell ref="A812:A813"/>
    <mergeCell ref="A834:G834"/>
    <mergeCell ref="A836:A837"/>
    <mergeCell ref="A858:G858"/>
    <mergeCell ref="A716:A717"/>
    <mergeCell ref="A738:G738"/>
    <mergeCell ref="A740:A741"/>
    <mergeCell ref="A762:G762"/>
    <mergeCell ref="A764:A765"/>
    <mergeCell ref="A786:G786"/>
    <mergeCell ref="A638:A639"/>
    <mergeCell ref="A662:G662"/>
    <mergeCell ref="A664:A665"/>
    <mergeCell ref="A688:G688"/>
    <mergeCell ref="A690:A691"/>
    <mergeCell ref="A714:G714"/>
    <mergeCell ref="A564:A565"/>
    <mergeCell ref="A586:G586"/>
    <mergeCell ref="A588:A589"/>
    <mergeCell ref="A610:G610"/>
    <mergeCell ref="A612:A613"/>
    <mergeCell ref="A636:G636"/>
    <mergeCell ref="A492:A493"/>
    <mergeCell ref="A514:G514"/>
    <mergeCell ref="A516:A517"/>
    <mergeCell ref="A538:G538"/>
    <mergeCell ref="A540:A541"/>
    <mergeCell ref="A562:G562"/>
    <mergeCell ref="A420:A421"/>
    <mergeCell ref="A442:G442"/>
    <mergeCell ref="A444:A445"/>
    <mergeCell ref="A466:G466"/>
    <mergeCell ref="A468:A469"/>
    <mergeCell ref="A490:G490"/>
    <mergeCell ref="A347:A348"/>
    <mergeCell ref="A369:G369"/>
    <mergeCell ref="A371:A372"/>
    <mergeCell ref="A393:G393"/>
    <mergeCell ref="A395:A396"/>
    <mergeCell ref="A417:G417"/>
    <mergeCell ref="A297:G297"/>
    <mergeCell ref="A299:A300"/>
    <mergeCell ref="A321:G321"/>
    <mergeCell ref="A323:A324"/>
    <mergeCell ref="A345:G345"/>
    <mergeCell ref="A195:A196"/>
    <mergeCell ref="A219:G219"/>
    <mergeCell ref="A221:A222"/>
    <mergeCell ref="A245:G245"/>
    <mergeCell ref="A247:A248"/>
    <mergeCell ref="A271:G271"/>
    <mergeCell ref="A168:A169"/>
    <mergeCell ref="A193:G193"/>
    <mergeCell ref="A44:A45"/>
    <mergeCell ref="A66:G66"/>
    <mergeCell ref="A68:A69"/>
    <mergeCell ref="A90:G90"/>
    <mergeCell ref="A92:A93"/>
    <mergeCell ref="A114:G114"/>
    <mergeCell ref="A273:A274"/>
    <mergeCell ref="A42:G42"/>
    <mergeCell ref="B1:H1"/>
    <mergeCell ref="A2:A3"/>
    <mergeCell ref="B2:H3"/>
    <mergeCell ref="A26:G26"/>
    <mergeCell ref="A116:A117"/>
    <mergeCell ref="A140:G140"/>
    <mergeCell ref="A142:A143"/>
    <mergeCell ref="A166:G166"/>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I302"/>
  <sheetViews>
    <sheetView topLeftCell="A293" workbookViewId="0">
      <selection activeCell="H302" sqref="C1:H302"/>
    </sheetView>
  </sheetViews>
  <sheetFormatPr baseColWidth="10" defaultRowHeight="15"/>
  <cols>
    <col min="6" max="6" width="15.7109375" customWidth="1"/>
    <col min="8" max="8" width="16.42578125" customWidth="1"/>
  </cols>
  <sheetData>
    <row r="2" spans="3:8">
      <c r="C2" s="730" t="s">
        <v>1569</v>
      </c>
      <c r="D2" s="730"/>
      <c r="E2" s="730"/>
      <c r="F2" s="730"/>
      <c r="G2" s="730"/>
      <c r="H2" s="730"/>
    </row>
    <row r="3" spans="3:8">
      <c r="C3" s="312" t="s">
        <v>1568</v>
      </c>
      <c r="D3" s="312"/>
      <c r="E3" s="312"/>
      <c r="F3" s="312"/>
      <c r="G3" s="312"/>
      <c r="H3" s="312"/>
    </row>
    <row r="4" spans="3:8">
      <c r="C4" s="730" t="s">
        <v>1425</v>
      </c>
      <c r="D4" s="730"/>
      <c r="E4" s="730"/>
      <c r="F4" s="730"/>
      <c r="G4" s="314" t="s">
        <v>157</v>
      </c>
      <c r="H4" s="314" t="s">
        <v>394</v>
      </c>
    </row>
    <row r="5" spans="3:8" ht="16.5" customHeight="1">
      <c r="C5" s="731" t="s">
        <v>417</v>
      </c>
      <c r="D5" s="731"/>
      <c r="E5" s="731"/>
      <c r="F5" s="731"/>
      <c r="G5" s="79" t="s">
        <v>157</v>
      </c>
      <c r="H5" s="106">
        <v>3500</v>
      </c>
    </row>
    <row r="6" spans="3:8" ht="16.5" customHeight="1">
      <c r="C6" s="731" t="s">
        <v>418</v>
      </c>
      <c r="D6" s="731"/>
      <c r="E6" s="731"/>
      <c r="F6" s="731"/>
      <c r="G6" s="79" t="s">
        <v>419</v>
      </c>
      <c r="H6" s="106">
        <v>2000</v>
      </c>
    </row>
    <row r="7" spans="3:8">
      <c r="C7" s="732" t="s">
        <v>420</v>
      </c>
      <c r="D7" s="732"/>
      <c r="E7" s="732"/>
      <c r="F7" s="732"/>
      <c r="G7" s="88" t="s">
        <v>421</v>
      </c>
      <c r="H7" s="113">
        <v>2500</v>
      </c>
    </row>
    <row r="8" spans="3:8">
      <c r="C8" s="732" t="s">
        <v>422</v>
      </c>
      <c r="D8" s="732"/>
      <c r="E8" s="732"/>
      <c r="F8" s="732"/>
      <c r="G8" s="88" t="s">
        <v>423</v>
      </c>
      <c r="H8" s="113">
        <v>7000</v>
      </c>
    </row>
    <row r="9" spans="3:8">
      <c r="C9" s="732" t="s">
        <v>549</v>
      </c>
      <c r="D9" s="732"/>
      <c r="E9" s="732"/>
      <c r="F9" s="732"/>
      <c r="G9" s="313" t="s">
        <v>454</v>
      </c>
      <c r="H9" s="113">
        <v>7500</v>
      </c>
    </row>
    <row r="10" spans="3:8">
      <c r="C10" s="732" t="s">
        <v>456</v>
      </c>
      <c r="D10" s="732"/>
      <c r="E10" s="732"/>
      <c r="F10" s="732"/>
      <c r="G10" s="313" t="s">
        <v>455</v>
      </c>
      <c r="H10" s="113">
        <v>2900</v>
      </c>
    </row>
    <row r="11" spans="3:8" ht="17.25" customHeight="1">
      <c r="C11" s="731" t="s">
        <v>469</v>
      </c>
      <c r="D11" s="731"/>
      <c r="E11" s="731"/>
      <c r="F11" s="731"/>
      <c r="G11" s="127" t="s">
        <v>470</v>
      </c>
      <c r="H11" s="107">
        <v>12</v>
      </c>
    </row>
    <row r="12" spans="3:8" ht="16.5" customHeight="1">
      <c r="C12" s="731" t="s">
        <v>471</v>
      </c>
      <c r="D12" s="731"/>
      <c r="E12" s="731"/>
      <c r="F12" s="731"/>
      <c r="G12" s="127" t="s">
        <v>454</v>
      </c>
      <c r="H12" s="107">
        <v>35000</v>
      </c>
    </row>
    <row r="13" spans="3:8">
      <c r="C13" s="731" t="s">
        <v>472</v>
      </c>
      <c r="D13" s="731"/>
      <c r="E13" s="731"/>
      <c r="F13" s="731"/>
      <c r="G13" s="127" t="s">
        <v>454</v>
      </c>
      <c r="H13" s="107">
        <v>50000</v>
      </c>
    </row>
    <row r="14" spans="3:8">
      <c r="C14" s="731" t="s">
        <v>473</v>
      </c>
      <c r="D14" s="731"/>
      <c r="E14" s="731"/>
      <c r="F14" s="731"/>
      <c r="G14" s="127" t="s">
        <v>474</v>
      </c>
      <c r="H14" s="107">
        <v>7700</v>
      </c>
    </row>
    <row r="15" spans="3:8">
      <c r="C15" s="731" t="s">
        <v>475</v>
      </c>
      <c r="D15" s="731"/>
      <c r="E15" s="731"/>
      <c r="F15" s="731"/>
      <c r="G15" s="127" t="s">
        <v>476</v>
      </c>
      <c r="H15" s="107">
        <v>25000</v>
      </c>
    </row>
    <row r="16" spans="3:8">
      <c r="C16" s="731" t="s">
        <v>477</v>
      </c>
      <c r="D16" s="731"/>
      <c r="E16" s="731"/>
      <c r="F16" s="731"/>
      <c r="G16" s="127" t="s">
        <v>474</v>
      </c>
      <c r="H16" s="107">
        <v>25000</v>
      </c>
    </row>
    <row r="17" spans="3:8">
      <c r="C17" s="731" t="s">
        <v>481</v>
      </c>
      <c r="D17" s="731"/>
      <c r="E17" s="731"/>
      <c r="F17" s="731"/>
      <c r="G17" s="127" t="s">
        <v>474</v>
      </c>
      <c r="H17" s="316">
        <v>55500</v>
      </c>
    </row>
    <row r="18" spans="3:8">
      <c r="C18" s="731" t="s">
        <v>482</v>
      </c>
      <c r="D18" s="731"/>
      <c r="E18" s="731"/>
      <c r="F18" s="731"/>
      <c r="G18" s="127" t="s">
        <v>454</v>
      </c>
      <c r="H18" s="316">
        <v>50000</v>
      </c>
    </row>
    <row r="19" spans="3:8">
      <c r="C19" s="731" t="s">
        <v>1570</v>
      </c>
      <c r="D19" s="731"/>
      <c r="E19" s="731"/>
      <c r="F19" s="731"/>
      <c r="G19" s="127" t="s">
        <v>406</v>
      </c>
      <c r="H19" s="316">
        <v>150000</v>
      </c>
    </row>
    <row r="20" spans="3:8">
      <c r="C20" s="731" t="s">
        <v>487</v>
      </c>
      <c r="D20" s="731"/>
      <c r="E20" s="731"/>
      <c r="F20" s="731"/>
      <c r="G20" s="127" t="s">
        <v>423</v>
      </c>
      <c r="H20" s="107">
        <v>3100</v>
      </c>
    </row>
    <row r="21" spans="3:8">
      <c r="C21" s="731" t="s">
        <v>488</v>
      </c>
      <c r="D21" s="731"/>
      <c r="E21" s="731"/>
      <c r="F21" s="731"/>
      <c r="G21" s="127" t="s">
        <v>157</v>
      </c>
      <c r="H21" s="107">
        <v>2552</v>
      </c>
    </row>
    <row r="22" spans="3:8">
      <c r="C22" s="731" t="s">
        <v>489</v>
      </c>
      <c r="D22" s="731"/>
      <c r="E22" s="731"/>
      <c r="F22" s="731"/>
      <c r="G22" s="127" t="s">
        <v>423</v>
      </c>
      <c r="H22" s="107">
        <v>2550</v>
      </c>
    </row>
    <row r="23" spans="3:8">
      <c r="C23" s="731" t="s">
        <v>492</v>
      </c>
      <c r="D23" s="731"/>
      <c r="E23" s="731"/>
      <c r="F23" s="731"/>
      <c r="G23" s="127" t="s">
        <v>493</v>
      </c>
      <c r="H23" s="316">
        <v>23605</v>
      </c>
    </row>
    <row r="24" spans="3:8" ht="16.5" customHeight="1">
      <c r="C24" s="731" t="s">
        <v>996</v>
      </c>
      <c r="D24" s="731"/>
      <c r="E24" s="731"/>
      <c r="F24" s="731"/>
      <c r="G24" s="127" t="s">
        <v>493</v>
      </c>
      <c r="H24" s="316">
        <v>38726</v>
      </c>
    </row>
    <row r="25" spans="3:8">
      <c r="C25" s="731" t="s">
        <v>498</v>
      </c>
      <c r="D25" s="731"/>
      <c r="E25" s="731"/>
      <c r="F25" s="731"/>
      <c r="G25" s="127" t="s">
        <v>493</v>
      </c>
      <c r="H25" s="316">
        <v>220000</v>
      </c>
    </row>
    <row r="26" spans="3:8">
      <c r="C26" s="731" t="s">
        <v>500</v>
      </c>
      <c r="D26" s="731"/>
      <c r="E26" s="731"/>
      <c r="F26" s="731"/>
      <c r="G26" s="127" t="s">
        <v>493</v>
      </c>
      <c r="H26" s="316">
        <v>290000</v>
      </c>
    </row>
    <row r="27" spans="3:8">
      <c r="C27" s="731" t="s">
        <v>1571</v>
      </c>
      <c r="D27" s="731"/>
      <c r="E27" s="731"/>
      <c r="F27" s="731"/>
      <c r="G27" s="127" t="s">
        <v>548</v>
      </c>
      <c r="H27" s="316">
        <v>3201</v>
      </c>
    </row>
    <row r="28" spans="3:8">
      <c r="C28" s="731" t="s">
        <v>1572</v>
      </c>
      <c r="D28" s="731"/>
      <c r="E28" s="731"/>
      <c r="F28" s="731"/>
      <c r="G28" s="127" t="s">
        <v>548</v>
      </c>
      <c r="H28" s="316">
        <v>3201</v>
      </c>
    </row>
    <row r="29" spans="3:8">
      <c r="C29" s="731" t="s">
        <v>1573</v>
      </c>
      <c r="D29" s="731"/>
      <c r="E29" s="731"/>
      <c r="F29" s="731"/>
      <c r="G29" s="127" t="s">
        <v>669</v>
      </c>
      <c r="H29" s="107">
        <v>2500</v>
      </c>
    </row>
    <row r="30" spans="3:8">
      <c r="C30" s="731" t="s">
        <v>1574</v>
      </c>
      <c r="D30" s="731"/>
      <c r="E30" s="731"/>
      <c r="F30" s="731"/>
      <c r="G30" s="127" t="s">
        <v>1021</v>
      </c>
      <c r="H30" s="107">
        <v>5500</v>
      </c>
    </row>
    <row r="31" spans="3:8">
      <c r="C31" s="731" t="s">
        <v>1575</v>
      </c>
      <c r="D31" s="731"/>
      <c r="E31" s="731"/>
      <c r="F31" s="731"/>
      <c r="G31" s="127" t="s">
        <v>1022</v>
      </c>
      <c r="H31" s="107">
        <v>2800</v>
      </c>
    </row>
    <row r="32" spans="3:8">
      <c r="C32" s="731" t="s">
        <v>1576</v>
      </c>
      <c r="D32" s="731"/>
      <c r="E32" s="731"/>
      <c r="F32" s="731"/>
      <c r="G32" s="127" t="s">
        <v>157</v>
      </c>
      <c r="H32" s="107">
        <v>350</v>
      </c>
    </row>
    <row r="33" spans="3:8">
      <c r="C33" s="731" t="s">
        <v>1577</v>
      </c>
      <c r="D33" s="731"/>
      <c r="E33" s="731"/>
      <c r="F33" s="731"/>
      <c r="G33" s="127" t="s">
        <v>476</v>
      </c>
      <c r="H33" s="107">
        <v>25000</v>
      </c>
    </row>
    <row r="34" spans="3:8">
      <c r="C34" s="731" t="s">
        <v>1578</v>
      </c>
      <c r="D34" s="731"/>
      <c r="E34" s="731"/>
      <c r="F34" s="731"/>
      <c r="G34" s="127" t="s">
        <v>454</v>
      </c>
      <c r="H34" s="107">
        <v>40000</v>
      </c>
    </row>
    <row r="35" spans="3:8">
      <c r="C35" s="731" t="s">
        <v>1579</v>
      </c>
      <c r="D35" s="731"/>
      <c r="E35" s="731"/>
      <c r="F35" s="731"/>
      <c r="G35" s="127" t="s">
        <v>157</v>
      </c>
      <c r="H35" s="316">
        <v>1120</v>
      </c>
    </row>
    <row r="36" spans="3:8">
      <c r="C36" s="731" t="s">
        <v>1580</v>
      </c>
      <c r="D36" s="731"/>
      <c r="E36" s="731"/>
      <c r="F36" s="731"/>
      <c r="G36" s="127" t="s">
        <v>157</v>
      </c>
      <c r="H36" s="316">
        <v>500</v>
      </c>
    </row>
    <row r="37" spans="3:8">
      <c r="C37" s="731" t="s">
        <v>1581</v>
      </c>
      <c r="D37" s="731"/>
      <c r="E37" s="731"/>
      <c r="F37" s="731"/>
      <c r="G37" s="127" t="s">
        <v>454</v>
      </c>
      <c r="H37" s="316">
        <v>40000</v>
      </c>
    </row>
    <row r="38" spans="3:8">
      <c r="C38" s="731" t="s">
        <v>1582</v>
      </c>
      <c r="D38" s="731"/>
      <c r="E38" s="731"/>
      <c r="F38" s="731"/>
      <c r="G38" s="127" t="s">
        <v>493</v>
      </c>
      <c r="H38" s="107">
        <v>10000</v>
      </c>
    </row>
    <row r="39" spans="3:8">
      <c r="C39" s="731" t="s">
        <v>1583</v>
      </c>
      <c r="D39" s="731"/>
      <c r="E39" s="731"/>
      <c r="F39" s="731"/>
      <c r="G39" s="127" t="s">
        <v>493</v>
      </c>
      <c r="H39" s="107">
        <v>30000</v>
      </c>
    </row>
    <row r="40" spans="3:8">
      <c r="C40" s="731" t="s">
        <v>1584</v>
      </c>
      <c r="D40" s="731"/>
      <c r="E40" s="731"/>
      <c r="F40" s="731"/>
      <c r="G40" s="127" t="s">
        <v>493</v>
      </c>
      <c r="H40" s="107">
        <v>500</v>
      </c>
    </row>
    <row r="41" spans="3:8">
      <c r="C41" s="731" t="s">
        <v>1585</v>
      </c>
      <c r="D41" s="731"/>
      <c r="E41" s="731"/>
      <c r="F41" s="731"/>
      <c r="G41" s="127" t="s">
        <v>455</v>
      </c>
      <c r="H41" s="107">
        <v>6200</v>
      </c>
    </row>
    <row r="42" spans="3:8">
      <c r="C42" s="731" t="s">
        <v>1586</v>
      </c>
      <c r="D42" s="731"/>
      <c r="E42" s="731"/>
      <c r="F42" s="731"/>
      <c r="G42" s="127" t="s">
        <v>1022</v>
      </c>
      <c r="H42" s="107">
        <v>3500</v>
      </c>
    </row>
    <row r="43" spans="3:8">
      <c r="C43" s="731" t="s">
        <v>1587</v>
      </c>
      <c r="D43" s="731"/>
      <c r="E43" s="731"/>
      <c r="F43" s="731"/>
      <c r="G43" s="127" t="s">
        <v>1021</v>
      </c>
      <c r="H43" s="316">
        <v>600</v>
      </c>
    </row>
    <row r="44" spans="3:8">
      <c r="C44" s="731" t="s">
        <v>1588</v>
      </c>
      <c r="D44" s="731"/>
      <c r="E44" s="731"/>
      <c r="F44" s="731"/>
      <c r="G44" s="127" t="s">
        <v>1045</v>
      </c>
      <c r="H44" s="316">
        <v>4500</v>
      </c>
    </row>
    <row r="45" spans="3:8">
      <c r="C45" s="731" t="s">
        <v>1590</v>
      </c>
      <c r="D45" s="731"/>
      <c r="E45" s="731"/>
      <c r="F45" s="731"/>
      <c r="G45" s="107" t="s">
        <v>1044</v>
      </c>
      <c r="H45" s="107">
        <v>11900</v>
      </c>
    </row>
    <row r="46" spans="3:8">
      <c r="C46" s="731" t="s">
        <v>1589</v>
      </c>
      <c r="D46" s="731"/>
      <c r="E46" s="731"/>
      <c r="F46" s="731"/>
      <c r="G46" s="107" t="s">
        <v>523</v>
      </c>
      <c r="H46" s="107">
        <v>8550</v>
      </c>
    </row>
    <row r="47" spans="3:8">
      <c r="C47" s="731" t="s">
        <v>1591</v>
      </c>
      <c r="D47" s="731"/>
      <c r="E47" s="731"/>
      <c r="F47" s="731"/>
      <c r="G47" s="107" t="s">
        <v>1044</v>
      </c>
      <c r="H47" s="107">
        <v>18000</v>
      </c>
    </row>
    <row r="48" spans="3:8">
      <c r="C48" s="731" t="s">
        <v>1592</v>
      </c>
      <c r="D48" s="731"/>
      <c r="E48" s="731"/>
      <c r="F48" s="731"/>
      <c r="G48" s="107" t="s">
        <v>1021</v>
      </c>
      <c r="H48" s="107">
        <v>990</v>
      </c>
    </row>
    <row r="49" spans="3:8">
      <c r="C49" s="731" t="s">
        <v>1593</v>
      </c>
      <c r="D49" s="731"/>
      <c r="E49" s="731"/>
      <c r="F49" s="731"/>
      <c r="G49" s="107" t="s">
        <v>1053</v>
      </c>
      <c r="H49" s="107">
        <v>210000</v>
      </c>
    </row>
    <row r="50" spans="3:8">
      <c r="C50" s="731" t="s">
        <v>1594</v>
      </c>
      <c r="D50" s="731"/>
      <c r="E50" s="731"/>
      <c r="F50" s="731"/>
      <c r="G50" s="127" t="s">
        <v>1021</v>
      </c>
      <c r="H50" s="107">
        <v>15000</v>
      </c>
    </row>
    <row r="51" spans="3:8" ht="18" customHeight="1">
      <c r="C51" s="731" t="s">
        <v>1595</v>
      </c>
      <c r="D51" s="731"/>
      <c r="E51" s="731"/>
      <c r="F51" s="731"/>
      <c r="G51" s="127" t="s">
        <v>455</v>
      </c>
      <c r="H51" s="107">
        <v>300000</v>
      </c>
    </row>
    <row r="52" spans="3:8">
      <c r="C52" s="731" t="s">
        <v>1596</v>
      </c>
      <c r="D52" s="731"/>
      <c r="E52" s="731"/>
      <c r="F52" s="731"/>
      <c r="G52" s="127" t="s">
        <v>1021</v>
      </c>
      <c r="H52" s="107">
        <v>35000</v>
      </c>
    </row>
    <row r="53" spans="3:8">
      <c r="C53" s="731" t="s">
        <v>207</v>
      </c>
      <c r="D53" s="731"/>
      <c r="E53" s="731"/>
      <c r="F53" s="731"/>
      <c r="G53" s="127" t="s">
        <v>548</v>
      </c>
      <c r="H53" s="316">
        <v>6800</v>
      </c>
    </row>
    <row r="54" spans="3:8">
      <c r="C54" s="731" t="s">
        <v>1599</v>
      </c>
      <c r="D54" s="731"/>
      <c r="E54" s="731"/>
      <c r="F54" s="731"/>
      <c r="G54" s="127" t="s">
        <v>493</v>
      </c>
      <c r="H54" s="316">
        <v>70000</v>
      </c>
    </row>
    <row r="55" spans="3:8">
      <c r="C55" s="731" t="s">
        <v>173</v>
      </c>
      <c r="D55" s="731"/>
      <c r="E55" s="731"/>
      <c r="F55" s="731"/>
      <c r="G55" s="127" t="s">
        <v>493</v>
      </c>
      <c r="H55" s="316">
        <v>3000</v>
      </c>
    </row>
    <row r="56" spans="3:8" ht="15" customHeight="1">
      <c r="C56" s="731" t="s">
        <v>1598</v>
      </c>
      <c r="D56" s="731"/>
      <c r="E56" s="731"/>
      <c r="F56" s="731"/>
      <c r="G56" s="127" t="s">
        <v>157</v>
      </c>
      <c r="H56" s="316">
        <v>98500</v>
      </c>
    </row>
    <row r="57" spans="3:8">
      <c r="C57" s="731" t="s">
        <v>1597</v>
      </c>
      <c r="D57" s="731"/>
      <c r="E57" s="731"/>
      <c r="F57" s="731"/>
      <c r="G57" s="127" t="s">
        <v>548</v>
      </c>
      <c r="H57" s="316">
        <v>7000</v>
      </c>
    </row>
    <row r="58" spans="3:8">
      <c r="C58" s="731" t="s">
        <v>1600</v>
      </c>
      <c r="D58" s="731"/>
      <c r="E58" s="731"/>
      <c r="F58" s="731"/>
      <c r="G58" s="127" t="s">
        <v>157</v>
      </c>
      <c r="H58" s="316">
        <v>31320</v>
      </c>
    </row>
    <row r="59" spans="3:8">
      <c r="C59" s="731" t="s">
        <v>1133</v>
      </c>
      <c r="D59" s="731"/>
      <c r="E59" s="731"/>
      <c r="F59" s="731"/>
      <c r="G59" s="127" t="s">
        <v>406</v>
      </c>
      <c r="H59" s="316">
        <v>150000</v>
      </c>
    </row>
    <row r="60" spans="3:8">
      <c r="C60" s="731" t="s">
        <v>558</v>
      </c>
      <c r="D60" s="731"/>
      <c r="E60" s="731"/>
      <c r="F60" s="731"/>
      <c r="G60" s="127" t="s">
        <v>423</v>
      </c>
      <c r="H60" s="316">
        <v>3201</v>
      </c>
    </row>
    <row r="61" spans="3:8">
      <c r="C61" s="731" t="s">
        <v>1601</v>
      </c>
      <c r="D61" s="731"/>
      <c r="E61" s="731"/>
      <c r="F61" s="731"/>
      <c r="G61" s="127" t="s">
        <v>157</v>
      </c>
      <c r="H61" s="316">
        <v>7100</v>
      </c>
    </row>
    <row r="62" spans="3:8">
      <c r="C62" s="731" t="s">
        <v>573</v>
      </c>
      <c r="D62" s="731"/>
      <c r="E62" s="731"/>
      <c r="F62" s="731"/>
      <c r="G62" s="127" t="s">
        <v>423</v>
      </c>
      <c r="H62" s="316">
        <v>2300</v>
      </c>
    </row>
    <row r="63" spans="3:8">
      <c r="C63" s="731" t="s">
        <v>525</v>
      </c>
      <c r="D63" s="731"/>
      <c r="E63" s="731"/>
      <c r="F63" s="731"/>
      <c r="G63" s="127" t="s">
        <v>157</v>
      </c>
      <c r="H63" s="316">
        <v>184</v>
      </c>
    </row>
    <row r="64" spans="3:8">
      <c r="C64" s="731" t="s">
        <v>588</v>
      </c>
      <c r="D64" s="731"/>
      <c r="E64" s="731"/>
      <c r="F64" s="731"/>
      <c r="G64" s="127" t="s">
        <v>157</v>
      </c>
      <c r="H64" s="316">
        <v>1800</v>
      </c>
    </row>
    <row r="65" spans="3:8">
      <c r="C65" s="731" t="s">
        <v>591</v>
      </c>
      <c r="D65" s="731"/>
      <c r="E65" s="731"/>
      <c r="F65" s="731"/>
      <c r="G65" s="127" t="s">
        <v>423</v>
      </c>
      <c r="H65" s="107">
        <v>1020</v>
      </c>
    </row>
    <row r="66" spans="3:8">
      <c r="C66" s="731" t="s">
        <v>1602</v>
      </c>
      <c r="D66" s="731"/>
      <c r="E66" s="731"/>
      <c r="F66" s="731"/>
      <c r="G66" s="127" t="s">
        <v>423</v>
      </c>
      <c r="H66" s="107">
        <v>4100</v>
      </c>
    </row>
    <row r="67" spans="3:8">
      <c r="C67" s="731" t="s">
        <v>592</v>
      </c>
      <c r="D67" s="731"/>
      <c r="E67" s="731"/>
      <c r="F67" s="731"/>
      <c r="G67" s="127" t="s">
        <v>593</v>
      </c>
      <c r="H67" s="107">
        <v>36000</v>
      </c>
    </row>
    <row r="68" spans="3:8">
      <c r="C68" s="731" t="s">
        <v>594</v>
      </c>
      <c r="D68" s="731"/>
      <c r="E68" s="731"/>
      <c r="F68" s="731"/>
      <c r="G68" s="127" t="s">
        <v>455</v>
      </c>
      <c r="H68" s="107">
        <v>15900</v>
      </c>
    </row>
    <row r="69" spans="3:8">
      <c r="C69" s="731" t="s">
        <v>596</v>
      </c>
      <c r="D69" s="731"/>
      <c r="E69" s="731"/>
      <c r="F69" s="731"/>
      <c r="G69" s="127" t="s">
        <v>423</v>
      </c>
      <c r="H69" s="107">
        <v>720</v>
      </c>
    </row>
    <row r="70" spans="3:8">
      <c r="C70" s="731" t="s">
        <v>597</v>
      </c>
      <c r="D70" s="731"/>
      <c r="E70" s="731"/>
      <c r="F70" s="731"/>
      <c r="G70" s="127" t="s">
        <v>528</v>
      </c>
      <c r="H70" s="107">
        <v>850</v>
      </c>
    </row>
    <row r="71" spans="3:8">
      <c r="C71" s="731" t="s">
        <v>604</v>
      </c>
      <c r="D71" s="731" t="s">
        <v>77</v>
      </c>
      <c r="E71" s="731"/>
      <c r="F71" s="731"/>
      <c r="G71" s="127" t="s">
        <v>157</v>
      </c>
      <c r="H71" s="107">
        <v>7930</v>
      </c>
    </row>
    <row r="72" spans="3:8">
      <c r="C72" s="731" t="s">
        <v>605</v>
      </c>
      <c r="D72" s="731"/>
      <c r="E72" s="731"/>
      <c r="F72" s="731"/>
      <c r="G72" s="127" t="s">
        <v>423</v>
      </c>
      <c r="H72" s="107">
        <v>720</v>
      </c>
    </row>
    <row r="73" spans="3:8">
      <c r="C73" s="731" t="s">
        <v>607</v>
      </c>
      <c r="D73" s="731"/>
      <c r="E73" s="731"/>
      <c r="F73" s="731"/>
      <c r="G73" s="127" t="s">
        <v>470</v>
      </c>
      <c r="H73" s="107">
        <v>12229</v>
      </c>
    </row>
    <row r="74" spans="3:8">
      <c r="C74" s="731" t="s">
        <v>608</v>
      </c>
      <c r="D74" s="731"/>
      <c r="E74" s="731"/>
      <c r="F74" s="731"/>
      <c r="G74" s="127" t="s">
        <v>419</v>
      </c>
      <c r="H74" s="107">
        <v>3700</v>
      </c>
    </row>
    <row r="75" spans="3:8">
      <c r="C75" s="731" t="s">
        <v>609</v>
      </c>
      <c r="D75" s="731"/>
      <c r="E75" s="731"/>
      <c r="F75" s="731"/>
      <c r="G75" s="127" t="s">
        <v>493</v>
      </c>
      <c r="H75" s="107">
        <v>4800</v>
      </c>
    </row>
    <row r="76" spans="3:8">
      <c r="C76" s="731" t="s">
        <v>610</v>
      </c>
      <c r="D76" s="731"/>
      <c r="E76" s="731"/>
      <c r="F76" s="731"/>
      <c r="G76" s="127" t="s">
        <v>157</v>
      </c>
      <c r="H76" s="107">
        <v>160</v>
      </c>
    </row>
    <row r="77" spans="3:8">
      <c r="C77" s="731" t="s">
        <v>611</v>
      </c>
      <c r="D77" s="731"/>
      <c r="E77" s="731"/>
      <c r="F77" s="731"/>
      <c r="G77" s="127" t="s">
        <v>157</v>
      </c>
      <c r="H77" s="107">
        <v>26400</v>
      </c>
    </row>
    <row r="78" spans="3:8">
      <c r="C78" s="731" t="s">
        <v>612</v>
      </c>
      <c r="D78" s="731"/>
      <c r="E78" s="731"/>
      <c r="F78" s="731"/>
      <c r="G78" s="127" t="s">
        <v>548</v>
      </c>
      <c r="H78" s="107">
        <v>3136.64</v>
      </c>
    </row>
    <row r="79" spans="3:8">
      <c r="C79" s="731" t="s">
        <v>628</v>
      </c>
      <c r="D79" s="731"/>
      <c r="E79" s="731"/>
      <c r="F79" s="731"/>
      <c r="G79" s="127" t="s">
        <v>157</v>
      </c>
      <c r="H79" s="107">
        <v>43076.6</v>
      </c>
    </row>
    <row r="80" spans="3:8">
      <c r="C80" s="731" t="s">
        <v>629</v>
      </c>
      <c r="D80" s="731"/>
      <c r="E80" s="731"/>
      <c r="F80" s="731"/>
      <c r="G80" s="127" t="s">
        <v>528</v>
      </c>
      <c r="H80" s="107">
        <v>850</v>
      </c>
    </row>
    <row r="81" spans="3:8">
      <c r="C81" s="731" t="s">
        <v>630</v>
      </c>
      <c r="D81" s="731"/>
      <c r="E81" s="731"/>
      <c r="F81" s="731"/>
      <c r="G81" s="127" t="s">
        <v>455</v>
      </c>
      <c r="H81" s="107">
        <v>24000</v>
      </c>
    </row>
    <row r="82" spans="3:8">
      <c r="C82" s="731" t="s">
        <v>529</v>
      </c>
      <c r="D82" s="731"/>
      <c r="E82" s="731"/>
      <c r="F82" s="731"/>
      <c r="G82" s="127" t="s">
        <v>474</v>
      </c>
      <c r="H82" s="107">
        <v>37862.400000000001</v>
      </c>
    </row>
    <row r="83" spans="3:8" ht="25.5" customHeight="1">
      <c r="C83" s="731" t="s">
        <v>631</v>
      </c>
      <c r="D83" s="731"/>
      <c r="E83" s="731"/>
      <c r="F83" s="731"/>
      <c r="G83" s="127" t="s">
        <v>530</v>
      </c>
      <c r="H83" s="256">
        <v>37500</v>
      </c>
    </row>
    <row r="84" spans="3:8">
      <c r="C84" s="731" t="s">
        <v>634</v>
      </c>
      <c r="D84" s="731"/>
      <c r="E84" s="731"/>
      <c r="F84" s="731"/>
      <c r="G84" s="127" t="s">
        <v>423</v>
      </c>
      <c r="H84" s="107">
        <v>6199.04</v>
      </c>
    </row>
    <row r="85" spans="3:8">
      <c r="C85" s="731" t="s">
        <v>635</v>
      </c>
      <c r="D85" s="731"/>
      <c r="E85" s="731"/>
      <c r="F85" s="731"/>
      <c r="G85" s="127" t="s">
        <v>157</v>
      </c>
      <c r="H85" s="107">
        <v>8950</v>
      </c>
    </row>
    <row r="86" spans="3:8">
      <c r="C86" s="731" t="s">
        <v>636</v>
      </c>
      <c r="D86" s="731"/>
      <c r="E86" s="731"/>
      <c r="F86" s="731"/>
      <c r="G86" s="127" t="s">
        <v>637</v>
      </c>
      <c r="H86" s="107">
        <v>6364</v>
      </c>
    </row>
    <row r="87" spans="3:8">
      <c r="C87" s="731" t="s">
        <v>639</v>
      </c>
      <c r="D87" s="731"/>
      <c r="E87" s="731"/>
      <c r="F87" s="731"/>
      <c r="G87" s="127" t="s">
        <v>640</v>
      </c>
      <c r="H87" s="107">
        <v>3480</v>
      </c>
    </row>
    <row r="88" spans="3:8">
      <c r="C88" s="731" t="s">
        <v>647</v>
      </c>
      <c r="D88" s="731"/>
      <c r="E88" s="731"/>
      <c r="F88" s="731"/>
      <c r="G88" s="127" t="s">
        <v>648</v>
      </c>
      <c r="H88" s="107">
        <v>46108</v>
      </c>
    </row>
    <row r="89" spans="3:8">
      <c r="C89" s="731" t="s">
        <v>649</v>
      </c>
      <c r="D89" s="731"/>
      <c r="E89" s="731"/>
      <c r="F89" s="731"/>
      <c r="G89" s="127" t="s">
        <v>474</v>
      </c>
      <c r="H89" s="107">
        <v>16500</v>
      </c>
    </row>
    <row r="90" spans="3:8">
      <c r="C90" s="731" t="s">
        <v>652</v>
      </c>
      <c r="D90" s="731"/>
      <c r="E90" s="731"/>
      <c r="F90" s="731"/>
      <c r="G90" s="127" t="s">
        <v>157</v>
      </c>
      <c r="H90" s="316">
        <v>5000</v>
      </c>
    </row>
    <row r="91" spans="3:8">
      <c r="C91" s="731" t="s">
        <v>654</v>
      </c>
      <c r="D91" s="731"/>
      <c r="E91" s="731"/>
      <c r="F91" s="731"/>
      <c r="G91" s="127" t="s">
        <v>157</v>
      </c>
      <c r="H91" s="107">
        <v>72000</v>
      </c>
    </row>
    <row r="92" spans="3:8">
      <c r="C92" s="731" t="s">
        <v>655</v>
      </c>
      <c r="D92" s="731"/>
      <c r="E92" s="731"/>
      <c r="F92" s="731"/>
      <c r="G92" s="127" t="s">
        <v>157</v>
      </c>
      <c r="H92" s="107">
        <v>500</v>
      </c>
    </row>
    <row r="93" spans="3:8">
      <c r="C93" s="731" t="s">
        <v>657</v>
      </c>
      <c r="D93" s="731"/>
      <c r="E93" s="731"/>
      <c r="F93" s="731"/>
      <c r="G93" s="127" t="s">
        <v>157</v>
      </c>
      <c r="H93" s="316">
        <v>13350</v>
      </c>
    </row>
    <row r="94" spans="3:8">
      <c r="C94" s="731" t="s">
        <v>659</v>
      </c>
      <c r="D94" s="731"/>
      <c r="E94" s="731"/>
      <c r="F94" s="731"/>
      <c r="G94" s="127" t="s">
        <v>157</v>
      </c>
      <c r="H94" s="107">
        <v>18600</v>
      </c>
    </row>
    <row r="95" spans="3:8">
      <c r="C95" s="731" t="s">
        <v>661</v>
      </c>
      <c r="D95" s="731"/>
      <c r="E95" s="731"/>
      <c r="F95" s="731"/>
      <c r="G95" s="127" t="s">
        <v>157</v>
      </c>
      <c r="H95" s="107">
        <v>7500</v>
      </c>
    </row>
    <row r="96" spans="3:8">
      <c r="C96" s="731" t="s">
        <v>663</v>
      </c>
      <c r="D96" s="731"/>
      <c r="E96" s="731"/>
      <c r="F96" s="731"/>
      <c r="G96" s="127" t="s">
        <v>474</v>
      </c>
      <c r="H96" s="107">
        <v>4850</v>
      </c>
    </row>
    <row r="97" spans="3:8">
      <c r="C97" s="731" t="s">
        <v>664</v>
      </c>
      <c r="D97" s="731"/>
      <c r="E97" s="731"/>
      <c r="F97" s="731"/>
      <c r="G97" s="127" t="s">
        <v>593</v>
      </c>
      <c r="H97" s="107">
        <v>3206</v>
      </c>
    </row>
    <row r="98" spans="3:8">
      <c r="C98" s="731" t="s">
        <v>1603</v>
      </c>
      <c r="D98" s="731"/>
      <c r="E98" s="731"/>
      <c r="F98" s="731"/>
      <c r="G98" s="127" t="s">
        <v>157</v>
      </c>
      <c r="H98" s="107">
        <v>1400</v>
      </c>
    </row>
    <row r="99" spans="3:8">
      <c r="C99" s="731" t="s">
        <v>666</v>
      </c>
      <c r="D99" s="731"/>
      <c r="E99" s="731"/>
      <c r="F99" s="731"/>
      <c r="G99" s="127" t="s">
        <v>593</v>
      </c>
      <c r="H99" s="107">
        <v>2800</v>
      </c>
    </row>
    <row r="100" spans="3:8">
      <c r="C100" s="731" t="s">
        <v>667</v>
      </c>
      <c r="D100" s="731"/>
      <c r="E100" s="731"/>
      <c r="F100" s="731"/>
      <c r="G100" s="127" t="s">
        <v>493</v>
      </c>
      <c r="H100" s="107">
        <v>7000</v>
      </c>
    </row>
    <row r="101" spans="3:8">
      <c r="C101" s="731" t="s">
        <v>668</v>
      </c>
      <c r="D101" s="731"/>
      <c r="E101" s="731"/>
      <c r="F101" s="731"/>
      <c r="G101" s="127" t="s">
        <v>669</v>
      </c>
      <c r="H101" s="107">
        <v>48600</v>
      </c>
    </row>
    <row r="102" spans="3:8">
      <c r="C102" s="731" t="s">
        <v>670</v>
      </c>
      <c r="D102" s="731"/>
      <c r="E102" s="731"/>
      <c r="F102" s="731"/>
      <c r="G102" s="127" t="s">
        <v>474</v>
      </c>
      <c r="H102" s="107">
        <v>14000</v>
      </c>
    </row>
    <row r="103" spans="3:8">
      <c r="C103" s="731" t="s">
        <v>672</v>
      </c>
      <c r="D103" s="731"/>
      <c r="E103" s="731"/>
      <c r="F103" s="731"/>
      <c r="G103" s="127" t="s">
        <v>157</v>
      </c>
      <c r="H103" s="107">
        <v>63800</v>
      </c>
    </row>
    <row r="104" spans="3:8">
      <c r="C104" s="731" t="s">
        <v>674</v>
      </c>
      <c r="D104" s="731"/>
      <c r="E104" s="731"/>
      <c r="F104" s="731"/>
      <c r="G104" s="127" t="s">
        <v>423</v>
      </c>
      <c r="H104" s="107">
        <v>900</v>
      </c>
    </row>
    <row r="105" spans="3:8">
      <c r="C105" s="731" t="s">
        <v>675</v>
      </c>
      <c r="D105" s="731"/>
      <c r="E105" s="731"/>
      <c r="F105" s="731"/>
      <c r="G105" s="127" t="s">
        <v>676</v>
      </c>
      <c r="H105" s="107">
        <v>279900</v>
      </c>
    </row>
    <row r="106" spans="3:8">
      <c r="C106" s="731" t="s">
        <v>677</v>
      </c>
      <c r="D106" s="731"/>
      <c r="E106" s="731"/>
      <c r="F106" s="731"/>
      <c r="G106" s="127" t="s">
        <v>157</v>
      </c>
      <c r="H106" s="107">
        <v>2500</v>
      </c>
    </row>
    <row r="107" spans="3:8">
      <c r="C107" s="731" t="s">
        <v>679</v>
      </c>
      <c r="D107" s="731"/>
      <c r="E107" s="731"/>
      <c r="F107" s="731"/>
      <c r="G107" s="127" t="s">
        <v>157</v>
      </c>
      <c r="H107" s="107">
        <v>148000</v>
      </c>
    </row>
    <row r="108" spans="3:8" ht="24" customHeight="1">
      <c r="C108" s="731" t="s">
        <v>681</v>
      </c>
      <c r="D108" s="731"/>
      <c r="E108" s="731"/>
      <c r="F108" s="731"/>
      <c r="G108" s="127" t="s">
        <v>157</v>
      </c>
      <c r="H108" s="107">
        <v>125300</v>
      </c>
    </row>
    <row r="109" spans="3:8">
      <c r="C109" s="731" t="s">
        <v>685</v>
      </c>
      <c r="D109" s="731"/>
      <c r="E109" s="731"/>
      <c r="F109" s="731"/>
      <c r="G109" s="127" t="s">
        <v>423</v>
      </c>
      <c r="H109" s="107">
        <v>468</v>
      </c>
    </row>
    <row r="110" spans="3:8">
      <c r="C110" s="731" t="s">
        <v>1604</v>
      </c>
      <c r="D110" s="731"/>
      <c r="E110" s="731"/>
      <c r="F110" s="731"/>
      <c r="G110" s="127" t="s">
        <v>157</v>
      </c>
      <c r="H110" s="107">
        <v>10200</v>
      </c>
    </row>
    <row r="111" spans="3:8">
      <c r="C111" s="731" t="s">
        <v>806</v>
      </c>
      <c r="D111" s="731"/>
      <c r="E111" s="731"/>
      <c r="F111" s="731"/>
      <c r="G111" s="127" t="s">
        <v>157</v>
      </c>
      <c r="H111" s="316">
        <v>242000</v>
      </c>
    </row>
    <row r="112" spans="3:8">
      <c r="C112" s="731" t="s">
        <v>35</v>
      </c>
      <c r="D112" s="731"/>
      <c r="E112" s="731"/>
      <c r="F112" s="731"/>
      <c r="G112" s="127" t="s">
        <v>157</v>
      </c>
      <c r="H112" s="316">
        <v>350000</v>
      </c>
    </row>
    <row r="113" spans="3:8">
      <c r="C113" s="733" t="s">
        <v>85</v>
      </c>
      <c r="D113" s="733"/>
      <c r="E113" s="733"/>
      <c r="F113" s="733"/>
      <c r="G113" s="127" t="s">
        <v>157</v>
      </c>
      <c r="H113" s="316">
        <v>150000</v>
      </c>
    </row>
    <row r="114" spans="3:8">
      <c r="C114" s="733" t="s">
        <v>620</v>
      </c>
      <c r="D114" s="733"/>
      <c r="E114" s="733"/>
      <c r="F114" s="733"/>
      <c r="G114" s="127" t="s">
        <v>157</v>
      </c>
      <c r="H114" s="107">
        <v>353</v>
      </c>
    </row>
    <row r="115" spans="3:8">
      <c r="C115" s="733" t="s">
        <v>621</v>
      </c>
      <c r="D115" s="733"/>
      <c r="E115" s="733"/>
      <c r="F115" s="733"/>
      <c r="G115" s="127" t="s">
        <v>157</v>
      </c>
      <c r="H115" s="107">
        <v>14050</v>
      </c>
    </row>
    <row r="116" spans="3:8">
      <c r="C116" s="733" t="s">
        <v>542</v>
      </c>
      <c r="D116" s="733"/>
      <c r="E116" s="733"/>
      <c r="F116" s="733"/>
      <c r="G116" s="127" t="s">
        <v>157</v>
      </c>
      <c r="H116" s="107">
        <v>353</v>
      </c>
    </row>
    <row r="117" spans="3:8" ht="16.5" customHeight="1">
      <c r="C117" s="734" t="s">
        <v>623</v>
      </c>
      <c r="D117" s="734"/>
      <c r="E117" s="734"/>
      <c r="F117" s="734"/>
      <c r="G117" s="127" t="s">
        <v>423</v>
      </c>
      <c r="H117" s="107">
        <v>12500</v>
      </c>
    </row>
    <row r="118" spans="3:8" ht="27" customHeight="1">
      <c r="C118" s="734" t="s">
        <v>624</v>
      </c>
      <c r="D118" s="734"/>
      <c r="E118" s="734"/>
      <c r="F118" s="734"/>
      <c r="G118" s="127" t="s">
        <v>157</v>
      </c>
      <c r="H118" s="107">
        <v>17400</v>
      </c>
    </row>
    <row r="119" spans="3:8">
      <c r="C119" s="734" t="s">
        <v>562</v>
      </c>
      <c r="D119" s="734"/>
      <c r="E119" s="734"/>
      <c r="F119" s="734"/>
      <c r="G119" s="127" t="s">
        <v>157</v>
      </c>
      <c r="H119" s="107">
        <v>1779.44</v>
      </c>
    </row>
    <row r="120" spans="3:8">
      <c r="C120" s="734" t="s">
        <v>563</v>
      </c>
      <c r="D120" s="734"/>
      <c r="E120" s="734"/>
      <c r="F120" s="734"/>
      <c r="G120" s="127" t="s">
        <v>157</v>
      </c>
      <c r="H120" s="107">
        <v>48100</v>
      </c>
    </row>
    <row r="121" spans="3:8">
      <c r="C121" s="734" t="s">
        <v>564</v>
      </c>
      <c r="D121" s="734"/>
      <c r="E121" s="734"/>
      <c r="F121" s="734"/>
      <c r="G121" s="127" t="s">
        <v>493</v>
      </c>
      <c r="H121" s="107">
        <v>7403.12</v>
      </c>
    </row>
    <row r="122" spans="3:8">
      <c r="C122" s="734" t="s">
        <v>566</v>
      </c>
      <c r="D122" s="734"/>
      <c r="E122" s="734"/>
      <c r="F122" s="734"/>
      <c r="G122" s="127" t="s">
        <v>157</v>
      </c>
      <c r="H122" s="107">
        <v>23195</v>
      </c>
    </row>
    <row r="123" spans="3:8">
      <c r="C123" s="734" t="s">
        <v>567</v>
      </c>
      <c r="D123" s="734"/>
      <c r="E123" s="734"/>
      <c r="F123" s="734"/>
      <c r="G123" s="127" t="s">
        <v>157</v>
      </c>
      <c r="H123" s="107">
        <v>4122.6400000000003</v>
      </c>
    </row>
    <row r="124" spans="3:8">
      <c r="C124" s="734" t="s">
        <v>568</v>
      </c>
      <c r="D124" s="734"/>
      <c r="E124" s="734"/>
      <c r="F124" s="734"/>
      <c r="G124" s="127" t="s">
        <v>493</v>
      </c>
      <c r="H124" s="316">
        <v>11057.12</v>
      </c>
    </row>
    <row r="125" spans="3:8">
      <c r="C125" s="734" t="s">
        <v>569</v>
      </c>
      <c r="D125" s="734"/>
      <c r="E125" s="734"/>
      <c r="F125" s="734"/>
      <c r="G125" s="127" t="s">
        <v>157</v>
      </c>
      <c r="H125" s="317">
        <v>7102.68</v>
      </c>
    </row>
    <row r="126" spans="3:8">
      <c r="C126" s="734" t="s">
        <v>570</v>
      </c>
      <c r="D126" s="734"/>
      <c r="E126" s="734"/>
      <c r="F126" s="734"/>
      <c r="G126" s="127" t="s">
        <v>493</v>
      </c>
      <c r="H126" s="316">
        <v>15409.44</v>
      </c>
    </row>
    <row r="127" spans="3:8">
      <c r="C127" s="734" t="s">
        <v>1207</v>
      </c>
      <c r="D127" s="734"/>
      <c r="E127" s="734"/>
      <c r="F127" s="734"/>
      <c r="G127" s="127" t="s">
        <v>157</v>
      </c>
      <c r="H127" s="316">
        <v>9795.6</v>
      </c>
    </row>
    <row r="128" spans="3:8">
      <c r="C128" s="734" t="s">
        <v>732</v>
      </c>
      <c r="D128" s="734"/>
      <c r="E128" s="734"/>
      <c r="F128" s="734"/>
      <c r="G128" s="127" t="s">
        <v>157</v>
      </c>
      <c r="H128" s="287">
        <f>65646*1.2</f>
        <v>78775.199999999997</v>
      </c>
    </row>
    <row r="129" spans="3:8">
      <c r="C129" s="734" t="s">
        <v>1211</v>
      </c>
      <c r="D129" s="734"/>
      <c r="E129" s="734"/>
      <c r="F129" s="734"/>
      <c r="G129" s="127" t="s">
        <v>157</v>
      </c>
      <c r="H129" s="316">
        <v>30973</v>
      </c>
    </row>
    <row r="130" spans="3:8">
      <c r="C130" s="734" t="s">
        <v>1210</v>
      </c>
      <c r="D130" s="734"/>
      <c r="E130" s="734"/>
      <c r="F130" s="734"/>
      <c r="G130" s="127" t="s">
        <v>157</v>
      </c>
      <c r="H130" s="316">
        <v>65894</v>
      </c>
    </row>
    <row r="131" spans="3:8">
      <c r="C131" s="734" t="s">
        <v>1213</v>
      </c>
      <c r="D131" s="734"/>
      <c r="E131" s="734"/>
      <c r="F131" s="734"/>
      <c r="G131" s="127" t="s">
        <v>157</v>
      </c>
      <c r="H131" s="316">
        <v>1252.8</v>
      </c>
    </row>
    <row r="132" spans="3:8">
      <c r="C132" s="734" t="s">
        <v>575</v>
      </c>
      <c r="D132" s="734"/>
      <c r="E132" s="734"/>
      <c r="F132" s="734"/>
      <c r="G132" s="127" t="s">
        <v>157</v>
      </c>
      <c r="H132" s="287">
        <v>345.68</v>
      </c>
    </row>
    <row r="133" spans="3:8">
      <c r="C133" s="734" t="s">
        <v>576</v>
      </c>
      <c r="D133" s="734"/>
      <c r="E133" s="734"/>
      <c r="F133" s="734"/>
      <c r="G133" s="127" t="s">
        <v>423</v>
      </c>
      <c r="H133" s="287">
        <v>3499.72</v>
      </c>
    </row>
    <row r="134" spans="3:8">
      <c r="C134" s="734" t="s">
        <v>577</v>
      </c>
      <c r="D134" s="734"/>
      <c r="E134" s="734"/>
      <c r="F134" s="734"/>
      <c r="G134" s="127" t="s">
        <v>157</v>
      </c>
      <c r="H134" s="287">
        <v>1600</v>
      </c>
    </row>
    <row r="135" spans="3:8">
      <c r="C135" s="734" t="s">
        <v>578</v>
      </c>
      <c r="D135" s="734"/>
      <c r="E135" s="734"/>
      <c r="F135" s="734"/>
      <c r="G135" s="127" t="s">
        <v>493</v>
      </c>
      <c r="H135" s="287">
        <v>2148.3200000000002</v>
      </c>
    </row>
    <row r="136" spans="3:8">
      <c r="C136" s="734" t="s">
        <v>579</v>
      </c>
      <c r="D136" s="734"/>
      <c r="E136" s="734"/>
      <c r="F136" s="734"/>
      <c r="G136" s="127" t="s">
        <v>426</v>
      </c>
      <c r="H136" s="287">
        <v>230.84</v>
      </c>
    </row>
    <row r="137" spans="3:8">
      <c r="C137" s="734" t="s">
        <v>580</v>
      </c>
      <c r="D137" s="734"/>
      <c r="E137" s="734"/>
      <c r="F137" s="734"/>
      <c r="G137" s="127" t="s">
        <v>157</v>
      </c>
      <c r="H137" s="287">
        <v>500</v>
      </c>
    </row>
    <row r="138" spans="3:8">
      <c r="C138" s="734" t="s">
        <v>583</v>
      </c>
      <c r="D138" s="734"/>
      <c r="E138" s="734"/>
      <c r="F138" s="734"/>
      <c r="G138" s="127" t="s">
        <v>157</v>
      </c>
      <c r="H138" s="287">
        <v>14500</v>
      </c>
    </row>
    <row r="139" spans="3:8">
      <c r="C139" s="734" t="s">
        <v>584</v>
      </c>
      <c r="D139" s="734"/>
      <c r="E139" s="734"/>
      <c r="F139" s="734"/>
      <c r="G139" s="127" t="s">
        <v>157</v>
      </c>
      <c r="H139" s="287">
        <v>950</v>
      </c>
    </row>
    <row r="140" spans="3:8">
      <c r="C140" s="734" t="s">
        <v>1215</v>
      </c>
      <c r="D140" s="734"/>
      <c r="E140" s="734"/>
      <c r="F140" s="734"/>
      <c r="G140" s="127" t="s">
        <v>157</v>
      </c>
      <c r="H140" s="287">
        <f>23577*1.2</f>
        <v>28292.399999999998</v>
      </c>
    </row>
    <row r="141" spans="3:8">
      <c r="C141" s="734" t="s">
        <v>584</v>
      </c>
      <c r="D141" s="734"/>
      <c r="E141" s="734"/>
      <c r="F141" s="734"/>
      <c r="G141" s="127" t="s">
        <v>157</v>
      </c>
      <c r="H141" s="287">
        <v>950</v>
      </c>
    </row>
    <row r="142" spans="3:8">
      <c r="C142" s="734" t="s">
        <v>986</v>
      </c>
      <c r="D142" s="734"/>
      <c r="E142" s="734"/>
      <c r="F142" s="734"/>
      <c r="G142" s="127" t="s">
        <v>157</v>
      </c>
      <c r="H142" s="113">
        <v>15750</v>
      </c>
    </row>
    <row r="143" spans="3:8" ht="27" customHeight="1">
      <c r="C143" s="734" t="s">
        <v>988</v>
      </c>
      <c r="D143" s="734"/>
      <c r="E143" s="734"/>
      <c r="F143" s="734"/>
      <c r="G143" s="127" t="s">
        <v>157</v>
      </c>
      <c r="H143" s="318">
        <f>523*1.2</f>
        <v>627.6</v>
      </c>
    </row>
    <row r="144" spans="3:8">
      <c r="C144" s="734" t="s">
        <v>245</v>
      </c>
      <c r="D144" s="734"/>
      <c r="E144" s="734"/>
      <c r="F144" s="734"/>
      <c r="G144" s="127" t="s">
        <v>157</v>
      </c>
      <c r="H144" s="113">
        <v>9795.6</v>
      </c>
    </row>
    <row r="145" spans="3:8">
      <c r="C145" s="734" t="s">
        <v>51</v>
      </c>
      <c r="D145" s="734"/>
      <c r="E145" s="734"/>
      <c r="F145" s="734"/>
      <c r="G145" s="127" t="s">
        <v>157</v>
      </c>
      <c r="H145" s="287">
        <v>122500</v>
      </c>
    </row>
    <row r="146" spans="3:8">
      <c r="C146" s="734" t="s">
        <v>733</v>
      </c>
      <c r="D146" s="734"/>
      <c r="E146" s="734"/>
      <c r="F146" s="734"/>
      <c r="G146" s="127" t="s">
        <v>157</v>
      </c>
      <c r="H146" s="113">
        <v>62750</v>
      </c>
    </row>
    <row r="147" spans="3:8">
      <c r="C147" s="734" t="s">
        <v>734</v>
      </c>
      <c r="D147" s="734"/>
      <c r="E147" s="734"/>
      <c r="F147" s="734"/>
      <c r="G147" s="127" t="s">
        <v>157</v>
      </c>
      <c r="H147" s="113">
        <v>946560</v>
      </c>
    </row>
    <row r="148" spans="3:8" ht="31.5" customHeight="1">
      <c r="C148" s="734" t="s">
        <v>243</v>
      </c>
      <c r="D148" s="734"/>
      <c r="E148" s="734"/>
      <c r="F148" s="734"/>
      <c r="G148" s="127" t="s">
        <v>157</v>
      </c>
      <c r="H148" s="287">
        <f>3400000*1.2*1.16</f>
        <v>4732800</v>
      </c>
    </row>
    <row r="149" spans="3:8" ht="31.5" customHeight="1">
      <c r="C149" s="734" t="s">
        <v>166</v>
      </c>
      <c r="D149" s="734"/>
      <c r="E149" s="734"/>
      <c r="F149" s="734"/>
      <c r="G149" s="127" t="s">
        <v>157</v>
      </c>
      <c r="H149" s="113">
        <v>527800</v>
      </c>
    </row>
    <row r="150" spans="3:8">
      <c r="C150" s="734" t="s">
        <v>735</v>
      </c>
      <c r="D150" s="734"/>
      <c r="E150" s="734"/>
      <c r="F150" s="734"/>
      <c r="G150" s="127" t="s">
        <v>157</v>
      </c>
      <c r="H150" s="287">
        <f>185000*1.16*1.2/3</f>
        <v>85839.999999999985</v>
      </c>
    </row>
    <row r="151" spans="3:8">
      <c r="C151" s="312" t="s">
        <v>1605</v>
      </c>
      <c r="D151" s="312"/>
      <c r="E151" s="312"/>
      <c r="F151" s="312"/>
      <c r="G151" s="127" t="s">
        <v>157</v>
      </c>
      <c r="H151" s="113">
        <v>633360</v>
      </c>
    </row>
    <row r="152" spans="3:8">
      <c r="C152" s="731" t="s">
        <v>736</v>
      </c>
      <c r="D152" s="731"/>
      <c r="E152" s="731"/>
      <c r="F152" s="731"/>
      <c r="G152" s="127" t="s">
        <v>157</v>
      </c>
      <c r="H152" s="113">
        <v>1179024</v>
      </c>
    </row>
    <row r="153" spans="3:8" ht="17.25" customHeight="1">
      <c r="C153" s="731" t="s">
        <v>521</v>
      </c>
      <c r="D153" s="731"/>
      <c r="E153" s="731"/>
      <c r="F153" s="731"/>
      <c r="G153" s="127" t="s">
        <v>157</v>
      </c>
      <c r="H153" s="113">
        <v>254040</v>
      </c>
    </row>
    <row r="154" spans="3:8" ht="15" customHeight="1">
      <c r="C154" s="735" t="s">
        <v>162</v>
      </c>
      <c r="D154" s="736"/>
      <c r="E154" s="736"/>
      <c r="F154" s="737"/>
      <c r="G154" s="127" t="s">
        <v>157</v>
      </c>
      <c r="H154" s="113">
        <v>3786240</v>
      </c>
    </row>
    <row r="155" spans="3:8">
      <c r="C155" s="731" t="s">
        <v>1606</v>
      </c>
      <c r="D155" s="731"/>
      <c r="E155" s="731"/>
      <c r="F155" s="731"/>
      <c r="G155" s="127" t="s">
        <v>157</v>
      </c>
      <c r="H155" s="113">
        <v>6500</v>
      </c>
    </row>
    <row r="156" spans="3:8">
      <c r="C156" s="731" t="s">
        <v>1607</v>
      </c>
      <c r="D156" s="731"/>
      <c r="E156" s="731"/>
      <c r="F156" s="731"/>
      <c r="G156" s="127" t="s">
        <v>493</v>
      </c>
      <c r="H156" s="113">
        <v>7344</v>
      </c>
    </row>
    <row r="157" spans="3:8">
      <c r="C157" s="731" t="s">
        <v>1608</v>
      </c>
      <c r="D157" s="731"/>
      <c r="E157" s="731"/>
      <c r="F157" s="731"/>
      <c r="G157" s="127" t="s">
        <v>493</v>
      </c>
      <c r="H157" s="319">
        <v>41595</v>
      </c>
    </row>
    <row r="158" spans="3:8">
      <c r="C158" s="731" t="s">
        <v>1609</v>
      </c>
      <c r="D158" s="731"/>
      <c r="E158" s="731"/>
      <c r="F158" s="731"/>
      <c r="G158" s="127" t="s">
        <v>493</v>
      </c>
      <c r="H158" s="113">
        <v>76244.399999999994</v>
      </c>
    </row>
    <row r="159" spans="3:8">
      <c r="C159" s="731" t="s">
        <v>361</v>
      </c>
      <c r="D159" s="731"/>
      <c r="E159" s="731"/>
      <c r="F159" s="731"/>
      <c r="G159" s="127" t="s">
        <v>157</v>
      </c>
      <c r="H159" s="113">
        <v>8780.4</v>
      </c>
    </row>
    <row r="160" spans="3:8">
      <c r="C160" s="731" t="s">
        <v>360</v>
      </c>
      <c r="D160" s="731"/>
      <c r="E160" s="731"/>
      <c r="F160" s="731"/>
      <c r="G160" s="127" t="s">
        <v>157</v>
      </c>
      <c r="H160" s="287">
        <f>1997*1.2</f>
        <v>2396.4</v>
      </c>
    </row>
    <row r="161" spans="3:8">
      <c r="C161" s="731" t="s">
        <v>359</v>
      </c>
      <c r="D161" s="731"/>
      <c r="E161" s="731"/>
      <c r="F161" s="731"/>
      <c r="G161" s="127" t="s">
        <v>157</v>
      </c>
      <c r="H161" s="113">
        <v>1494</v>
      </c>
    </row>
    <row r="162" spans="3:8">
      <c r="C162" s="731" t="s">
        <v>771</v>
      </c>
      <c r="D162" s="731"/>
      <c r="E162" s="731"/>
      <c r="F162" s="731"/>
      <c r="G162" s="127" t="s">
        <v>157</v>
      </c>
      <c r="H162" s="113">
        <v>5818</v>
      </c>
    </row>
    <row r="163" spans="3:8">
      <c r="C163" s="731" t="s">
        <v>773</v>
      </c>
      <c r="D163" s="731"/>
      <c r="E163" s="731"/>
      <c r="F163" s="731"/>
      <c r="G163" s="127" t="s">
        <v>157</v>
      </c>
      <c r="H163" s="113">
        <v>2072.4</v>
      </c>
    </row>
    <row r="164" spans="3:8">
      <c r="C164" s="731" t="s">
        <v>774</v>
      </c>
      <c r="D164" s="731"/>
      <c r="E164" s="731"/>
      <c r="F164" s="731"/>
      <c r="G164" s="127" t="s">
        <v>157</v>
      </c>
      <c r="H164" s="287">
        <f>5870*1.2</f>
        <v>7044</v>
      </c>
    </row>
    <row r="165" spans="3:8">
      <c r="C165" s="731" t="s">
        <v>775</v>
      </c>
      <c r="D165" s="731"/>
      <c r="E165" s="731"/>
      <c r="F165" s="731"/>
      <c r="G165" s="127" t="s">
        <v>157</v>
      </c>
      <c r="H165" s="287">
        <v>1966.8</v>
      </c>
    </row>
    <row r="166" spans="3:8">
      <c r="C166" s="731" t="s">
        <v>777</v>
      </c>
      <c r="D166" s="731"/>
      <c r="E166" s="731"/>
      <c r="F166" s="731"/>
      <c r="G166" s="127" t="s">
        <v>157</v>
      </c>
      <c r="H166" s="113">
        <v>41871.599999999999</v>
      </c>
    </row>
    <row r="167" spans="3:8">
      <c r="C167" s="731" t="s">
        <v>1062</v>
      </c>
      <c r="D167" s="731"/>
      <c r="E167" s="731"/>
      <c r="F167" s="731"/>
      <c r="G167" s="127" t="s">
        <v>157</v>
      </c>
      <c r="H167" s="113">
        <v>77246.399999999994</v>
      </c>
    </row>
    <row r="168" spans="3:8">
      <c r="C168" s="731" t="s">
        <v>211</v>
      </c>
      <c r="D168" s="731"/>
      <c r="E168" s="731"/>
      <c r="F168" s="731"/>
      <c r="G168" s="313" t="s">
        <v>157</v>
      </c>
      <c r="H168" s="113">
        <v>770400</v>
      </c>
    </row>
    <row r="169" spans="3:8">
      <c r="C169" s="731" t="s">
        <v>212</v>
      </c>
      <c r="D169" s="731"/>
      <c r="E169" s="731"/>
      <c r="F169" s="731"/>
      <c r="G169" s="127" t="s">
        <v>157</v>
      </c>
      <c r="H169" s="287">
        <f>173548*1.2</f>
        <v>208257.6</v>
      </c>
    </row>
    <row r="170" spans="3:8">
      <c r="C170" s="731" t="s">
        <v>213</v>
      </c>
      <c r="D170" s="731"/>
      <c r="E170" s="731"/>
      <c r="F170" s="731"/>
      <c r="G170" s="127" t="s">
        <v>157</v>
      </c>
      <c r="H170" s="320">
        <v>7333.2</v>
      </c>
    </row>
    <row r="171" spans="3:8">
      <c r="C171" s="733" t="s">
        <v>1610</v>
      </c>
      <c r="D171" s="733"/>
      <c r="E171" s="733"/>
      <c r="F171" s="733"/>
      <c r="G171" s="127" t="s">
        <v>157</v>
      </c>
      <c r="H171" s="113">
        <v>4168.8</v>
      </c>
    </row>
    <row r="172" spans="3:8">
      <c r="C172" s="733" t="s">
        <v>534</v>
      </c>
      <c r="D172" s="733"/>
      <c r="E172" s="733"/>
      <c r="F172" s="733"/>
      <c r="G172" s="127" t="s">
        <v>157</v>
      </c>
      <c r="H172" s="113">
        <v>56950</v>
      </c>
    </row>
    <row r="173" spans="3:8">
      <c r="C173" s="733" t="s">
        <v>538</v>
      </c>
      <c r="D173" s="733"/>
      <c r="E173" s="733"/>
      <c r="F173" s="733"/>
      <c r="G173" s="127" t="s">
        <v>493</v>
      </c>
      <c r="H173" s="113">
        <v>19643</v>
      </c>
    </row>
    <row r="174" spans="3:8">
      <c r="C174" s="733" t="s">
        <v>1126</v>
      </c>
      <c r="D174" s="733"/>
      <c r="E174" s="733"/>
      <c r="F174" s="733"/>
      <c r="G174" s="127" t="s">
        <v>493</v>
      </c>
      <c r="H174" s="320">
        <v>54958.400000000001</v>
      </c>
    </row>
    <row r="175" spans="3:8">
      <c r="C175" s="733" t="s">
        <v>207</v>
      </c>
      <c r="D175" s="733"/>
      <c r="E175" s="733"/>
      <c r="F175" s="733"/>
      <c r="G175" s="127" t="s">
        <v>548</v>
      </c>
      <c r="H175" s="113">
        <v>6800</v>
      </c>
    </row>
    <row r="176" spans="3:8">
      <c r="C176" s="733" t="s">
        <v>1599</v>
      </c>
      <c r="D176" s="733"/>
      <c r="E176" s="733"/>
      <c r="F176" s="733"/>
      <c r="G176" s="127" t="s">
        <v>493</v>
      </c>
      <c r="H176" s="113">
        <v>70000</v>
      </c>
    </row>
    <row r="177" spans="3:8">
      <c r="C177" s="733" t="s">
        <v>1128</v>
      </c>
      <c r="D177" s="733"/>
      <c r="E177" s="733"/>
      <c r="F177" s="733"/>
      <c r="G177" s="127" t="s">
        <v>493</v>
      </c>
      <c r="H177" s="113">
        <v>93092.4</v>
      </c>
    </row>
    <row r="178" spans="3:8">
      <c r="C178" s="733" t="s">
        <v>539</v>
      </c>
      <c r="D178" s="733"/>
      <c r="E178" s="733"/>
      <c r="F178" s="733"/>
      <c r="G178" s="127" t="s">
        <v>157</v>
      </c>
      <c r="H178" s="113">
        <v>450</v>
      </c>
    </row>
    <row r="179" spans="3:8">
      <c r="C179" s="733" t="s">
        <v>1129</v>
      </c>
      <c r="D179" s="733"/>
      <c r="E179" s="733"/>
      <c r="F179" s="733"/>
      <c r="G179" s="127" t="s">
        <v>157</v>
      </c>
      <c r="H179" s="206">
        <v>150000</v>
      </c>
    </row>
    <row r="180" spans="3:8" ht="30" customHeight="1">
      <c r="C180" s="734" t="s">
        <v>1131</v>
      </c>
      <c r="D180" s="734"/>
      <c r="E180" s="734"/>
      <c r="F180" s="734"/>
      <c r="G180" s="127" t="s">
        <v>157</v>
      </c>
      <c r="H180" s="206">
        <v>40000</v>
      </c>
    </row>
    <row r="181" spans="3:8">
      <c r="C181" s="733" t="s">
        <v>1611</v>
      </c>
      <c r="D181" s="733"/>
      <c r="E181" s="733"/>
      <c r="F181" s="733"/>
      <c r="G181" s="127" t="s">
        <v>157</v>
      </c>
      <c r="H181" s="206">
        <v>1044000</v>
      </c>
    </row>
    <row r="182" spans="3:8" ht="30.75" customHeight="1">
      <c r="C182" s="734" t="s">
        <v>1612</v>
      </c>
      <c r="D182" s="734"/>
      <c r="E182" s="734"/>
      <c r="F182" s="734"/>
      <c r="G182" s="114" t="s">
        <v>8</v>
      </c>
      <c r="H182" s="107">
        <f>214000*1.16</f>
        <v>248239.99999999997</v>
      </c>
    </row>
    <row r="183" spans="3:8" ht="45" customHeight="1">
      <c r="C183" s="734" t="s">
        <v>791</v>
      </c>
      <c r="D183" s="734"/>
      <c r="E183" s="734"/>
      <c r="F183" s="734"/>
      <c r="G183" s="127" t="s">
        <v>406</v>
      </c>
      <c r="H183" s="206">
        <v>25000000</v>
      </c>
    </row>
    <row r="184" spans="3:8" ht="29.25" customHeight="1">
      <c r="C184" s="734" t="s">
        <v>1012</v>
      </c>
      <c r="D184" s="734"/>
      <c r="E184" s="734"/>
      <c r="F184" s="734"/>
      <c r="G184" s="114" t="s">
        <v>157</v>
      </c>
      <c r="H184" s="256">
        <f>38000*1.2*1.16</f>
        <v>52895.999999999993</v>
      </c>
    </row>
    <row r="185" spans="3:8" ht="33.75" customHeight="1">
      <c r="C185" s="734" t="s">
        <v>1013</v>
      </c>
      <c r="D185" s="734"/>
      <c r="E185" s="734"/>
      <c r="F185" s="734"/>
      <c r="G185" s="127" t="s">
        <v>157</v>
      </c>
      <c r="H185" s="206">
        <v>80736</v>
      </c>
    </row>
    <row r="186" spans="3:8" ht="63" customHeight="1">
      <c r="C186" s="734" t="s">
        <v>1132</v>
      </c>
      <c r="D186" s="734"/>
      <c r="E186" s="734"/>
      <c r="F186" s="734"/>
      <c r="G186" s="127" t="s">
        <v>157</v>
      </c>
      <c r="H186" s="206">
        <v>161472</v>
      </c>
    </row>
    <row r="187" spans="3:8" ht="74.25" customHeight="1">
      <c r="C187" s="734" t="s">
        <v>171</v>
      </c>
      <c r="D187" s="734"/>
      <c r="E187" s="734"/>
      <c r="F187" s="734"/>
      <c r="G187" s="321" t="s">
        <v>157</v>
      </c>
      <c r="H187" s="206">
        <v>134467.20000000001</v>
      </c>
    </row>
    <row r="188" spans="3:8" ht="64.5" customHeight="1">
      <c r="C188" s="734" t="s">
        <v>59</v>
      </c>
      <c r="D188" s="734"/>
      <c r="E188" s="734"/>
      <c r="F188" s="734"/>
      <c r="G188" s="321" t="s">
        <v>157</v>
      </c>
      <c r="H188" s="206">
        <v>7540000</v>
      </c>
    </row>
    <row r="189" spans="3:8">
      <c r="C189" s="734" t="s">
        <v>1613</v>
      </c>
      <c r="D189" s="734"/>
      <c r="E189" s="734"/>
      <c r="F189" s="734"/>
      <c r="G189" s="321" t="s">
        <v>157</v>
      </c>
      <c r="H189" s="206">
        <v>2535000</v>
      </c>
    </row>
    <row r="190" spans="3:8" ht="64.5" customHeight="1">
      <c r="C190" s="734" t="s">
        <v>377</v>
      </c>
      <c r="D190" s="734"/>
      <c r="E190" s="734"/>
      <c r="F190" s="734"/>
      <c r="G190" s="321" t="s">
        <v>157</v>
      </c>
      <c r="H190" s="256">
        <f>3100000*1.2*1.16</f>
        <v>4315200</v>
      </c>
    </row>
    <row r="191" spans="3:8" ht="60.75" customHeight="1">
      <c r="C191" s="734" t="s">
        <v>794</v>
      </c>
      <c r="D191" s="734"/>
      <c r="E191" s="734"/>
      <c r="F191" s="734"/>
      <c r="G191" s="321" t="s">
        <v>157</v>
      </c>
      <c r="H191" s="256">
        <f>2800000*1.2*1.16</f>
        <v>3897599.9999999995</v>
      </c>
    </row>
    <row r="192" spans="3:8" ht="28.5" customHeight="1">
      <c r="C192" s="734" t="s">
        <v>1157</v>
      </c>
      <c r="D192" s="734"/>
      <c r="E192" s="734"/>
      <c r="F192" s="734"/>
      <c r="G192" s="321" t="s">
        <v>157</v>
      </c>
      <c r="H192" s="206">
        <v>2268</v>
      </c>
    </row>
    <row r="193" spans="3:9" ht="18" customHeight="1">
      <c r="C193" s="734" t="s">
        <v>1160</v>
      </c>
      <c r="D193" s="734"/>
      <c r="E193" s="734"/>
      <c r="F193" s="734"/>
      <c r="G193" s="321" t="s">
        <v>454</v>
      </c>
      <c r="H193" s="206">
        <v>45000</v>
      </c>
      <c r="I193" s="322"/>
    </row>
    <row r="194" spans="3:9">
      <c r="C194" s="734" t="s">
        <v>1614</v>
      </c>
      <c r="D194" s="734"/>
      <c r="E194" s="734"/>
      <c r="F194" s="734"/>
      <c r="G194" s="321" t="s">
        <v>454</v>
      </c>
      <c r="H194" s="206">
        <v>50000</v>
      </c>
    </row>
    <row r="195" spans="3:9">
      <c r="C195" s="734" t="s">
        <v>715</v>
      </c>
      <c r="D195" s="734"/>
      <c r="E195" s="734"/>
      <c r="F195" s="734"/>
      <c r="G195" s="127" t="s">
        <v>474</v>
      </c>
      <c r="H195" s="107">
        <v>2200</v>
      </c>
    </row>
    <row r="196" spans="3:9">
      <c r="C196" s="734" t="s">
        <v>721</v>
      </c>
      <c r="D196" s="734"/>
      <c r="E196" s="734"/>
      <c r="F196" s="734"/>
      <c r="G196" s="127" t="s">
        <v>454</v>
      </c>
      <c r="H196" s="256">
        <v>267500</v>
      </c>
    </row>
    <row r="197" spans="3:9">
      <c r="C197" s="734" t="s">
        <v>706</v>
      </c>
      <c r="D197" s="734"/>
      <c r="E197" s="734"/>
      <c r="F197" s="734"/>
      <c r="G197" s="127" t="s">
        <v>454</v>
      </c>
      <c r="H197" s="256">
        <v>39000</v>
      </c>
    </row>
    <row r="198" spans="3:9" ht="18" customHeight="1">
      <c r="C198" s="731" t="s">
        <v>709</v>
      </c>
      <c r="D198" s="731"/>
      <c r="E198" s="731"/>
      <c r="F198" s="731"/>
      <c r="G198" s="127" t="s">
        <v>454</v>
      </c>
      <c r="H198" s="256">
        <v>40000</v>
      </c>
    </row>
    <row r="199" spans="3:9">
      <c r="C199" s="731" t="s">
        <v>728</v>
      </c>
      <c r="D199" s="731"/>
      <c r="E199" s="731"/>
      <c r="F199" s="731"/>
      <c r="G199" s="127" t="s">
        <v>474</v>
      </c>
      <c r="H199" s="206">
        <v>660</v>
      </c>
    </row>
    <row r="200" spans="3:9">
      <c r="C200" s="731" t="s">
        <v>1174</v>
      </c>
      <c r="D200" s="731"/>
      <c r="E200" s="731"/>
      <c r="F200" s="731"/>
      <c r="G200" s="127" t="s">
        <v>455</v>
      </c>
      <c r="H200" s="206">
        <v>5000</v>
      </c>
    </row>
    <row r="201" spans="3:9">
      <c r="C201" s="731" t="s">
        <v>1177</v>
      </c>
      <c r="D201" s="731"/>
      <c r="E201" s="731"/>
      <c r="F201" s="731"/>
      <c r="G201" s="127" t="s">
        <v>454</v>
      </c>
      <c r="H201" s="206">
        <v>25300</v>
      </c>
    </row>
    <row r="202" spans="3:9">
      <c r="C202" s="731" t="s">
        <v>689</v>
      </c>
      <c r="D202" s="731"/>
      <c r="E202" s="731"/>
      <c r="F202" s="731"/>
      <c r="G202" s="127" t="s">
        <v>157</v>
      </c>
      <c r="H202" s="206">
        <v>1000</v>
      </c>
    </row>
    <row r="203" spans="3:9">
      <c r="C203" s="731" t="s">
        <v>692</v>
      </c>
      <c r="D203" s="731"/>
      <c r="E203" s="731"/>
      <c r="F203" s="731"/>
      <c r="G203" s="127" t="s">
        <v>474</v>
      </c>
      <c r="H203" s="206">
        <v>62320</v>
      </c>
    </row>
    <row r="204" spans="3:9" ht="26.25" customHeight="1">
      <c r="C204" s="731" t="s">
        <v>693</v>
      </c>
      <c r="D204" s="731"/>
      <c r="E204" s="731"/>
      <c r="F204" s="731"/>
      <c r="G204" s="127" t="s">
        <v>157</v>
      </c>
      <c r="H204" s="206">
        <v>98400</v>
      </c>
    </row>
    <row r="205" spans="3:9">
      <c r="C205" s="731" t="s">
        <v>696</v>
      </c>
      <c r="D205" s="731"/>
      <c r="E205" s="731"/>
      <c r="F205" s="731"/>
      <c r="G205" s="127" t="s">
        <v>455</v>
      </c>
      <c r="H205" s="206">
        <v>11720</v>
      </c>
    </row>
    <row r="206" spans="3:9">
      <c r="C206" s="731" t="s">
        <v>697</v>
      </c>
      <c r="D206" s="731"/>
      <c r="E206" s="731"/>
      <c r="F206" s="731"/>
      <c r="G206" s="127" t="s">
        <v>423</v>
      </c>
      <c r="H206" s="206">
        <v>6199.04</v>
      </c>
    </row>
    <row r="207" spans="3:9">
      <c r="C207" s="731" t="s">
        <v>699</v>
      </c>
      <c r="D207" s="731"/>
      <c r="E207" s="731"/>
      <c r="F207" s="731"/>
      <c r="G207" s="127" t="s">
        <v>423</v>
      </c>
      <c r="H207" s="206">
        <v>3880</v>
      </c>
    </row>
    <row r="208" spans="3:9" ht="68.25" customHeight="1">
      <c r="C208" s="731" t="s">
        <v>42</v>
      </c>
      <c r="D208" s="731"/>
      <c r="E208" s="731"/>
      <c r="F208" s="731"/>
      <c r="G208" s="321" t="s">
        <v>157</v>
      </c>
      <c r="H208" s="206">
        <v>1100000</v>
      </c>
    </row>
    <row r="209" spans="3:8">
      <c r="C209" s="731" t="s">
        <v>951</v>
      </c>
      <c r="D209" s="731"/>
      <c r="E209" s="731"/>
      <c r="F209" s="731"/>
      <c r="G209" s="127" t="s">
        <v>493</v>
      </c>
      <c r="H209" s="107">
        <f>+(1408842*1.2)/6.5</f>
        <v>260093.90769230766</v>
      </c>
    </row>
    <row r="210" spans="3:8">
      <c r="C210" s="731" t="s">
        <v>950</v>
      </c>
      <c r="D210" s="731"/>
      <c r="E210" s="731"/>
      <c r="F210" s="731"/>
      <c r="G210" s="127" t="s">
        <v>493</v>
      </c>
      <c r="H210" s="107">
        <f>+(166698*1.2)/6</f>
        <v>33339.599999999999</v>
      </c>
    </row>
    <row r="211" spans="3:8">
      <c r="C211" s="731" t="s">
        <v>749</v>
      </c>
      <c r="D211" s="731"/>
      <c r="E211" s="731"/>
      <c r="F211" s="731"/>
      <c r="G211" s="127" t="s">
        <v>493</v>
      </c>
      <c r="H211" s="107">
        <f>99000*1.16*1.2</f>
        <v>137807.99999999997</v>
      </c>
    </row>
    <row r="212" spans="3:8">
      <c r="C212" s="731" t="s">
        <v>750</v>
      </c>
      <c r="D212" s="731"/>
      <c r="E212" s="731"/>
      <c r="F212" s="731"/>
      <c r="G212" s="127" t="s">
        <v>493</v>
      </c>
      <c r="H212" s="107">
        <f>238000*1.16*1.2</f>
        <v>331296</v>
      </c>
    </row>
    <row r="213" spans="3:8">
      <c r="C213" s="731" t="s">
        <v>751</v>
      </c>
      <c r="D213" s="731"/>
      <c r="E213" s="731"/>
      <c r="F213" s="731"/>
      <c r="G213" s="127" t="s">
        <v>493</v>
      </c>
      <c r="H213" s="107">
        <f>65000*1.16*1.2</f>
        <v>90480</v>
      </c>
    </row>
    <row r="214" spans="3:8">
      <c r="C214" s="731" t="s">
        <v>755</v>
      </c>
      <c r="D214" s="731"/>
      <c r="E214" s="731"/>
      <c r="F214" s="731"/>
      <c r="G214" s="127" t="s">
        <v>493</v>
      </c>
      <c r="H214" s="107">
        <f>142000*1.16*1.2</f>
        <v>197664</v>
      </c>
    </row>
    <row r="215" spans="3:8">
      <c r="C215" s="731" t="s">
        <v>756</v>
      </c>
      <c r="D215" s="731"/>
      <c r="E215" s="731"/>
      <c r="F215" s="731"/>
      <c r="G215" s="127" t="s">
        <v>493</v>
      </c>
      <c r="H215" s="107">
        <f>205000*1.16*1.2</f>
        <v>285359.99999999994</v>
      </c>
    </row>
    <row r="216" spans="3:8">
      <c r="C216" s="731" t="s">
        <v>758</v>
      </c>
      <c r="D216" s="731"/>
      <c r="E216" s="731"/>
      <c r="F216" s="731"/>
      <c r="G216" s="127" t="s">
        <v>493</v>
      </c>
      <c r="H216" s="107">
        <f>35000*1.16*1.2</f>
        <v>48720</v>
      </c>
    </row>
    <row r="217" spans="3:8" ht="15" customHeight="1">
      <c r="C217" s="731" t="s">
        <v>760</v>
      </c>
      <c r="D217" s="731"/>
      <c r="E217" s="731"/>
      <c r="F217" s="731"/>
      <c r="G217" s="127" t="s">
        <v>493</v>
      </c>
      <c r="H217" s="107">
        <f>167000*1.16*1.2</f>
        <v>232464</v>
      </c>
    </row>
    <row r="218" spans="3:8" ht="15" customHeight="1">
      <c r="C218" s="731" t="s">
        <v>953</v>
      </c>
      <c r="D218" s="731"/>
      <c r="E218" s="731"/>
      <c r="F218" s="731"/>
      <c r="G218" s="127" t="s">
        <v>493</v>
      </c>
      <c r="H218" s="107">
        <f>554979*1.2/6</f>
        <v>110995.79999999999</v>
      </c>
    </row>
    <row r="219" spans="3:8">
      <c r="C219" s="731" t="s">
        <v>957</v>
      </c>
      <c r="D219" s="731"/>
      <c r="E219" s="731"/>
      <c r="F219" s="731"/>
      <c r="G219" s="127" t="s">
        <v>493</v>
      </c>
      <c r="H219" s="107">
        <f>1894886*1.2/6.5</f>
        <v>349825.10769230768</v>
      </c>
    </row>
    <row r="220" spans="3:8">
      <c r="C220" s="731" t="s">
        <v>762</v>
      </c>
      <c r="D220" s="731"/>
      <c r="E220" s="731"/>
      <c r="F220" s="731"/>
      <c r="G220" s="127" t="s">
        <v>157</v>
      </c>
      <c r="H220" s="107">
        <f>335000*1.16*1.2</f>
        <v>466320</v>
      </c>
    </row>
    <row r="221" spans="3:8">
      <c r="C221" s="731" t="s">
        <v>764</v>
      </c>
      <c r="D221" s="731"/>
      <c r="E221" s="731"/>
      <c r="F221" s="731"/>
      <c r="G221" s="321" t="s">
        <v>157</v>
      </c>
      <c r="H221" s="107">
        <v>3569088</v>
      </c>
    </row>
    <row r="222" spans="3:8">
      <c r="C222" s="731" t="s">
        <v>765</v>
      </c>
      <c r="D222" s="731"/>
      <c r="E222" s="731"/>
      <c r="F222" s="731"/>
      <c r="G222" s="321" t="s">
        <v>157</v>
      </c>
      <c r="H222" s="107">
        <v>4732800</v>
      </c>
    </row>
    <row r="223" spans="3:8">
      <c r="C223" s="731" t="s">
        <v>309</v>
      </c>
      <c r="D223" s="731"/>
      <c r="E223" s="731"/>
      <c r="F223" s="731"/>
      <c r="G223" s="127" t="s">
        <v>157</v>
      </c>
      <c r="H223" s="107">
        <f>241000*1.16*1.2</f>
        <v>335472</v>
      </c>
    </row>
    <row r="224" spans="3:8">
      <c r="C224" s="731" t="s">
        <v>766</v>
      </c>
      <c r="D224" s="731"/>
      <c r="E224" s="731"/>
      <c r="F224" s="731"/>
      <c r="G224" s="315" t="s">
        <v>157</v>
      </c>
      <c r="H224" s="107">
        <v>264480</v>
      </c>
    </row>
    <row r="225" spans="3:8">
      <c r="C225" s="731" t="s">
        <v>322</v>
      </c>
      <c r="D225" s="731"/>
      <c r="E225" s="731"/>
      <c r="F225" s="731"/>
      <c r="G225" s="127" t="s">
        <v>493</v>
      </c>
      <c r="H225" s="107">
        <f>99000*1.16*1.2*0.3</f>
        <v>41342.399999999987</v>
      </c>
    </row>
    <row r="226" spans="3:8">
      <c r="C226" s="731" t="s">
        <v>320</v>
      </c>
      <c r="D226" s="731"/>
      <c r="E226" s="731"/>
      <c r="F226" s="731"/>
      <c r="G226" s="315" t="s">
        <v>493</v>
      </c>
      <c r="H226" s="107">
        <v>179150.4</v>
      </c>
    </row>
    <row r="227" spans="3:8">
      <c r="C227" s="731" t="s">
        <v>778</v>
      </c>
      <c r="D227" s="731"/>
      <c r="E227" s="731"/>
      <c r="F227" s="731"/>
      <c r="G227" s="127" t="s">
        <v>493</v>
      </c>
      <c r="H227" s="107">
        <f>99000*1.16*1.2</f>
        <v>137807.99999999997</v>
      </c>
    </row>
    <row r="228" spans="3:8">
      <c r="C228" s="731" t="s">
        <v>323</v>
      </c>
      <c r="D228" s="731"/>
      <c r="E228" s="731"/>
      <c r="F228" s="731"/>
      <c r="G228" s="127" t="s">
        <v>493</v>
      </c>
      <c r="H228" s="107">
        <f>238000*1.16*1.2*0.5</f>
        <v>165648</v>
      </c>
    </row>
    <row r="229" spans="3:8" ht="29.25" customHeight="1">
      <c r="C229" s="731" t="s">
        <v>779</v>
      </c>
      <c r="D229" s="731"/>
      <c r="E229" s="731"/>
      <c r="F229" s="731"/>
      <c r="G229" s="323" t="s">
        <v>157</v>
      </c>
      <c r="H229" s="324">
        <f>4600000*1.2*1.16</f>
        <v>6403200</v>
      </c>
    </row>
    <row r="230" spans="3:8" ht="28.5" customHeight="1">
      <c r="C230" s="731" t="s">
        <v>780</v>
      </c>
      <c r="D230" s="731"/>
      <c r="E230" s="731"/>
      <c r="F230" s="731"/>
      <c r="G230" s="127" t="s">
        <v>157</v>
      </c>
      <c r="H230" s="107">
        <f>4900000*1.2*1.16</f>
        <v>6820799.9999999991</v>
      </c>
    </row>
    <row r="231" spans="3:8" ht="26.25" customHeight="1">
      <c r="C231" s="731" t="s">
        <v>781</v>
      </c>
      <c r="D231" s="731"/>
      <c r="E231" s="731"/>
      <c r="F231" s="731"/>
      <c r="G231" s="127" t="s">
        <v>157</v>
      </c>
      <c r="H231" s="107">
        <f>5800000*1.2*1.16</f>
        <v>8073599.9999999991</v>
      </c>
    </row>
    <row r="232" spans="3:8" ht="27.75" customHeight="1">
      <c r="C232" s="731" t="s">
        <v>243</v>
      </c>
      <c r="D232" s="731"/>
      <c r="E232" s="731"/>
      <c r="F232" s="731"/>
      <c r="G232" s="127" t="s">
        <v>157</v>
      </c>
      <c r="H232" s="107">
        <f>3400000*1.2*1.16</f>
        <v>4732800</v>
      </c>
    </row>
    <row r="233" spans="3:8" ht="25.5" customHeight="1">
      <c r="C233" s="731" t="s">
        <v>167</v>
      </c>
      <c r="D233" s="731"/>
      <c r="E233" s="731"/>
      <c r="F233" s="731"/>
      <c r="G233" s="127" t="s">
        <v>157</v>
      </c>
      <c r="H233" s="107">
        <f>182500*1.4*1.16</f>
        <v>296379.99999999994</v>
      </c>
    </row>
    <row r="234" spans="3:8" ht="35.25" customHeight="1">
      <c r="C234" s="731" t="s">
        <v>72</v>
      </c>
      <c r="D234" s="731"/>
      <c r="E234" s="731"/>
      <c r="F234" s="731"/>
      <c r="G234" s="127" t="s">
        <v>157</v>
      </c>
      <c r="H234" s="256">
        <f>452000*1.4*1.16</f>
        <v>734048</v>
      </c>
    </row>
    <row r="235" spans="3:8" ht="23.25" customHeight="1">
      <c r="C235" s="731" t="s">
        <v>14</v>
      </c>
      <c r="D235" s="731"/>
      <c r="E235" s="731"/>
      <c r="F235" s="731"/>
      <c r="G235" s="127" t="s">
        <v>157</v>
      </c>
      <c r="H235" s="256">
        <f>329000*1.16*1.4</f>
        <v>534296</v>
      </c>
    </row>
    <row r="236" spans="3:8">
      <c r="C236" s="731" t="s">
        <v>60</v>
      </c>
      <c r="D236" s="731"/>
      <c r="E236" s="731"/>
      <c r="F236" s="731"/>
      <c r="G236" s="127" t="s">
        <v>157</v>
      </c>
      <c r="H236" s="256">
        <f>329000*1.16*1.4</f>
        <v>534296</v>
      </c>
    </row>
    <row r="237" spans="3:8">
      <c r="C237" s="731" t="s">
        <v>168</v>
      </c>
      <c r="D237" s="731"/>
      <c r="E237" s="731"/>
      <c r="F237" s="731"/>
      <c r="G237" s="127" t="s">
        <v>157</v>
      </c>
      <c r="H237" s="256">
        <f>205000*1.2*1.16</f>
        <v>285360</v>
      </c>
    </row>
    <row r="238" spans="3:8" ht="29.25" customHeight="1">
      <c r="C238" s="731" t="s">
        <v>159</v>
      </c>
      <c r="D238" s="731"/>
      <c r="E238" s="731"/>
      <c r="F238" s="731"/>
      <c r="G238" s="127" t="s">
        <v>157</v>
      </c>
      <c r="H238" s="256">
        <f>4500000*1.2*1.16</f>
        <v>6264000</v>
      </c>
    </row>
    <row r="239" spans="3:8" ht="19.5" customHeight="1">
      <c r="C239" s="731" t="s">
        <v>318</v>
      </c>
      <c r="D239" s="731"/>
      <c r="E239" s="731"/>
      <c r="F239" s="731"/>
      <c r="G239" s="127" t="s">
        <v>493</v>
      </c>
      <c r="H239" s="107">
        <f>200000*1.16*1.2</f>
        <v>278399.99999999994</v>
      </c>
    </row>
    <row r="240" spans="3:8">
      <c r="C240" s="731" t="s">
        <v>319</v>
      </c>
      <c r="D240" s="731"/>
      <c r="E240" s="731"/>
      <c r="F240" s="731"/>
      <c r="G240" s="127" t="s">
        <v>493</v>
      </c>
      <c r="H240" s="107">
        <f>1600000*1.16*1.2</f>
        <v>2227199.9999999995</v>
      </c>
    </row>
    <row r="241" spans="3:8" ht="15.75" customHeight="1">
      <c r="C241" s="731" t="s">
        <v>905</v>
      </c>
      <c r="D241" s="731"/>
      <c r="E241" s="731"/>
      <c r="F241" s="731"/>
      <c r="G241" s="127" t="s">
        <v>157</v>
      </c>
      <c r="H241" s="107">
        <f>315000*1.16*1.2</f>
        <v>438480</v>
      </c>
    </row>
    <row r="242" spans="3:8" ht="25.5" customHeight="1">
      <c r="C242" s="731" t="s">
        <v>293</v>
      </c>
      <c r="D242" s="731"/>
      <c r="E242" s="731"/>
      <c r="F242" s="731"/>
      <c r="G242" s="127" t="s">
        <v>157</v>
      </c>
      <c r="H242" s="107">
        <f>1117600*1.4*1.16</f>
        <v>1814982.4</v>
      </c>
    </row>
    <row r="243" spans="3:8">
      <c r="C243" s="731" t="s">
        <v>169</v>
      </c>
      <c r="D243" s="731"/>
      <c r="E243" s="731"/>
      <c r="F243" s="731"/>
      <c r="G243" s="127" t="s">
        <v>157</v>
      </c>
      <c r="H243" s="107">
        <f>1646000*1.2*1.16</f>
        <v>2291232</v>
      </c>
    </row>
    <row r="244" spans="3:8" ht="21.75" customHeight="1">
      <c r="C244" s="731" t="s">
        <v>324</v>
      </c>
      <c r="D244" s="731"/>
      <c r="E244" s="731"/>
      <c r="F244" s="731"/>
      <c r="G244" s="127" t="s">
        <v>157</v>
      </c>
      <c r="H244" s="107">
        <f>586000*1.2*1.16</f>
        <v>815712</v>
      </c>
    </row>
    <row r="245" spans="3:8">
      <c r="C245" s="731" t="s">
        <v>325</v>
      </c>
      <c r="D245" s="731"/>
      <c r="E245" s="731"/>
      <c r="F245" s="731"/>
      <c r="G245" s="127" t="s">
        <v>157</v>
      </c>
      <c r="H245" s="107">
        <f>5918750*1.2*1.16</f>
        <v>8238899.9999999991</v>
      </c>
    </row>
    <row r="246" spans="3:8" ht="113.25" customHeight="1">
      <c r="C246" s="738" t="s">
        <v>1615</v>
      </c>
      <c r="D246" s="738"/>
      <c r="E246" s="738"/>
      <c r="F246" s="738"/>
      <c r="G246" s="127" t="s">
        <v>157</v>
      </c>
      <c r="H246" s="256">
        <f>36545000*1.16*1.2</f>
        <v>50870640</v>
      </c>
    </row>
    <row r="247" spans="3:8" ht="43.5" customHeight="1">
      <c r="C247" s="731" t="s">
        <v>786</v>
      </c>
      <c r="D247" s="731"/>
      <c r="E247" s="731"/>
      <c r="F247" s="731"/>
      <c r="G247" s="127" t="s">
        <v>157</v>
      </c>
      <c r="H247" s="256">
        <f>6406000*1.2*1.16</f>
        <v>8917152</v>
      </c>
    </row>
    <row r="248" spans="3:8">
      <c r="C248" s="731" t="s">
        <v>300</v>
      </c>
      <c r="D248" s="731"/>
      <c r="E248" s="731"/>
      <c r="F248" s="731"/>
      <c r="G248" s="127" t="s">
        <v>157</v>
      </c>
      <c r="H248" s="107">
        <f>2794000*1.4*1.16</f>
        <v>4537455.9999999991</v>
      </c>
    </row>
    <row r="249" spans="3:8">
      <c r="C249" s="731" t="s">
        <v>907</v>
      </c>
      <c r="D249" s="731"/>
      <c r="E249" s="731"/>
      <c r="F249" s="731"/>
      <c r="G249" s="127" t="s">
        <v>493</v>
      </c>
      <c r="H249" s="107">
        <f>1200000*1.16*1.2</f>
        <v>1670400</v>
      </c>
    </row>
    <row r="250" spans="3:8">
      <c r="C250" s="731" t="s">
        <v>908</v>
      </c>
      <c r="D250" s="731"/>
      <c r="E250" s="731"/>
      <c r="F250" s="731"/>
      <c r="G250" s="127" t="s">
        <v>493</v>
      </c>
      <c r="H250" s="107">
        <f>1400000*1.16*1.2</f>
        <v>1948800</v>
      </c>
    </row>
    <row r="251" spans="3:8">
      <c r="C251" s="731" t="s">
        <v>337</v>
      </c>
      <c r="D251" s="731"/>
      <c r="E251" s="731"/>
      <c r="F251" s="731"/>
      <c r="G251" s="127" t="s">
        <v>493</v>
      </c>
      <c r="H251" s="107">
        <f>1314000*2*1.2*1.16</f>
        <v>3658175.9999999995</v>
      </c>
    </row>
    <row r="252" spans="3:8">
      <c r="C252" s="731" t="s">
        <v>910</v>
      </c>
      <c r="D252" s="731"/>
      <c r="E252" s="731"/>
      <c r="F252" s="731"/>
      <c r="G252" s="127" t="s">
        <v>157</v>
      </c>
      <c r="H252" s="107">
        <f>931000*1.16*1.2</f>
        <v>1295952</v>
      </c>
    </row>
    <row r="253" spans="3:8">
      <c r="C253" s="731" t="s">
        <v>912</v>
      </c>
      <c r="D253" s="731"/>
      <c r="E253" s="731"/>
      <c r="F253" s="731"/>
      <c r="G253" s="127" t="s">
        <v>157</v>
      </c>
      <c r="H253" s="107">
        <f>1720000*1.16*1.2</f>
        <v>2394239.9999999995</v>
      </c>
    </row>
    <row r="254" spans="3:8">
      <c r="C254" s="731" t="s">
        <v>913</v>
      </c>
      <c r="D254" s="731"/>
      <c r="E254" s="731"/>
      <c r="F254" s="731"/>
      <c r="G254" s="127" t="s">
        <v>157</v>
      </c>
      <c r="H254" s="107">
        <f>2452000*1.16*1.2</f>
        <v>3413184</v>
      </c>
    </row>
    <row r="255" spans="3:8">
      <c r="C255" s="731" t="s">
        <v>342</v>
      </c>
      <c r="D255" s="731"/>
      <c r="E255" s="731"/>
      <c r="F255" s="731"/>
      <c r="G255" s="127" t="s">
        <v>157</v>
      </c>
      <c r="H255" s="107">
        <f>862000*1.2*1.16</f>
        <v>1199904</v>
      </c>
    </row>
    <row r="256" spans="3:8">
      <c r="C256" s="731" t="s">
        <v>914</v>
      </c>
      <c r="D256" s="731"/>
      <c r="E256" s="731"/>
      <c r="F256" s="731"/>
      <c r="G256" s="127" t="s">
        <v>157</v>
      </c>
      <c r="H256" s="107">
        <f>1436000*1.16*1.2</f>
        <v>1998912</v>
      </c>
    </row>
    <row r="257" spans="3:8">
      <c r="C257" s="731" t="s">
        <v>915</v>
      </c>
      <c r="D257" s="731"/>
      <c r="E257" s="731"/>
      <c r="F257" s="731"/>
      <c r="G257" s="127" t="s">
        <v>157</v>
      </c>
      <c r="H257" s="107">
        <f>501000*1.16*1.2</f>
        <v>697392</v>
      </c>
    </row>
    <row r="258" spans="3:8">
      <c r="C258" s="731" t="s">
        <v>373</v>
      </c>
      <c r="D258" s="731"/>
      <c r="E258" s="731"/>
      <c r="F258" s="731"/>
      <c r="G258" s="127" t="s">
        <v>157</v>
      </c>
      <c r="H258" s="107">
        <f>487000*1.2*1.16</f>
        <v>677904</v>
      </c>
    </row>
    <row r="259" spans="3:8">
      <c r="C259" s="731" t="s">
        <v>369</v>
      </c>
      <c r="D259" s="731"/>
      <c r="E259" s="731"/>
      <c r="F259" s="731"/>
      <c r="G259" s="127" t="s">
        <v>493</v>
      </c>
      <c r="H259" s="107">
        <f>501000*2*1.2*1.16</f>
        <v>1394784</v>
      </c>
    </row>
    <row r="260" spans="3:8">
      <c r="C260" s="731" t="s">
        <v>371</v>
      </c>
      <c r="D260" s="731"/>
      <c r="E260" s="731"/>
      <c r="F260" s="731"/>
      <c r="G260" s="127" t="s">
        <v>493</v>
      </c>
      <c r="H260" s="107">
        <f>1048000*2*1.2*1.16</f>
        <v>2917632</v>
      </c>
    </row>
    <row r="261" spans="3:8">
      <c r="C261" s="731" t="s">
        <v>916</v>
      </c>
      <c r="D261" s="731"/>
      <c r="E261" s="731"/>
      <c r="F261" s="731"/>
      <c r="G261" s="127" t="s">
        <v>493</v>
      </c>
      <c r="H261" s="107">
        <f>99000*1.16*1.2*0.2</f>
        <v>27561.599999999995</v>
      </c>
    </row>
    <row r="262" spans="3:8">
      <c r="C262" s="731" t="s">
        <v>917</v>
      </c>
      <c r="D262" s="731"/>
      <c r="E262" s="731"/>
      <c r="F262" s="731"/>
      <c r="G262" s="127" t="s">
        <v>493</v>
      </c>
      <c r="H262" s="107">
        <f>99000*1.16*1.2*3</f>
        <v>413423.99999999988</v>
      </c>
    </row>
    <row r="263" spans="3:8">
      <c r="C263" s="731" t="s">
        <v>918</v>
      </c>
      <c r="D263" s="731"/>
      <c r="E263" s="731"/>
      <c r="F263" s="731"/>
      <c r="G263" s="127" t="s">
        <v>493</v>
      </c>
      <c r="H263" s="107">
        <f>99000*1.16*1.2*3.3</f>
        <v>454766.39999999991</v>
      </c>
    </row>
    <row r="264" spans="3:8">
      <c r="C264" s="731" t="s">
        <v>343</v>
      </c>
      <c r="D264" s="731"/>
      <c r="E264" s="731"/>
      <c r="F264" s="731"/>
      <c r="G264" s="127" t="s">
        <v>493</v>
      </c>
      <c r="H264" s="107">
        <f>142000*1.16*1.2*1.5</f>
        <v>296496</v>
      </c>
    </row>
    <row r="265" spans="3:8">
      <c r="C265" s="731" t="s">
        <v>919</v>
      </c>
      <c r="D265" s="731"/>
      <c r="E265" s="731"/>
      <c r="F265" s="731"/>
      <c r="G265" s="127" t="s">
        <v>493</v>
      </c>
      <c r="H265" s="107">
        <f>142000*1.16*1.2*1.6</f>
        <v>316262.40000000002</v>
      </c>
    </row>
    <row r="266" spans="3:8">
      <c r="C266" s="731" t="s">
        <v>346</v>
      </c>
      <c r="D266" s="731"/>
      <c r="E266" s="731"/>
      <c r="F266" s="731"/>
      <c r="G266" s="127" t="s">
        <v>493</v>
      </c>
      <c r="H266" s="107">
        <f>205000*1.16*1.2*0.3</f>
        <v>85607.999999999985</v>
      </c>
    </row>
    <row r="267" spans="3:8">
      <c r="C267" s="731" t="s">
        <v>345</v>
      </c>
      <c r="D267" s="731"/>
      <c r="E267" s="731"/>
      <c r="F267" s="731"/>
      <c r="G267" s="127" t="s">
        <v>493</v>
      </c>
      <c r="H267" s="107">
        <f>205000*1.16*1.2*0.4</f>
        <v>114143.99999999999</v>
      </c>
    </row>
    <row r="268" spans="3:8">
      <c r="C268" s="731" t="s">
        <v>347</v>
      </c>
      <c r="D268" s="731"/>
      <c r="E268" s="731"/>
      <c r="F268" s="731"/>
      <c r="G268" s="127" t="s">
        <v>493</v>
      </c>
      <c r="H268" s="107">
        <f>205000*1.16*1.2*0.5</f>
        <v>142679.99999999997</v>
      </c>
    </row>
    <row r="269" spans="3:8">
      <c r="C269" s="731" t="s">
        <v>349</v>
      </c>
      <c r="D269" s="731"/>
      <c r="E269" s="731"/>
      <c r="F269" s="731"/>
      <c r="G269" s="127" t="s">
        <v>493</v>
      </c>
      <c r="H269" s="107">
        <f>205000*1.16*1.2*0.6</f>
        <v>171215.99999999997</v>
      </c>
    </row>
    <row r="270" spans="3:8">
      <c r="C270" s="731" t="s">
        <v>348</v>
      </c>
      <c r="D270" s="731"/>
      <c r="E270" s="731"/>
      <c r="F270" s="731"/>
      <c r="G270" s="127" t="s">
        <v>493</v>
      </c>
      <c r="H270" s="107">
        <f>205000*1.16*1.2*0.8</f>
        <v>228287.99999999997</v>
      </c>
    </row>
    <row r="271" spans="3:8">
      <c r="C271" s="731" t="s">
        <v>920</v>
      </c>
      <c r="D271" s="731"/>
      <c r="E271" s="731"/>
      <c r="F271" s="731"/>
      <c r="G271" s="127" t="s">
        <v>493</v>
      </c>
      <c r="H271" s="107">
        <f>205000*1.16*1.2*1</f>
        <v>285359.99999999994</v>
      </c>
    </row>
    <row r="272" spans="3:8">
      <c r="C272" s="731" t="s">
        <v>921</v>
      </c>
      <c r="D272" s="731"/>
      <c r="E272" s="731"/>
      <c r="F272" s="731"/>
      <c r="G272" s="127" t="s">
        <v>493</v>
      </c>
      <c r="H272" s="107">
        <f>205000*1.16*1.2*2</f>
        <v>570719.99999999988</v>
      </c>
    </row>
    <row r="273" spans="3:8">
      <c r="C273" s="731" t="s">
        <v>922</v>
      </c>
      <c r="D273" s="731"/>
      <c r="E273" s="731"/>
      <c r="F273" s="731"/>
      <c r="G273" s="127" t="s">
        <v>493</v>
      </c>
      <c r="H273" s="107">
        <f>407000*2*1.2*1.16</f>
        <v>1133088</v>
      </c>
    </row>
    <row r="274" spans="3:8">
      <c r="C274" s="731" t="s">
        <v>312</v>
      </c>
      <c r="D274" s="731"/>
      <c r="E274" s="731"/>
      <c r="F274" s="731"/>
      <c r="G274" s="127" t="s">
        <v>157</v>
      </c>
      <c r="H274" s="107">
        <f>1196000*1.16*1.2</f>
        <v>1664832</v>
      </c>
    </row>
    <row r="275" spans="3:8">
      <c r="C275" s="731" t="s">
        <v>923</v>
      </c>
      <c r="D275" s="731"/>
      <c r="E275" s="731"/>
      <c r="F275" s="731"/>
      <c r="G275" s="127" t="s">
        <v>157</v>
      </c>
      <c r="H275" s="107">
        <f>1546000*1.2*1.16</f>
        <v>2152032</v>
      </c>
    </row>
    <row r="276" spans="3:8">
      <c r="C276" s="731" t="s">
        <v>924</v>
      </c>
      <c r="D276" s="731"/>
      <c r="E276" s="731"/>
      <c r="F276" s="731"/>
      <c r="G276" s="127" t="s">
        <v>157</v>
      </c>
      <c r="H276" s="107">
        <f>4200000*1.4*1.16</f>
        <v>6820799.9999999991</v>
      </c>
    </row>
    <row r="277" spans="3:8">
      <c r="C277" s="731" t="s">
        <v>926</v>
      </c>
      <c r="D277" s="731"/>
      <c r="E277" s="731"/>
      <c r="F277" s="731"/>
      <c r="G277" s="127" t="s">
        <v>493</v>
      </c>
      <c r="H277" s="107">
        <f>99000*1.16*1.2*1</f>
        <v>137807.99999999997</v>
      </c>
    </row>
    <row r="278" spans="3:8">
      <c r="C278" s="731" t="s">
        <v>928</v>
      </c>
      <c r="D278" s="731"/>
      <c r="E278" s="731"/>
      <c r="F278" s="731"/>
      <c r="G278" s="315" t="s">
        <v>493</v>
      </c>
      <c r="H278" s="107">
        <f>99000*1.16*1.2*1.5</f>
        <v>206711.99999999994</v>
      </c>
    </row>
    <row r="279" spans="3:8">
      <c r="C279" s="731" t="s">
        <v>929</v>
      </c>
      <c r="D279" s="731"/>
      <c r="E279" s="731"/>
      <c r="F279" s="731"/>
      <c r="G279" s="127" t="s">
        <v>493</v>
      </c>
      <c r="H279" s="107">
        <f>205000*1.16*1.2*1.35</f>
        <v>385235.99999999994</v>
      </c>
    </row>
    <row r="280" spans="3:8">
      <c r="C280" s="731" t="s">
        <v>930</v>
      </c>
      <c r="D280" s="731"/>
      <c r="E280" s="731"/>
      <c r="F280" s="731"/>
      <c r="G280" s="127" t="s">
        <v>493</v>
      </c>
      <c r="H280" s="107">
        <f>205000*1.16*1.2*1.45</f>
        <v>413771.99999999988</v>
      </c>
    </row>
    <row r="281" spans="3:8">
      <c r="C281" s="731" t="s">
        <v>931</v>
      </c>
      <c r="D281" s="731"/>
      <c r="E281" s="731"/>
      <c r="F281" s="731"/>
      <c r="G281" s="127" t="s">
        <v>493</v>
      </c>
      <c r="H281" s="107">
        <f>205000*1.16*1.2*1.75</f>
        <v>499379.99999999988</v>
      </c>
    </row>
    <row r="282" spans="3:8" ht="119.25" customHeight="1">
      <c r="C282" s="735" t="s">
        <v>800</v>
      </c>
      <c r="D282" s="736"/>
      <c r="E282" s="736"/>
      <c r="F282" s="737"/>
      <c r="G282" s="127" t="s">
        <v>157</v>
      </c>
      <c r="H282" s="256">
        <f>25008000*1.16*1.2</f>
        <v>34811135.999999993</v>
      </c>
    </row>
    <row r="283" spans="3:8" ht="238.5" customHeight="1">
      <c r="C283" s="735" t="s">
        <v>63</v>
      </c>
      <c r="D283" s="736"/>
      <c r="E283" s="736"/>
      <c r="F283" s="737"/>
      <c r="G283" s="127" t="s">
        <v>157</v>
      </c>
      <c r="H283" s="256">
        <f>150000000*1.2*1.16</f>
        <v>208800000</v>
      </c>
    </row>
    <row r="284" spans="3:8">
      <c r="C284" s="735" t="s">
        <v>932</v>
      </c>
      <c r="D284" s="736"/>
      <c r="E284" s="736"/>
      <c r="F284" s="737"/>
      <c r="G284" s="127" t="s">
        <v>493</v>
      </c>
      <c r="H284" s="107">
        <f>35000*1.16*1.2*1</f>
        <v>48720</v>
      </c>
    </row>
    <row r="285" spans="3:8">
      <c r="C285" s="735" t="s">
        <v>932</v>
      </c>
      <c r="D285" s="736"/>
      <c r="E285" s="736"/>
      <c r="F285" s="737"/>
      <c r="G285" s="315" t="s">
        <v>493</v>
      </c>
      <c r="H285" s="107">
        <f>35000*1.16*1.2*0.4</f>
        <v>19488</v>
      </c>
    </row>
    <row r="286" spans="3:8">
      <c r="C286" s="735" t="s">
        <v>322</v>
      </c>
      <c r="D286" s="736"/>
      <c r="E286" s="736"/>
      <c r="F286" s="737"/>
      <c r="G286" s="127" t="s">
        <v>493</v>
      </c>
      <c r="H286" s="107">
        <f>99000*1.16*1.2*0.9</f>
        <v>124027.19999999998</v>
      </c>
    </row>
    <row r="287" spans="3:8">
      <c r="C287" s="735" t="s">
        <v>936</v>
      </c>
      <c r="D287" s="736"/>
      <c r="E287" s="736"/>
      <c r="F287" s="737"/>
      <c r="G287" s="127" t="s">
        <v>493</v>
      </c>
      <c r="H287" s="107">
        <f>99000*1.16*1.2*1.91</f>
        <v>263213.27999999991</v>
      </c>
    </row>
    <row r="288" spans="3:8">
      <c r="C288" s="735" t="s">
        <v>937</v>
      </c>
      <c r="D288" s="736"/>
      <c r="E288" s="736"/>
      <c r="F288" s="737"/>
      <c r="G288" s="127" t="s">
        <v>157</v>
      </c>
      <c r="H288" s="107">
        <f>190000*1.16*1.2*0.8</f>
        <v>211583.99999999997</v>
      </c>
    </row>
    <row r="289" spans="3:8">
      <c r="C289" s="735" t="s">
        <v>938</v>
      </c>
      <c r="D289" s="736"/>
      <c r="E289" s="736"/>
      <c r="F289" s="737"/>
      <c r="G289" s="127" t="s">
        <v>157</v>
      </c>
      <c r="H289" s="107">
        <f>190000*1.16*1.2*0.6</f>
        <v>158687.99999999997</v>
      </c>
    </row>
    <row r="290" spans="3:8">
      <c r="C290" s="735" t="s">
        <v>939</v>
      </c>
      <c r="D290" s="736"/>
      <c r="E290" s="736"/>
      <c r="F290" s="737"/>
      <c r="G290" s="127" t="s">
        <v>493</v>
      </c>
      <c r="H290" s="107">
        <f>156000*1.16*1.2</f>
        <v>217152</v>
      </c>
    </row>
    <row r="291" spans="3:8">
      <c r="C291" s="735" t="s">
        <v>215</v>
      </c>
      <c r="D291" s="736"/>
      <c r="E291" s="736"/>
      <c r="F291" s="737"/>
      <c r="G291" s="127" t="s">
        <v>493</v>
      </c>
      <c r="H291" s="107">
        <f>126000*1.16*1.2</f>
        <v>175392</v>
      </c>
    </row>
    <row r="292" spans="3:8" ht="15" customHeight="1">
      <c r="C292" s="735" t="s">
        <v>941</v>
      </c>
      <c r="D292" s="736"/>
      <c r="E292" s="736"/>
      <c r="F292" s="737"/>
      <c r="G292" s="127" t="s">
        <v>157</v>
      </c>
      <c r="H292" s="107">
        <f>1720000*1.16*1.2*0.8</f>
        <v>1915391.9999999998</v>
      </c>
    </row>
    <row r="293" spans="3:8">
      <c r="C293" s="735" t="s">
        <v>942</v>
      </c>
      <c r="D293" s="736"/>
      <c r="E293" s="736"/>
      <c r="F293" s="737"/>
      <c r="G293" s="127" t="s">
        <v>157</v>
      </c>
      <c r="H293" s="107">
        <f>340000*1.16*1.2</f>
        <v>473280</v>
      </c>
    </row>
    <row r="294" spans="3:8">
      <c r="C294" s="735" t="s">
        <v>943</v>
      </c>
      <c r="D294" s="736"/>
      <c r="E294" s="736"/>
      <c r="F294" s="737"/>
      <c r="G294" s="127" t="s">
        <v>157</v>
      </c>
      <c r="H294" s="107">
        <f>420000*1.16*1.2*0.8</f>
        <v>467711.99999999994</v>
      </c>
    </row>
    <row r="295" spans="3:8">
      <c r="C295" s="735" t="s">
        <v>944</v>
      </c>
      <c r="D295" s="736"/>
      <c r="E295" s="736"/>
      <c r="F295" s="737"/>
      <c r="G295" s="127" t="s">
        <v>157</v>
      </c>
      <c r="H295" s="107">
        <f>600000*1.16*1.2*0.8</f>
        <v>668160</v>
      </c>
    </row>
    <row r="296" spans="3:8">
      <c r="C296" s="735" t="s">
        <v>337</v>
      </c>
      <c r="D296" s="736"/>
      <c r="E296" s="736"/>
      <c r="F296" s="737"/>
      <c r="G296" s="127" t="s">
        <v>493</v>
      </c>
      <c r="H296" s="107">
        <f>1314000*2*1.2*1.16</f>
        <v>3658175.9999999995</v>
      </c>
    </row>
    <row r="297" spans="3:8">
      <c r="C297" s="735" t="s">
        <v>314</v>
      </c>
      <c r="D297" s="736"/>
      <c r="E297" s="736"/>
      <c r="F297" s="737"/>
      <c r="G297" s="127" t="s">
        <v>157</v>
      </c>
      <c r="H297" s="107">
        <f>220000*1.2*1.16</f>
        <v>306240</v>
      </c>
    </row>
    <row r="298" spans="3:8">
      <c r="C298" s="735" t="s">
        <v>375</v>
      </c>
      <c r="D298" s="736"/>
      <c r="E298" s="736"/>
      <c r="F298" s="737"/>
      <c r="G298" s="127" t="s">
        <v>157</v>
      </c>
      <c r="H298" s="107">
        <f>2125000*1.16*1.2</f>
        <v>2958000</v>
      </c>
    </row>
    <row r="299" spans="3:8" ht="36.75" customHeight="1">
      <c r="C299" s="735" t="s">
        <v>315</v>
      </c>
      <c r="D299" s="736"/>
      <c r="E299" s="736"/>
      <c r="F299" s="737"/>
      <c r="G299" s="127" t="s">
        <v>157</v>
      </c>
      <c r="H299" s="107">
        <f>600000*1.2*1.16</f>
        <v>835200</v>
      </c>
    </row>
    <row r="300" spans="3:8">
      <c r="C300" s="735" t="s">
        <v>385</v>
      </c>
      <c r="D300" s="736"/>
      <c r="E300" s="736"/>
      <c r="F300" s="737"/>
      <c r="G300" s="127" t="s">
        <v>493</v>
      </c>
      <c r="H300" s="107">
        <f>65000*1.16*1.2</f>
        <v>90480</v>
      </c>
    </row>
    <row r="301" spans="3:8">
      <c r="C301" s="735" t="s">
        <v>946</v>
      </c>
      <c r="D301" s="736"/>
      <c r="E301" s="736"/>
      <c r="F301" s="737"/>
      <c r="G301" s="127" t="s">
        <v>493</v>
      </c>
      <c r="H301" s="107">
        <f>65000*1.16*1.2*1.1</f>
        <v>99528.000000000015</v>
      </c>
    </row>
    <row r="302" spans="3:8" ht="58.5" customHeight="1">
      <c r="C302" s="735" t="s">
        <v>801</v>
      </c>
      <c r="D302" s="736"/>
      <c r="E302" s="736"/>
      <c r="F302" s="737"/>
      <c r="G302" s="127" t="s">
        <v>157</v>
      </c>
      <c r="H302" s="256">
        <f>32383000*1.2*1.16</f>
        <v>45077136</v>
      </c>
    </row>
  </sheetData>
  <mergeCells count="299">
    <mergeCell ref="C302:F302"/>
    <mergeCell ref="C296:F296"/>
    <mergeCell ref="C297:F297"/>
    <mergeCell ref="C298:F298"/>
    <mergeCell ref="C299:F299"/>
    <mergeCell ref="C300:F300"/>
    <mergeCell ref="C301:F301"/>
    <mergeCell ref="C290:F290"/>
    <mergeCell ref="C291:F291"/>
    <mergeCell ref="C292:F292"/>
    <mergeCell ref="C293:F293"/>
    <mergeCell ref="C294:F294"/>
    <mergeCell ref="C295:F295"/>
    <mergeCell ref="C284:F284"/>
    <mergeCell ref="C285:F285"/>
    <mergeCell ref="C286:F286"/>
    <mergeCell ref="C287:F287"/>
    <mergeCell ref="C288:F288"/>
    <mergeCell ref="C289:F289"/>
    <mergeCell ref="C278:F278"/>
    <mergeCell ref="C279:F279"/>
    <mergeCell ref="C280:F280"/>
    <mergeCell ref="C281:F281"/>
    <mergeCell ref="C282:F282"/>
    <mergeCell ref="C283:F283"/>
    <mergeCell ref="C272:F272"/>
    <mergeCell ref="C273:F273"/>
    <mergeCell ref="C274:F274"/>
    <mergeCell ref="C275:F275"/>
    <mergeCell ref="C276:F276"/>
    <mergeCell ref="C277:F277"/>
    <mergeCell ref="C266:F266"/>
    <mergeCell ref="C267:F267"/>
    <mergeCell ref="C268:F268"/>
    <mergeCell ref="C269:F269"/>
    <mergeCell ref="C270:F270"/>
    <mergeCell ref="C271:F271"/>
    <mergeCell ref="C260:F260"/>
    <mergeCell ref="C261:F261"/>
    <mergeCell ref="C262:F262"/>
    <mergeCell ref="C263:F263"/>
    <mergeCell ref="C264:F264"/>
    <mergeCell ref="C265:F265"/>
    <mergeCell ref="C254:F254"/>
    <mergeCell ref="C255:F255"/>
    <mergeCell ref="C256:F256"/>
    <mergeCell ref="C257:F257"/>
    <mergeCell ref="C258:F258"/>
    <mergeCell ref="C259:F259"/>
    <mergeCell ref="C248:F248"/>
    <mergeCell ref="C250:F250"/>
    <mergeCell ref="C249:F249"/>
    <mergeCell ref="C251:F251"/>
    <mergeCell ref="C252:F252"/>
    <mergeCell ref="C253:F253"/>
    <mergeCell ref="C242:F242"/>
    <mergeCell ref="C243:F243"/>
    <mergeCell ref="C244:F244"/>
    <mergeCell ref="C245:F245"/>
    <mergeCell ref="C246:F246"/>
    <mergeCell ref="C247:F247"/>
    <mergeCell ref="C236:F236"/>
    <mergeCell ref="C237:F237"/>
    <mergeCell ref="C238:F238"/>
    <mergeCell ref="C239:F239"/>
    <mergeCell ref="C240:F240"/>
    <mergeCell ref="C241:F241"/>
    <mergeCell ref="C231:F231"/>
    <mergeCell ref="C230:F230"/>
    <mergeCell ref="C232:F232"/>
    <mergeCell ref="C233:F233"/>
    <mergeCell ref="C234:F234"/>
    <mergeCell ref="C235:F235"/>
    <mergeCell ref="C224:F224"/>
    <mergeCell ref="C225:F225"/>
    <mergeCell ref="C226:F226"/>
    <mergeCell ref="C227:F227"/>
    <mergeCell ref="C228:F228"/>
    <mergeCell ref="C229:F229"/>
    <mergeCell ref="C218:F218"/>
    <mergeCell ref="C219:F219"/>
    <mergeCell ref="C220:F220"/>
    <mergeCell ref="C221:F221"/>
    <mergeCell ref="C222:F222"/>
    <mergeCell ref="C223:F223"/>
    <mergeCell ref="C212:F212"/>
    <mergeCell ref="C213:F213"/>
    <mergeCell ref="C214:F214"/>
    <mergeCell ref="C215:F215"/>
    <mergeCell ref="C216:F216"/>
    <mergeCell ref="C217:F217"/>
    <mergeCell ref="C206:F206"/>
    <mergeCell ref="C207:F207"/>
    <mergeCell ref="C208:F208"/>
    <mergeCell ref="C209:F209"/>
    <mergeCell ref="C210:F210"/>
    <mergeCell ref="C211:F211"/>
    <mergeCell ref="C200:F200"/>
    <mergeCell ref="C201:F201"/>
    <mergeCell ref="C202:F202"/>
    <mergeCell ref="C203:F203"/>
    <mergeCell ref="C204:F204"/>
    <mergeCell ref="C205:F205"/>
    <mergeCell ref="C194:F194"/>
    <mergeCell ref="C195:F195"/>
    <mergeCell ref="C196:F196"/>
    <mergeCell ref="C197:F197"/>
    <mergeCell ref="C198:F198"/>
    <mergeCell ref="C199:F199"/>
    <mergeCell ref="C188:F188"/>
    <mergeCell ref="C189:F189"/>
    <mergeCell ref="C190:F190"/>
    <mergeCell ref="C191:F191"/>
    <mergeCell ref="C192:F192"/>
    <mergeCell ref="C193:F193"/>
    <mergeCell ref="C182:F182"/>
    <mergeCell ref="C183:F183"/>
    <mergeCell ref="C184:F184"/>
    <mergeCell ref="C185:F185"/>
    <mergeCell ref="C186:F186"/>
    <mergeCell ref="C187:F187"/>
    <mergeCell ref="C176:F176"/>
    <mergeCell ref="C177:F177"/>
    <mergeCell ref="C178:F178"/>
    <mergeCell ref="C179:F179"/>
    <mergeCell ref="C180:F180"/>
    <mergeCell ref="C181:F181"/>
    <mergeCell ref="C167:F167"/>
    <mergeCell ref="C168:F168"/>
    <mergeCell ref="C169:F169"/>
    <mergeCell ref="C170:F170"/>
    <mergeCell ref="C171:F171"/>
    <mergeCell ref="C172:F172"/>
    <mergeCell ref="C173:F173"/>
    <mergeCell ref="C174:F174"/>
    <mergeCell ref="C175:F175"/>
    <mergeCell ref="C161:F161"/>
    <mergeCell ref="C162:F162"/>
    <mergeCell ref="C163:F163"/>
    <mergeCell ref="C164:F164"/>
    <mergeCell ref="C165:F165"/>
    <mergeCell ref="C166:F166"/>
    <mergeCell ref="C155:F155"/>
    <mergeCell ref="C156:F156"/>
    <mergeCell ref="C157:F157"/>
    <mergeCell ref="C158:F158"/>
    <mergeCell ref="C159:F159"/>
    <mergeCell ref="C160:F160"/>
    <mergeCell ref="C147:F147"/>
    <mergeCell ref="C148:F148"/>
    <mergeCell ref="C149:F149"/>
    <mergeCell ref="C150:F150"/>
    <mergeCell ref="C153:F153"/>
    <mergeCell ref="C154:F154"/>
    <mergeCell ref="C152:F152"/>
    <mergeCell ref="C141:F141"/>
    <mergeCell ref="C142:F142"/>
    <mergeCell ref="C143:F143"/>
    <mergeCell ref="C144:F144"/>
    <mergeCell ref="C145:F145"/>
    <mergeCell ref="C146:F146"/>
    <mergeCell ref="C135:F135"/>
    <mergeCell ref="C136:F136"/>
    <mergeCell ref="C137:F137"/>
    <mergeCell ref="C138:F138"/>
    <mergeCell ref="C139:F139"/>
    <mergeCell ref="C140:F140"/>
    <mergeCell ref="C129:F129"/>
    <mergeCell ref="C130:F130"/>
    <mergeCell ref="C131:F131"/>
    <mergeCell ref="C132:F132"/>
    <mergeCell ref="C133:F133"/>
    <mergeCell ref="C134:F134"/>
    <mergeCell ref="C123:F123"/>
    <mergeCell ref="C124:F124"/>
    <mergeCell ref="C125:F125"/>
    <mergeCell ref="C126:F126"/>
    <mergeCell ref="C127:F127"/>
    <mergeCell ref="C128:F128"/>
    <mergeCell ref="C117:F117"/>
    <mergeCell ref="C118:F118"/>
    <mergeCell ref="C119:F119"/>
    <mergeCell ref="C120:F120"/>
    <mergeCell ref="C121:F121"/>
    <mergeCell ref="C122:F122"/>
    <mergeCell ref="C111:F111"/>
    <mergeCell ref="C112:F112"/>
    <mergeCell ref="C113:F113"/>
    <mergeCell ref="C114:F114"/>
    <mergeCell ref="C115:F115"/>
    <mergeCell ref="C116:F116"/>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9:F69"/>
    <mergeCell ref="C70:F70"/>
    <mergeCell ref="C71:F71"/>
    <mergeCell ref="C72:F72"/>
    <mergeCell ref="C73:F73"/>
    <mergeCell ref="C74:F74"/>
    <mergeCell ref="C63:F63"/>
    <mergeCell ref="C64:F64"/>
    <mergeCell ref="C65:F65"/>
    <mergeCell ref="C66:F66"/>
    <mergeCell ref="C67:F67"/>
    <mergeCell ref="C68:F68"/>
    <mergeCell ref="C57:F57"/>
    <mergeCell ref="C58:F58"/>
    <mergeCell ref="C59:F59"/>
    <mergeCell ref="C60:F60"/>
    <mergeCell ref="C61:F61"/>
    <mergeCell ref="C62:F62"/>
    <mergeCell ref="C51:F51"/>
    <mergeCell ref="C52:F52"/>
    <mergeCell ref="C53:F53"/>
    <mergeCell ref="C54:F54"/>
    <mergeCell ref="C55:F55"/>
    <mergeCell ref="C56:F56"/>
    <mergeCell ref="C45:F45"/>
    <mergeCell ref="C46:F46"/>
    <mergeCell ref="C47:F47"/>
    <mergeCell ref="C48:F48"/>
    <mergeCell ref="C49:F49"/>
    <mergeCell ref="C50:F50"/>
    <mergeCell ref="C39:F39"/>
    <mergeCell ref="C40:F40"/>
    <mergeCell ref="C41:F41"/>
    <mergeCell ref="C42:F42"/>
    <mergeCell ref="C43:F43"/>
    <mergeCell ref="C44:F44"/>
    <mergeCell ref="C33:F33"/>
    <mergeCell ref="C34:F34"/>
    <mergeCell ref="C35:F35"/>
    <mergeCell ref="C36:F36"/>
    <mergeCell ref="C37:F37"/>
    <mergeCell ref="C38:F38"/>
    <mergeCell ref="C27:F27"/>
    <mergeCell ref="C28:F28"/>
    <mergeCell ref="C29:F29"/>
    <mergeCell ref="C30:F30"/>
    <mergeCell ref="C31:F31"/>
    <mergeCell ref="C32:F32"/>
    <mergeCell ref="C21:F21"/>
    <mergeCell ref="C22:F22"/>
    <mergeCell ref="C23:F23"/>
    <mergeCell ref="C24:F24"/>
    <mergeCell ref="C25:F25"/>
    <mergeCell ref="C26:F26"/>
    <mergeCell ref="C18:F18"/>
    <mergeCell ref="C19:F19"/>
    <mergeCell ref="C20:F20"/>
    <mergeCell ref="C11:F11"/>
    <mergeCell ref="C12:F12"/>
    <mergeCell ref="C13:F13"/>
    <mergeCell ref="C14:F14"/>
    <mergeCell ref="C15:F15"/>
    <mergeCell ref="C16:F16"/>
    <mergeCell ref="C2:H2"/>
    <mergeCell ref="C4:F4"/>
    <mergeCell ref="C5:F5"/>
    <mergeCell ref="C6:F6"/>
    <mergeCell ref="C7:F7"/>
    <mergeCell ref="C8:F8"/>
    <mergeCell ref="C9:F9"/>
    <mergeCell ref="C10:F10"/>
    <mergeCell ref="C17:F17"/>
  </mergeCells>
  <pageMargins left="0.70866141732283472" right="0.70866141732283472" top="0.74803149606299213" bottom="0.74803149606299213" header="0.31496062992125984" footer="0.31496062992125984"/>
  <pageSetup paperSize="130" scale="62" fitToHeight="5" orientation="portrait"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
  <sheetViews>
    <sheetView workbookViewId="0">
      <selection activeCell="F16" sqref="F16"/>
    </sheetView>
  </sheetViews>
  <sheetFormatPr baseColWidth="10" defaultColWidth="10.85546875" defaultRowHeight="16.5"/>
  <cols>
    <col min="1" max="1" width="10.85546875" style="329"/>
    <col min="2" max="2" width="13.85546875" style="329" customWidth="1"/>
    <col min="3" max="3" width="15.28515625" style="329" customWidth="1"/>
    <col min="4" max="4" width="25.42578125" style="329" customWidth="1"/>
    <col min="5" max="6" width="10.85546875" style="329"/>
    <col min="7" max="7" width="15.85546875" style="329" bestFit="1" customWidth="1"/>
    <col min="8" max="8" width="17" style="329" customWidth="1"/>
    <col min="9" max="10" width="10.85546875" style="329"/>
    <col min="11" max="11" width="15.140625" style="329" customWidth="1"/>
    <col min="12" max="13" width="10.85546875" style="329"/>
    <col min="14" max="14" width="13.28515625" style="329" bestFit="1" customWidth="1"/>
    <col min="15" max="16384" width="10.85546875" style="329"/>
  </cols>
  <sheetData>
    <row r="1" spans="1:11" ht="45.75" customHeight="1">
      <c r="A1" s="619" t="s">
        <v>1662</v>
      </c>
      <c r="B1" s="620"/>
      <c r="C1" s="620"/>
      <c r="D1" s="620"/>
    </row>
    <row r="2" spans="1:11">
      <c r="A2" s="619" t="s">
        <v>1677</v>
      </c>
      <c r="B2" s="620"/>
      <c r="C2" s="620"/>
      <c r="D2" s="620"/>
    </row>
    <row r="3" spans="1:11">
      <c r="A3" s="533"/>
      <c r="B3" s="533"/>
      <c r="C3" s="534"/>
      <c r="D3" s="535"/>
    </row>
    <row r="4" spans="1:11" ht="27" customHeight="1" thickBot="1">
      <c r="A4" s="619" t="s">
        <v>392</v>
      </c>
      <c r="B4" s="620"/>
      <c r="C4" s="620"/>
      <c r="D4" s="513" t="s">
        <v>1675</v>
      </c>
    </row>
    <row r="5" spans="1:11" ht="32.25" customHeight="1">
      <c r="A5" s="739" t="s">
        <v>1676</v>
      </c>
      <c r="B5" s="740"/>
      <c r="C5" s="741"/>
      <c r="D5" s="536">
        <f>+'PPTO  Obra Civil '!F433</f>
        <v>6110118727</v>
      </c>
    </row>
    <row r="6" spans="1:11" ht="24" customHeight="1">
      <c r="A6" s="742" t="s">
        <v>1671</v>
      </c>
      <c r="B6" s="743"/>
      <c r="C6" s="744"/>
      <c r="D6" s="537">
        <f>+'PPTO Suministros '!F177</f>
        <v>1611804385</v>
      </c>
    </row>
    <row r="7" spans="1:11" ht="32.25" customHeight="1">
      <c r="A7" s="619" t="s">
        <v>1678</v>
      </c>
      <c r="B7" s="620"/>
      <c r="C7" s="620"/>
      <c r="D7" s="514">
        <f>SUM(D5:D6)</f>
        <v>7721923112</v>
      </c>
    </row>
    <row r="10" spans="1:11">
      <c r="H10" s="568"/>
      <c r="K10" s="568"/>
    </row>
    <row r="11" spans="1:11">
      <c r="G11" s="471"/>
      <c r="H11" s="568"/>
      <c r="K11" s="569"/>
    </row>
    <row r="12" spans="1:11">
      <c r="G12" s="471"/>
    </row>
    <row r="13" spans="1:11">
      <c r="G13" s="471"/>
    </row>
    <row r="14" spans="1:11">
      <c r="G14" s="471"/>
    </row>
  </sheetData>
  <sheetProtection password="DF72" sheet="1" objects="1" scenarios="1"/>
  <mergeCells count="6">
    <mergeCell ref="A7:C7"/>
    <mergeCell ref="A1:D1"/>
    <mergeCell ref="A2:D2"/>
    <mergeCell ref="A4:C4"/>
    <mergeCell ref="A5:C5"/>
    <mergeCell ref="A6:C6"/>
  </mergeCells>
  <phoneticPr fontId="49" type="noConversion"/>
  <pageMargins left="0.7" right="0.7" top="0.75" bottom="0.75" header="0.3" footer="0.3"/>
  <pageSetup scale="91" orientation="portrait" horizontalDpi="4294967292" verticalDpi="4294967292" r:id="rId1"/>
  <extLst>
    <ext xmlns:mx="http://schemas.microsoft.com/office/mac/excel/2008/main" uri="{64002731-A6B0-56B0-2670-7721B7C09600}">
      <mx:PLV Mode="0" OnePage="0" WScale="8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1"/>
  <sheetViews>
    <sheetView topLeftCell="B424" zoomScale="106" zoomScaleNormal="106" zoomScalePageLayoutView="106" workbookViewId="0">
      <selection activeCell="D442" sqref="D442"/>
    </sheetView>
  </sheetViews>
  <sheetFormatPr baseColWidth="10" defaultColWidth="10.85546875" defaultRowHeight="15.95" customHeight="1"/>
  <cols>
    <col min="1" max="1" width="19.85546875" style="329" customWidth="1"/>
    <col min="2" max="2" width="42.7109375" style="464" customWidth="1"/>
    <col min="3" max="3" width="8.42578125" style="329" customWidth="1"/>
    <col min="4" max="4" width="11.28515625" style="329" customWidth="1"/>
    <col min="5" max="5" width="17" style="329" bestFit="1" customWidth="1"/>
    <col min="6" max="6" width="24.140625" style="332" customWidth="1"/>
    <col min="7" max="7" width="15.85546875" style="329" bestFit="1" customWidth="1"/>
    <col min="8" max="8" width="19.7109375" style="329" bestFit="1" customWidth="1"/>
    <col min="9" max="9" width="15.42578125" style="329" customWidth="1"/>
    <col min="10" max="16384" width="10.85546875" style="329"/>
  </cols>
  <sheetData>
    <row r="1" spans="1:8" s="328" customFormat="1" ht="15.95" customHeight="1">
      <c r="A1" s="619" t="s">
        <v>163</v>
      </c>
      <c r="B1" s="620"/>
      <c r="C1" s="620"/>
      <c r="D1" s="620"/>
      <c r="E1" s="620"/>
      <c r="F1" s="621"/>
    </row>
    <row r="3" spans="1:8" ht="15.95" customHeight="1">
      <c r="A3" s="599" t="s">
        <v>0</v>
      </c>
      <c r="B3" s="600" t="s">
        <v>1</v>
      </c>
      <c r="C3" s="599" t="s">
        <v>157</v>
      </c>
      <c r="D3" s="599" t="s">
        <v>155</v>
      </c>
      <c r="E3" s="602" t="s">
        <v>156</v>
      </c>
      <c r="F3" s="604" t="s">
        <v>154</v>
      </c>
    </row>
    <row r="4" spans="1:8" ht="15.95" customHeight="1">
      <c r="A4" s="599"/>
      <c r="B4" s="600"/>
      <c r="C4" s="599"/>
      <c r="D4" s="599"/>
      <c r="E4" s="603"/>
      <c r="F4" s="604"/>
    </row>
    <row r="5" spans="1:8" ht="15.95" customHeight="1">
      <c r="A5" s="330"/>
      <c r="B5" s="331"/>
      <c r="C5" s="330"/>
    </row>
    <row r="6" spans="1:8" ht="15.95" customHeight="1">
      <c r="A6" s="333">
        <v>1</v>
      </c>
      <c r="B6" s="334" t="s">
        <v>2</v>
      </c>
      <c r="C6" s="335"/>
      <c r="D6" s="335"/>
      <c r="E6" s="335"/>
      <c r="F6" s="336"/>
    </row>
    <row r="7" spans="1:8" s="341" customFormat="1" ht="15.95" customHeight="1">
      <c r="A7" s="337" t="s">
        <v>86</v>
      </c>
      <c r="B7" s="207" t="s">
        <v>54</v>
      </c>
      <c r="C7" s="338" t="s">
        <v>66</v>
      </c>
      <c r="D7" s="339">
        <v>6434</v>
      </c>
      <c r="E7" s="340">
        <f>+'APU´s civil 1 '!H26</f>
        <v>5015</v>
      </c>
      <c r="F7" s="340">
        <f>D7*E7</f>
        <v>32266510</v>
      </c>
    </row>
    <row r="8" spans="1:8" s="341" customFormat="1" ht="15.95" customHeight="1">
      <c r="A8" s="337" t="s">
        <v>87</v>
      </c>
      <c r="B8" s="207" t="s">
        <v>3</v>
      </c>
      <c r="C8" s="337" t="s">
        <v>65</v>
      </c>
      <c r="D8" s="339">
        <v>21516.5</v>
      </c>
      <c r="E8" s="342">
        <f>+'APU´s civil 1 '!H54</f>
        <v>2954</v>
      </c>
      <c r="F8" s="340">
        <f>D8*E8</f>
        <v>63559741</v>
      </c>
    </row>
    <row r="9" spans="1:8" s="341" customFormat="1" ht="15.95" customHeight="1">
      <c r="A9" s="337" t="s">
        <v>88</v>
      </c>
      <c r="B9" s="207" t="s">
        <v>216</v>
      </c>
      <c r="C9" s="337" t="s">
        <v>8</v>
      </c>
      <c r="D9" s="339">
        <v>2381.15</v>
      </c>
      <c r="E9" s="342">
        <f>+'APU´s civil 1 '!H82</f>
        <v>1441</v>
      </c>
      <c r="F9" s="340">
        <f>D9*E9</f>
        <v>3431237.15</v>
      </c>
    </row>
    <row r="10" spans="1:8" ht="15.95" customHeight="1">
      <c r="A10" s="608" t="s">
        <v>958</v>
      </c>
      <c r="B10" s="609"/>
      <c r="C10" s="609"/>
      <c r="D10" s="609"/>
      <c r="E10" s="610"/>
      <c r="F10" s="343">
        <f>SUM(F7:F9)</f>
        <v>99257488.150000006</v>
      </c>
      <c r="H10" s="344"/>
    </row>
    <row r="11" spans="1:8" ht="71.25" customHeight="1">
      <c r="A11" s="333">
        <v>2</v>
      </c>
      <c r="B11" s="576" t="s">
        <v>78</v>
      </c>
      <c r="C11" s="577"/>
      <c r="D11" s="577"/>
      <c r="E11" s="577"/>
      <c r="F11" s="578"/>
    </row>
    <row r="12" spans="1:8" ht="15.95" customHeight="1">
      <c r="A12" s="333" t="s">
        <v>4</v>
      </c>
      <c r="B12" s="345" t="s">
        <v>5</v>
      </c>
      <c r="C12" s="346"/>
      <c r="D12" s="346"/>
      <c r="E12" s="346"/>
      <c r="F12" s="347"/>
    </row>
    <row r="13" spans="1:8" ht="15.95" customHeight="1">
      <c r="A13" s="348" t="s">
        <v>89</v>
      </c>
      <c r="B13" s="204" t="s">
        <v>280</v>
      </c>
      <c r="C13" s="349" t="s">
        <v>66</v>
      </c>
      <c r="D13" s="350">
        <v>1228.0999999999999</v>
      </c>
      <c r="E13" s="351">
        <f>+'APU´s civil 1 '!H109</f>
        <v>8829</v>
      </c>
      <c r="F13" s="352">
        <f t="shared" ref="F13:F42" si="0">D13*E13</f>
        <v>10842894.899999999</v>
      </c>
    </row>
    <row r="14" spans="1:8" ht="15.95" customHeight="1">
      <c r="A14" s="348" t="s">
        <v>90</v>
      </c>
      <c r="B14" s="204" t="s">
        <v>55</v>
      </c>
      <c r="C14" s="348" t="s">
        <v>66</v>
      </c>
      <c r="D14" s="350">
        <v>1228.0999999999999</v>
      </c>
      <c r="E14" s="351">
        <f>+'APU´s civil 1 '!H135</f>
        <v>16226</v>
      </c>
      <c r="F14" s="352">
        <f t="shared" si="0"/>
        <v>19927150.599999998</v>
      </c>
    </row>
    <row r="15" spans="1:8" ht="33">
      <c r="A15" s="348" t="s">
        <v>91</v>
      </c>
      <c r="B15" s="353" t="s">
        <v>275</v>
      </c>
      <c r="C15" s="348" t="s">
        <v>66</v>
      </c>
      <c r="D15" s="350">
        <v>130.19999999999999</v>
      </c>
      <c r="E15" s="351">
        <f>+'APU´s civil 1 '!H164</f>
        <v>38125</v>
      </c>
      <c r="F15" s="352">
        <f t="shared" si="0"/>
        <v>4963875</v>
      </c>
    </row>
    <row r="16" spans="1:8" ht="33">
      <c r="A16" s="348" t="s">
        <v>92</v>
      </c>
      <c r="B16" s="353" t="s">
        <v>959</v>
      </c>
      <c r="C16" s="348" t="s">
        <v>65</v>
      </c>
      <c r="D16" s="350">
        <v>436.6</v>
      </c>
      <c r="E16" s="351">
        <f>+'APU´s civil 1 '!H189</f>
        <v>4003</v>
      </c>
      <c r="F16" s="352">
        <f t="shared" si="0"/>
        <v>1747709.8</v>
      </c>
    </row>
    <row r="17" spans="1:7" ht="15.95" customHeight="1">
      <c r="A17" s="348" t="s">
        <v>93</v>
      </c>
      <c r="B17" s="353" t="s">
        <v>69</v>
      </c>
      <c r="C17" s="348" t="s">
        <v>65</v>
      </c>
      <c r="D17" s="350">
        <v>434</v>
      </c>
      <c r="E17" s="351">
        <f>+'APU´s civil 1 '!H648</f>
        <v>8043</v>
      </c>
      <c r="F17" s="352">
        <f t="shared" si="0"/>
        <v>3490662</v>
      </c>
      <c r="G17" s="329" t="s">
        <v>77</v>
      </c>
    </row>
    <row r="18" spans="1:7" ht="33">
      <c r="A18" s="348" t="s">
        <v>94</v>
      </c>
      <c r="B18" s="204" t="s">
        <v>50</v>
      </c>
      <c r="C18" s="349" t="s">
        <v>66</v>
      </c>
      <c r="D18" s="350">
        <v>21.7</v>
      </c>
      <c r="E18" s="351">
        <f>+'APU´s civil 1 '!H215</f>
        <v>32850</v>
      </c>
      <c r="F18" s="352">
        <f t="shared" si="0"/>
        <v>712845</v>
      </c>
    </row>
    <row r="19" spans="1:7" ht="49.5">
      <c r="A19" s="348" t="s">
        <v>95</v>
      </c>
      <c r="B19" s="204" t="s">
        <v>164</v>
      </c>
      <c r="C19" s="349" t="s">
        <v>66</v>
      </c>
      <c r="D19" s="350">
        <v>130.19999999999999</v>
      </c>
      <c r="E19" s="351">
        <f>+'APU´s civil 1 '!H279</f>
        <v>671139</v>
      </c>
      <c r="F19" s="352">
        <f t="shared" si="0"/>
        <v>87382297.799999997</v>
      </c>
    </row>
    <row r="20" spans="1:7" ht="69.75" customHeight="1">
      <c r="A20" s="348" t="s">
        <v>96</v>
      </c>
      <c r="B20" s="204" t="s">
        <v>165</v>
      </c>
      <c r="C20" s="349" t="s">
        <v>66</v>
      </c>
      <c r="D20" s="350">
        <v>42.7</v>
      </c>
      <c r="E20" s="351">
        <f>+'APU´s civil 1 '!H313</f>
        <v>737263</v>
      </c>
      <c r="F20" s="352">
        <f t="shared" si="0"/>
        <v>31481130.100000001</v>
      </c>
    </row>
    <row r="21" spans="1:7" ht="36" customHeight="1">
      <c r="A21" s="348" t="s">
        <v>97</v>
      </c>
      <c r="B21" s="204" t="s">
        <v>49</v>
      </c>
      <c r="C21" s="349" t="s">
        <v>6</v>
      </c>
      <c r="D21" s="350">
        <v>17200</v>
      </c>
      <c r="E21" s="351">
        <f>+'APU´s civil 1 '!H340</f>
        <v>3201</v>
      </c>
      <c r="F21" s="352">
        <f t="shared" si="0"/>
        <v>55057200</v>
      </c>
    </row>
    <row r="22" spans="1:7" ht="33">
      <c r="A22" s="348" t="s">
        <v>98</v>
      </c>
      <c r="B22" s="204" t="s">
        <v>795</v>
      </c>
      <c r="C22" s="349" t="s">
        <v>8</v>
      </c>
      <c r="D22" s="350">
        <v>69</v>
      </c>
      <c r="E22" s="351">
        <f>+'APU´s civil 1 '!H365</f>
        <v>27799</v>
      </c>
      <c r="F22" s="352">
        <f t="shared" si="0"/>
        <v>1918131</v>
      </c>
    </row>
    <row r="23" spans="1:7" ht="16.5">
      <c r="A23" s="348" t="s">
        <v>99</v>
      </c>
      <c r="B23" s="354" t="s">
        <v>783</v>
      </c>
      <c r="C23" s="349" t="s">
        <v>7</v>
      </c>
      <c r="D23" s="350">
        <v>1</v>
      </c>
      <c r="E23" s="351">
        <f>+'APU´s civil 1 '!H413</f>
        <v>242862</v>
      </c>
      <c r="F23" s="352">
        <f t="shared" si="0"/>
        <v>242862</v>
      </c>
    </row>
    <row r="24" spans="1:7" ht="15.95" customHeight="1">
      <c r="A24" s="348" t="s">
        <v>100</v>
      </c>
      <c r="B24" s="354" t="s">
        <v>784</v>
      </c>
      <c r="C24" s="355" t="s">
        <v>7</v>
      </c>
      <c r="D24" s="350">
        <v>4</v>
      </c>
      <c r="E24" s="351">
        <f>+'APU´s civil 1 '!H438</f>
        <v>331975</v>
      </c>
      <c r="F24" s="352">
        <f t="shared" si="0"/>
        <v>1327900</v>
      </c>
    </row>
    <row r="25" spans="1:7" ht="33">
      <c r="A25" s="348" t="s">
        <v>247</v>
      </c>
      <c r="B25" s="354" t="s">
        <v>48</v>
      </c>
      <c r="C25" s="356" t="s">
        <v>66</v>
      </c>
      <c r="D25" s="350">
        <f>1.5*4</f>
        <v>6</v>
      </c>
      <c r="E25" s="351">
        <f>+'APU´s civil 1 '!H464</f>
        <v>596117</v>
      </c>
      <c r="F25" s="352">
        <f t="shared" si="0"/>
        <v>3576702</v>
      </c>
    </row>
    <row r="26" spans="1:7" ht="33">
      <c r="A26" s="348" t="s">
        <v>101</v>
      </c>
      <c r="B26" s="354" t="s">
        <v>239</v>
      </c>
      <c r="C26" s="356" t="s">
        <v>66</v>
      </c>
      <c r="D26" s="350">
        <f>(3.65*2)+4</f>
        <v>11.3</v>
      </c>
      <c r="E26" s="351">
        <f>+'APU´s civil 1 '!H490</f>
        <v>558013</v>
      </c>
      <c r="F26" s="352">
        <f t="shared" si="0"/>
        <v>6305546.9000000004</v>
      </c>
    </row>
    <row r="27" spans="1:7" ht="33">
      <c r="A27" s="348" t="s">
        <v>102</v>
      </c>
      <c r="B27" s="354" t="s">
        <v>240</v>
      </c>
      <c r="C27" s="356" t="s">
        <v>66</v>
      </c>
      <c r="D27" s="350">
        <v>4</v>
      </c>
      <c r="E27" s="351">
        <f>+'APU´s civil 1 '!H516</f>
        <v>571440</v>
      </c>
      <c r="F27" s="352">
        <f t="shared" si="0"/>
        <v>2285760</v>
      </c>
    </row>
    <row r="28" spans="1:7" ht="33">
      <c r="A28" s="348" t="s">
        <v>103</v>
      </c>
      <c r="B28" s="357" t="s">
        <v>242</v>
      </c>
      <c r="C28" s="358" t="s">
        <v>65</v>
      </c>
      <c r="D28" s="350">
        <f>79.91+88.07+60.5+67</f>
        <v>295.48</v>
      </c>
      <c r="E28" s="351">
        <f>+'APU´s civil 1 '!H542</f>
        <v>60274</v>
      </c>
      <c r="F28" s="352">
        <f t="shared" si="0"/>
        <v>17809761.52</v>
      </c>
    </row>
    <row r="29" spans="1:7" ht="33">
      <c r="A29" s="348" t="s">
        <v>248</v>
      </c>
      <c r="B29" s="357" t="s">
        <v>785</v>
      </c>
      <c r="C29" s="356" t="s">
        <v>8</v>
      </c>
      <c r="D29" s="350">
        <f>46.652+5.025+12.81</f>
        <v>64.486999999999995</v>
      </c>
      <c r="E29" s="351">
        <f>+'APU´s civil 1 '!H568</f>
        <v>47789</v>
      </c>
      <c r="F29" s="352">
        <f t="shared" si="0"/>
        <v>3081769.2429999998</v>
      </c>
    </row>
    <row r="30" spans="1:7" ht="33">
      <c r="A30" s="348" t="s">
        <v>104</v>
      </c>
      <c r="B30" s="357" t="s">
        <v>381</v>
      </c>
      <c r="C30" s="358" t="s">
        <v>66</v>
      </c>
      <c r="D30" s="350">
        <v>125</v>
      </c>
      <c r="E30" s="351">
        <f>+'APU´s civil 1 '!H595</f>
        <v>8912</v>
      </c>
      <c r="F30" s="352">
        <f t="shared" si="0"/>
        <v>1114000</v>
      </c>
    </row>
    <row r="31" spans="1:7" ht="33">
      <c r="A31" s="348" t="s">
        <v>1064</v>
      </c>
      <c r="B31" s="359" t="s">
        <v>330</v>
      </c>
      <c r="C31" s="337" t="s">
        <v>7</v>
      </c>
      <c r="D31" s="339">
        <v>5</v>
      </c>
      <c r="E31" s="342">
        <f>+'APU´s civil 1 '!H675</f>
        <v>108751</v>
      </c>
      <c r="F31" s="340">
        <f t="shared" si="0"/>
        <v>543755</v>
      </c>
    </row>
    <row r="32" spans="1:7" ht="33">
      <c r="A32" s="348" t="s">
        <v>329</v>
      </c>
      <c r="B32" s="207" t="s">
        <v>1005</v>
      </c>
      <c r="C32" s="338" t="s">
        <v>65</v>
      </c>
      <c r="D32" s="360">
        <f>0.902+1.659+0.708+0.893+4.753+2.835+(2.366*8)+(1.62*2)+(2.818*8)+2.237</f>
        <v>58.699000000000005</v>
      </c>
      <c r="E32" s="342">
        <f>+'APU'' civil 2'!H155</f>
        <v>619935</v>
      </c>
      <c r="F32" s="340">
        <f t="shared" si="0"/>
        <v>36389564.565000005</v>
      </c>
    </row>
    <row r="33" spans="1:6" ht="33">
      <c r="A33" s="348" t="s">
        <v>1065</v>
      </c>
      <c r="B33" s="207" t="s">
        <v>244</v>
      </c>
      <c r="C33" s="338" t="s">
        <v>7</v>
      </c>
      <c r="D33" s="337">
        <v>34</v>
      </c>
      <c r="E33" s="342">
        <f>+'APU'' civil 2'!H180</f>
        <v>114730.49999999999</v>
      </c>
      <c r="F33" s="340">
        <f t="shared" si="0"/>
        <v>3900836.9999999995</v>
      </c>
    </row>
    <row r="34" spans="1:6" ht="16.5">
      <c r="A34" s="348" t="s">
        <v>1066</v>
      </c>
      <c r="B34" s="207" t="s">
        <v>245</v>
      </c>
      <c r="C34" s="338" t="s">
        <v>7</v>
      </c>
      <c r="D34" s="337">
        <v>1</v>
      </c>
      <c r="E34" s="342">
        <f>+'APU'' civil 2'!H26</f>
        <v>45079</v>
      </c>
      <c r="F34" s="340">
        <f t="shared" si="0"/>
        <v>45079</v>
      </c>
    </row>
    <row r="35" spans="1:6" ht="16.5">
      <c r="A35" s="348" t="s">
        <v>1067</v>
      </c>
      <c r="B35" s="207" t="s">
        <v>51</v>
      </c>
      <c r="C35" s="338" t="s">
        <v>7</v>
      </c>
      <c r="D35" s="337">
        <v>2</v>
      </c>
      <c r="E35" s="342">
        <f>+'APU'' civil 2'!H52</f>
        <v>163139</v>
      </c>
      <c r="F35" s="340">
        <f t="shared" si="0"/>
        <v>326278</v>
      </c>
    </row>
    <row r="36" spans="1:6" ht="15.95" customHeight="1">
      <c r="A36" s="348" t="s">
        <v>1068</v>
      </c>
      <c r="B36" s="207" t="s">
        <v>52</v>
      </c>
      <c r="C36" s="338" t="s">
        <v>7</v>
      </c>
      <c r="D36" s="337">
        <v>2</v>
      </c>
      <c r="E36" s="342">
        <f>+'APU'' civil 2'!H79</f>
        <v>103389</v>
      </c>
      <c r="F36" s="340">
        <f t="shared" si="0"/>
        <v>206778</v>
      </c>
    </row>
    <row r="37" spans="1:6" ht="66">
      <c r="A37" s="348" t="s">
        <v>1069</v>
      </c>
      <c r="B37" s="359" t="s">
        <v>160</v>
      </c>
      <c r="C37" s="338" t="s">
        <v>7</v>
      </c>
      <c r="D37" s="337">
        <v>2</v>
      </c>
      <c r="E37" s="342">
        <f>+'APU'' civil 2'!H205</f>
        <v>799666.5</v>
      </c>
      <c r="F37" s="340">
        <f t="shared" si="0"/>
        <v>1599333</v>
      </c>
    </row>
    <row r="38" spans="1:6" ht="66">
      <c r="A38" s="348" t="s">
        <v>1070</v>
      </c>
      <c r="B38" s="359" t="s">
        <v>161</v>
      </c>
      <c r="C38" s="337" t="s">
        <v>7</v>
      </c>
      <c r="D38" s="337">
        <v>2</v>
      </c>
      <c r="E38" s="342">
        <f>+'APU'' civil 2'!H229</f>
        <v>1342830.4999999998</v>
      </c>
      <c r="F38" s="340">
        <f t="shared" si="0"/>
        <v>2685660.9999999995</v>
      </c>
    </row>
    <row r="39" spans="1:6" ht="15.95" customHeight="1">
      <c r="A39" s="348" t="s">
        <v>1071</v>
      </c>
      <c r="B39" s="359" t="s">
        <v>70</v>
      </c>
      <c r="C39" s="361" t="s">
        <v>65</v>
      </c>
      <c r="D39" s="360">
        <f>'Memoria de Calculo'!D125</f>
        <v>433.97199999999998</v>
      </c>
      <c r="E39" s="342">
        <f>+'APU'' civil 2'!H308</f>
        <v>33158</v>
      </c>
      <c r="F39" s="340">
        <f t="shared" si="0"/>
        <v>14389643.575999999</v>
      </c>
    </row>
    <row r="40" spans="1:6" ht="33">
      <c r="A40" s="348" t="s">
        <v>1072</v>
      </c>
      <c r="B40" s="362" t="s">
        <v>992</v>
      </c>
      <c r="C40" s="363" t="s">
        <v>8</v>
      </c>
      <c r="D40" s="360">
        <v>6</v>
      </c>
      <c r="E40" s="342">
        <f>+'APU'' civil 3'!H26</f>
        <v>5403</v>
      </c>
      <c r="F40" s="340">
        <f t="shared" si="0"/>
        <v>32418</v>
      </c>
    </row>
    <row r="41" spans="1:6" ht="33">
      <c r="A41" s="348" t="s">
        <v>1073</v>
      </c>
      <c r="B41" s="362" t="s">
        <v>994</v>
      </c>
      <c r="C41" s="363" t="s">
        <v>8</v>
      </c>
      <c r="D41" s="360">
        <v>34.86</v>
      </c>
      <c r="E41" s="342">
        <f>+'APU'' civil 3'!H53</f>
        <v>26928</v>
      </c>
      <c r="F41" s="340">
        <f t="shared" si="0"/>
        <v>938710.08</v>
      </c>
    </row>
    <row r="42" spans="1:6" ht="33">
      <c r="A42" s="348" t="s">
        <v>1074</v>
      </c>
      <c r="B42" s="362" t="s">
        <v>993</v>
      </c>
      <c r="C42" s="363" t="s">
        <v>8</v>
      </c>
      <c r="D42" s="360">
        <v>7.7480000000000002</v>
      </c>
      <c r="E42" s="342">
        <f>+'APU'' civil 3'!H80</f>
        <v>10181</v>
      </c>
      <c r="F42" s="340">
        <f t="shared" si="0"/>
        <v>78882.388000000006</v>
      </c>
    </row>
    <row r="43" spans="1:6" ht="16.5">
      <c r="A43" s="608" t="s">
        <v>1003</v>
      </c>
      <c r="B43" s="609"/>
      <c r="C43" s="609"/>
      <c r="D43" s="609"/>
      <c r="E43" s="610"/>
      <c r="F43" s="343">
        <f>SUM(F13:F42)</f>
        <v>314405137.472</v>
      </c>
    </row>
    <row r="44" spans="1:6" ht="15.95" customHeight="1">
      <c r="A44" s="333">
        <v>3</v>
      </c>
      <c r="B44" s="576" t="s">
        <v>74</v>
      </c>
      <c r="C44" s="577"/>
      <c r="D44" s="577"/>
      <c r="E44" s="577"/>
      <c r="F44" s="578"/>
    </row>
    <row r="45" spans="1:6" ht="15.95" customHeight="1">
      <c r="A45" s="333" t="s">
        <v>11</v>
      </c>
      <c r="B45" s="334" t="s">
        <v>5</v>
      </c>
      <c r="C45" s="364"/>
      <c r="D45" s="364"/>
      <c r="E45" s="364"/>
      <c r="F45" s="365"/>
    </row>
    <row r="46" spans="1:6" ht="15.95" customHeight="1">
      <c r="A46" s="337" t="s">
        <v>116</v>
      </c>
      <c r="B46" s="207" t="s">
        <v>280</v>
      </c>
      <c r="C46" s="337" t="s">
        <v>66</v>
      </c>
      <c r="D46" s="360">
        <v>369</v>
      </c>
      <c r="E46" s="342">
        <f>+'APU´s civil 1 '!H109</f>
        <v>8829</v>
      </c>
      <c r="F46" s="340">
        <f t="shared" ref="F46:F66" si="1">D46*E46</f>
        <v>3257901</v>
      </c>
    </row>
    <row r="47" spans="1:6" ht="15.95" customHeight="1">
      <c r="A47" s="337" t="s">
        <v>117</v>
      </c>
      <c r="B47" s="207" t="s">
        <v>55</v>
      </c>
      <c r="C47" s="337" t="s">
        <v>66</v>
      </c>
      <c r="D47" s="360">
        <v>369</v>
      </c>
      <c r="E47" s="342">
        <f>+'APU´s civil 1 '!H135</f>
        <v>16226</v>
      </c>
      <c r="F47" s="340">
        <f t="shared" si="1"/>
        <v>5987394</v>
      </c>
    </row>
    <row r="48" spans="1:6" ht="15.95" customHeight="1">
      <c r="A48" s="337" t="s">
        <v>118</v>
      </c>
      <c r="B48" s="353" t="s">
        <v>69</v>
      </c>
      <c r="C48" s="337" t="s">
        <v>65</v>
      </c>
      <c r="D48" s="360">
        <v>64.400000000000006</v>
      </c>
      <c r="E48" s="342">
        <f>+'APU´s civil 1 '!H648</f>
        <v>8043</v>
      </c>
      <c r="F48" s="340">
        <f t="shared" si="1"/>
        <v>517969.20000000007</v>
      </c>
    </row>
    <row r="49" spans="1:6" ht="33">
      <c r="A49" s="337" t="s">
        <v>119</v>
      </c>
      <c r="B49" s="207" t="s">
        <v>277</v>
      </c>
      <c r="C49" s="337" t="s">
        <v>66</v>
      </c>
      <c r="D49" s="360">
        <v>19.3</v>
      </c>
      <c r="E49" s="342">
        <f>+'APU´s civil 1 '!H164</f>
        <v>38125</v>
      </c>
      <c r="F49" s="340">
        <f t="shared" si="1"/>
        <v>735812.5</v>
      </c>
    </row>
    <row r="50" spans="1:6" ht="33">
      <c r="A50" s="337" t="s">
        <v>120</v>
      </c>
      <c r="B50" s="353" t="s">
        <v>959</v>
      </c>
      <c r="C50" s="337" t="s">
        <v>65</v>
      </c>
      <c r="D50" s="360">
        <v>67</v>
      </c>
      <c r="E50" s="342">
        <f>+'APU´s civil 1 '!H189</f>
        <v>4003</v>
      </c>
      <c r="F50" s="340">
        <f t="shared" si="1"/>
        <v>268201</v>
      </c>
    </row>
    <row r="51" spans="1:6" ht="33">
      <c r="A51" s="337" t="s">
        <v>121</v>
      </c>
      <c r="B51" s="207" t="s">
        <v>50</v>
      </c>
      <c r="C51" s="337" t="s">
        <v>65</v>
      </c>
      <c r="D51" s="360">
        <v>3.2</v>
      </c>
      <c r="E51" s="342">
        <f>+'APU´s civil 1 '!H215</f>
        <v>32850</v>
      </c>
      <c r="F51" s="340">
        <f t="shared" si="1"/>
        <v>105120</v>
      </c>
    </row>
    <row r="52" spans="1:6" ht="49.5">
      <c r="A52" s="337" t="s">
        <v>122</v>
      </c>
      <c r="B52" s="207" t="s">
        <v>79</v>
      </c>
      <c r="C52" s="337" t="s">
        <v>66</v>
      </c>
      <c r="D52" s="360">
        <v>19.3</v>
      </c>
      <c r="E52" s="342">
        <f>+'APU´s civil 1 '!H279</f>
        <v>671139</v>
      </c>
      <c r="F52" s="340">
        <f t="shared" si="1"/>
        <v>12952982.700000001</v>
      </c>
    </row>
    <row r="53" spans="1:6" ht="49.5">
      <c r="A53" s="337" t="s">
        <v>123</v>
      </c>
      <c r="B53" s="207" t="s">
        <v>80</v>
      </c>
      <c r="C53" s="337" t="s">
        <v>66</v>
      </c>
      <c r="D53" s="360">
        <v>42</v>
      </c>
      <c r="E53" s="342">
        <f>+'APU´s civil 1 '!H313</f>
        <v>737263</v>
      </c>
      <c r="F53" s="340">
        <f t="shared" si="1"/>
        <v>30965046</v>
      </c>
    </row>
    <row r="54" spans="1:6" ht="33" customHeight="1">
      <c r="A54" s="337" t="s">
        <v>124</v>
      </c>
      <c r="B54" s="207" t="s">
        <v>61</v>
      </c>
      <c r="C54" s="337" t="s">
        <v>6</v>
      </c>
      <c r="D54" s="360">
        <f>61.3*100</f>
        <v>6130</v>
      </c>
      <c r="E54" s="342">
        <f>+'APU´s civil 1 '!H340</f>
        <v>3201</v>
      </c>
      <c r="F54" s="340">
        <f t="shared" si="1"/>
        <v>19622130</v>
      </c>
    </row>
    <row r="55" spans="1:6" ht="33">
      <c r="A55" s="337" t="s">
        <v>1075</v>
      </c>
      <c r="B55" s="207" t="s">
        <v>795</v>
      </c>
      <c r="C55" s="337" t="s">
        <v>8</v>
      </c>
      <c r="D55" s="360">
        <v>27.1</v>
      </c>
      <c r="E55" s="342">
        <f>+'APU´s civil 1 '!H365</f>
        <v>27799</v>
      </c>
      <c r="F55" s="340">
        <f t="shared" si="1"/>
        <v>753352.9</v>
      </c>
    </row>
    <row r="56" spans="1:6" ht="33">
      <c r="A56" s="337" t="s">
        <v>1076</v>
      </c>
      <c r="B56" s="207" t="s">
        <v>998</v>
      </c>
      <c r="C56" s="337" t="s">
        <v>65</v>
      </c>
      <c r="D56" s="360">
        <f>1.8*5</f>
        <v>9</v>
      </c>
      <c r="E56" s="342">
        <f>+'APU'' civil 3'!H107</f>
        <v>1172041</v>
      </c>
      <c r="F56" s="340">
        <f t="shared" si="1"/>
        <v>10548369</v>
      </c>
    </row>
    <row r="57" spans="1:6" ht="30.75" customHeight="1">
      <c r="A57" s="337" t="s">
        <v>1077</v>
      </c>
      <c r="B57" s="207" t="s">
        <v>242</v>
      </c>
      <c r="C57" s="337" t="s">
        <v>65</v>
      </c>
      <c r="D57" s="360">
        <f>51.06+30.06</f>
        <v>81.12</v>
      </c>
      <c r="E57" s="342">
        <f>+'APU´s civil 1 '!H542</f>
        <v>60274</v>
      </c>
      <c r="F57" s="340">
        <f t="shared" si="1"/>
        <v>4889426.88</v>
      </c>
    </row>
    <row r="58" spans="1:6" ht="39.75" customHeight="1">
      <c r="A58" s="337" t="s">
        <v>125</v>
      </c>
      <c r="B58" s="204" t="s">
        <v>782</v>
      </c>
      <c r="C58" s="348" t="s">
        <v>8</v>
      </c>
      <c r="D58" s="366">
        <f>14.818+8.132+8.67</f>
        <v>31.619999999999997</v>
      </c>
      <c r="E58" s="351">
        <f>+'APU´s civil 1 '!H568</f>
        <v>47789</v>
      </c>
      <c r="F58" s="352">
        <f t="shared" si="1"/>
        <v>1511088.18</v>
      </c>
    </row>
    <row r="59" spans="1:6" ht="33">
      <c r="A59" s="337" t="s">
        <v>1078</v>
      </c>
      <c r="B59" s="207" t="s">
        <v>244</v>
      </c>
      <c r="C59" s="337" t="s">
        <v>7</v>
      </c>
      <c r="D59" s="337">
        <v>30</v>
      </c>
      <c r="E59" s="342">
        <f>+'APU'' civil 2'!H180</f>
        <v>114730.49999999999</v>
      </c>
      <c r="F59" s="340">
        <f t="shared" si="1"/>
        <v>3441914.9999999995</v>
      </c>
    </row>
    <row r="60" spans="1:6" ht="33">
      <c r="A60" s="337" t="s">
        <v>1079</v>
      </c>
      <c r="B60" s="207" t="s">
        <v>1005</v>
      </c>
      <c r="C60" s="337" t="s">
        <v>291</v>
      </c>
      <c r="D60" s="337">
        <f>(1.65*1.05)*4</f>
        <v>6.93</v>
      </c>
      <c r="E60" s="342">
        <f>+'APU'' civil 2'!H155</f>
        <v>619935</v>
      </c>
      <c r="F60" s="340">
        <f t="shared" si="1"/>
        <v>4296149.55</v>
      </c>
    </row>
    <row r="61" spans="1:6" ht="16.5">
      <c r="A61" s="337" t="s">
        <v>1080</v>
      </c>
      <c r="B61" s="207" t="s">
        <v>295</v>
      </c>
      <c r="C61" s="337" t="s">
        <v>8</v>
      </c>
      <c r="D61" s="367">
        <v>58.97</v>
      </c>
      <c r="E61" s="368">
        <f>+'APU'' civil 3'!H138</f>
        <v>27530</v>
      </c>
      <c r="F61" s="369">
        <f t="shared" si="1"/>
        <v>1623444.0999999999</v>
      </c>
    </row>
    <row r="62" spans="1:6" ht="16.5">
      <c r="A62" s="337" t="s">
        <v>1081</v>
      </c>
      <c r="B62" s="207" t="s">
        <v>296</v>
      </c>
      <c r="C62" s="337" t="s">
        <v>8</v>
      </c>
      <c r="D62" s="367">
        <v>81.8</v>
      </c>
      <c r="E62" s="368">
        <f>+'APU'' civil 3'!H165</f>
        <v>72236</v>
      </c>
      <c r="F62" s="369">
        <f t="shared" si="1"/>
        <v>5908904.7999999998</v>
      </c>
    </row>
    <row r="63" spans="1:6" ht="16.5">
      <c r="A63" s="337" t="s">
        <v>1082</v>
      </c>
      <c r="B63" s="207" t="s">
        <v>297</v>
      </c>
      <c r="C63" s="337" t="s">
        <v>7</v>
      </c>
      <c r="D63" s="367">
        <v>36</v>
      </c>
      <c r="E63" s="368">
        <f>+'APU'' civil 3'!H192</f>
        <v>36289</v>
      </c>
      <c r="F63" s="369">
        <f t="shared" si="1"/>
        <v>1306404</v>
      </c>
    </row>
    <row r="64" spans="1:6" ht="16.5">
      <c r="A64" s="337" t="s">
        <v>126</v>
      </c>
      <c r="B64" s="207" t="s">
        <v>298</v>
      </c>
      <c r="C64" s="337" t="s">
        <v>7</v>
      </c>
      <c r="D64" s="367">
        <v>10</v>
      </c>
      <c r="E64" s="368">
        <f>+'APU'' civil 3'!H219</f>
        <v>104776</v>
      </c>
      <c r="F64" s="369">
        <f t="shared" si="1"/>
        <v>1047760</v>
      </c>
    </row>
    <row r="65" spans="1:10" ht="66">
      <c r="A65" s="337" t="s">
        <v>127</v>
      </c>
      <c r="B65" s="370" t="s">
        <v>57</v>
      </c>
      <c r="C65" s="337" t="s">
        <v>8</v>
      </c>
      <c r="D65" s="337">
        <v>16.77</v>
      </c>
      <c r="E65" s="342">
        <f>+'APU'' civil 3'!H246</f>
        <v>353016</v>
      </c>
      <c r="F65" s="340">
        <f t="shared" si="1"/>
        <v>5920078.3200000003</v>
      </c>
    </row>
    <row r="66" spans="1:10" ht="15.95" customHeight="1">
      <c r="A66" s="337" t="s">
        <v>128</v>
      </c>
      <c r="B66" s="359" t="s">
        <v>737</v>
      </c>
      <c r="C66" s="361" t="s">
        <v>65</v>
      </c>
      <c r="D66" s="360">
        <v>64.400000000000006</v>
      </c>
      <c r="E66" s="342">
        <f>+'APU'' civil 2'!H308</f>
        <v>33158</v>
      </c>
      <c r="F66" s="340">
        <f t="shared" si="1"/>
        <v>2135375.2000000002</v>
      </c>
    </row>
    <row r="67" spans="1:10" ht="15.95" customHeight="1">
      <c r="A67" s="608" t="s">
        <v>1003</v>
      </c>
      <c r="B67" s="609"/>
      <c r="C67" s="609"/>
      <c r="D67" s="609"/>
      <c r="E67" s="610"/>
      <c r="F67" s="343">
        <f>SUM(F46:F66)</f>
        <v>117794824.33</v>
      </c>
    </row>
    <row r="68" spans="1:10" s="341" customFormat="1" ht="15.95" customHeight="1">
      <c r="A68" s="333" t="s">
        <v>175</v>
      </c>
      <c r="B68" s="371" t="s">
        <v>176</v>
      </c>
      <c r="C68" s="333"/>
      <c r="D68" s="333"/>
      <c r="E68" s="333"/>
      <c r="F68" s="333"/>
    </row>
    <row r="69" spans="1:10" s="341" customFormat="1" ht="15.95" customHeight="1">
      <c r="A69" s="337" t="s">
        <v>187</v>
      </c>
      <c r="B69" s="207" t="s">
        <v>280</v>
      </c>
      <c r="C69" s="337" t="s">
        <v>66</v>
      </c>
      <c r="D69" s="372">
        <v>16.8</v>
      </c>
      <c r="E69" s="342">
        <f>+'APU´s civil 1 '!H109</f>
        <v>8829</v>
      </c>
      <c r="F69" s="340">
        <f t="shared" ref="F69:F87" si="2">D69*E69</f>
        <v>148327.20000000001</v>
      </c>
    </row>
    <row r="70" spans="1:10" s="341" customFormat="1" ht="33">
      <c r="A70" s="337" t="s">
        <v>188</v>
      </c>
      <c r="B70" s="207" t="s">
        <v>277</v>
      </c>
      <c r="C70" s="337" t="s">
        <v>66</v>
      </c>
      <c r="D70" s="373">
        <v>31</v>
      </c>
      <c r="E70" s="342">
        <f>+'APU´s civil 1 '!H164</f>
        <v>38125</v>
      </c>
      <c r="F70" s="369">
        <f t="shared" si="2"/>
        <v>1181875</v>
      </c>
    </row>
    <row r="71" spans="1:10" s="341" customFormat="1" ht="16.5">
      <c r="A71" s="337" t="s">
        <v>1083</v>
      </c>
      <c r="B71" s="359" t="s">
        <v>1000</v>
      </c>
      <c r="C71" s="337" t="s">
        <v>66</v>
      </c>
      <c r="D71" s="373">
        <v>10.8</v>
      </c>
      <c r="E71" s="342">
        <f>+'APU'' civil 3'!H272</f>
        <v>20929</v>
      </c>
      <c r="F71" s="369">
        <f t="shared" si="2"/>
        <v>226033.2</v>
      </c>
    </row>
    <row r="72" spans="1:10" s="341" customFormat="1" ht="33">
      <c r="A72" s="337" t="s">
        <v>189</v>
      </c>
      <c r="B72" s="207" t="s">
        <v>50</v>
      </c>
      <c r="C72" s="361" t="s">
        <v>65</v>
      </c>
      <c r="D72" s="373">
        <v>9</v>
      </c>
      <c r="E72" s="342">
        <f>+'APU´s civil 1 '!H215</f>
        <v>32850</v>
      </c>
      <c r="F72" s="340">
        <f t="shared" si="2"/>
        <v>295650</v>
      </c>
    </row>
    <row r="73" spans="1:10" s="341" customFormat="1" ht="16.5">
      <c r="A73" s="337" t="s">
        <v>190</v>
      </c>
      <c r="B73" s="359" t="s">
        <v>1006</v>
      </c>
      <c r="C73" s="337" t="s">
        <v>66</v>
      </c>
      <c r="D73" s="373">
        <f>21.8*0.25*0.25</f>
        <v>1.3625</v>
      </c>
      <c r="E73" s="342">
        <f>+'APU´s civil 1 '!H783</f>
        <v>531534</v>
      </c>
      <c r="F73" s="340">
        <f t="shared" si="2"/>
        <v>724215.07500000007</v>
      </c>
      <c r="G73" s="622"/>
      <c r="H73" s="623"/>
      <c r="I73" s="623"/>
      <c r="J73" s="623"/>
    </row>
    <row r="74" spans="1:10" s="341" customFormat="1" ht="16.5">
      <c r="A74" s="337" t="s">
        <v>191</v>
      </c>
      <c r="B74" s="359" t="s">
        <v>1194</v>
      </c>
      <c r="C74" s="337" t="s">
        <v>66</v>
      </c>
      <c r="D74" s="373">
        <v>1.6</v>
      </c>
      <c r="E74" s="342">
        <f>+'APU´s civil 1 '!H809</f>
        <v>597315</v>
      </c>
      <c r="F74" s="340">
        <f t="shared" si="2"/>
        <v>955704</v>
      </c>
      <c r="G74" s="622"/>
      <c r="H74" s="623"/>
      <c r="I74" s="623"/>
      <c r="J74" s="623"/>
    </row>
    <row r="75" spans="1:10" s="341" customFormat="1" ht="16.5">
      <c r="A75" s="337" t="s">
        <v>192</v>
      </c>
      <c r="B75" s="359" t="s">
        <v>999</v>
      </c>
      <c r="C75" s="337" t="s">
        <v>66</v>
      </c>
      <c r="D75" s="373">
        <f>21.8*0.25*0.25</f>
        <v>1.3625</v>
      </c>
      <c r="E75" s="342">
        <f>+'APU´s civil 1 '!H835</f>
        <v>579815</v>
      </c>
      <c r="F75" s="340">
        <f t="shared" si="2"/>
        <v>789997.9375</v>
      </c>
      <c r="G75" s="622"/>
      <c r="H75" s="623"/>
      <c r="I75" s="623"/>
      <c r="J75" s="623"/>
    </row>
    <row r="76" spans="1:10" s="341" customFormat="1" ht="33">
      <c r="A76" s="337" t="s">
        <v>193</v>
      </c>
      <c r="B76" s="207" t="s">
        <v>61</v>
      </c>
      <c r="C76" s="337" t="s">
        <v>6</v>
      </c>
      <c r="D76" s="373">
        <v>306</v>
      </c>
      <c r="E76" s="342">
        <f>+'APU´s civil 1 '!H340</f>
        <v>3201</v>
      </c>
      <c r="F76" s="340">
        <f t="shared" si="2"/>
        <v>979506</v>
      </c>
    </row>
    <row r="77" spans="1:10" s="341" customFormat="1" ht="16.5">
      <c r="A77" s="337" t="s">
        <v>194</v>
      </c>
      <c r="B77" s="207" t="s">
        <v>177</v>
      </c>
      <c r="C77" s="361" t="s">
        <v>8</v>
      </c>
      <c r="D77" s="373">
        <v>16</v>
      </c>
      <c r="E77" s="342">
        <f>+'APU´s civil 1 '!H968</f>
        <v>905</v>
      </c>
      <c r="F77" s="340">
        <f t="shared" si="2"/>
        <v>14480</v>
      </c>
    </row>
    <row r="78" spans="1:10" s="341" customFormat="1" ht="16.5">
      <c r="A78" s="337" t="s">
        <v>195</v>
      </c>
      <c r="B78" s="207" t="s">
        <v>178</v>
      </c>
      <c r="C78" s="361" t="s">
        <v>65</v>
      </c>
      <c r="D78" s="373">
        <v>97.38</v>
      </c>
      <c r="E78" s="342">
        <f>+'APU´s civil 1 '!H995</f>
        <v>60954</v>
      </c>
      <c r="F78" s="340">
        <f t="shared" si="2"/>
        <v>5935700.5199999996</v>
      </c>
    </row>
    <row r="79" spans="1:10" s="341" customFormat="1" ht="23.25" customHeight="1">
      <c r="A79" s="337" t="s">
        <v>196</v>
      </c>
      <c r="B79" s="207" t="s">
        <v>179</v>
      </c>
      <c r="C79" s="361" t="s">
        <v>65</v>
      </c>
      <c r="D79" s="373">
        <v>2.56</v>
      </c>
      <c r="E79" s="342">
        <f>+'APU´s civil 1 '!H1023</f>
        <v>75184</v>
      </c>
      <c r="F79" s="340">
        <f t="shared" si="2"/>
        <v>192471.04000000001</v>
      </c>
    </row>
    <row r="80" spans="1:10" s="341" customFormat="1" ht="33">
      <c r="A80" s="337" t="s">
        <v>1084</v>
      </c>
      <c r="B80" s="359" t="s">
        <v>182</v>
      </c>
      <c r="C80" s="361" t="s">
        <v>65</v>
      </c>
      <c r="D80" s="339">
        <v>45</v>
      </c>
      <c r="E80" s="342">
        <f>+'APU´s civil 1 '!H1050</f>
        <v>39491</v>
      </c>
      <c r="F80" s="340">
        <f t="shared" si="2"/>
        <v>1777095</v>
      </c>
    </row>
    <row r="81" spans="1:8" s="341" customFormat="1" ht="16.5">
      <c r="A81" s="337" t="s">
        <v>197</v>
      </c>
      <c r="B81" s="359" t="s">
        <v>180</v>
      </c>
      <c r="C81" s="361" t="s">
        <v>8</v>
      </c>
      <c r="D81" s="373">
        <v>74</v>
      </c>
      <c r="E81" s="342">
        <f>+'APU´s civil 1 '!H1077</f>
        <v>30748</v>
      </c>
      <c r="F81" s="340">
        <f t="shared" si="2"/>
        <v>2275352</v>
      </c>
    </row>
    <row r="82" spans="1:8" s="341" customFormat="1" ht="33">
      <c r="A82" s="337" t="s">
        <v>198</v>
      </c>
      <c r="B82" s="359" t="s">
        <v>181</v>
      </c>
      <c r="C82" s="361" t="s">
        <v>65</v>
      </c>
      <c r="D82" s="373">
        <v>116</v>
      </c>
      <c r="E82" s="342">
        <f>+'APU´s civil 1 '!H1106</f>
        <v>86583</v>
      </c>
      <c r="F82" s="340">
        <f t="shared" si="2"/>
        <v>10043628</v>
      </c>
    </row>
    <row r="83" spans="1:8" s="341" customFormat="1" ht="16.5">
      <c r="A83" s="337" t="s">
        <v>1085</v>
      </c>
      <c r="B83" s="359" t="s">
        <v>183</v>
      </c>
      <c r="C83" s="361" t="s">
        <v>65</v>
      </c>
      <c r="D83" s="373">
        <v>116</v>
      </c>
      <c r="E83" s="342">
        <f>+'APU´s civil 1 '!H1134</f>
        <v>47098</v>
      </c>
      <c r="F83" s="340">
        <f t="shared" si="2"/>
        <v>5463368</v>
      </c>
    </row>
    <row r="84" spans="1:8" s="341" customFormat="1" ht="15.95" customHeight="1">
      <c r="A84" s="337" t="s">
        <v>199</v>
      </c>
      <c r="B84" s="359" t="s">
        <v>184</v>
      </c>
      <c r="C84" s="361" t="s">
        <v>65</v>
      </c>
      <c r="D84" s="373">
        <v>116</v>
      </c>
      <c r="E84" s="342">
        <f>+'APU´s civil 1 '!H1166</f>
        <v>19670</v>
      </c>
      <c r="F84" s="340">
        <f t="shared" si="2"/>
        <v>2281720</v>
      </c>
    </row>
    <row r="85" spans="1:8" s="341" customFormat="1" ht="15.95" customHeight="1">
      <c r="A85" s="337" t="s">
        <v>200</v>
      </c>
      <c r="B85" s="359" t="s">
        <v>185</v>
      </c>
      <c r="C85" s="361" t="s">
        <v>65</v>
      </c>
      <c r="D85" s="374">
        <v>95.6</v>
      </c>
      <c r="E85" s="342">
        <f>+'APU´s civil 1 '!H1194</f>
        <v>1733</v>
      </c>
      <c r="F85" s="340">
        <f t="shared" si="2"/>
        <v>165674.79999999999</v>
      </c>
    </row>
    <row r="86" spans="1:8" s="341" customFormat="1" ht="33">
      <c r="A86" s="337" t="s">
        <v>201</v>
      </c>
      <c r="B86" s="359" t="s">
        <v>186</v>
      </c>
      <c r="C86" s="337" t="s">
        <v>7</v>
      </c>
      <c r="D86" s="339">
        <v>1</v>
      </c>
      <c r="E86" s="342">
        <f>+'APU´s civil 1 '!H1221</f>
        <v>1885011</v>
      </c>
      <c r="F86" s="340">
        <f t="shared" si="2"/>
        <v>1885011</v>
      </c>
    </row>
    <row r="87" spans="1:8" ht="66">
      <c r="A87" s="337" t="s">
        <v>202</v>
      </c>
      <c r="B87" s="370" t="s">
        <v>791</v>
      </c>
      <c r="C87" s="337" t="s">
        <v>406</v>
      </c>
      <c r="D87" s="339">
        <v>1</v>
      </c>
      <c r="E87" s="342">
        <f>+'APU'' civil 3'!H297</f>
        <v>25000000</v>
      </c>
      <c r="F87" s="340">
        <f t="shared" si="2"/>
        <v>25000000</v>
      </c>
    </row>
    <row r="88" spans="1:8" ht="15.95" customHeight="1">
      <c r="A88" s="611" t="s">
        <v>1003</v>
      </c>
      <c r="B88" s="612"/>
      <c r="C88" s="612"/>
      <c r="D88" s="612"/>
      <c r="E88" s="613"/>
      <c r="F88" s="343">
        <f>SUM(F69:F87)</f>
        <v>60335808.772499993</v>
      </c>
      <c r="G88" s="482">
        <f>+F88+F67</f>
        <v>178130633.10249999</v>
      </c>
    </row>
    <row r="89" spans="1:8" ht="15.95" customHeight="1">
      <c r="A89" s="333">
        <v>4</v>
      </c>
      <c r="B89" s="576" t="s">
        <v>16</v>
      </c>
      <c r="C89" s="577"/>
      <c r="D89" s="577"/>
      <c r="E89" s="577"/>
      <c r="F89" s="578"/>
    </row>
    <row r="90" spans="1:8" ht="15.95" customHeight="1">
      <c r="A90" s="333" t="s">
        <v>12</v>
      </c>
      <c r="B90" s="334" t="s">
        <v>5</v>
      </c>
      <c r="C90" s="364"/>
      <c r="D90" s="364"/>
      <c r="E90" s="364"/>
      <c r="F90" s="365"/>
      <c r="H90" s="375"/>
    </row>
    <row r="91" spans="1:8" s="341" customFormat="1" ht="15.95" customHeight="1">
      <c r="A91" s="337" t="s">
        <v>137</v>
      </c>
      <c r="B91" s="207" t="s">
        <v>280</v>
      </c>
      <c r="C91" s="337" t="s">
        <v>66</v>
      </c>
      <c r="D91" s="339">
        <v>1980</v>
      </c>
      <c r="E91" s="342">
        <f>+'APU´s civil 1 '!H109</f>
        <v>8829</v>
      </c>
      <c r="F91" s="340">
        <f t="shared" ref="F91:F126" si="3">D91*E91</f>
        <v>17481420</v>
      </c>
      <c r="H91" s="376"/>
    </row>
    <row r="92" spans="1:8" s="341" customFormat="1" ht="16.5">
      <c r="A92" s="337" t="s">
        <v>138</v>
      </c>
      <c r="B92" s="359" t="s">
        <v>1000</v>
      </c>
      <c r="C92" s="337" t="s">
        <v>66</v>
      </c>
      <c r="D92" s="339">
        <v>83.9</v>
      </c>
      <c r="E92" s="342">
        <f>+'APU'' civil 3'!H272</f>
        <v>20929</v>
      </c>
      <c r="F92" s="340">
        <f t="shared" si="3"/>
        <v>1755943.1</v>
      </c>
      <c r="H92" s="376"/>
    </row>
    <row r="93" spans="1:8" s="341" customFormat="1" ht="15.95" customHeight="1">
      <c r="A93" s="337" t="s">
        <v>139</v>
      </c>
      <c r="B93" s="207" t="s">
        <v>55</v>
      </c>
      <c r="C93" s="337" t="s">
        <v>66</v>
      </c>
      <c r="D93" s="339">
        <v>1980</v>
      </c>
      <c r="E93" s="342">
        <f>+'APU´s civil 1 '!H135</f>
        <v>16226</v>
      </c>
      <c r="F93" s="340">
        <f t="shared" si="3"/>
        <v>32127480</v>
      </c>
      <c r="H93" s="376"/>
    </row>
    <row r="94" spans="1:8" s="341" customFormat="1" ht="16.5">
      <c r="A94" s="337" t="s">
        <v>140</v>
      </c>
      <c r="B94" s="353" t="s">
        <v>69</v>
      </c>
      <c r="C94" s="337" t="s">
        <v>65</v>
      </c>
      <c r="D94" s="339">
        <v>396</v>
      </c>
      <c r="E94" s="342">
        <f>+'APU´s civil 1 '!H648</f>
        <v>8043</v>
      </c>
      <c r="F94" s="340">
        <f t="shared" si="3"/>
        <v>3185028</v>
      </c>
      <c r="H94" s="376"/>
    </row>
    <row r="95" spans="1:8" s="341" customFormat="1" ht="33">
      <c r="A95" s="337" t="s">
        <v>141</v>
      </c>
      <c r="B95" s="370" t="s">
        <v>278</v>
      </c>
      <c r="C95" s="337" t="s">
        <v>66</v>
      </c>
      <c r="D95" s="339">
        <v>118.8</v>
      </c>
      <c r="E95" s="342">
        <f>+'APU´s civil 1 '!H164</f>
        <v>38125</v>
      </c>
      <c r="F95" s="340">
        <f t="shared" si="3"/>
        <v>4529250</v>
      </c>
      <c r="H95" s="376"/>
    </row>
    <row r="96" spans="1:8" s="341" customFormat="1" ht="33">
      <c r="A96" s="337" t="s">
        <v>142</v>
      </c>
      <c r="B96" s="353" t="s">
        <v>959</v>
      </c>
      <c r="C96" s="348" t="s">
        <v>65</v>
      </c>
      <c r="D96" s="350">
        <v>398.6</v>
      </c>
      <c r="E96" s="351">
        <f>+'APU´s civil 1 '!H189</f>
        <v>4003</v>
      </c>
      <c r="F96" s="340">
        <f t="shared" si="3"/>
        <v>1595595.8</v>
      </c>
      <c r="H96" s="376"/>
    </row>
    <row r="97" spans="1:8" s="341" customFormat="1" ht="33">
      <c r="A97" s="337" t="s">
        <v>143</v>
      </c>
      <c r="B97" s="207" t="s">
        <v>50</v>
      </c>
      <c r="C97" s="337" t="s">
        <v>66</v>
      </c>
      <c r="D97" s="339">
        <v>19.8</v>
      </c>
      <c r="E97" s="342">
        <f>+'APU´s civil 1 '!H215</f>
        <v>32850</v>
      </c>
      <c r="F97" s="340">
        <f t="shared" si="3"/>
        <v>650430</v>
      </c>
      <c r="H97" s="376"/>
    </row>
    <row r="98" spans="1:8" s="341" customFormat="1" ht="49.5">
      <c r="A98" s="337" t="s">
        <v>144</v>
      </c>
      <c r="B98" s="207" t="s">
        <v>79</v>
      </c>
      <c r="C98" s="337" t="s">
        <v>66</v>
      </c>
      <c r="D98" s="339">
        <v>316.8</v>
      </c>
      <c r="E98" s="342">
        <f>+'APU´s civil 1 '!H279</f>
        <v>671139</v>
      </c>
      <c r="F98" s="340">
        <f t="shared" si="3"/>
        <v>212616835.20000002</v>
      </c>
      <c r="H98" s="376"/>
    </row>
    <row r="99" spans="1:8" s="341" customFormat="1" ht="49.5">
      <c r="A99" s="337" t="s">
        <v>1086</v>
      </c>
      <c r="B99" s="207" t="s">
        <v>236</v>
      </c>
      <c r="C99" s="337" t="s">
        <v>66</v>
      </c>
      <c r="D99" s="339">
        <v>1162.3499999999999</v>
      </c>
      <c r="E99" s="342">
        <f>+'APU´s civil 1 '!H313</f>
        <v>737263</v>
      </c>
      <c r="F99" s="340">
        <f t="shared" si="3"/>
        <v>856957648.04999995</v>
      </c>
      <c r="H99" s="376"/>
    </row>
    <row r="100" spans="1:8" s="341" customFormat="1" ht="33">
      <c r="A100" s="337" t="s">
        <v>145</v>
      </c>
      <c r="B100" s="207" t="s">
        <v>61</v>
      </c>
      <c r="C100" s="337" t="s">
        <v>6</v>
      </c>
      <c r="D100" s="339">
        <v>177480</v>
      </c>
      <c r="E100" s="342">
        <f>+'APU´s civil 1 '!H340</f>
        <v>3201</v>
      </c>
      <c r="F100" s="340">
        <f t="shared" si="3"/>
        <v>568113480</v>
      </c>
      <c r="H100" s="376"/>
    </row>
    <row r="101" spans="1:8" s="341" customFormat="1" ht="33">
      <c r="A101" s="337" t="s">
        <v>1087</v>
      </c>
      <c r="B101" s="207" t="s">
        <v>960</v>
      </c>
      <c r="C101" s="337" t="s">
        <v>8</v>
      </c>
      <c r="D101" s="339">
        <v>220</v>
      </c>
      <c r="E101" s="342">
        <f>+'APU´s civil 1 '!H389</f>
        <v>43676</v>
      </c>
      <c r="F101" s="340">
        <f t="shared" si="3"/>
        <v>9608720</v>
      </c>
      <c r="H101" s="376"/>
    </row>
    <row r="102" spans="1:8" s="341" customFormat="1" ht="33">
      <c r="A102" s="337" t="s">
        <v>146</v>
      </c>
      <c r="B102" s="370" t="s">
        <v>242</v>
      </c>
      <c r="C102" s="337" t="s">
        <v>65</v>
      </c>
      <c r="D102" s="339">
        <v>353.35</v>
      </c>
      <c r="E102" s="342">
        <f>+'APU´s civil 1 '!H542</f>
        <v>60274</v>
      </c>
      <c r="F102" s="340">
        <f t="shared" si="3"/>
        <v>21297817.900000002</v>
      </c>
      <c r="H102" s="376"/>
    </row>
    <row r="103" spans="1:8" s="341" customFormat="1" ht="15.95" customHeight="1">
      <c r="A103" s="337" t="s">
        <v>147</v>
      </c>
      <c r="B103" s="204" t="s">
        <v>782</v>
      </c>
      <c r="C103" s="348" t="s">
        <v>8</v>
      </c>
      <c r="D103" s="350">
        <v>38.5</v>
      </c>
      <c r="E103" s="351">
        <f>+'APU´s civil 1 '!H568</f>
        <v>47789</v>
      </c>
      <c r="F103" s="352">
        <f t="shared" si="3"/>
        <v>1839876.5</v>
      </c>
      <c r="H103" s="376"/>
    </row>
    <row r="104" spans="1:8" s="341" customFormat="1" ht="66">
      <c r="A104" s="337" t="s">
        <v>148</v>
      </c>
      <c r="B104" s="370" t="s">
        <v>58</v>
      </c>
      <c r="C104" s="337" t="s">
        <v>8</v>
      </c>
      <c r="D104" s="339">
        <v>93.35</v>
      </c>
      <c r="E104" s="342">
        <f>+'APU'' civil 3'!H246</f>
        <v>353016</v>
      </c>
      <c r="F104" s="340">
        <f t="shared" si="3"/>
        <v>32954043.599999998</v>
      </c>
      <c r="H104" s="376"/>
    </row>
    <row r="105" spans="1:8" s="341" customFormat="1" ht="15.95" customHeight="1">
      <c r="A105" s="337" t="s">
        <v>1088</v>
      </c>
      <c r="B105" s="359" t="s">
        <v>71</v>
      </c>
      <c r="C105" s="337" t="s">
        <v>44</v>
      </c>
      <c r="D105" s="339">
        <v>1</v>
      </c>
      <c r="E105" s="342">
        <f>+'APU´s civil 1 '!H621</f>
        <v>12000000</v>
      </c>
      <c r="F105" s="340">
        <f t="shared" si="3"/>
        <v>12000000</v>
      </c>
      <c r="H105" s="376"/>
    </row>
    <row r="106" spans="1:8" s="341" customFormat="1" ht="49.5">
      <c r="A106" s="337" t="s">
        <v>1089</v>
      </c>
      <c r="B106" s="359" t="s">
        <v>961</v>
      </c>
      <c r="C106" s="337" t="s">
        <v>7</v>
      </c>
      <c r="D106" s="339">
        <v>4</v>
      </c>
      <c r="E106" s="342">
        <f>+'APU´s civil 1 '!H888</f>
        <v>2372089</v>
      </c>
      <c r="F106" s="340">
        <f t="shared" si="3"/>
        <v>9488356</v>
      </c>
      <c r="H106" s="376"/>
    </row>
    <row r="107" spans="1:8" s="341" customFormat="1" ht="49.5">
      <c r="A107" s="337" t="s">
        <v>149</v>
      </c>
      <c r="B107" s="362" t="s">
        <v>962</v>
      </c>
      <c r="C107" s="337" t="s">
        <v>7</v>
      </c>
      <c r="D107" s="339">
        <v>1</v>
      </c>
      <c r="E107" s="342">
        <f>+'APU´s civil 1 '!H915</f>
        <v>854696</v>
      </c>
      <c r="F107" s="340">
        <f t="shared" si="3"/>
        <v>854696</v>
      </c>
      <c r="H107" s="376"/>
    </row>
    <row r="108" spans="1:8" s="341" customFormat="1" ht="49.5">
      <c r="A108" s="337" t="s">
        <v>1090</v>
      </c>
      <c r="B108" s="359" t="s">
        <v>1007</v>
      </c>
      <c r="C108" s="337" t="s">
        <v>7</v>
      </c>
      <c r="D108" s="339">
        <v>4</v>
      </c>
      <c r="E108" s="342">
        <f>+'APU´s civil 1 '!H941</f>
        <v>762533</v>
      </c>
      <c r="F108" s="340">
        <f t="shared" si="3"/>
        <v>3050132</v>
      </c>
      <c r="H108" s="376"/>
    </row>
    <row r="109" spans="1:8" s="341" customFormat="1" ht="33">
      <c r="A109" s="337" t="s">
        <v>1091</v>
      </c>
      <c r="B109" s="377" t="s">
        <v>963</v>
      </c>
      <c r="C109" s="378" t="s">
        <v>7</v>
      </c>
      <c r="D109" s="379">
        <v>24</v>
      </c>
      <c r="E109" s="380">
        <f>+'APU´s civil 1 '!H702</f>
        <v>569260</v>
      </c>
      <c r="F109" s="381">
        <f t="shared" si="3"/>
        <v>13662240</v>
      </c>
      <c r="H109" s="376"/>
    </row>
    <row r="110" spans="1:8" s="341" customFormat="1" ht="33">
      <c r="A110" s="337" t="s">
        <v>203</v>
      </c>
      <c r="B110" s="359" t="s">
        <v>964</v>
      </c>
      <c r="C110" s="337" t="s">
        <v>7</v>
      </c>
      <c r="D110" s="337">
        <v>1</v>
      </c>
      <c r="E110" s="342">
        <f>+'APU´s civil 1 '!H729</f>
        <v>129675</v>
      </c>
      <c r="F110" s="381">
        <f t="shared" si="3"/>
        <v>129675</v>
      </c>
      <c r="H110" s="376"/>
    </row>
    <row r="111" spans="1:8" s="341" customFormat="1" ht="33">
      <c r="A111" s="337" t="s">
        <v>204</v>
      </c>
      <c r="B111" s="359" t="s">
        <v>1005</v>
      </c>
      <c r="C111" s="337" t="s">
        <v>65</v>
      </c>
      <c r="D111" s="339">
        <v>5.75</v>
      </c>
      <c r="E111" s="342">
        <f>+'APU'' civil 2'!H155</f>
        <v>619935</v>
      </c>
      <c r="F111" s="340">
        <f t="shared" si="3"/>
        <v>3564626.25</v>
      </c>
      <c r="H111" s="376"/>
    </row>
    <row r="112" spans="1:8" s="341" customFormat="1" ht="33">
      <c r="A112" s="337" t="s">
        <v>206</v>
      </c>
      <c r="B112" s="359" t="s">
        <v>1058</v>
      </c>
      <c r="C112" s="337" t="s">
        <v>7</v>
      </c>
      <c r="D112" s="339">
        <v>1</v>
      </c>
      <c r="E112" s="342">
        <f>+'APU´s civil 1 '!H1248</f>
        <v>11333390</v>
      </c>
      <c r="F112" s="340">
        <f t="shared" si="3"/>
        <v>11333390</v>
      </c>
      <c r="H112" s="376"/>
    </row>
    <row r="113" spans="1:10" s="341" customFormat="1" ht="16.5">
      <c r="A113" s="337" t="s">
        <v>210</v>
      </c>
      <c r="B113" s="207" t="s">
        <v>302</v>
      </c>
      <c r="C113" s="382" t="s">
        <v>8</v>
      </c>
      <c r="D113" s="339">
        <v>145.25</v>
      </c>
      <c r="E113" s="342">
        <f>+'APU'' civil 3'!H138</f>
        <v>27530</v>
      </c>
      <c r="F113" s="340">
        <f t="shared" si="3"/>
        <v>3998732.5</v>
      </c>
      <c r="H113" s="376"/>
    </row>
    <row r="114" spans="1:10" s="341" customFormat="1" ht="16.5">
      <c r="A114" s="337" t="s">
        <v>331</v>
      </c>
      <c r="B114" s="207" t="s">
        <v>303</v>
      </c>
      <c r="C114" s="382" t="s">
        <v>8</v>
      </c>
      <c r="D114" s="339">
        <v>70.25</v>
      </c>
      <c r="E114" s="342">
        <f>+'APU'' civil 3'!H324</f>
        <v>45846</v>
      </c>
      <c r="F114" s="340">
        <f t="shared" si="3"/>
        <v>3220681.5</v>
      </c>
      <c r="H114" s="376"/>
    </row>
    <row r="115" spans="1:10" s="341" customFormat="1" ht="16.5">
      <c r="A115" s="337" t="s">
        <v>1092</v>
      </c>
      <c r="B115" s="207" t="s">
        <v>313</v>
      </c>
      <c r="C115" s="382" t="s">
        <v>8</v>
      </c>
      <c r="D115" s="339">
        <v>137.5</v>
      </c>
      <c r="E115" s="342">
        <f>+'APU'' civil 3'!H351</f>
        <v>64958</v>
      </c>
      <c r="F115" s="340">
        <f t="shared" si="3"/>
        <v>8931725</v>
      </c>
      <c r="H115" s="376"/>
    </row>
    <row r="116" spans="1:10" s="341" customFormat="1" ht="24.95" customHeight="1">
      <c r="A116" s="337" t="s">
        <v>1093</v>
      </c>
      <c r="B116" s="207" t="s">
        <v>304</v>
      </c>
      <c r="C116" s="382" t="s">
        <v>7</v>
      </c>
      <c r="D116" s="339">
        <v>24</v>
      </c>
      <c r="E116" s="342">
        <f>+'APU'' civil 3'!H192</f>
        <v>36289</v>
      </c>
      <c r="F116" s="340">
        <f t="shared" si="3"/>
        <v>870936</v>
      </c>
      <c r="H116" s="376"/>
    </row>
    <row r="117" spans="1:10" s="341" customFormat="1" ht="16.5">
      <c r="A117" s="337" t="s">
        <v>1094</v>
      </c>
      <c r="B117" s="207" t="s">
        <v>305</v>
      </c>
      <c r="C117" s="382" t="s">
        <v>7</v>
      </c>
      <c r="D117" s="339">
        <v>11</v>
      </c>
      <c r="E117" s="342">
        <f>+'APU'' civil 3'!H378</f>
        <v>64958</v>
      </c>
      <c r="F117" s="340">
        <f t="shared" si="3"/>
        <v>714538</v>
      </c>
      <c r="H117" s="376"/>
    </row>
    <row r="118" spans="1:10" s="341" customFormat="1" ht="16.5">
      <c r="A118" s="337" t="s">
        <v>1095</v>
      </c>
      <c r="B118" s="207" t="s">
        <v>374</v>
      </c>
      <c r="C118" s="382" t="s">
        <v>7</v>
      </c>
      <c r="D118" s="339">
        <v>12</v>
      </c>
      <c r="E118" s="342">
        <f>+'APU'' civil 3'!H405</f>
        <v>88849</v>
      </c>
      <c r="F118" s="340">
        <f t="shared" si="3"/>
        <v>1066188</v>
      </c>
      <c r="H118" s="376"/>
    </row>
    <row r="119" spans="1:10" s="341" customFormat="1" ht="49.5">
      <c r="A119" s="337" t="s">
        <v>1096</v>
      </c>
      <c r="B119" s="204" t="s">
        <v>792</v>
      </c>
      <c r="C119" s="382" t="s">
        <v>7</v>
      </c>
      <c r="D119" s="339">
        <v>16</v>
      </c>
      <c r="E119" s="342">
        <f>+'APU'' civil 3'!H457</f>
        <v>82472</v>
      </c>
      <c r="F119" s="340">
        <f t="shared" si="3"/>
        <v>1319552</v>
      </c>
      <c r="H119" s="376"/>
    </row>
    <row r="120" spans="1:10" s="341" customFormat="1" ht="49.5">
      <c r="A120" s="337" t="s">
        <v>1097</v>
      </c>
      <c r="B120" s="204" t="s">
        <v>793</v>
      </c>
      <c r="C120" s="382" t="s">
        <v>7</v>
      </c>
      <c r="D120" s="339">
        <v>14</v>
      </c>
      <c r="E120" s="342">
        <f>+'APU'' civil 3'!H484</f>
        <v>135452</v>
      </c>
      <c r="F120" s="340">
        <f t="shared" si="3"/>
        <v>1896328</v>
      </c>
      <c r="H120" s="376"/>
    </row>
    <row r="121" spans="1:10" s="341" customFormat="1" ht="66">
      <c r="A121" s="337" t="s">
        <v>1098</v>
      </c>
      <c r="B121" s="204" t="s">
        <v>170</v>
      </c>
      <c r="C121" s="382" t="s">
        <v>8</v>
      </c>
      <c r="D121" s="339">
        <v>169.8</v>
      </c>
      <c r="E121" s="342">
        <f>+'APU'' civil 3'!H512</f>
        <v>218003</v>
      </c>
      <c r="F121" s="340">
        <f t="shared" si="3"/>
        <v>37016909.400000006</v>
      </c>
      <c r="H121" s="376"/>
    </row>
    <row r="122" spans="1:10" s="341" customFormat="1" ht="81.95" customHeight="1">
      <c r="A122" s="337" t="s">
        <v>1099</v>
      </c>
      <c r="B122" s="204" t="s">
        <v>171</v>
      </c>
      <c r="C122" s="382" t="s">
        <v>8</v>
      </c>
      <c r="D122" s="339">
        <v>248.65</v>
      </c>
      <c r="E122" s="342">
        <f>+'APU'' civil 3'!H539</f>
        <v>201462</v>
      </c>
      <c r="F122" s="340">
        <f t="shared" si="3"/>
        <v>50093526.300000004</v>
      </c>
      <c r="H122" s="376"/>
    </row>
    <row r="123" spans="1:10" s="341" customFormat="1" ht="66">
      <c r="A123" s="337" t="s">
        <v>1100</v>
      </c>
      <c r="B123" s="204" t="s">
        <v>59</v>
      </c>
      <c r="C123" s="382" t="s">
        <v>7</v>
      </c>
      <c r="D123" s="339">
        <v>48</v>
      </c>
      <c r="E123" s="342">
        <f>+'APU'' civil 3'!H566</f>
        <v>7659020</v>
      </c>
      <c r="F123" s="340">
        <f t="shared" si="3"/>
        <v>367632960</v>
      </c>
      <c r="H123" s="376"/>
    </row>
    <row r="124" spans="1:10" s="341" customFormat="1" ht="115.5">
      <c r="A124" s="337" t="s">
        <v>1101</v>
      </c>
      <c r="B124" s="204" t="s">
        <v>172</v>
      </c>
      <c r="C124" s="382" t="s">
        <v>7</v>
      </c>
      <c r="D124" s="339">
        <v>24</v>
      </c>
      <c r="E124" s="342">
        <f>+'APU'' civil 3'!H593</f>
        <v>2719932</v>
      </c>
      <c r="F124" s="340">
        <f t="shared" si="3"/>
        <v>65278368</v>
      </c>
      <c r="H124" s="376"/>
    </row>
    <row r="125" spans="1:10" s="341" customFormat="1" ht="82.5">
      <c r="A125" s="337" t="s">
        <v>1102</v>
      </c>
      <c r="B125" s="204" t="s">
        <v>377</v>
      </c>
      <c r="C125" s="382" t="s">
        <v>7</v>
      </c>
      <c r="D125" s="339">
        <v>48</v>
      </c>
      <c r="E125" s="342">
        <f>+'APU'' civil 3'!H620</f>
        <v>4545740</v>
      </c>
      <c r="F125" s="340">
        <f t="shared" si="3"/>
        <v>218195520</v>
      </c>
      <c r="H125" s="376"/>
    </row>
    <row r="126" spans="1:10" s="341" customFormat="1" ht="65.099999999999994" customHeight="1">
      <c r="A126" s="337" t="s">
        <v>1103</v>
      </c>
      <c r="B126" s="204" t="s">
        <v>794</v>
      </c>
      <c r="C126" s="382" t="s">
        <v>7</v>
      </c>
      <c r="D126" s="339">
        <v>48</v>
      </c>
      <c r="E126" s="342">
        <f>+'APU'' civil 3'!H648</f>
        <v>4128140</v>
      </c>
      <c r="F126" s="340">
        <f t="shared" si="3"/>
        <v>198150720</v>
      </c>
      <c r="H126" s="376"/>
    </row>
    <row r="127" spans="1:10" s="341" customFormat="1" ht="33">
      <c r="A127" s="337" t="s">
        <v>1104</v>
      </c>
      <c r="B127" s="204" t="s">
        <v>173</v>
      </c>
      <c r="C127" s="348" t="s">
        <v>7</v>
      </c>
      <c r="D127" s="350">
        <v>192</v>
      </c>
      <c r="E127" s="351">
        <f>+'APU´s civil 1 '!H1274</f>
        <v>33608</v>
      </c>
      <c r="F127" s="352">
        <f>+D127*E127</f>
        <v>6452736</v>
      </c>
      <c r="H127" s="376"/>
      <c r="J127" s="341">
        <f>48*2</f>
        <v>96</v>
      </c>
    </row>
    <row r="128" spans="1:10" s="341" customFormat="1" ht="16.5">
      <c r="A128" s="337" t="s">
        <v>1105</v>
      </c>
      <c r="B128" s="204" t="s">
        <v>362</v>
      </c>
      <c r="C128" s="348" t="s">
        <v>7</v>
      </c>
      <c r="D128" s="350">
        <v>5</v>
      </c>
      <c r="E128" s="351">
        <f>+'APU´s civil 1 '!H1300</f>
        <v>121279</v>
      </c>
      <c r="F128" s="352">
        <f t="shared" ref="F128:F142" si="4">D128*E128</f>
        <v>606395</v>
      </c>
      <c r="H128" s="376"/>
    </row>
    <row r="129" spans="1:8" s="341" customFormat="1" ht="15.95" customHeight="1">
      <c r="A129" s="337" t="s">
        <v>1106</v>
      </c>
      <c r="B129" s="359" t="s">
        <v>737</v>
      </c>
      <c r="C129" s="361" t="s">
        <v>65</v>
      </c>
      <c r="D129" s="339">
        <v>792</v>
      </c>
      <c r="E129" s="342">
        <f>+'APU'' civil 2'!H308</f>
        <v>33158</v>
      </c>
      <c r="F129" s="340">
        <f t="shared" si="4"/>
        <v>26261136</v>
      </c>
      <c r="H129" s="376"/>
    </row>
    <row r="130" spans="1:8" s="383" customFormat="1" ht="15.95" customHeight="1">
      <c r="A130" s="337" t="s">
        <v>1107</v>
      </c>
      <c r="B130" s="359" t="s">
        <v>965</v>
      </c>
      <c r="C130" s="382" t="s">
        <v>7</v>
      </c>
      <c r="D130" s="348">
        <v>2</v>
      </c>
      <c r="E130" s="351">
        <f>+'APU'' civil 2'!H434</f>
        <v>8648</v>
      </c>
      <c r="F130" s="340">
        <f t="shared" si="4"/>
        <v>17296</v>
      </c>
      <c r="H130" s="384"/>
    </row>
    <row r="131" spans="1:8" s="341" customFormat="1" ht="15.95" customHeight="1">
      <c r="A131" s="337" t="s">
        <v>1108</v>
      </c>
      <c r="B131" s="359" t="s">
        <v>966</v>
      </c>
      <c r="C131" s="361" t="s">
        <v>7</v>
      </c>
      <c r="D131" s="339">
        <v>66</v>
      </c>
      <c r="E131" s="342">
        <f>+'APU'' civil 2'!H459</f>
        <v>7746</v>
      </c>
      <c r="F131" s="340">
        <f t="shared" si="4"/>
        <v>511236</v>
      </c>
      <c r="H131" s="376"/>
    </row>
    <row r="132" spans="1:8" s="341" customFormat="1" ht="15.95" customHeight="1">
      <c r="A132" s="337" t="s">
        <v>1109</v>
      </c>
      <c r="B132" s="359" t="s">
        <v>967</v>
      </c>
      <c r="C132" s="361" t="s">
        <v>7</v>
      </c>
      <c r="D132" s="339">
        <v>6</v>
      </c>
      <c r="E132" s="342">
        <f>+'APU'' civil 2'!H484</f>
        <v>13196</v>
      </c>
      <c r="F132" s="340">
        <f t="shared" si="4"/>
        <v>79176</v>
      </c>
      <c r="H132" s="376"/>
    </row>
    <row r="133" spans="1:8" s="341" customFormat="1" ht="15.95" customHeight="1">
      <c r="A133" s="337" t="s">
        <v>1110</v>
      </c>
      <c r="B133" s="359" t="s">
        <v>968</v>
      </c>
      <c r="C133" s="361" t="s">
        <v>7</v>
      </c>
      <c r="D133" s="339">
        <v>47</v>
      </c>
      <c r="E133" s="342">
        <f>+'APU'' civil 2'!H509</f>
        <v>8324</v>
      </c>
      <c r="F133" s="340">
        <f t="shared" si="4"/>
        <v>391228</v>
      </c>
      <c r="H133" s="376"/>
    </row>
    <row r="134" spans="1:8" s="341" customFormat="1" ht="15.95" customHeight="1">
      <c r="A134" s="337" t="s">
        <v>1111</v>
      </c>
      <c r="B134" s="359" t="s">
        <v>969</v>
      </c>
      <c r="C134" s="361" t="s">
        <v>7</v>
      </c>
      <c r="D134" s="339">
        <v>2</v>
      </c>
      <c r="E134" s="342">
        <f>+'APU'' civil 2'!H534</f>
        <v>14421</v>
      </c>
      <c r="F134" s="340">
        <f t="shared" si="4"/>
        <v>28842</v>
      </c>
      <c r="H134" s="376"/>
    </row>
    <row r="135" spans="1:8" s="341" customFormat="1" ht="16.5">
      <c r="A135" s="337" t="s">
        <v>1112</v>
      </c>
      <c r="B135" s="359" t="s">
        <v>970</v>
      </c>
      <c r="C135" s="361" t="s">
        <v>7</v>
      </c>
      <c r="D135" s="339">
        <v>48</v>
      </c>
      <c r="E135" s="342">
        <f>+'APU'' civil 2'!H559</f>
        <v>9344</v>
      </c>
      <c r="F135" s="340">
        <f t="shared" si="4"/>
        <v>448512</v>
      </c>
      <c r="H135" s="376"/>
    </row>
    <row r="136" spans="1:8" s="341" customFormat="1" ht="33">
      <c r="A136" s="337" t="s">
        <v>1113</v>
      </c>
      <c r="B136" s="204" t="s">
        <v>971</v>
      </c>
      <c r="C136" s="337" t="s">
        <v>7</v>
      </c>
      <c r="D136" s="339">
        <v>2</v>
      </c>
      <c r="E136" s="342">
        <f>+'APU'' civil 2'!H584</f>
        <v>49249</v>
      </c>
      <c r="F136" s="340">
        <f t="shared" si="4"/>
        <v>98498</v>
      </c>
      <c r="H136" s="376"/>
    </row>
    <row r="137" spans="1:8" s="341" customFormat="1" ht="16.5">
      <c r="A137" s="337" t="s">
        <v>1114</v>
      </c>
      <c r="B137" s="359" t="s">
        <v>972</v>
      </c>
      <c r="C137" s="337" t="s">
        <v>7</v>
      </c>
      <c r="D137" s="339">
        <v>10</v>
      </c>
      <c r="E137" s="342">
        <f>+'APU'' civil 2'!H409</f>
        <v>16158</v>
      </c>
      <c r="F137" s="340">
        <f t="shared" si="4"/>
        <v>161580</v>
      </c>
      <c r="H137" s="376"/>
    </row>
    <row r="138" spans="1:8" s="341" customFormat="1" ht="15.95" customHeight="1">
      <c r="A138" s="337" t="s">
        <v>1115</v>
      </c>
      <c r="B138" s="204" t="s">
        <v>973</v>
      </c>
      <c r="C138" s="382" t="s">
        <v>7</v>
      </c>
      <c r="D138" s="337">
        <v>4</v>
      </c>
      <c r="E138" s="342">
        <f>+'APU´s civil 1 '!H413</f>
        <v>242862</v>
      </c>
      <c r="F138" s="340">
        <f t="shared" si="4"/>
        <v>971448</v>
      </c>
      <c r="H138" s="376"/>
    </row>
    <row r="139" spans="1:8" s="341" customFormat="1" ht="16.5">
      <c r="A139" s="337" t="s">
        <v>1116</v>
      </c>
      <c r="B139" s="359" t="s">
        <v>974</v>
      </c>
      <c r="C139" s="337" t="s">
        <v>7</v>
      </c>
      <c r="D139" s="339">
        <v>5</v>
      </c>
      <c r="E139" s="342">
        <f>+'APU'' civil 2'!H609</f>
        <v>50502</v>
      </c>
      <c r="F139" s="340">
        <f t="shared" si="4"/>
        <v>252510</v>
      </c>
      <c r="H139" s="376"/>
    </row>
    <row r="140" spans="1:8" s="341" customFormat="1" ht="49.5">
      <c r="A140" s="337" t="s">
        <v>1117</v>
      </c>
      <c r="B140" s="204" t="s">
        <v>975</v>
      </c>
      <c r="C140" s="382" t="s">
        <v>8</v>
      </c>
      <c r="D140" s="348">
        <v>263.97000000000003</v>
      </c>
      <c r="E140" s="351">
        <f>+'APU'' civil 2'!H334</f>
        <v>13596</v>
      </c>
      <c r="F140" s="352">
        <f t="shared" si="4"/>
        <v>3588936.1200000006</v>
      </c>
      <c r="H140" s="376"/>
    </row>
    <row r="141" spans="1:8" s="341" customFormat="1" ht="49.5">
      <c r="A141" s="337" t="s">
        <v>1118</v>
      </c>
      <c r="B141" s="204" t="s">
        <v>976</v>
      </c>
      <c r="C141" s="382" t="s">
        <v>8</v>
      </c>
      <c r="D141" s="348">
        <v>12.97</v>
      </c>
      <c r="E141" s="351">
        <f>+'APU'' civil 2'!H359</f>
        <v>50661</v>
      </c>
      <c r="F141" s="352">
        <f t="shared" si="4"/>
        <v>657073.17000000004</v>
      </c>
      <c r="H141" s="376"/>
    </row>
    <row r="142" spans="1:8" s="341" customFormat="1" ht="33">
      <c r="A142" s="337" t="s">
        <v>1119</v>
      </c>
      <c r="B142" s="370" t="s">
        <v>977</v>
      </c>
      <c r="C142" s="382" t="s">
        <v>8</v>
      </c>
      <c r="D142" s="348">
        <v>20.38</v>
      </c>
      <c r="E142" s="351">
        <f>+'APU'' civil 2'!H384</f>
        <v>88123</v>
      </c>
      <c r="F142" s="352">
        <f t="shared" si="4"/>
        <v>1795946.74</v>
      </c>
      <c r="H142" s="376"/>
    </row>
    <row r="143" spans="1:8" s="341" customFormat="1" ht="15.95" customHeight="1">
      <c r="A143" s="611" t="s">
        <v>1003</v>
      </c>
      <c r="B143" s="612"/>
      <c r="C143" s="612"/>
      <c r="D143" s="612"/>
      <c r="E143" s="613"/>
      <c r="F143" s="343">
        <f>SUM(F91:F142)</f>
        <v>2819505917.1300001</v>
      </c>
      <c r="H143" s="385"/>
    </row>
    <row r="144" spans="1:8" ht="15.95" customHeight="1">
      <c r="A144" s="333">
        <v>5</v>
      </c>
      <c r="B144" s="576" t="s">
        <v>1651</v>
      </c>
      <c r="C144" s="577"/>
      <c r="D144" s="577"/>
      <c r="E144" s="577"/>
      <c r="F144" s="578"/>
    </row>
    <row r="145" spans="1:8" ht="15.95" customHeight="1">
      <c r="A145" s="333" t="s">
        <v>1220</v>
      </c>
      <c r="B145" s="334" t="s">
        <v>5</v>
      </c>
      <c r="C145" s="364"/>
      <c r="D145" s="364"/>
      <c r="E145" s="364"/>
      <c r="F145" s="365"/>
    </row>
    <row r="146" spans="1:8" ht="15.95" customHeight="1">
      <c r="A146" s="337" t="s">
        <v>1221</v>
      </c>
      <c r="B146" s="207" t="s">
        <v>280</v>
      </c>
      <c r="C146" s="337" t="s">
        <v>66</v>
      </c>
      <c r="D146" s="339">
        <v>606.5</v>
      </c>
      <c r="E146" s="342">
        <f>+'APU´s civil 1 '!H109</f>
        <v>8829</v>
      </c>
      <c r="F146" s="340">
        <f t="shared" ref="F146:F170" si="5">D146*E146</f>
        <v>5354788.5</v>
      </c>
      <c r="G146" s="341"/>
    </row>
    <row r="147" spans="1:8" ht="15.95" customHeight="1">
      <c r="A147" s="337" t="s">
        <v>1222</v>
      </c>
      <c r="B147" s="207" t="s">
        <v>55</v>
      </c>
      <c r="C147" s="337" t="s">
        <v>66</v>
      </c>
      <c r="D147" s="339">
        <v>606.5</v>
      </c>
      <c r="E147" s="342">
        <f>+'APU´s civil 1 '!H135</f>
        <v>16226</v>
      </c>
      <c r="F147" s="340">
        <f t="shared" si="5"/>
        <v>9841069</v>
      </c>
      <c r="G147" s="341"/>
    </row>
    <row r="148" spans="1:8" ht="16.5">
      <c r="A148" s="337" t="s">
        <v>1223</v>
      </c>
      <c r="B148" s="353" t="s">
        <v>69</v>
      </c>
      <c r="C148" s="337" t="s">
        <v>65</v>
      </c>
      <c r="D148" s="339">
        <v>178.5</v>
      </c>
      <c r="E148" s="342">
        <f>+'APU´s civil 1 '!H648</f>
        <v>8043</v>
      </c>
      <c r="F148" s="340">
        <f t="shared" si="5"/>
        <v>1435675.5</v>
      </c>
      <c r="G148" s="341"/>
    </row>
    <row r="149" spans="1:8" ht="33">
      <c r="A149" s="337" t="s">
        <v>1224</v>
      </c>
      <c r="B149" s="207" t="s">
        <v>276</v>
      </c>
      <c r="C149" s="337" t="s">
        <v>66</v>
      </c>
      <c r="D149" s="339">
        <v>53.55</v>
      </c>
      <c r="E149" s="342">
        <f>+'APU´s civil 1 '!H164</f>
        <v>38125</v>
      </c>
      <c r="F149" s="340">
        <f t="shared" si="5"/>
        <v>2041593.75</v>
      </c>
      <c r="G149" s="341"/>
    </row>
    <row r="150" spans="1:8" ht="33">
      <c r="A150" s="337" t="s">
        <v>1225</v>
      </c>
      <c r="B150" s="353" t="s">
        <v>959</v>
      </c>
      <c r="C150" s="337" t="s">
        <v>65</v>
      </c>
      <c r="D150" s="339">
        <v>179.8</v>
      </c>
      <c r="E150" s="342">
        <f>+'APU´s civil 1 '!H189</f>
        <v>4003</v>
      </c>
      <c r="F150" s="340">
        <f t="shared" si="5"/>
        <v>719739.4</v>
      </c>
      <c r="G150" s="341"/>
    </row>
    <row r="151" spans="1:8" ht="33">
      <c r="A151" s="337" t="s">
        <v>1226</v>
      </c>
      <c r="B151" s="207" t="s">
        <v>50</v>
      </c>
      <c r="C151" s="337" t="s">
        <v>66</v>
      </c>
      <c r="D151" s="339">
        <v>8.9499999999999993</v>
      </c>
      <c r="E151" s="342">
        <f>+'APU´s civil 1 '!H215</f>
        <v>32850</v>
      </c>
      <c r="F151" s="340">
        <f t="shared" si="5"/>
        <v>294007.5</v>
      </c>
      <c r="G151" s="341"/>
    </row>
    <row r="152" spans="1:8" ht="49.5">
      <c r="A152" s="337" t="s">
        <v>1227</v>
      </c>
      <c r="B152" s="207" t="s">
        <v>234</v>
      </c>
      <c r="C152" s="337" t="s">
        <v>66</v>
      </c>
      <c r="D152" s="339">
        <v>35.700000000000003</v>
      </c>
      <c r="E152" s="342">
        <f>+'APU´s civil 1 '!H279</f>
        <v>671139</v>
      </c>
      <c r="F152" s="340">
        <f t="shared" si="5"/>
        <v>23959662.300000001</v>
      </c>
      <c r="G152" s="341"/>
    </row>
    <row r="153" spans="1:8" ht="49.5">
      <c r="A153" s="337" t="s">
        <v>1228</v>
      </c>
      <c r="B153" s="207" t="s">
        <v>235</v>
      </c>
      <c r="C153" s="337" t="s">
        <v>66</v>
      </c>
      <c r="D153" s="339">
        <v>35.450000000000003</v>
      </c>
      <c r="E153" s="342">
        <f>+'APU´s civil 1 '!H313</f>
        <v>737263</v>
      </c>
      <c r="F153" s="340">
        <f t="shared" si="5"/>
        <v>26135973.350000001</v>
      </c>
      <c r="G153" s="341"/>
    </row>
    <row r="154" spans="1:8" ht="33">
      <c r="A154" s="337" t="s">
        <v>1229</v>
      </c>
      <c r="B154" s="207" t="s">
        <v>61</v>
      </c>
      <c r="C154" s="337" t="s">
        <v>6</v>
      </c>
      <c r="D154" s="339">
        <v>8538</v>
      </c>
      <c r="E154" s="342">
        <f>+'APU´s civil 1 '!H340</f>
        <v>3201</v>
      </c>
      <c r="F154" s="340">
        <f t="shared" si="5"/>
        <v>27330138</v>
      </c>
      <c r="G154" s="341"/>
    </row>
    <row r="155" spans="1:8" ht="33">
      <c r="A155" s="337" t="s">
        <v>1230</v>
      </c>
      <c r="B155" s="207" t="s">
        <v>795</v>
      </c>
      <c r="C155" s="337" t="s">
        <v>8</v>
      </c>
      <c r="D155" s="339">
        <v>62.1</v>
      </c>
      <c r="E155" s="342">
        <f>+'APU´s civil 1 '!H365</f>
        <v>27799</v>
      </c>
      <c r="F155" s="340">
        <f t="shared" si="5"/>
        <v>1726317.9000000001</v>
      </c>
      <c r="G155" s="341"/>
    </row>
    <row r="156" spans="1:8" ht="16.5">
      <c r="A156" s="337" t="s">
        <v>1231</v>
      </c>
      <c r="B156" s="207" t="s">
        <v>802</v>
      </c>
      <c r="C156" s="337" t="s">
        <v>65</v>
      </c>
      <c r="D156" s="339">
        <v>178.5</v>
      </c>
      <c r="E156" s="342">
        <f>+'APU'' civil 2'!H308</f>
        <v>33158</v>
      </c>
      <c r="F156" s="340">
        <f t="shared" si="5"/>
        <v>5918703</v>
      </c>
      <c r="G156" s="341"/>
    </row>
    <row r="157" spans="1:8" ht="16.5">
      <c r="A157" s="337" t="s">
        <v>1232</v>
      </c>
      <c r="B157" s="204" t="s">
        <v>782</v>
      </c>
      <c r="C157" s="348" t="s">
        <v>8</v>
      </c>
      <c r="D157" s="350">
        <v>25.9</v>
      </c>
      <c r="E157" s="351">
        <f>+'APU´s civil 1 '!H568</f>
        <v>47789</v>
      </c>
      <c r="F157" s="340">
        <f t="shared" si="5"/>
        <v>1237735.0999999999</v>
      </c>
      <c r="G157" s="341"/>
    </row>
    <row r="158" spans="1:8" ht="33">
      <c r="A158" s="337" t="s">
        <v>1233</v>
      </c>
      <c r="B158" s="207" t="s">
        <v>242</v>
      </c>
      <c r="C158" s="337" t="s">
        <v>65</v>
      </c>
      <c r="D158" s="339">
        <v>54.089999999999996</v>
      </c>
      <c r="E158" s="342">
        <f>+'APU´s civil 1 '!H542</f>
        <v>60274</v>
      </c>
      <c r="F158" s="340">
        <f t="shared" si="5"/>
        <v>3260220.6599999997</v>
      </c>
      <c r="G158" s="341"/>
    </row>
    <row r="159" spans="1:8" ht="49.5">
      <c r="A159" s="337" t="s">
        <v>1234</v>
      </c>
      <c r="B159" s="386" t="s">
        <v>1145</v>
      </c>
      <c r="C159" s="387" t="s">
        <v>7</v>
      </c>
      <c r="D159" s="339">
        <v>4</v>
      </c>
      <c r="E159" s="388">
        <f>+'APU´s civil 1 '!H1628</f>
        <v>739259</v>
      </c>
      <c r="F159" s="389">
        <f t="shared" si="5"/>
        <v>2957036</v>
      </c>
      <c r="G159" s="390"/>
      <c r="H159" s="391"/>
    </row>
    <row r="160" spans="1:8" s="396" customFormat="1" ht="16.5">
      <c r="A160" s="337" t="s">
        <v>1235</v>
      </c>
      <c r="B160" s="392" t="s">
        <v>803</v>
      </c>
      <c r="C160" s="393" t="s">
        <v>7</v>
      </c>
      <c r="D160" s="350">
        <v>115.5</v>
      </c>
      <c r="E160" s="394">
        <f>+'APU´s civil 1 '!H1678</f>
        <v>38545</v>
      </c>
      <c r="F160" s="395">
        <f t="shared" si="5"/>
        <v>4451947.5</v>
      </c>
      <c r="G160" s="383"/>
    </row>
    <row r="161" spans="1:8" ht="16.5">
      <c r="A161" s="337" t="s">
        <v>1236</v>
      </c>
      <c r="B161" s="392" t="s">
        <v>1146</v>
      </c>
      <c r="C161" s="397" t="s">
        <v>6</v>
      </c>
      <c r="D161" s="339">
        <v>2152</v>
      </c>
      <c r="E161" s="388">
        <f>+'APU´s civil 1 '!H1653</f>
        <v>25406</v>
      </c>
      <c r="F161" s="395">
        <f t="shared" si="5"/>
        <v>54673712</v>
      </c>
      <c r="G161" s="341"/>
    </row>
    <row r="162" spans="1:8" ht="15.95" customHeight="1">
      <c r="A162" s="337" t="s">
        <v>1237</v>
      </c>
      <c r="B162" s="398" t="s">
        <v>18</v>
      </c>
      <c r="C162" s="397" t="s">
        <v>66</v>
      </c>
      <c r="D162" s="339">
        <v>62.747999999999998</v>
      </c>
      <c r="E162" s="388">
        <f>+'APU'' civil 3'!H938</f>
        <v>55470</v>
      </c>
      <c r="F162" s="395">
        <f t="shared" si="5"/>
        <v>3480631.56</v>
      </c>
      <c r="G162" s="341"/>
    </row>
    <row r="163" spans="1:8" ht="15.95" customHeight="1">
      <c r="A163" s="337" t="s">
        <v>1238</v>
      </c>
      <c r="B163" s="398" t="s">
        <v>382</v>
      </c>
      <c r="C163" s="397" t="s">
        <v>66</v>
      </c>
      <c r="D163" s="339">
        <v>7.8434999999999997</v>
      </c>
      <c r="E163" s="388">
        <f>+'APU'' civil 3'!H913</f>
        <v>50470</v>
      </c>
      <c r="F163" s="395">
        <f t="shared" si="5"/>
        <v>395861.44500000001</v>
      </c>
      <c r="G163" s="341"/>
    </row>
    <row r="164" spans="1:8" ht="15.95" customHeight="1">
      <c r="A164" s="337" t="s">
        <v>1239</v>
      </c>
      <c r="B164" s="398" t="s">
        <v>19</v>
      </c>
      <c r="C164" s="397" t="s">
        <v>66</v>
      </c>
      <c r="D164" s="339">
        <v>15.686999999999999</v>
      </c>
      <c r="E164" s="388">
        <f>+'APU'' civil 3'!H963</f>
        <v>48314</v>
      </c>
      <c r="F164" s="395">
        <f t="shared" si="5"/>
        <v>757901.71799999999</v>
      </c>
      <c r="G164" s="341"/>
    </row>
    <row r="165" spans="1:8" ht="16.5">
      <c r="A165" s="337" t="s">
        <v>1240</v>
      </c>
      <c r="B165" s="398" t="s">
        <v>20</v>
      </c>
      <c r="C165" s="397" t="s">
        <v>66</v>
      </c>
      <c r="D165" s="339">
        <v>15.686999999999999</v>
      </c>
      <c r="E165" s="388">
        <f>+'APU'' civil 3'!H987</f>
        <v>46214</v>
      </c>
      <c r="F165" s="395">
        <f t="shared" si="5"/>
        <v>724959.01799999992</v>
      </c>
      <c r="G165" s="341"/>
    </row>
    <row r="166" spans="1:8" ht="15.95" customHeight="1">
      <c r="A166" s="337" t="s">
        <v>1241</v>
      </c>
      <c r="B166" s="398" t="s">
        <v>21</v>
      </c>
      <c r="C166" s="397" t="s">
        <v>65</v>
      </c>
      <c r="D166" s="339">
        <v>141.6</v>
      </c>
      <c r="E166" s="388">
        <f>+'APU'' civil 3'!H888</f>
        <v>43840</v>
      </c>
      <c r="F166" s="389">
        <f t="shared" si="5"/>
        <v>6207744</v>
      </c>
      <c r="G166" s="341"/>
    </row>
    <row r="167" spans="1:8" ht="15.95" customHeight="1">
      <c r="A167" s="337" t="s">
        <v>1242</v>
      </c>
      <c r="B167" s="398" t="s">
        <v>1156</v>
      </c>
      <c r="C167" s="397" t="s">
        <v>8</v>
      </c>
      <c r="D167" s="337">
        <v>23.52</v>
      </c>
      <c r="E167" s="388">
        <f>+'APU'' civil 3'!H836</f>
        <v>8589</v>
      </c>
      <c r="F167" s="389">
        <f t="shared" si="5"/>
        <v>202013.28</v>
      </c>
      <c r="G167" s="341"/>
    </row>
    <row r="168" spans="1:8" ht="33">
      <c r="A168" s="337" t="s">
        <v>1243</v>
      </c>
      <c r="B168" s="398" t="s">
        <v>1157</v>
      </c>
      <c r="C168" s="397" t="s">
        <v>7</v>
      </c>
      <c r="D168" s="339">
        <v>4</v>
      </c>
      <c r="E168" s="388">
        <f>+'APU'' civil 3'!H863</f>
        <v>3439</v>
      </c>
      <c r="F168" s="389">
        <f t="shared" si="5"/>
        <v>13756</v>
      </c>
      <c r="G168" s="341"/>
    </row>
    <row r="169" spans="1:8" ht="16.5">
      <c r="A169" s="337" t="s">
        <v>1244</v>
      </c>
      <c r="B169" s="399" t="s">
        <v>387</v>
      </c>
      <c r="C169" s="397" t="s">
        <v>7</v>
      </c>
      <c r="D169" s="339">
        <v>1</v>
      </c>
      <c r="E169" s="388">
        <f>+'APU'' civil 2'!H26</f>
        <v>45079</v>
      </c>
      <c r="F169" s="389">
        <f t="shared" si="5"/>
        <v>45079</v>
      </c>
      <c r="G169" s="341"/>
    </row>
    <row r="170" spans="1:8" ht="36" customHeight="1">
      <c r="A170" s="337" t="s">
        <v>1245</v>
      </c>
      <c r="B170" s="398" t="s">
        <v>1153</v>
      </c>
      <c r="C170" s="397" t="s">
        <v>8</v>
      </c>
      <c r="D170" s="339">
        <v>29.824999999999999</v>
      </c>
      <c r="E170" s="388">
        <f>+'APU'' civil 3'!H26</f>
        <v>5403</v>
      </c>
      <c r="F170" s="389">
        <f t="shared" si="5"/>
        <v>161144.47500000001</v>
      </c>
      <c r="G170" s="341"/>
    </row>
    <row r="171" spans="1:8" ht="15.95" customHeight="1">
      <c r="A171" s="614" t="s">
        <v>958</v>
      </c>
      <c r="B171" s="615"/>
      <c r="C171" s="615"/>
      <c r="D171" s="615"/>
      <c r="E171" s="616"/>
      <c r="F171" s="343">
        <f>SUM(F146:F170)</f>
        <v>183327409.956</v>
      </c>
      <c r="H171" s="400"/>
    </row>
    <row r="172" spans="1:8" ht="15.95" customHeight="1">
      <c r="A172" s="333">
        <v>6</v>
      </c>
      <c r="B172" s="576" t="s">
        <v>22</v>
      </c>
      <c r="C172" s="577"/>
      <c r="D172" s="577"/>
      <c r="E172" s="577"/>
      <c r="F172" s="578"/>
    </row>
    <row r="173" spans="1:8" ht="15.95" customHeight="1">
      <c r="A173" s="333" t="s">
        <v>1246</v>
      </c>
      <c r="B173" s="334" t="s">
        <v>23</v>
      </c>
      <c r="C173" s="364"/>
      <c r="D173" s="364"/>
      <c r="E173" s="364"/>
      <c r="F173" s="365"/>
    </row>
    <row r="174" spans="1:8" ht="33">
      <c r="A174" s="397" t="s">
        <v>1247</v>
      </c>
      <c r="B174" s="399" t="s">
        <v>275</v>
      </c>
      <c r="C174" s="401" t="s">
        <v>66</v>
      </c>
      <c r="D174" s="397">
        <f>80*0.6</f>
        <v>48</v>
      </c>
      <c r="E174" s="388">
        <f>+'APU´s civil 1 '!H164</f>
        <v>38125</v>
      </c>
      <c r="F174" s="389">
        <f t="shared" ref="F174:F215" si="6">D174*E174</f>
        <v>1830000</v>
      </c>
    </row>
    <row r="175" spans="1:8" ht="16.5">
      <c r="A175" s="402" t="s">
        <v>1248</v>
      </c>
      <c r="B175" s="403" t="s">
        <v>1192</v>
      </c>
      <c r="C175" s="404" t="s">
        <v>7</v>
      </c>
      <c r="D175" s="367">
        <v>4</v>
      </c>
      <c r="E175" s="368">
        <f>+'APU´s civil 1 '!H1888</f>
        <v>208238</v>
      </c>
      <c r="F175" s="369">
        <f t="shared" si="6"/>
        <v>832952</v>
      </c>
    </row>
    <row r="176" spans="1:8" ht="16.5">
      <c r="A176" s="397" t="s">
        <v>1249</v>
      </c>
      <c r="B176" s="405" t="s">
        <v>1194</v>
      </c>
      <c r="C176" s="404" t="s">
        <v>66</v>
      </c>
      <c r="D176" s="367">
        <v>1.67</v>
      </c>
      <c r="E176" s="368">
        <f>+'APU´s civil 1 '!H809</f>
        <v>597315</v>
      </c>
      <c r="F176" s="369">
        <f t="shared" si="6"/>
        <v>997516.04999999993</v>
      </c>
    </row>
    <row r="177" spans="1:6" ht="15.95" customHeight="1">
      <c r="A177" s="402" t="s">
        <v>1250</v>
      </c>
      <c r="B177" s="405" t="s">
        <v>75</v>
      </c>
      <c r="C177" s="404" t="s">
        <v>65</v>
      </c>
      <c r="D177" s="406">
        <f>(2.49*3.37)+(0.96*3.37)+(2.16*3.37)+(4.84*3.37)+(2.09*3.37)+(2.5*3.37)+(0.99*3.37)+(1.65*3.37)+(0.66*3.37)+(0.27*3.37)+(1.79*3.37)+(2.29*3.37)+(2.5*3.37)+(0.99*3.37)+(2.09*3.7)+(1.83*3.37)+(4.3*3.37)+I176</f>
        <v>116.6177</v>
      </c>
      <c r="E177" s="368">
        <f>+'APU´s civil 1 '!H1915</f>
        <v>27135</v>
      </c>
      <c r="F177" s="369">
        <f t="shared" si="6"/>
        <v>3164421.2895</v>
      </c>
    </row>
    <row r="178" spans="1:6" ht="15.95" customHeight="1">
      <c r="A178" s="397" t="s">
        <v>1251</v>
      </c>
      <c r="B178" s="405" t="s">
        <v>804</v>
      </c>
      <c r="C178" s="404" t="s">
        <v>66</v>
      </c>
      <c r="D178" s="407">
        <f>184.9*0.02</f>
        <v>3.6980000000000004</v>
      </c>
      <c r="E178" s="368">
        <f>+'APU´s civil 1 '!H1942</f>
        <v>14821</v>
      </c>
      <c r="F178" s="369">
        <f t="shared" si="6"/>
        <v>54808.058000000005</v>
      </c>
    </row>
    <row r="179" spans="1:6" ht="33">
      <c r="A179" s="402" t="s">
        <v>1252</v>
      </c>
      <c r="B179" s="405" t="s">
        <v>805</v>
      </c>
      <c r="C179" s="404" t="s">
        <v>8</v>
      </c>
      <c r="D179" s="367">
        <f>12.3+12.3</f>
        <v>24.6</v>
      </c>
      <c r="E179" s="368">
        <f>+'APU´s civil 1 '!H1971</f>
        <v>22891</v>
      </c>
      <c r="F179" s="369">
        <f t="shared" si="6"/>
        <v>563118.6</v>
      </c>
    </row>
    <row r="180" spans="1:6" ht="16.5">
      <c r="A180" s="397" t="s">
        <v>1253</v>
      </c>
      <c r="B180" s="405" t="s">
        <v>1197</v>
      </c>
      <c r="C180" s="404" t="s">
        <v>65</v>
      </c>
      <c r="D180" s="406">
        <f>(0.84*2.3)+(2.35*2.3)+(0.84*2.3)+(1.64*2.3)+(1.69*2.3)+(1.94*2.3)+(1.94*2.3)+(0.83*2.3)+(1.94*2.3)+13.7+23.21+42.19</f>
        <v>111.32300000000001</v>
      </c>
      <c r="E180" s="368">
        <f>+'APU´s civil 1 '!H1999</f>
        <v>32200</v>
      </c>
      <c r="F180" s="369">
        <f t="shared" si="6"/>
        <v>3584600.6</v>
      </c>
    </row>
    <row r="181" spans="1:6" ht="15.95" customHeight="1">
      <c r="A181" s="402" t="s">
        <v>1254</v>
      </c>
      <c r="B181" s="405" t="s">
        <v>62</v>
      </c>
      <c r="C181" s="404" t="s">
        <v>65</v>
      </c>
      <c r="D181" s="367">
        <v>116.6</v>
      </c>
      <c r="E181" s="368">
        <f>+'APU´s civil 1 '!H2027</f>
        <v>3981</v>
      </c>
      <c r="F181" s="369">
        <f t="shared" si="6"/>
        <v>464184.6</v>
      </c>
    </row>
    <row r="182" spans="1:6" ht="15.95" customHeight="1">
      <c r="A182" s="397" t="s">
        <v>1255</v>
      </c>
      <c r="B182" s="405" t="s">
        <v>46</v>
      </c>
      <c r="C182" s="404" t="s">
        <v>65</v>
      </c>
      <c r="D182" s="367">
        <f>12.3*7.3</f>
        <v>89.79</v>
      </c>
      <c r="E182" s="368">
        <f>+'APU´s civil 1 '!H2063</f>
        <v>31298</v>
      </c>
      <c r="F182" s="369">
        <f t="shared" si="6"/>
        <v>2810247.4200000004</v>
      </c>
    </row>
    <row r="183" spans="1:6" ht="33">
      <c r="A183" s="402" t="s">
        <v>1256</v>
      </c>
      <c r="B183" s="403" t="s">
        <v>980</v>
      </c>
      <c r="C183" s="404" t="s">
        <v>7</v>
      </c>
      <c r="D183" s="367">
        <v>8</v>
      </c>
      <c r="E183" s="368">
        <f>+'APU´s civil 1 '!H2642</f>
        <v>21233</v>
      </c>
      <c r="F183" s="369">
        <f t="shared" si="6"/>
        <v>169864</v>
      </c>
    </row>
    <row r="184" spans="1:6" ht="33">
      <c r="A184" s="397" t="s">
        <v>1257</v>
      </c>
      <c r="B184" s="403" t="s">
        <v>981</v>
      </c>
      <c r="C184" s="404" t="s">
        <v>7</v>
      </c>
      <c r="D184" s="367">
        <v>3</v>
      </c>
      <c r="E184" s="368">
        <f>+'APU´s civil 1 '!H2669</f>
        <v>29180</v>
      </c>
      <c r="F184" s="369">
        <f t="shared" si="6"/>
        <v>87540</v>
      </c>
    </row>
    <row r="185" spans="1:6" ht="33">
      <c r="A185" s="402" t="s">
        <v>1258</v>
      </c>
      <c r="B185" s="403" t="s">
        <v>982</v>
      </c>
      <c r="C185" s="404" t="s">
        <v>7</v>
      </c>
      <c r="D185" s="367">
        <v>2</v>
      </c>
      <c r="E185" s="368">
        <f>+'APU´s civil 1 '!H2696</f>
        <v>41519</v>
      </c>
      <c r="F185" s="369">
        <f t="shared" si="6"/>
        <v>83038</v>
      </c>
    </row>
    <row r="186" spans="1:6" ht="33">
      <c r="A186" s="397" t="s">
        <v>1259</v>
      </c>
      <c r="B186" s="408" t="s">
        <v>1216</v>
      </c>
      <c r="C186" s="404" t="s">
        <v>7</v>
      </c>
      <c r="D186" s="367">
        <v>7</v>
      </c>
      <c r="E186" s="368">
        <f>+'APU´s civil 1 '!H2971</f>
        <v>17016</v>
      </c>
      <c r="F186" s="369">
        <f t="shared" si="6"/>
        <v>119112</v>
      </c>
    </row>
    <row r="187" spans="1:6" ht="15.95" customHeight="1">
      <c r="A187" s="402" t="s">
        <v>1260</v>
      </c>
      <c r="B187" s="405" t="s">
        <v>983</v>
      </c>
      <c r="C187" s="404" t="s">
        <v>7</v>
      </c>
      <c r="D187" s="367">
        <v>1</v>
      </c>
      <c r="E187" s="368">
        <f>+'APU´s civil 1 '!H2834</f>
        <v>14698</v>
      </c>
      <c r="F187" s="369">
        <f t="shared" si="6"/>
        <v>14698</v>
      </c>
    </row>
    <row r="188" spans="1:6" ht="15.95" customHeight="1">
      <c r="A188" s="397" t="s">
        <v>1261</v>
      </c>
      <c r="B188" s="405" t="s">
        <v>984</v>
      </c>
      <c r="C188" s="404" t="s">
        <v>7</v>
      </c>
      <c r="D188" s="367">
        <v>1</v>
      </c>
      <c r="E188" s="368">
        <f>+'APU´s civil 1 '!H2860</f>
        <v>18690</v>
      </c>
      <c r="F188" s="369">
        <f t="shared" si="6"/>
        <v>18690</v>
      </c>
    </row>
    <row r="189" spans="1:6" ht="15.95" customHeight="1">
      <c r="A189" s="402" t="s">
        <v>1262</v>
      </c>
      <c r="B189" s="405" t="s">
        <v>985</v>
      </c>
      <c r="C189" s="404" t="s">
        <v>7</v>
      </c>
      <c r="D189" s="367">
        <v>3</v>
      </c>
      <c r="E189" s="368">
        <f>+'APU´s civil 1 '!H2888</f>
        <v>32483</v>
      </c>
      <c r="F189" s="369">
        <f t="shared" si="6"/>
        <v>97449</v>
      </c>
    </row>
    <row r="190" spans="1:6" ht="15.95" customHeight="1">
      <c r="A190" s="397" t="s">
        <v>1263</v>
      </c>
      <c r="B190" s="204" t="s">
        <v>986</v>
      </c>
      <c r="C190" s="382" t="s">
        <v>7</v>
      </c>
      <c r="D190" s="337">
        <v>7</v>
      </c>
      <c r="E190" s="409">
        <f>+'APU´s civil 1 '!H2915</f>
        <v>28525</v>
      </c>
      <c r="F190" s="369">
        <f t="shared" si="6"/>
        <v>199675</v>
      </c>
    </row>
    <row r="191" spans="1:6" ht="15.95" customHeight="1">
      <c r="A191" s="402" t="s">
        <v>1264</v>
      </c>
      <c r="B191" s="405" t="s">
        <v>1652</v>
      </c>
      <c r="C191" s="404" t="s">
        <v>7</v>
      </c>
      <c r="D191" s="367">
        <v>7</v>
      </c>
      <c r="E191" s="368">
        <f>+'APU´s civil 1 '!H2723</f>
        <v>45079</v>
      </c>
      <c r="F191" s="369">
        <f t="shared" si="6"/>
        <v>315553</v>
      </c>
    </row>
    <row r="192" spans="1:6" ht="15.95" customHeight="1">
      <c r="A192" s="397" t="s">
        <v>1265</v>
      </c>
      <c r="B192" s="405" t="s">
        <v>1653</v>
      </c>
      <c r="C192" s="404" t="s">
        <v>7</v>
      </c>
      <c r="D192" s="367">
        <v>1</v>
      </c>
      <c r="E192" s="368">
        <f>+'APU´s civil 1 '!H2751</f>
        <v>66257</v>
      </c>
      <c r="F192" s="369">
        <f t="shared" si="6"/>
        <v>66257</v>
      </c>
    </row>
    <row r="193" spans="1:6" ht="15.95" customHeight="1">
      <c r="A193" s="402" t="s">
        <v>1266</v>
      </c>
      <c r="B193" s="405" t="s">
        <v>1654</v>
      </c>
      <c r="C193" s="404" t="s">
        <v>7</v>
      </c>
      <c r="D193" s="367">
        <v>1</v>
      </c>
      <c r="E193" s="368">
        <f>+'APU´s civil 1 '!H2778</f>
        <v>101178</v>
      </c>
      <c r="F193" s="369">
        <f t="shared" si="6"/>
        <v>101178</v>
      </c>
    </row>
    <row r="194" spans="1:6" ht="15.95" customHeight="1">
      <c r="A194" s="397" t="s">
        <v>1267</v>
      </c>
      <c r="B194" s="204" t="s">
        <v>987</v>
      </c>
      <c r="C194" s="382" t="s">
        <v>7</v>
      </c>
      <c r="D194" s="337">
        <v>5</v>
      </c>
      <c r="E194" s="409">
        <f>+'APU´s civil 1 '!H2804</f>
        <v>14028</v>
      </c>
      <c r="F194" s="369">
        <f t="shared" si="6"/>
        <v>70140</v>
      </c>
    </row>
    <row r="195" spans="1:6" ht="15.95" customHeight="1">
      <c r="A195" s="402" t="s">
        <v>1268</v>
      </c>
      <c r="B195" s="405" t="s">
        <v>988</v>
      </c>
      <c r="C195" s="404" t="s">
        <v>7</v>
      </c>
      <c r="D195" s="367">
        <v>4</v>
      </c>
      <c r="E195" s="368">
        <f>+'APU´s civil 1 '!H2942</f>
        <v>7776</v>
      </c>
      <c r="F195" s="369">
        <f t="shared" si="6"/>
        <v>31104</v>
      </c>
    </row>
    <row r="196" spans="1:6" ht="15.95" customHeight="1">
      <c r="A196" s="397" t="s">
        <v>1269</v>
      </c>
      <c r="B196" s="204" t="s">
        <v>989</v>
      </c>
      <c r="C196" s="382" t="s">
        <v>8</v>
      </c>
      <c r="D196" s="367">
        <f>30.32+3.22+14.95+12.7+57.45+5.48+5.48+54.93+5.28+0.63+6.59+20.17+51.81+7.76+1.9+1.7+0.51+5.3</f>
        <v>286.17999999999995</v>
      </c>
      <c r="E196" s="368">
        <f>+'APU'' civil 2'!H334</f>
        <v>13596</v>
      </c>
      <c r="F196" s="369">
        <f t="shared" si="6"/>
        <v>3890903.2799999993</v>
      </c>
    </row>
    <row r="197" spans="1:6" ht="66">
      <c r="A197" s="402" t="s">
        <v>1270</v>
      </c>
      <c r="B197" s="405" t="s">
        <v>990</v>
      </c>
      <c r="C197" s="404" t="s">
        <v>7</v>
      </c>
      <c r="D197" s="367">
        <v>2</v>
      </c>
      <c r="E197" s="368">
        <f>+'APU´s civil 1 '!H2180</f>
        <v>144124</v>
      </c>
      <c r="F197" s="369">
        <f t="shared" si="6"/>
        <v>288248</v>
      </c>
    </row>
    <row r="198" spans="1:6" ht="33">
      <c r="A198" s="397" t="s">
        <v>1271</v>
      </c>
      <c r="B198" s="405" t="s">
        <v>991</v>
      </c>
      <c r="C198" s="404" t="s">
        <v>7</v>
      </c>
      <c r="D198" s="367">
        <v>5</v>
      </c>
      <c r="E198" s="368">
        <f>+'APU´s civil 1 '!H2215</f>
        <v>288681</v>
      </c>
      <c r="F198" s="369">
        <f t="shared" si="6"/>
        <v>1443405</v>
      </c>
    </row>
    <row r="199" spans="1:6" ht="15.95" customHeight="1">
      <c r="A199" s="402" t="s">
        <v>1272</v>
      </c>
      <c r="B199" s="405" t="s">
        <v>25</v>
      </c>
      <c r="C199" s="404" t="s">
        <v>8</v>
      </c>
      <c r="D199" s="367">
        <v>6.5</v>
      </c>
      <c r="E199" s="368">
        <f>+'APU´s civil 1 '!H2613</f>
        <v>26339</v>
      </c>
      <c r="F199" s="369">
        <f t="shared" si="6"/>
        <v>171203.5</v>
      </c>
    </row>
    <row r="200" spans="1:6" ht="15.95" customHeight="1">
      <c r="A200" s="397" t="s">
        <v>1273</v>
      </c>
      <c r="B200" s="405" t="s">
        <v>26</v>
      </c>
      <c r="C200" s="404" t="s">
        <v>65</v>
      </c>
      <c r="D200" s="406">
        <f>0.8+0.89+1.16+0.95+1.85+0.76+1.52+0.76+1.22+0.86+0.39+0.95+1+0.95+0.74+1.5+0.85+2.1+1.2+1.16+1.33+6.35</f>
        <v>29.29</v>
      </c>
      <c r="E200" s="368">
        <f>+'APU´s civil 1 '!H2089</f>
        <v>3282</v>
      </c>
      <c r="F200" s="369">
        <f t="shared" si="6"/>
        <v>96129.78</v>
      </c>
    </row>
    <row r="201" spans="1:6" s="413" customFormat="1" ht="15.95" customHeight="1">
      <c r="A201" s="402" t="s">
        <v>1274</v>
      </c>
      <c r="B201" s="405" t="s">
        <v>24</v>
      </c>
      <c r="C201" s="404" t="s">
        <v>65</v>
      </c>
      <c r="D201" s="410">
        <f>12.3*6.5</f>
        <v>79.95</v>
      </c>
      <c r="E201" s="411">
        <f>+'APU´s civil 1 '!H2587</f>
        <v>18167</v>
      </c>
      <c r="F201" s="412">
        <f t="shared" si="6"/>
        <v>1452451.6500000001</v>
      </c>
    </row>
    <row r="202" spans="1:6" s="413" customFormat="1" ht="15.95" customHeight="1">
      <c r="A202" s="397" t="s">
        <v>1275</v>
      </c>
      <c r="B202" s="405" t="s">
        <v>47</v>
      </c>
      <c r="C202" s="404" t="s">
        <v>8</v>
      </c>
      <c r="D202" s="410">
        <f>0.22*3</f>
        <v>0.66</v>
      </c>
      <c r="E202" s="411">
        <f>+'APU´s civil 1 '!H2118</f>
        <v>50489</v>
      </c>
      <c r="F202" s="412">
        <f t="shared" si="6"/>
        <v>33322.74</v>
      </c>
    </row>
    <row r="203" spans="1:6" s="413" customFormat="1" ht="15.95" customHeight="1">
      <c r="A203" s="402" t="s">
        <v>1276</v>
      </c>
      <c r="B203" s="405" t="s">
        <v>27</v>
      </c>
      <c r="C203" s="404" t="s">
        <v>7</v>
      </c>
      <c r="D203" s="410">
        <v>2</v>
      </c>
      <c r="E203" s="411">
        <f>+'APU´s civil 1 '!H2240</f>
        <v>88112</v>
      </c>
      <c r="F203" s="412">
        <f t="shared" si="6"/>
        <v>176224</v>
      </c>
    </row>
    <row r="204" spans="1:6" s="413" customFormat="1" ht="15.95" customHeight="1">
      <c r="A204" s="397" t="s">
        <v>1277</v>
      </c>
      <c r="B204" s="405" t="s">
        <v>28</v>
      </c>
      <c r="C204" s="404" t="s">
        <v>7</v>
      </c>
      <c r="D204" s="410">
        <v>2</v>
      </c>
      <c r="E204" s="411">
        <f>+'APU´s civil 1 '!H2312</f>
        <v>9811</v>
      </c>
      <c r="F204" s="412">
        <f t="shared" si="6"/>
        <v>19622</v>
      </c>
    </row>
    <row r="205" spans="1:6" s="413" customFormat="1" ht="15.95" customHeight="1">
      <c r="A205" s="402" t="s">
        <v>1278</v>
      </c>
      <c r="B205" s="405" t="s">
        <v>29</v>
      </c>
      <c r="C205" s="404" t="s">
        <v>7</v>
      </c>
      <c r="D205" s="410">
        <v>2</v>
      </c>
      <c r="E205" s="411">
        <f>+'APU´s civil 1 '!H2264</f>
        <v>15661</v>
      </c>
      <c r="F205" s="412">
        <f t="shared" si="6"/>
        <v>31322</v>
      </c>
    </row>
    <row r="206" spans="1:6" s="413" customFormat="1" ht="15.95" customHeight="1">
      <c r="A206" s="397" t="s">
        <v>1278</v>
      </c>
      <c r="B206" s="405" t="s">
        <v>30</v>
      </c>
      <c r="C206" s="404" t="s">
        <v>7</v>
      </c>
      <c r="D206" s="410">
        <v>2</v>
      </c>
      <c r="E206" s="411">
        <f>+'APU´s civil 1 '!H2288</f>
        <v>21754</v>
      </c>
      <c r="F206" s="412">
        <f t="shared" si="6"/>
        <v>43508</v>
      </c>
    </row>
    <row r="207" spans="1:6" s="413" customFormat="1" ht="15.95" customHeight="1">
      <c r="A207" s="402" t="s">
        <v>1279</v>
      </c>
      <c r="B207" s="405" t="s">
        <v>31</v>
      </c>
      <c r="C207" s="404" t="s">
        <v>8</v>
      </c>
      <c r="D207" s="410">
        <v>1.5</v>
      </c>
      <c r="E207" s="411">
        <f>+'APU´s civil 1 '!H2345</f>
        <v>89323</v>
      </c>
      <c r="F207" s="412">
        <f t="shared" si="6"/>
        <v>133984.5</v>
      </c>
    </row>
    <row r="208" spans="1:6" s="413" customFormat="1" ht="15.95" customHeight="1">
      <c r="A208" s="397" t="s">
        <v>1280</v>
      </c>
      <c r="B208" s="405" t="s">
        <v>56</v>
      </c>
      <c r="C208" s="404" t="s">
        <v>7</v>
      </c>
      <c r="D208" s="410">
        <v>2</v>
      </c>
      <c r="E208" s="411">
        <f>+'APU´s civil 1 '!H2369</f>
        <v>69273</v>
      </c>
      <c r="F208" s="412">
        <f t="shared" si="6"/>
        <v>138546</v>
      </c>
    </row>
    <row r="209" spans="1:9" s="413" customFormat="1" ht="15.95" customHeight="1">
      <c r="A209" s="402" t="s">
        <v>1281</v>
      </c>
      <c r="B209" s="405" t="s">
        <v>1198</v>
      </c>
      <c r="C209" s="404" t="s">
        <v>7</v>
      </c>
      <c r="D209" s="410">
        <v>2</v>
      </c>
      <c r="E209" s="411">
        <f>+'APU´s civil 1 '!H2397</f>
        <v>305480</v>
      </c>
      <c r="F209" s="412">
        <f t="shared" si="6"/>
        <v>610960</v>
      </c>
    </row>
    <row r="210" spans="1:9" s="413" customFormat="1" ht="15.95" customHeight="1">
      <c r="A210" s="397" t="s">
        <v>1282</v>
      </c>
      <c r="B210" s="405" t="s">
        <v>32</v>
      </c>
      <c r="C210" s="404" t="s">
        <v>7</v>
      </c>
      <c r="D210" s="410">
        <v>2</v>
      </c>
      <c r="E210" s="411">
        <f>+'APU´s civil 1 '!H2423</f>
        <v>169660</v>
      </c>
      <c r="F210" s="412">
        <f t="shared" si="6"/>
        <v>339320</v>
      </c>
    </row>
    <row r="211" spans="1:9" s="413" customFormat="1" ht="15.95" customHeight="1">
      <c r="A211" s="402" t="s">
        <v>1283</v>
      </c>
      <c r="B211" s="405" t="s">
        <v>33</v>
      </c>
      <c r="C211" s="404" t="s">
        <v>7</v>
      </c>
      <c r="D211" s="410">
        <v>1</v>
      </c>
      <c r="E211" s="411">
        <f>+'APU´s civil 1 '!H2449</f>
        <v>146500</v>
      </c>
      <c r="F211" s="412">
        <f t="shared" si="6"/>
        <v>146500</v>
      </c>
    </row>
    <row r="212" spans="1:9" s="413" customFormat="1" ht="15.95" customHeight="1">
      <c r="A212" s="397" t="s">
        <v>1284</v>
      </c>
      <c r="B212" s="405" t="s">
        <v>806</v>
      </c>
      <c r="C212" s="404" t="s">
        <v>7</v>
      </c>
      <c r="D212" s="410">
        <v>1</v>
      </c>
      <c r="E212" s="411">
        <f>+'APU´s civil 1 '!H2503</f>
        <v>263660</v>
      </c>
      <c r="F212" s="412">
        <f t="shared" si="6"/>
        <v>263660</v>
      </c>
    </row>
    <row r="213" spans="1:9" s="413" customFormat="1" ht="15.95" customHeight="1">
      <c r="A213" s="402" t="s">
        <v>1285</v>
      </c>
      <c r="B213" s="405" t="s">
        <v>34</v>
      </c>
      <c r="C213" s="404" t="s">
        <v>7</v>
      </c>
      <c r="D213" s="410">
        <v>2</v>
      </c>
      <c r="E213" s="411">
        <f>+'APU´s civil 1 '!H2476</f>
        <v>14010</v>
      </c>
      <c r="F213" s="412">
        <f t="shared" si="6"/>
        <v>28020</v>
      </c>
    </row>
    <row r="214" spans="1:9" s="413" customFormat="1" ht="15.95" customHeight="1">
      <c r="A214" s="397" t="s">
        <v>1286</v>
      </c>
      <c r="B214" s="204" t="s">
        <v>35</v>
      </c>
      <c r="C214" s="382" t="s">
        <v>7</v>
      </c>
      <c r="D214" s="410">
        <v>1</v>
      </c>
      <c r="E214" s="411">
        <f>+'APU´s civil 1 '!H2530</f>
        <v>371660</v>
      </c>
      <c r="F214" s="412">
        <f t="shared" si="6"/>
        <v>371660</v>
      </c>
    </row>
    <row r="215" spans="1:9" s="413" customFormat="1" ht="15.95" customHeight="1">
      <c r="A215" s="402" t="s">
        <v>1287</v>
      </c>
      <c r="B215" s="204" t="s">
        <v>85</v>
      </c>
      <c r="C215" s="382" t="s">
        <v>7</v>
      </c>
      <c r="D215" s="410">
        <v>1</v>
      </c>
      <c r="E215" s="411">
        <f>+'APU´s civil 1 '!H2559</f>
        <v>171660</v>
      </c>
      <c r="F215" s="412">
        <f t="shared" si="6"/>
        <v>171660</v>
      </c>
    </row>
    <row r="216" spans="1:9" ht="15.95" customHeight="1">
      <c r="A216" s="570" t="s">
        <v>1169</v>
      </c>
      <c r="B216" s="571"/>
      <c r="C216" s="571"/>
      <c r="D216" s="571"/>
      <c r="E216" s="572"/>
      <c r="F216" s="414">
        <f>SUM(F174:F215)</f>
        <v>25526797.067499999</v>
      </c>
    </row>
    <row r="217" spans="1:9" ht="15.95" customHeight="1">
      <c r="A217" s="333">
        <v>7</v>
      </c>
      <c r="B217" s="415" t="s">
        <v>36</v>
      </c>
      <c r="C217" s="416"/>
      <c r="D217" s="416"/>
      <c r="E217" s="416"/>
      <c r="F217" s="417"/>
    </row>
    <row r="218" spans="1:9" ht="15.95" customHeight="1">
      <c r="A218" s="367" t="s">
        <v>1288</v>
      </c>
      <c r="B218" s="405" t="s">
        <v>37</v>
      </c>
      <c r="C218" s="404" t="s">
        <v>8</v>
      </c>
      <c r="D218" s="367">
        <f>14.51+48.85+79.67+28.33+57.29+8.63+235.32+73.74</f>
        <v>546.34</v>
      </c>
      <c r="E218" s="368">
        <f>+'APU´s civil 1 '!H82</f>
        <v>1441</v>
      </c>
      <c r="F218" s="369">
        <f t="shared" ref="F218:F227" si="7">D218*E218</f>
        <v>787275.94000000006</v>
      </c>
    </row>
    <row r="219" spans="1:9" ht="15.95" customHeight="1">
      <c r="A219" s="367" t="s">
        <v>82</v>
      </c>
      <c r="B219" s="405" t="s">
        <v>807</v>
      </c>
      <c r="C219" s="404" t="s">
        <v>66</v>
      </c>
      <c r="D219" s="367">
        <f>(0.5*0.5*0.4)*273</f>
        <v>27.3</v>
      </c>
      <c r="E219" s="368">
        <f>+'APU'' civil 3'!H272</f>
        <v>20929</v>
      </c>
      <c r="F219" s="369">
        <f t="shared" si="7"/>
        <v>571361.70000000007</v>
      </c>
    </row>
    <row r="220" spans="1:9" ht="33">
      <c r="A220" s="367" t="s">
        <v>1289</v>
      </c>
      <c r="B220" s="408" t="s">
        <v>1170</v>
      </c>
      <c r="C220" s="367" t="s">
        <v>66</v>
      </c>
      <c r="D220" s="407">
        <f>(0.4*0.2*0.32)*273+27.3</f>
        <v>34.288800000000002</v>
      </c>
      <c r="E220" s="368">
        <f>+'APU´s civil 1 '!H783</f>
        <v>531534</v>
      </c>
      <c r="F220" s="369">
        <f t="shared" si="7"/>
        <v>18225663.019200001</v>
      </c>
    </row>
    <row r="221" spans="1:9" ht="33">
      <c r="A221" s="367" t="s">
        <v>1290</v>
      </c>
      <c r="B221" s="408" t="s">
        <v>61</v>
      </c>
      <c r="C221" s="367" t="s">
        <v>6</v>
      </c>
      <c r="D221" s="367">
        <v>648</v>
      </c>
      <c r="E221" s="368">
        <f>+'APU´s civil 1 '!H340</f>
        <v>3201</v>
      </c>
      <c r="F221" s="369">
        <f t="shared" si="7"/>
        <v>2074248</v>
      </c>
    </row>
    <row r="222" spans="1:9" ht="15.95" customHeight="1">
      <c r="A222" s="367" t="s">
        <v>1291</v>
      </c>
      <c r="B222" s="405" t="s">
        <v>39</v>
      </c>
      <c r="C222" s="404" t="s">
        <v>7</v>
      </c>
      <c r="D222" s="410">
        <v>273</v>
      </c>
      <c r="E222" s="411">
        <f>+'APU'' civil 3'!H1319</f>
        <v>11036</v>
      </c>
      <c r="F222" s="412">
        <f t="shared" si="7"/>
        <v>3012828</v>
      </c>
      <c r="I222" s="329" t="s">
        <v>77</v>
      </c>
    </row>
    <row r="223" spans="1:9" s="413" customFormat="1" ht="15.95" customHeight="1">
      <c r="A223" s="367" t="s">
        <v>1292</v>
      </c>
      <c r="B223" s="405" t="s">
        <v>38</v>
      </c>
      <c r="C223" s="404" t="s">
        <v>8</v>
      </c>
      <c r="D223" s="410">
        <f>2.8*273</f>
        <v>764.4</v>
      </c>
      <c r="E223" s="411">
        <f>+'APU'' civil 3'!H1290</f>
        <v>24131</v>
      </c>
      <c r="F223" s="412">
        <f t="shared" si="7"/>
        <v>18445736.399999999</v>
      </c>
    </row>
    <row r="224" spans="1:9" s="413" customFormat="1" ht="15.95" customHeight="1">
      <c r="A224" s="367" t="s">
        <v>1293</v>
      </c>
      <c r="B224" s="405" t="s">
        <v>40</v>
      </c>
      <c r="C224" s="404" t="s">
        <v>65</v>
      </c>
      <c r="D224" s="410">
        <f>(2*2.8)*273</f>
        <v>1528.8</v>
      </c>
      <c r="E224" s="411">
        <f>+'APU'' civil 3'!H1348</f>
        <v>22910</v>
      </c>
      <c r="F224" s="412">
        <f t="shared" si="7"/>
        <v>35024808</v>
      </c>
    </row>
    <row r="225" spans="1:6" s="413" customFormat="1" ht="15.95" customHeight="1">
      <c r="A225" s="367" t="s">
        <v>1294</v>
      </c>
      <c r="B225" s="405" t="s">
        <v>41</v>
      </c>
      <c r="C225" s="404" t="s">
        <v>8</v>
      </c>
      <c r="D225" s="418">
        <v>546.34</v>
      </c>
      <c r="E225" s="411">
        <f>+'APU'' civil 3'!H1375</f>
        <v>1983</v>
      </c>
      <c r="F225" s="412">
        <f t="shared" si="7"/>
        <v>1083392.22</v>
      </c>
    </row>
    <row r="226" spans="1:6" s="413" customFormat="1" ht="15.95" customHeight="1">
      <c r="A226" s="367" t="s">
        <v>1295</v>
      </c>
      <c r="B226" s="405" t="s">
        <v>1179</v>
      </c>
      <c r="C226" s="404" t="s">
        <v>8</v>
      </c>
      <c r="D226" s="418">
        <v>1693.02</v>
      </c>
      <c r="E226" s="411">
        <f>+'APU'' civil 3'!H1401</f>
        <v>2028</v>
      </c>
      <c r="F226" s="412">
        <f t="shared" si="7"/>
        <v>3433444.56</v>
      </c>
    </row>
    <row r="227" spans="1:6" s="413" customFormat="1" ht="82.5">
      <c r="A227" s="367" t="s">
        <v>1296</v>
      </c>
      <c r="B227" s="405" t="s">
        <v>42</v>
      </c>
      <c r="C227" s="404" t="s">
        <v>7</v>
      </c>
      <c r="D227" s="410">
        <v>1</v>
      </c>
      <c r="E227" s="411">
        <f>+'APU'' civil 3'!H1427</f>
        <v>1208062</v>
      </c>
      <c r="F227" s="412">
        <f t="shared" si="7"/>
        <v>1208062</v>
      </c>
    </row>
    <row r="228" spans="1:6" ht="15.95" customHeight="1">
      <c r="A228" s="573" t="s">
        <v>1003</v>
      </c>
      <c r="B228" s="574"/>
      <c r="C228" s="574"/>
      <c r="D228" s="574"/>
      <c r="E228" s="575"/>
      <c r="F228" s="414">
        <f>SUM(F218:F227)</f>
        <v>83866819.839200005</v>
      </c>
    </row>
    <row r="229" spans="1:6" ht="15.95" customHeight="1">
      <c r="A229" s="333">
        <v>8</v>
      </c>
      <c r="B229" s="576" t="s">
        <v>64</v>
      </c>
      <c r="C229" s="577"/>
      <c r="D229" s="577"/>
      <c r="E229" s="577"/>
      <c r="F229" s="578"/>
    </row>
    <row r="230" spans="1:6" ht="15.95" customHeight="1">
      <c r="A230" s="333" t="s">
        <v>1297</v>
      </c>
      <c r="B230" s="345" t="s">
        <v>5</v>
      </c>
      <c r="C230" s="346"/>
      <c r="D230" s="346"/>
      <c r="E230" s="346"/>
      <c r="F230" s="347"/>
    </row>
    <row r="231" spans="1:6" ht="15.95" customHeight="1">
      <c r="A231" s="367" t="s">
        <v>1298</v>
      </c>
      <c r="B231" s="405" t="s">
        <v>3</v>
      </c>
      <c r="C231" s="404" t="s">
        <v>65</v>
      </c>
      <c r="D231" s="367">
        <f>3862.9+365.3</f>
        <v>4228.2</v>
      </c>
      <c r="E231" s="368">
        <f>+'APU´s civil 1 '!H54</f>
        <v>2954</v>
      </c>
      <c r="F231" s="369">
        <f t="shared" ref="F231:F240" si="8">D231*E231</f>
        <v>12490102.799999999</v>
      </c>
    </row>
    <row r="232" spans="1:6" ht="15.95" customHeight="1">
      <c r="A232" s="367" t="s">
        <v>1299</v>
      </c>
      <c r="B232" s="408" t="s">
        <v>280</v>
      </c>
      <c r="C232" s="337" t="s">
        <v>66</v>
      </c>
      <c r="D232" s="406">
        <f>3862.9*0.83</f>
        <v>3206.2069999999999</v>
      </c>
      <c r="E232" s="368">
        <f>+'APU´s civil 1 '!H109</f>
        <v>8829</v>
      </c>
      <c r="F232" s="369">
        <f t="shared" si="8"/>
        <v>28307601.603</v>
      </c>
    </row>
    <row r="233" spans="1:6" ht="15.95" customHeight="1">
      <c r="A233" s="367" t="s">
        <v>1300</v>
      </c>
      <c r="B233" s="408" t="s">
        <v>55</v>
      </c>
      <c r="C233" s="337" t="s">
        <v>66</v>
      </c>
      <c r="D233" s="367">
        <v>3206.9</v>
      </c>
      <c r="E233" s="368">
        <f>+'APU´s civil 1 '!H135</f>
        <v>16226</v>
      </c>
      <c r="F233" s="369">
        <f t="shared" si="8"/>
        <v>52035159.399999999</v>
      </c>
    </row>
    <row r="234" spans="1:6" ht="33">
      <c r="A234" s="367" t="s">
        <v>1301</v>
      </c>
      <c r="B234" s="353" t="s">
        <v>959</v>
      </c>
      <c r="C234" s="337" t="s">
        <v>65</v>
      </c>
      <c r="D234" s="367">
        <v>4249.1000000000004</v>
      </c>
      <c r="E234" s="368">
        <f>+'APU´s civil 1 '!H189</f>
        <v>4003</v>
      </c>
      <c r="F234" s="369">
        <f t="shared" si="8"/>
        <v>17009147.300000001</v>
      </c>
    </row>
    <row r="235" spans="1:6" ht="16.5">
      <c r="A235" s="367" t="s">
        <v>1302</v>
      </c>
      <c r="B235" s="419" t="s">
        <v>1171</v>
      </c>
      <c r="C235" s="337" t="s">
        <v>65</v>
      </c>
      <c r="D235" s="367">
        <v>3862.9</v>
      </c>
      <c r="E235" s="368">
        <f>+'APU'' civil 3'!H1121</f>
        <v>1467</v>
      </c>
      <c r="F235" s="369">
        <f t="shared" si="8"/>
        <v>5666874.2999999998</v>
      </c>
    </row>
    <row r="236" spans="1:6" ht="33">
      <c r="A236" s="367" t="s">
        <v>1303</v>
      </c>
      <c r="B236" s="419" t="s">
        <v>1172</v>
      </c>
      <c r="C236" s="337" t="s">
        <v>65</v>
      </c>
      <c r="D236" s="406">
        <f>+D235*0.075</f>
        <v>289.71749999999997</v>
      </c>
      <c r="E236" s="368">
        <f>+'APU'' civil 3'!H1149</f>
        <v>387818</v>
      </c>
      <c r="F236" s="369">
        <f t="shared" si="8"/>
        <v>112357661.41499999</v>
      </c>
    </row>
    <row r="237" spans="1:6" ht="33">
      <c r="A237" s="367" t="s">
        <v>1304</v>
      </c>
      <c r="B237" s="419" t="s">
        <v>67</v>
      </c>
      <c r="C237" s="337" t="s">
        <v>66</v>
      </c>
      <c r="D237" s="367">
        <v>1545.2</v>
      </c>
      <c r="E237" s="368">
        <f>+'APU'' civil 3'!H1177</f>
        <v>75391</v>
      </c>
      <c r="F237" s="369">
        <f t="shared" si="8"/>
        <v>116494173.2</v>
      </c>
    </row>
    <row r="238" spans="1:6" ht="33">
      <c r="A238" s="367" t="s">
        <v>1305</v>
      </c>
      <c r="B238" s="419" t="s">
        <v>68</v>
      </c>
      <c r="C238" s="337" t="s">
        <v>66</v>
      </c>
      <c r="D238" s="367">
        <v>579.4</v>
      </c>
      <c r="E238" s="368">
        <f>+'APU'' civil 3'!H1204</f>
        <v>77171</v>
      </c>
      <c r="F238" s="369">
        <f t="shared" si="8"/>
        <v>44712877.399999999</v>
      </c>
    </row>
    <row r="239" spans="1:6" ht="15.95" customHeight="1">
      <c r="A239" s="367" t="s">
        <v>1306</v>
      </c>
      <c r="B239" s="207" t="s">
        <v>43</v>
      </c>
      <c r="C239" s="337" t="s">
        <v>8</v>
      </c>
      <c r="D239" s="406">
        <v>1041.6600000000001</v>
      </c>
      <c r="E239" s="368">
        <f>+'APU'' civil 3'!H1232</f>
        <v>26967</v>
      </c>
      <c r="F239" s="369">
        <f t="shared" si="8"/>
        <v>28090445.220000003</v>
      </c>
    </row>
    <row r="240" spans="1:6" ht="16.5">
      <c r="A240" s="367" t="s">
        <v>1307</v>
      </c>
      <c r="B240" s="405" t="s">
        <v>1176</v>
      </c>
      <c r="C240" s="404" t="s">
        <v>65</v>
      </c>
      <c r="D240" s="367">
        <v>365.3</v>
      </c>
      <c r="E240" s="368">
        <f>+'APU'' civil 3'!H1258</f>
        <v>8274</v>
      </c>
      <c r="F240" s="369">
        <f t="shared" si="8"/>
        <v>3022492.2</v>
      </c>
    </row>
    <row r="241" spans="1:6" ht="15.95" customHeight="1">
      <c r="A241" s="570" t="s">
        <v>1003</v>
      </c>
      <c r="B241" s="571"/>
      <c r="C241" s="571"/>
      <c r="D241" s="571"/>
      <c r="E241" s="572"/>
      <c r="F241" s="414">
        <f>SUM(F231:F240)</f>
        <v>420186534.838</v>
      </c>
    </row>
    <row r="242" spans="1:6" ht="16.5">
      <c r="A242" s="333">
        <v>9</v>
      </c>
      <c r="B242" s="576" t="s">
        <v>45</v>
      </c>
      <c r="C242" s="577"/>
      <c r="D242" s="577"/>
      <c r="E242" s="577"/>
      <c r="F242" s="578"/>
    </row>
    <row r="243" spans="1:6" ht="26.1" customHeight="1">
      <c r="A243" s="420" t="s">
        <v>83</v>
      </c>
      <c r="B243" s="357" t="s">
        <v>76</v>
      </c>
      <c r="C243" s="421" t="s">
        <v>73</v>
      </c>
      <c r="D243" s="367">
        <v>1</v>
      </c>
      <c r="E243" s="422">
        <v>150000000</v>
      </c>
      <c r="F243" s="369">
        <f>D243*E243</f>
        <v>150000000</v>
      </c>
    </row>
    <row r="244" spans="1:6" ht="15.95" customHeight="1">
      <c r="A244" s="593" t="s">
        <v>958</v>
      </c>
      <c r="B244" s="594"/>
      <c r="C244" s="594"/>
      <c r="D244" s="594"/>
      <c r="E244" s="595"/>
      <c r="F244" s="414">
        <f>SUM(F243)</f>
        <v>150000000</v>
      </c>
    </row>
    <row r="245" spans="1:6" ht="16.5">
      <c r="A245" s="423">
        <v>10</v>
      </c>
      <c r="B245" s="424" t="s">
        <v>819</v>
      </c>
      <c r="C245" s="425"/>
      <c r="D245" s="426"/>
      <c r="E245" s="427"/>
      <c r="F245" s="428"/>
    </row>
    <row r="246" spans="1:6" ht="16.5">
      <c r="A246" s="423" t="s">
        <v>84</v>
      </c>
      <c r="B246" s="424" t="s">
        <v>820</v>
      </c>
      <c r="C246" s="425"/>
      <c r="D246" s="426"/>
      <c r="E246" s="427"/>
      <c r="F246" s="428"/>
    </row>
    <row r="247" spans="1:6" ht="16.5">
      <c r="A247" s="429" t="s">
        <v>153</v>
      </c>
      <c r="B247" s="430" t="s">
        <v>821</v>
      </c>
      <c r="C247" s="431" t="s">
        <v>157</v>
      </c>
      <c r="D247" s="432">
        <v>19</v>
      </c>
      <c r="E247" s="433">
        <v>888944</v>
      </c>
      <c r="F247" s="434">
        <f t="shared" ref="F247:F259" si="9">D247*E247</f>
        <v>16889936</v>
      </c>
    </row>
    <row r="248" spans="1:6" ht="33">
      <c r="A248" s="429" t="s">
        <v>1180</v>
      </c>
      <c r="B248" s="430" t="s">
        <v>822</v>
      </c>
      <c r="C248" s="431" t="s">
        <v>157</v>
      </c>
      <c r="D248" s="432">
        <v>28</v>
      </c>
      <c r="E248" s="433">
        <v>824505</v>
      </c>
      <c r="F248" s="434">
        <f t="shared" si="9"/>
        <v>23086140</v>
      </c>
    </row>
    <row r="249" spans="1:6" ht="16.5">
      <c r="A249" s="429" t="s">
        <v>1181</v>
      </c>
      <c r="B249" s="430" t="s">
        <v>823</v>
      </c>
      <c r="C249" s="431" t="s">
        <v>157</v>
      </c>
      <c r="D249" s="432">
        <v>17</v>
      </c>
      <c r="E249" s="433">
        <v>538971</v>
      </c>
      <c r="F249" s="434">
        <f t="shared" si="9"/>
        <v>9162507</v>
      </c>
    </row>
    <row r="250" spans="1:6" ht="16.5">
      <c r="A250" s="429" t="s">
        <v>1182</v>
      </c>
      <c r="B250" s="430" t="s">
        <v>824</v>
      </c>
      <c r="C250" s="431" t="s">
        <v>454</v>
      </c>
      <c r="D250" s="432">
        <v>170</v>
      </c>
      <c r="E250" s="433">
        <v>11489</v>
      </c>
      <c r="F250" s="434">
        <f t="shared" si="9"/>
        <v>1953130</v>
      </c>
    </row>
    <row r="251" spans="1:6" ht="33">
      <c r="A251" s="429" t="s">
        <v>1183</v>
      </c>
      <c r="B251" s="430" t="s">
        <v>825</v>
      </c>
      <c r="C251" s="431" t="s">
        <v>454</v>
      </c>
      <c r="D251" s="432">
        <v>170</v>
      </c>
      <c r="E251" s="433">
        <v>11646</v>
      </c>
      <c r="F251" s="434">
        <f t="shared" si="9"/>
        <v>1979820</v>
      </c>
    </row>
    <row r="252" spans="1:6" ht="16.5">
      <c r="A252" s="429" t="s">
        <v>1184</v>
      </c>
      <c r="B252" s="430" t="s">
        <v>826</v>
      </c>
      <c r="C252" s="431" t="s">
        <v>454</v>
      </c>
      <c r="D252" s="432">
        <v>60</v>
      </c>
      <c r="E252" s="433">
        <v>5794</v>
      </c>
      <c r="F252" s="434">
        <f t="shared" si="9"/>
        <v>347640</v>
      </c>
    </row>
    <row r="253" spans="1:6" ht="16.5">
      <c r="A253" s="429" t="s">
        <v>1185</v>
      </c>
      <c r="B253" s="430" t="s">
        <v>827</v>
      </c>
      <c r="C253" s="431" t="s">
        <v>493</v>
      </c>
      <c r="D253" s="432">
        <v>970</v>
      </c>
      <c r="E253" s="433">
        <v>12135</v>
      </c>
      <c r="F253" s="434">
        <f t="shared" si="9"/>
        <v>11770950</v>
      </c>
    </row>
    <row r="254" spans="1:6" ht="16.5">
      <c r="A254" s="429" t="s">
        <v>1186</v>
      </c>
      <c r="B254" s="430" t="s">
        <v>828</v>
      </c>
      <c r="C254" s="431" t="s">
        <v>454</v>
      </c>
      <c r="D254" s="432">
        <v>70</v>
      </c>
      <c r="E254" s="433">
        <v>42332</v>
      </c>
      <c r="F254" s="434">
        <f t="shared" si="9"/>
        <v>2963240</v>
      </c>
    </row>
    <row r="255" spans="1:6" ht="16.5">
      <c r="A255" s="429" t="s">
        <v>1187</v>
      </c>
      <c r="B255" s="430" t="s">
        <v>829</v>
      </c>
      <c r="C255" s="431" t="s">
        <v>493</v>
      </c>
      <c r="D255" s="432">
        <v>1510</v>
      </c>
      <c r="E255" s="433">
        <v>11836</v>
      </c>
      <c r="F255" s="434">
        <f t="shared" si="9"/>
        <v>17872360</v>
      </c>
    </row>
    <row r="256" spans="1:6" ht="16.5">
      <c r="A256" s="429" t="s">
        <v>1188</v>
      </c>
      <c r="B256" s="430" t="s">
        <v>830</v>
      </c>
      <c r="C256" s="431" t="s">
        <v>493</v>
      </c>
      <c r="D256" s="432">
        <v>970</v>
      </c>
      <c r="E256" s="433">
        <v>4100</v>
      </c>
      <c r="F256" s="434">
        <f t="shared" si="9"/>
        <v>3977000</v>
      </c>
    </row>
    <row r="257" spans="1:6" ht="16.5">
      <c r="A257" s="429" t="s">
        <v>1189</v>
      </c>
      <c r="B257" s="430" t="s">
        <v>831</v>
      </c>
      <c r="C257" s="431" t="s">
        <v>157</v>
      </c>
      <c r="D257" s="432">
        <v>17</v>
      </c>
      <c r="E257" s="433">
        <v>41140</v>
      </c>
      <c r="F257" s="434">
        <f t="shared" si="9"/>
        <v>699380</v>
      </c>
    </row>
    <row r="258" spans="1:6" ht="16.5">
      <c r="A258" s="429" t="s">
        <v>1190</v>
      </c>
      <c r="B258" s="430" t="s">
        <v>832</v>
      </c>
      <c r="C258" s="431" t="s">
        <v>157</v>
      </c>
      <c r="D258" s="432">
        <v>5</v>
      </c>
      <c r="E258" s="433">
        <v>340124</v>
      </c>
      <c r="F258" s="434">
        <f t="shared" si="9"/>
        <v>1700620</v>
      </c>
    </row>
    <row r="259" spans="1:6" ht="16.5">
      <c r="A259" s="429" t="s">
        <v>1191</v>
      </c>
      <c r="B259" s="430" t="s">
        <v>833</v>
      </c>
      <c r="C259" s="431" t="s">
        <v>157</v>
      </c>
      <c r="D259" s="432">
        <v>5</v>
      </c>
      <c r="E259" s="433">
        <v>29690</v>
      </c>
      <c r="F259" s="434">
        <f t="shared" si="9"/>
        <v>148450</v>
      </c>
    </row>
    <row r="260" spans="1:6" ht="16.5">
      <c r="A260" s="429"/>
      <c r="B260" s="430"/>
      <c r="C260" s="431"/>
      <c r="D260" s="432"/>
      <c r="E260" s="435" t="s">
        <v>958</v>
      </c>
      <c r="F260" s="436">
        <f>SUM(F247:F259)</f>
        <v>92551173</v>
      </c>
    </row>
    <row r="261" spans="1:6" ht="16.5">
      <c r="A261" s="423" t="s">
        <v>1308</v>
      </c>
      <c r="B261" s="424" t="s">
        <v>834</v>
      </c>
      <c r="C261" s="437"/>
      <c r="D261" s="438"/>
      <c r="E261" s="439"/>
      <c r="F261" s="440"/>
    </row>
    <row r="262" spans="1:6" ht="16.5">
      <c r="A262" s="429" t="s">
        <v>1309</v>
      </c>
      <c r="B262" s="430" t="s">
        <v>821</v>
      </c>
      <c r="C262" s="431" t="s">
        <v>157</v>
      </c>
      <c r="D262" s="432">
        <v>11</v>
      </c>
      <c r="E262" s="433">
        <v>888944</v>
      </c>
      <c r="F262" s="434">
        <f>D262*E262</f>
        <v>9778384</v>
      </c>
    </row>
    <row r="263" spans="1:6" ht="33">
      <c r="A263" s="429" t="s">
        <v>1310</v>
      </c>
      <c r="B263" s="430" t="s">
        <v>822</v>
      </c>
      <c r="C263" s="431" t="s">
        <v>157</v>
      </c>
      <c r="D263" s="432">
        <v>11</v>
      </c>
      <c r="E263" s="433">
        <v>824505</v>
      </c>
      <c r="F263" s="434">
        <f t="shared" ref="F263:F274" si="10">D263*E263</f>
        <v>9069555</v>
      </c>
    </row>
    <row r="264" spans="1:6" ht="16.5">
      <c r="A264" s="429" t="s">
        <v>1311</v>
      </c>
      <c r="B264" s="430" t="s">
        <v>823</v>
      </c>
      <c r="C264" s="431" t="s">
        <v>157</v>
      </c>
      <c r="D264" s="432">
        <v>11</v>
      </c>
      <c r="E264" s="433">
        <v>538971</v>
      </c>
      <c r="F264" s="434">
        <f t="shared" si="10"/>
        <v>5928681</v>
      </c>
    </row>
    <row r="265" spans="1:6" ht="16.5">
      <c r="A265" s="429" t="s">
        <v>1312</v>
      </c>
      <c r="B265" s="430" t="s">
        <v>824</v>
      </c>
      <c r="C265" s="431" t="s">
        <v>454</v>
      </c>
      <c r="D265" s="432">
        <v>69</v>
      </c>
      <c r="E265" s="433">
        <v>11489</v>
      </c>
      <c r="F265" s="434">
        <f t="shared" si="10"/>
        <v>792741</v>
      </c>
    </row>
    <row r="266" spans="1:6" ht="33">
      <c r="A266" s="429" t="s">
        <v>1313</v>
      </c>
      <c r="B266" s="430" t="s">
        <v>825</v>
      </c>
      <c r="C266" s="431" t="s">
        <v>454</v>
      </c>
      <c r="D266" s="432">
        <v>69</v>
      </c>
      <c r="E266" s="433">
        <v>11646</v>
      </c>
      <c r="F266" s="434">
        <f t="shared" si="10"/>
        <v>803574</v>
      </c>
    </row>
    <row r="267" spans="1:6" ht="16.5">
      <c r="A267" s="429" t="s">
        <v>1314</v>
      </c>
      <c r="B267" s="430" t="s">
        <v>826</v>
      </c>
      <c r="C267" s="431" t="s">
        <v>454</v>
      </c>
      <c r="D267" s="432">
        <v>18</v>
      </c>
      <c r="E267" s="433">
        <v>5794</v>
      </c>
      <c r="F267" s="434">
        <f t="shared" si="10"/>
        <v>104292</v>
      </c>
    </row>
    <row r="268" spans="1:6" ht="16.5">
      <c r="A268" s="429" t="s">
        <v>1315</v>
      </c>
      <c r="B268" s="430" t="s">
        <v>827</v>
      </c>
      <c r="C268" s="431" t="s">
        <v>493</v>
      </c>
      <c r="D268" s="432">
        <v>450</v>
      </c>
      <c r="E268" s="433">
        <v>12135</v>
      </c>
      <c r="F268" s="434">
        <f t="shared" si="10"/>
        <v>5460750</v>
      </c>
    </row>
    <row r="269" spans="1:6" ht="16.5">
      <c r="A269" s="429" t="s">
        <v>1316</v>
      </c>
      <c r="B269" s="430" t="s">
        <v>828</v>
      </c>
      <c r="C269" s="431" t="s">
        <v>454</v>
      </c>
      <c r="D269" s="432">
        <v>25</v>
      </c>
      <c r="E269" s="433">
        <v>42332</v>
      </c>
      <c r="F269" s="434">
        <f t="shared" si="10"/>
        <v>1058300</v>
      </c>
    </row>
    <row r="270" spans="1:6" ht="16.5">
      <c r="A270" s="429" t="s">
        <v>1317</v>
      </c>
      <c r="B270" s="430" t="s">
        <v>829</v>
      </c>
      <c r="C270" s="431" t="s">
        <v>493</v>
      </c>
      <c r="D270" s="432">
        <v>780</v>
      </c>
      <c r="E270" s="433">
        <v>11836</v>
      </c>
      <c r="F270" s="434">
        <f t="shared" si="10"/>
        <v>9232080</v>
      </c>
    </row>
    <row r="271" spans="1:6" ht="16.5">
      <c r="A271" s="429" t="s">
        <v>1318</v>
      </c>
      <c r="B271" s="430" t="s">
        <v>830</v>
      </c>
      <c r="C271" s="431" t="s">
        <v>493</v>
      </c>
      <c r="D271" s="432">
        <v>520</v>
      </c>
      <c r="E271" s="433">
        <v>4100</v>
      </c>
      <c r="F271" s="434">
        <f t="shared" si="10"/>
        <v>2132000</v>
      </c>
    </row>
    <row r="272" spans="1:6" ht="16.5">
      <c r="A272" s="429" t="s">
        <v>1319</v>
      </c>
      <c r="B272" s="430" t="s">
        <v>831</v>
      </c>
      <c r="C272" s="431" t="s">
        <v>157</v>
      </c>
      <c r="D272" s="432">
        <v>11</v>
      </c>
      <c r="E272" s="433">
        <v>41140</v>
      </c>
      <c r="F272" s="434">
        <f t="shared" si="10"/>
        <v>452540</v>
      </c>
    </row>
    <row r="273" spans="1:6" ht="16.5">
      <c r="A273" s="429" t="s">
        <v>1320</v>
      </c>
      <c r="B273" s="430" t="s">
        <v>832</v>
      </c>
      <c r="C273" s="431" t="s">
        <v>157</v>
      </c>
      <c r="D273" s="432">
        <v>8</v>
      </c>
      <c r="E273" s="433">
        <v>340124</v>
      </c>
      <c r="F273" s="434">
        <f t="shared" si="10"/>
        <v>2720992</v>
      </c>
    </row>
    <row r="274" spans="1:6" ht="16.5">
      <c r="A274" s="429" t="s">
        <v>1321</v>
      </c>
      <c r="B274" s="430" t="s">
        <v>833</v>
      </c>
      <c r="C274" s="431" t="s">
        <v>157</v>
      </c>
      <c r="D274" s="432">
        <v>3</v>
      </c>
      <c r="E274" s="433">
        <v>29690</v>
      </c>
      <c r="F274" s="434">
        <f t="shared" si="10"/>
        <v>89070</v>
      </c>
    </row>
    <row r="275" spans="1:6" ht="16.5">
      <c r="A275" s="429"/>
      <c r="B275" s="430"/>
      <c r="C275" s="431"/>
      <c r="D275" s="432"/>
      <c r="E275" s="435" t="s">
        <v>958</v>
      </c>
      <c r="F275" s="436">
        <f>SUM(F262:F274)</f>
        <v>47622959</v>
      </c>
    </row>
    <row r="276" spans="1:6" ht="16.5">
      <c r="A276" s="423" t="s">
        <v>1322</v>
      </c>
      <c r="B276" s="424" t="s">
        <v>835</v>
      </c>
      <c r="C276" s="437"/>
      <c r="D276" s="438"/>
      <c r="E276" s="439"/>
      <c r="F276" s="440"/>
    </row>
    <row r="277" spans="1:6" ht="16.5">
      <c r="A277" s="429" t="s">
        <v>1323</v>
      </c>
      <c r="B277" s="430" t="s">
        <v>821</v>
      </c>
      <c r="C277" s="431" t="s">
        <v>157</v>
      </c>
      <c r="D277" s="432">
        <v>4</v>
      </c>
      <c r="E277" s="433">
        <v>888944</v>
      </c>
      <c r="F277" s="434">
        <f>D277*E277</f>
        <v>3555776</v>
      </c>
    </row>
    <row r="278" spans="1:6" ht="33">
      <c r="A278" s="429" t="s">
        <v>1324</v>
      </c>
      <c r="B278" s="430" t="s">
        <v>822</v>
      </c>
      <c r="C278" s="431" t="s">
        <v>157</v>
      </c>
      <c r="D278" s="432">
        <v>3</v>
      </c>
      <c r="E278" s="433">
        <v>824505</v>
      </c>
      <c r="F278" s="434">
        <f t="shared" ref="F278:F289" si="11">D278*E278</f>
        <v>2473515</v>
      </c>
    </row>
    <row r="279" spans="1:6" ht="16.5">
      <c r="A279" s="429" t="s">
        <v>1325</v>
      </c>
      <c r="B279" s="430" t="s">
        <v>823</v>
      </c>
      <c r="C279" s="431" t="s">
        <v>157</v>
      </c>
      <c r="D279" s="432">
        <v>4</v>
      </c>
      <c r="E279" s="433">
        <v>538971</v>
      </c>
      <c r="F279" s="434">
        <f t="shared" si="11"/>
        <v>2155884</v>
      </c>
    </row>
    <row r="280" spans="1:6" ht="16.5">
      <c r="A280" s="429" t="s">
        <v>1326</v>
      </c>
      <c r="B280" s="430" t="s">
        <v>824</v>
      </c>
      <c r="C280" s="431" t="s">
        <v>454</v>
      </c>
      <c r="D280" s="432">
        <v>12</v>
      </c>
      <c r="E280" s="433">
        <v>11489</v>
      </c>
      <c r="F280" s="434">
        <f t="shared" si="11"/>
        <v>137868</v>
      </c>
    </row>
    <row r="281" spans="1:6" ht="33">
      <c r="A281" s="429" t="s">
        <v>1327</v>
      </c>
      <c r="B281" s="430" t="s">
        <v>825</v>
      </c>
      <c r="C281" s="431" t="s">
        <v>454</v>
      </c>
      <c r="D281" s="432">
        <v>12</v>
      </c>
      <c r="E281" s="433">
        <v>11646</v>
      </c>
      <c r="F281" s="434">
        <f t="shared" si="11"/>
        <v>139752</v>
      </c>
    </row>
    <row r="282" spans="1:6" ht="16.5">
      <c r="A282" s="429" t="s">
        <v>1328</v>
      </c>
      <c r="B282" s="430" t="s">
        <v>826</v>
      </c>
      <c r="C282" s="431" t="s">
        <v>454</v>
      </c>
      <c r="D282" s="432">
        <v>3</v>
      </c>
      <c r="E282" s="433">
        <v>5794</v>
      </c>
      <c r="F282" s="434">
        <f t="shared" si="11"/>
        <v>17382</v>
      </c>
    </row>
    <row r="283" spans="1:6" ht="16.5">
      <c r="A283" s="429" t="s">
        <v>1329</v>
      </c>
      <c r="B283" s="430" t="s">
        <v>827</v>
      </c>
      <c r="C283" s="431" t="s">
        <v>493</v>
      </c>
      <c r="D283" s="432">
        <v>60</v>
      </c>
      <c r="E283" s="433">
        <v>12135</v>
      </c>
      <c r="F283" s="434">
        <f t="shared" si="11"/>
        <v>728100</v>
      </c>
    </row>
    <row r="284" spans="1:6" ht="16.5">
      <c r="A284" s="429" t="s">
        <v>1330</v>
      </c>
      <c r="B284" s="430" t="s">
        <v>828</v>
      </c>
      <c r="C284" s="431" t="s">
        <v>454</v>
      </c>
      <c r="D284" s="432">
        <v>4</v>
      </c>
      <c r="E284" s="433">
        <v>42332</v>
      </c>
      <c r="F284" s="434">
        <f t="shared" si="11"/>
        <v>169328</v>
      </c>
    </row>
    <row r="285" spans="1:6" ht="16.5">
      <c r="A285" s="429" t="s">
        <v>1331</v>
      </c>
      <c r="B285" s="430" t="s">
        <v>829</v>
      </c>
      <c r="C285" s="431" t="s">
        <v>493</v>
      </c>
      <c r="D285" s="432">
        <v>160</v>
      </c>
      <c r="E285" s="433">
        <v>11836</v>
      </c>
      <c r="F285" s="434">
        <f t="shared" si="11"/>
        <v>1893760</v>
      </c>
    </row>
    <row r="286" spans="1:6" ht="16.5">
      <c r="A286" s="429" t="s">
        <v>1332</v>
      </c>
      <c r="B286" s="430" t="s">
        <v>830</v>
      </c>
      <c r="C286" s="431" t="s">
        <v>493</v>
      </c>
      <c r="D286" s="432">
        <v>105</v>
      </c>
      <c r="E286" s="433">
        <v>4100</v>
      </c>
      <c r="F286" s="434">
        <f t="shared" si="11"/>
        <v>430500</v>
      </c>
    </row>
    <row r="287" spans="1:6" ht="16.5">
      <c r="A287" s="429" t="s">
        <v>1333</v>
      </c>
      <c r="B287" s="430" t="s">
        <v>831</v>
      </c>
      <c r="C287" s="431" t="s">
        <v>157</v>
      </c>
      <c r="D287" s="432">
        <v>3</v>
      </c>
      <c r="E287" s="433">
        <v>41140</v>
      </c>
      <c r="F287" s="434">
        <f t="shared" si="11"/>
        <v>123420</v>
      </c>
    </row>
    <row r="288" spans="1:6" ht="16.5">
      <c r="A288" s="429" t="s">
        <v>1334</v>
      </c>
      <c r="B288" s="430" t="s">
        <v>832</v>
      </c>
      <c r="C288" s="431" t="s">
        <v>157</v>
      </c>
      <c r="D288" s="432">
        <v>2</v>
      </c>
      <c r="E288" s="433">
        <v>340124</v>
      </c>
      <c r="F288" s="434">
        <f t="shared" si="11"/>
        <v>680248</v>
      </c>
    </row>
    <row r="289" spans="1:6" ht="16.5">
      <c r="A289" s="429" t="s">
        <v>1335</v>
      </c>
      <c r="B289" s="430" t="s">
        <v>833</v>
      </c>
      <c r="C289" s="431" t="s">
        <v>157</v>
      </c>
      <c r="D289" s="432">
        <v>2</v>
      </c>
      <c r="E289" s="433">
        <v>29690</v>
      </c>
      <c r="F289" s="434">
        <f t="shared" si="11"/>
        <v>59380</v>
      </c>
    </row>
    <row r="290" spans="1:6" ht="16.5">
      <c r="A290" s="429"/>
      <c r="B290" s="430"/>
      <c r="C290" s="431"/>
      <c r="D290" s="432"/>
      <c r="E290" s="435" t="s">
        <v>958</v>
      </c>
      <c r="F290" s="436">
        <f>SUM(F277:F289)</f>
        <v>12564913</v>
      </c>
    </row>
    <row r="291" spans="1:6" ht="33">
      <c r="A291" s="423" t="s">
        <v>1336</v>
      </c>
      <c r="B291" s="424" t="s">
        <v>836</v>
      </c>
      <c r="C291" s="437"/>
      <c r="D291" s="438"/>
      <c r="E291" s="439"/>
      <c r="F291" s="440"/>
    </row>
    <row r="292" spans="1:6" ht="16.5">
      <c r="A292" s="429" t="s">
        <v>1337</v>
      </c>
      <c r="B292" s="430" t="s">
        <v>821</v>
      </c>
      <c r="C292" s="431" t="s">
        <v>157</v>
      </c>
      <c r="D292" s="432">
        <v>3</v>
      </c>
      <c r="E292" s="433">
        <v>888944</v>
      </c>
      <c r="F292" s="434">
        <f>D292*E292</f>
        <v>2666832</v>
      </c>
    </row>
    <row r="293" spans="1:6" ht="33">
      <c r="A293" s="429" t="s">
        <v>1338</v>
      </c>
      <c r="B293" s="430" t="s">
        <v>822</v>
      </c>
      <c r="C293" s="431" t="s">
        <v>157</v>
      </c>
      <c r="D293" s="432">
        <v>3</v>
      </c>
      <c r="E293" s="433">
        <v>824505</v>
      </c>
      <c r="F293" s="434">
        <f t="shared" ref="F293:F304" si="12">D293*E293</f>
        <v>2473515</v>
      </c>
    </row>
    <row r="294" spans="1:6" ht="16.5">
      <c r="A294" s="429" t="s">
        <v>1339</v>
      </c>
      <c r="B294" s="430" t="s">
        <v>823</v>
      </c>
      <c r="C294" s="431" t="s">
        <v>157</v>
      </c>
      <c r="D294" s="432">
        <v>3</v>
      </c>
      <c r="E294" s="433">
        <v>538971</v>
      </c>
      <c r="F294" s="434">
        <f t="shared" si="12"/>
        <v>1616913</v>
      </c>
    </row>
    <row r="295" spans="1:6" ht="16.5">
      <c r="A295" s="429" t="s">
        <v>1340</v>
      </c>
      <c r="B295" s="430" t="s">
        <v>824</v>
      </c>
      <c r="C295" s="431" t="s">
        <v>454</v>
      </c>
      <c r="D295" s="432">
        <v>9</v>
      </c>
      <c r="E295" s="433">
        <v>11489</v>
      </c>
      <c r="F295" s="434">
        <f t="shared" si="12"/>
        <v>103401</v>
      </c>
    </row>
    <row r="296" spans="1:6" ht="33">
      <c r="A296" s="429" t="s">
        <v>1341</v>
      </c>
      <c r="B296" s="430" t="s">
        <v>825</v>
      </c>
      <c r="C296" s="431" t="s">
        <v>454</v>
      </c>
      <c r="D296" s="432">
        <v>9</v>
      </c>
      <c r="E296" s="433">
        <v>11646</v>
      </c>
      <c r="F296" s="434">
        <f t="shared" si="12"/>
        <v>104814</v>
      </c>
    </row>
    <row r="297" spans="1:6" ht="16.5">
      <c r="A297" s="429" t="s">
        <v>1342</v>
      </c>
      <c r="B297" s="430" t="s">
        <v>826</v>
      </c>
      <c r="C297" s="431" t="s">
        <v>454</v>
      </c>
      <c r="D297" s="432">
        <v>3</v>
      </c>
      <c r="E297" s="433">
        <v>5794</v>
      </c>
      <c r="F297" s="434">
        <f t="shared" si="12"/>
        <v>17382</v>
      </c>
    </row>
    <row r="298" spans="1:6" ht="16.5">
      <c r="A298" s="429" t="s">
        <v>1343</v>
      </c>
      <c r="B298" s="430" t="s">
        <v>827</v>
      </c>
      <c r="C298" s="431" t="s">
        <v>493</v>
      </c>
      <c r="D298" s="432">
        <v>60</v>
      </c>
      <c r="E298" s="433">
        <v>12135</v>
      </c>
      <c r="F298" s="434">
        <f t="shared" si="12"/>
        <v>728100</v>
      </c>
    </row>
    <row r="299" spans="1:6" ht="16.5">
      <c r="A299" s="429" t="s">
        <v>1344</v>
      </c>
      <c r="B299" s="430" t="s">
        <v>828</v>
      </c>
      <c r="C299" s="431" t="s">
        <v>454</v>
      </c>
      <c r="D299" s="432">
        <v>3</v>
      </c>
      <c r="E299" s="433">
        <v>42332</v>
      </c>
      <c r="F299" s="434">
        <f t="shared" si="12"/>
        <v>126996</v>
      </c>
    </row>
    <row r="300" spans="1:6" ht="16.5">
      <c r="A300" s="429" t="s">
        <v>1345</v>
      </c>
      <c r="B300" s="430" t="s">
        <v>829</v>
      </c>
      <c r="C300" s="431" t="s">
        <v>493</v>
      </c>
      <c r="D300" s="432">
        <v>100</v>
      </c>
      <c r="E300" s="433">
        <v>11836</v>
      </c>
      <c r="F300" s="434">
        <f t="shared" si="12"/>
        <v>1183600</v>
      </c>
    </row>
    <row r="301" spans="1:6" ht="16.5">
      <c r="A301" s="429" t="s">
        <v>1346</v>
      </c>
      <c r="B301" s="430" t="s">
        <v>830</v>
      </c>
      <c r="C301" s="431" t="s">
        <v>493</v>
      </c>
      <c r="D301" s="432">
        <v>100</v>
      </c>
      <c r="E301" s="433">
        <v>4100</v>
      </c>
      <c r="F301" s="434">
        <f t="shared" si="12"/>
        <v>410000</v>
      </c>
    </row>
    <row r="302" spans="1:6" ht="16.5">
      <c r="A302" s="429" t="s">
        <v>1347</v>
      </c>
      <c r="B302" s="430" t="s">
        <v>831</v>
      </c>
      <c r="C302" s="431" t="s">
        <v>157</v>
      </c>
      <c r="D302" s="432">
        <v>3</v>
      </c>
      <c r="E302" s="433">
        <v>41140</v>
      </c>
      <c r="F302" s="434">
        <f t="shared" si="12"/>
        <v>123420</v>
      </c>
    </row>
    <row r="303" spans="1:6" ht="16.5">
      <c r="A303" s="429" t="s">
        <v>1348</v>
      </c>
      <c r="B303" s="430" t="s">
        <v>832</v>
      </c>
      <c r="C303" s="431" t="s">
        <v>157</v>
      </c>
      <c r="D303" s="432">
        <v>3</v>
      </c>
      <c r="E303" s="433">
        <v>340124</v>
      </c>
      <c r="F303" s="434">
        <f t="shared" si="12"/>
        <v>1020372</v>
      </c>
    </row>
    <row r="304" spans="1:6" ht="16.5">
      <c r="A304" s="429" t="s">
        <v>1349</v>
      </c>
      <c r="B304" s="430" t="s">
        <v>833</v>
      </c>
      <c r="C304" s="431" t="s">
        <v>157</v>
      </c>
      <c r="D304" s="432">
        <v>3</v>
      </c>
      <c r="E304" s="433">
        <v>29690</v>
      </c>
      <c r="F304" s="434">
        <f t="shared" si="12"/>
        <v>89070</v>
      </c>
    </row>
    <row r="305" spans="1:6" ht="16.5">
      <c r="A305" s="429"/>
      <c r="B305" s="430"/>
      <c r="C305" s="431"/>
      <c r="D305" s="432"/>
      <c r="E305" s="435" t="s">
        <v>958</v>
      </c>
      <c r="F305" s="436">
        <f>SUM(F292:F304)</f>
        <v>10664415</v>
      </c>
    </row>
    <row r="306" spans="1:6" ht="16.5">
      <c r="A306" s="423" t="s">
        <v>1350</v>
      </c>
      <c r="B306" s="424" t="s">
        <v>879</v>
      </c>
      <c r="C306" s="437"/>
      <c r="D306" s="438"/>
      <c r="E306" s="439"/>
      <c r="F306" s="440"/>
    </row>
    <row r="307" spans="1:6" ht="16.5">
      <c r="A307" s="429" t="s">
        <v>1351</v>
      </c>
      <c r="B307" s="430" t="s">
        <v>832</v>
      </c>
      <c r="C307" s="431" t="s">
        <v>157</v>
      </c>
      <c r="D307" s="432">
        <v>15</v>
      </c>
      <c r="E307" s="433">
        <v>140124</v>
      </c>
      <c r="F307" s="434">
        <f>D307*E307</f>
        <v>2101860</v>
      </c>
    </row>
    <row r="308" spans="1:6" ht="16.5">
      <c r="A308" s="429" t="s">
        <v>1352</v>
      </c>
      <c r="B308" s="430" t="s">
        <v>833</v>
      </c>
      <c r="C308" s="431" t="s">
        <v>157</v>
      </c>
      <c r="D308" s="432">
        <v>20</v>
      </c>
      <c r="E308" s="433">
        <v>29690</v>
      </c>
      <c r="F308" s="434">
        <f t="shared" ref="F308:F315" si="13">D308*E308</f>
        <v>593800</v>
      </c>
    </row>
    <row r="309" spans="1:6" ht="16.5">
      <c r="A309" s="429" t="s">
        <v>1353</v>
      </c>
      <c r="B309" s="430" t="s">
        <v>880</v>
      </c>
      <c r="C309" s="431" t="s">
        <v>157</v>
      </c>
      <c r="D309" s="432">
        <v>6</v>
      </c>
      <c r="E309" s="433">
        <v>72897</v>
      </c>
      <c r="F309" s="434">
        <f t="shared" si="13"/>
        <v>437382</v>
      </c>
    </row>
    <row r="310" spans="1:6" ht="16.5">
      <c r="A310" s="429" t="s">
        <v>1354</v>
      </c>
      <c r="B310" s="430" t="s">
        <v>881</v>
      </c>
      <c r="C310" s="431" t="s">
        <v>157</v>
      </c>
      <c r="D310" s="432">
        <v>6</v>
      </c>
      <c r="E310" s="433">
        <v>329173</v>
      </c>
      <c r="F310" s="434">
        <f t="shared" si="13"/>
        <v>1975038</v>
      </c>
    </row>
    <row r="311" spans="1:6" ht="16.5">
      <c r="A311" s="429" t="s">
        <v>1355</v>
      </c>
      <c r="B311" s="430" t="s">
        <v>882</v>
      </c>
      <c r="C311" s="431" t="s">
        <v>157</v>
      </c>
      <c r="D311" s="432">
        <v>40</v>
      </c>
      <c r="E311" s="433">
        <v>127364</v>
      </c>
      <c r="F311" s="434">
        <f t="shared" si="13"/>
        <v>5094560</v>
      </c>
    </row>
    <row r="312" spans="1:6" ht="16.5">
      <c r="A312" s="429" t="s">
        <v>1356</v>
      </c>
      <c r="B312" s="430" t="s">
        <v>824</v>
      </c>
      <c r="C312" s="431" t="s">
        <v>454</v>
      </c>
      <c r="D312" s="432">
        <v>10</v>
      </c>
      <c r="E312" s="433">
        <v>11489</v>
      </c>
      <c r="F312" s="434">
        <f t="shared" si="13"/>
        <v>114890</v>
      </c>
    </row>
    <row r="313" spans="1:6" ht="33">
      <c r="A313" s="429" t="s">
        <v>1357</v>
      </c>
      <c r="B313" s="430" t="s">
        <v>825</v>
      </c>
      <c r="C313" s="431" t="s">
        <v>454</v>
      </c>
      <c r="D313" s="432" t="s">
        <v>883</v>
      </c>
      <c r="E313" s="433">
        <v>11646</v>
      </c>
      <c r="F313" s="434">
        <f t="shared" si="13"/>
        <v>116460</v>
      </c>
    </row>
    <row r="314" spans="1:6" ht="16.5">
      <c r="A314" s="429" t="s">
        <v>1358</v>
      </c>
      <c r="B314" s="430" t="s">
        <v>826</v>
      </c>
      <c r="C314" s="431" t="s">
        <v>454</v>
      </c>
      <c r="D314" s="432" t="s">
        <v>884</v>
      </c>
      <c r="E314" s="433">
        <v>5794</v>
      </c>
      <c r="F314" s="434">
        <f t="shared" si="13"/>
        <v>28970</v>
      </c>
    </row>
    <row r="315" spans="1:6" ht="16.5">
      <c r="A315" s="429" t="s">
        <v>1359</v>
      </c>
      <c r="B315" s="430" t="s">
        <v>885</v>
      </c>
      <c r="C315" s="431" t="s">
        <v>493</v>
      </c>
      <c r="D315" s="432">
        <v>170</v>
      </c>
      <c r="E315" s="433">
        <v>182750</v>
      </c>
      <c r="F315" s="434">
        <f t="shared" si="13"/>
        <v>31067500</v>
      </c>
    </row>
    <row r="316" spans="1:6" ht="16.5">
      <c r="A316" s="429"/>
      <c r="B316" s="430"/>
      <c r="C316" s="431"/>
      <c r="D316" s="432"/>
      <c r="E316" s="435" t="s">
        <v>958</v>
      </c>
      <c r="F316" s="436">
        <f>SUM(F307:F315)</f>
        <v>41530460</v>
      </c>
    </row>
    <row r="317" spans="1:6" ht="16.5">
      <c r="A317" s="423" t="s">
        <v>1360</v>
      </c>
      <c r="B317" s="424" t="s">
        <v>888</v>
      </c>
      <c r="C317" s="437"/>
      <c r="D317" s="438"/>
      <c r="E317" s="439"/>
      <c r="F317" s="440"/>
    </row>
    <row r="318" spans="1:6" ht="16.5">
      <c r="A318" s="423"/>
      <c r="B318" s="424" t="s">
        <v>820</v>
      </c>
      <c r="C318" s="437"/>
      <c r="D318" s="438"/>
      <c r="E318" s="439"/>
      <c r="F318" s="440"/>
    </row>
    <row r="319" spans="1:6" ht="16.5">
      <c r="A319" s="429" t="s">
        <v>1361</v>
      </c>
      <c r="B319" s="430" t="s">
        <v>889</v>
      </c>
      <c r="C319" s="431" t="s">
        <v>493</v>
      </c>
      <c r="D319" s="432">
        <v>160</v>
      </c>
      <c r="E319" s="433">
        <v>302880</v>
      </c>
      <c r="F319" s="434">
        <f>D319*E319</f>
        <v>48460800</v>
      </c>
    </row>
    <row r="320" spans="1:6" ht="16.5">
      <c r="A320" s="429" t="s">
        <v>1362</v>
      </c>
      <c r="B320" s="430" t="s">
        <v>890</v>
      </c>
      <c r="C320" s="431" t="s">
        <v>157</v>
      </c>
      <c r="D320" s="432">
        <v>4</v>
      </c>
      <c r="E320" s="433">
        <v>32346</v>
      </c>
      <c r="F320" s="434">
        <f t="shared" ref="F320:F325" si="14">D320*E320</f>
        <v>129384</v>
      </c>
    </row>
    <row r="321" spans="1:6" ht="16.5">
      <c r="A321" s="429" t="s">
        <v>1363</v>
      </c>
      <c r="B321" s="430" t="s">
        <v>823</v>
      </c>
      <c r="C321" s="431" t="s">
        <v>157</v>
      </c>
      <c r="D321" s="432">
        <v>7</v>
      </c>
      <c r="E321" s="433">
        <v>538971</v>
      </c>
      <c r="F321" s="434">
        <f t="shared" si="14"/>
        <v>3772797</v>
      </c>
    </row>
    <row r="322" spans="1:6" ht="16.5">
      <c r="A322" s="429" t="s">
        <v>1364</v>
      </c>
      <c r="B322" s="430" t="s">
        <v>824</v>
      </c>
      <c r="C322" s="431" t="s">
        <v>454</v>
      </c>
      <c r="D322" s="432">
        <v>47</v>
      </c>
      <c r="E322" s="433">
        <v>11489</v>
      </c>
      <c r="F322" s="434">
        <f t="shared" si="14"/>
        <v>539983</v>
      </c>
    </row>
    <row r="323" spans="1:6" ht="33">
      <c r="A323" s="429" t="s">
        <v>1365</v>
      </c>
      <c r="B323" s="430" t="s">
        <v>825</v>
      </c>
      <c r="C323" s="431" t="s">
        <v>454</v>
      </c>
      <c r="D323" s="432">
        <v>47</v>
      </c>
      <c r="E323" s="433">
        <v>11646</v>
      </c>
      <c r="F323" s="434">
        <f t="shared" si="14"/>
        <v>547362</v>
      </c>
    </row>
    <row r="324" spans="1:6" ht="16.5">
      <c r="A324" s="429" t="s">
        <v>1366</v>
      </c>
      <c r="B324" s="430" t="s">
        <v>826</v>
      </c>
      <c r="C324" s="431" t="s">
        <v>454</v>
      </c>
      <c r="D324" s="432">
        <v>12</v>
      </c>
      <c r="E324" s="433">
        <v>5794</v>
      </c>
      <c r="F324" s="434">
        <f t="shared" si="14"/>
        <v>69528</v>
      </c>
    </row>
    <row r="325" spans="1:6" ht="16.5">
      <c r="A325" s="429" t="s">
        <v>1367</v>
      </c>
      <c r="B325" s="430" t="s">
        <v>828</v>
      </c>
      <c r="C325" s="431" t="s">
        <v>454</v>
      </c>
      <c r="D325" s="432">
        <v>16</v>
      </c>
      <c r="E325" s="433">
        <v>42332</v>
      </c>
      <c r="F325" s="434">
        <f t="shared" si="14"/>
        <v>677312</v>
      </c>
    </row>
    <row r="326" spans="1:6" ht="16.5">
      <c r="A326" s="429"/>
      <c r="B326" s="430"/>
      <c r="C326" s="431"/>
      <c r="D326" s="432"/>
      <c r="E326" s="435" t="s">
        <v>958</v>
      </c>
      <c r="F326" s="436">
        <f>SUM(F319:F325)</f>
        <v>54197166</v>
      </c>
    </row>
    <row r="327" spans="1:6" ht="16.5">
      <c r="A327" s="423" t="s">
        <v>1368</v>
      </c>
      <c r="B327" s="424" t="s">
        <v>834</v>
      </c>
      <c r="C327" s="437"/>
      <c r="D327" s="438"/>
      <c r="E327" s="439"/>
      <c r="F327" s="440"/>
    </row>
    <row r="328" spans="1:6" ht="16.5">
      <c r="A328" s="429" t="s">
        <v>1369</v>
      </c>
      <c r="B328" s="430" t="s">
        <v>889</v>
      </c>
      <c r="C328" s="431" t="s">
        <v>493</v>
      </c>
      <c r="D328" s="432">
        <v>19</v>
      </c>
      <c r="E328" s="433">
        <v>302880</v>
      </c>
      <c r="F328" s="434">
        <f>D328*E328</f>
        <v>5754720</v>
      </c>
    </row>
    <row r="329" spans="1:6" ht="16.5">
      <c r="A329" s="429" t="s">
        <v>1370</v>
      </c>
      <c r="B329" s="430" t="s">
        <v>890</v>
      </c>
      <c r="C329" s="431" t="s">
        <v>157</v>
      </c>
      <c r="D329" s="432">
        <v>4</v>
      </c>
      <c r="E329" s="433">
        <v>32346</v>
      </c>
      <c r="F329" s="434">
        <f t="shared" ref="F329:F334" si="15">D329*E329</f>
        <v>129384</v>
      </c>
    </row>
    <row r="330" spans="1:6" ht="16.5">
      <c r="A330" s="429" t="s">
        <v>1371</v>
      </c>
      <c r="B330" s="430" t="s">
        <v>823</v>
      </c>
      <c r="C330" s="431" t="s">
        <v>157</v>
      </c>
      <c r="D330" s="432">
        <v>4</v>
      </c>
      <c r="E330" s="433">
        <v>338971</v>
      </c>
      <c r="F330" s="434">
        <f t="shared" si="15"/>
        <v>1355884</v>
      </c>
    </row>
    <row r="331" spans="1:6" ht="16.5">
      <c r="A331" s="429" t="s">
        <v>1372</v>
      </c>
      <c r="B331" s="430" t="s">
        <v>824</v>
      </c>
      <c r="C331" s="431" t="s">
        <v>454</v>
      </c>
      <c r="D331" s="432">
        <v>5</v>
      </c>
      <c r="E331" s="433">
        <v>11489</v>
      </c>
      <c r="F331" s="434">
        <f t="shared" si="15"/>
        <v>57445</v>
      </c>
    </row>
    <row r="332" spans="1:6" ht="33">
      <c r="A332" s="429" t="s">
        <v>1373</v>
      </c>
      <c r="B332" s="430" t="s">
        <v>825</v>
      </c>
      <c r="C332" s="431" t="s">
        <v>454</v>
      </c>
      <c r="D332" s="432">
        <v>5</v>
      </c>
      <c r="E332" s="433">
        <v>11646</v>
      </c>
      <c r="F332" s="434">
        <f t="shared" si="15"/>
        <v>58230</v>
      </c>
    </row>
    <row r="333" spans="1:6" ht="16.5">
      <c r="A333" s="429" t="s">
        <v>1374</v>
      </c>
      <c r="B333" s="430" t="s">
        <v>826</v>
      </c>
      <c r="C333" s="431" t="s">
        <v>454</v>
      </c>
      <c r="D333" s="432">
        <v>2</v>
      </c>
      <c r="E333" s="433">
        <v>5794</v>
      </c>
      <c r="F333" s="434">
        <f t="shared" si="15"/>
        <v>11588</v>
      </c>
    </row>
    <row r="334" spans="1:6" ht="16.5">
      <c r="A334" s="429" t="s">
        <v>1375</v>
      </c>
      <c r="B334" s="430" t="s">
        <v>828</v>
      </c>
      <c r="C334" s="431" t="s">
        <v>454</v>
      </c>
      <c r="D334" s="432">
        <v>2</v>
      </c>
      <c r="E334" s="433">
        <v>42332</v>
      </c>
      <c r="F334" s="434">
        <f t="shared" si="15"/>
        <v>84664</v>
      </c>
    </row>
    <row r="335" spans="1:6" ht="16.5">
      <c r="A335" s="429"/>
      <c r="B335" s="430"/>
      <c r="C335" s="431"/>
      <c r="D335" s="432"/>
      <c r="E335" s="435" t="s">
        <v>958</v>
      </c>
      <c r="F335" s="436">
        <f>SUM(F328:F334)</f>
        <v>7451915</v>
      </c>
    </row>
    <row r="336" spans="1:6" ht="16.5">
      <c r="A336" s="423" t="s">
        <v>1376</v>
      </c>
      <c r="B336" s="424" t="s">
        <v>835</v>
      </c>
      <c r="C336" s="437"/>
      <c r="D336" s="438"/>
      <c r="E336" s="439"/>
      <c r="F336" s="440"/>
    </row>
    <row r="337" spans="1:6" ht="16.5">
      <c r="A337" s="429" t="s">
        <v>1377</v>
      </c>
      <c r="B337" s="430" t="s">
        <v>889</v>
      </c>
      <c r="C337" s="431" t="s">
        <v>493</v>
      </c>
      <c r="D337" s="432">
        <v>25</v>
      </c>
      <c r="E337" s="433">
        <v>302880</v>
      </c>
      <c r="F337" s="434">
        <f>D337*E337</f>
        <v>7572000</v>
      </c>
    </row>
    <row r="338" spans="1:6" ht="16.5">
      <c r="A338" s="429" t="s">
        <v>1378</v>
      </c>
      <c r="B338" s="430" t="s">
        <v>890</v>
      </c>
      <c r="C338" s="431" t="s">
        <v>157</v>
      </c>
      <c r="D338" s="432">
        <v>3</v>
      </c>
      <c r="E338" s="433">
        <v>32346</v>
      </c>
      <c r="F338" s="434">
        <f t="shared" ref="F338:F343" si="16">D338*E338</f>
        <v>97038</v>
      </c>
    </row>
    <row r="339" spans="1:6" ht="16.5">
      <c r="A339" s="429" t="s">
        <v>1429</v>
      </c>
      <c r="B339" s="430" t="s">
        <v>823</v>
      </c>
      <c r="C339" s="431" t="s">
        <v>157</v>
      </c>
      <c r="D339" s="432">
        <v>3</v>
      </c>
      <c r="E339" s="433">
        <v>538971</v>
      </c>
      <c r="F339" s="434">
        <f t="shared" si="16"/>
        <v>1616913</v>
      </c>
    </row>
    <row r="340" spans="1:6" ht="16.5">
      <c r="A340" s="429" t="s">
        <v>1430</v>
      </c>
      <c r="B340" s="430" t="s">
        <v>824</v>
      </c>
      <c r="C340" s="431" t="s">
        <v>454</v>
      </c>
      <c r="D340" s="432">
        <v>6</v>
      </c>
      <c r="E340" s="433">
        <v>11489</v>
      </c>
      <c r="F340" s="434">
        <f t="shared" si="16"/>
        <v>68934</v>
      </c>
    </row>
    <row r="341" spans="1:6" ht="33">
      <c r="A341" s="429" t="s">
        <v>1431</v>
      </c>
      <c r="B341" s="430" t="s">
        <v>825</v>
      </c>
      <c r="C341" s="431" t="s">
        <v>454</v>
      </c>
      <c r="D341" s="432">
        <v>6</v>
      </c>
      <c r="E341" s="433">
        <v>11646</v>
      </c>
      <c r="F341" s="434">
        <f t="shared" si="16"/>
        <v>69876</v>
      </c>
    </row>
    <row r="342" spans="1:6" ht="16.5">
      <c r="A342" s="429" t="s">
        <v>1432</v>
      </c>
      <c r="B342" s="430" t="s">
        <v>826</v>
      </c>
      <c r="C342" s="431" t="s">
        <v>454</v>
      </c>
      <c r="D342" s="432">
        <v>2</v>
      </c>
      <c r="E342" s="433">
        <v>5794</v>
      </c>
      <c r="F342" s="434">
        <f t="shared" si="16"/>
        <v>11588</v>
      </c>
    </row>
    <row r="343" spans="1:6" ht="16.5">
      <c r="A343" s="429" t="s">
        <v>1433</v>
      </c>
      <c r="B343" s="430" t="s">
        <v>828</v>
      </c>
      <c r="C343" s="431" t="s">
        <v>454</v>
      </c>
      <c r="D343" s="432">
        <v>2</v>
      </c>
      <c r="E343" s="433">
        <v>42332</v>
      </c>
      <c r="F343" s="434">
        <f t="shared" si="16"/>
        <v>84664</v>
      </c>
    </row>
    <row r="344" spans="1:6" ht="16.5">
      <c r="A344" s="429"/>
      <c r="B344" s="430"/>
      <c r="C344" s="431"/>
      <c r="D344" s="432"/>
      <c r="E344" s="435" t="s">
        <v>958</v>
      </c>
      <c r="F344" s="436">
        <f>SUM(F337:F343)</f>
        <v>9521013</v>
      </c>
    </row>
    <row r="345" spans="1:6" ht="33">
      <c r="A345" s="423" t="s">
        <v>1379</v>
      </c>
      <c r="B345" s="424" t="s">
        <v>836</v>
      </c>
      <c r="C345" s="437"/>
      <c r="D345" s="438"/>
      <c r="E345" s="439"/>
      <c r="F345" s="440"/>
    </row>
    <row r="346" spans="1:6" ht="16.5">
      <c r="A346" s="429" t="s">
        <v>1380</v>
      </c>
      <c r="B346" s="430" t="s">
        <v>889</v>
      </c>
      <c r="C346" s="431" t="s">
        <v>493</v>
      </c>
      <c r="D346" s="432">
        <v>12</v>
      </c>
      <c r="E346" s="433">
        <v>302880</v>
      </c>
      <c r="F346" s="434">
        <f>D346*E346</f>
        <v>3634560</v>
      </c>
    </row>
    <row r="347" spans="1:6" ht="16.5">
      <c r="A347" s="429" t="s">
        <v>1381</v>
      </c>
      <c r="B347" s="430" t="s">
        <v>890</v>
      </c>
      <c r="C347" s="431" t="s">
        <v>157</v>
      </c>
      <c r="D347" s="432">
        <v>4</v>
      </c>
      <c r="E347" s="433">
        <v>32346</v>
      </c>
      <c r="F347" s="434">
        <f t="shared" ref="F347:F352" si="17">D347*E347</f>
        <v>129384</v>
      </c>
    </row>
    <row r="348" spans="1:6" ht="16.5">
      <c r="A348" s="429" t="s">
        <v>1434</v>
      </c>
      <c r="B348" s="430" t="s">
        <v>823</v>
      </c>
      <c r="C348" s="431" t="s">
        <v>157</v>
      </c>
      <c r="D348" s="432">
        <v>4</v>
      </c>
      <c r="E348" s="433">
        <v>538971</v>
      </c>
      <c r="F348" s="434">
        <f t="shared" si="17"/>
        <v>2155884</v>
      </c>
    </row>
    <row r="349" spans="1:6" ht="16.5">
      <c r="A349" s="429" t="s">
        <v>1435</v>
      </c>
      <c r="B349" s="430" t="s">
        <v>824</v>
      </c>
      <c r="C349" s="431" t="s">
        <v>454</v>
      </c>
      <c r="D349" s="432">
        <v>3</v>
      </c>
      <c r="E349" s="433">
        <v>11489</v>
      </c>
      <c r="F349" s="434">
        <f t="shared" si="17"/>
        <v>34467</v>
      </c>
    </row>
    <row r="350" spans="1:6" ht="33">
      <c r="A350" s="429" t="s">
        <v>1436</v>
      </c>
      <c r="B350" s="430" t="s">
        <v>825</v>
      </c>
      <c r="C350" s="431" t="s">
        <v>454</v>
      </c>
      <c r="D350" s="432">
        <v>3</v>
      </c>
      <c r="E350" s="433">
        <v>11646</v>
      </c>
      <c r="F350" s="434">
        <f t="shared" si="17"/>
        <v>34938</v>
      </c>
    </row>
    <row r="351" spans="1:6" ht="16.5">
      <c r="A351" s="429" t="s">
        <v>1437</v>
      </c>
      <c r="B351" s="430" t="s">
        <v>826</v>
      </c>
      <c r="C351" s="431" t="s">
        <v>454</v>
      </c>
      <c r="D351" s="432">
        <v>1</v>
      </c>
      <c r="E351" s="433">
        <v>5794</v>
      </c>
      <c r="F351" s="434">
        <f t="shared" si="17"/>
        <v>5794</v>
      </c>
    </row>
    <row r="352" spans="1:6" ht="16.5">
      <c r="A352" s="429" t="s">
        <v>1438</v>
      </c>
      <c r="B352" s="430" t="s">
        <v>828</v>
      </c>
      <c r="C352" s="431" t="s">
        <v>454</v>
      </c>
      <c r="D352" s="432">
        <v>1</v>
      </c>
      <c r="E352" s="433">
        <v>42332</v>
      </c>
      <c r="F352" s="434">
        <f t="shared" si="17"/>
        <v>42332</v>
      </c>
    </row>
    <row r="353" spans="1:6" ht="16.5">
      <c r="A353" s="429"/>
      <c r="B353" s="430"/>
      <c r="C353" s="431"/>
      <c r="D353" s="432"/>
      <c r="E353" s="435" t="s">
        <v>958</v>
      </c>
      <c r="F353" s="436">
        <f>SUM(F346:F352)</f>
        <v>6037359</v>
      </c>
    </row>
    <row r="354" spans="1:6" ht="33">
      <c r="A354" s="423" t="s">
        <v>1382</v>
      </c>
      <c r="B354" s="424" t="s">
        <v>898</v>
      </c>
      <c r="C354" s="437" t="s">
        <v>493</v>
      </c>
      <c r="D354" s="438"/>
      <c r="E354" s="439"/>
      <c r="F354" s="440"/>
    </row>
    <row r="355" spans="1:6" ht="16.5">
      <c r="A355" s="429" t="s">
        <v>1383</v>
      </c>
      <c r="B355" s="430" t="s">
        <v>899</v>
      </c>
      <c r="C355" s="431" t="s">
        <v>493</v>
      </c>
      <c r="D355" s="432">
        <v>110</v>
      </c>
      <c r="E355" s="433">
        <v>55008</v>
      </c>
      <c r="F355" s="434">
        <f>D355*E355</f>
        <v>6050880</v>
      </c>
    </row>
    <row r="356" spans="1:6" ht="16.5">
      <c r="A356" s="429" t="s">
        <v>1384</v>
      </c>
      <c r="B356" s="430" t="s">
        <v>823</v>
      </c>
      <c r="C356" s="431" t="s">
        <v>157</v>
      </c>
      <c r="D356" s="432">
        <v>3</v>
      </c>
      <c r="E356" s="433">
        <v>538971</v>
      </c>
      <c r="F356" s="434">
        <f t="shared" ref="F356:F360" si="18">D356*E356</f>
        <v>1616913</v>
      </c>
    </row>
    <row r="357" spans="1:6" ht="16.5">
      <c r="A357" s="429" t="s">
        <v>1439</v>
      </c>
      <c r="B357" s="430" t="s">
        <v>824</v>
      </c>
      <c r="C357" s="431" t="s">
        <v>454</v>
      </c>
      <c r="D357" s="432">
        <v>8</v>
      </c>
      <c r="E357" s="433">
        <v>11489</v>
      </c>
      <c r="F357" s="434">
        <f t="shared" si="18"/>
        <v>91912</v>
      </c>
    </row>
    <row r="358" spans="1:6" ht="33">
      <c r="A358" s="429" t="s">
        <v>1440</v>
      </c>
      <c r="B358" s="430" t="s">
        <v>825</v>
      </c>
      <c r="C358" s="431" t="s">
        <v>454</v>
      </c>
      <c r="D358" s="432">
        <v>6</v>
      </c>
      <c r="E358" s="433">
        <v>11646</v>
      </c>
      <c r="F358" s="434">
        <f t="shared" si="18"/>
        <v>69876</v>
      </c>
    </row>
    <row r="359" spans="1:6" ht="16.5">
      <c r="A359" s="429" t="s">
        <v>1441</v>
      </c>
      <c r="B359" s="430" t="s">
        <v>826</v>
      </c>
      <c r="C359" s="431" t="s">
        <v>454</v>
      </c>
      <c r="D359" s="432">
        <v>2</v>
      </c>
      <c r="E359" s="433">
        <v>5794</v>
      </c>
      <c r="F359" s="434">
        <f t="shared" si="18"/>
        <v>11588</v>
      </c>
    </row>
    <row r="360" spans="1:6" ht="16.5">
      <c r="A360" s="429" t="s">
        <v>1442</v>
      </c>
      <c r="B360" s="430" t="s">
        <v>828</v>
      </c>
      <c r="C360" s="431" t="s">
        <v>454</v>
      </c>
      <c r="D360" s="432">
        <v>2</v>
      </c>
      <c r="E360" s="433">
        <v>42332</v>
      </c>
      <c r="F360" s="434">
        <f t="shared" si="18"/>
        <v>84664</v>
      </c>
    </row>
    <row r="361" spans="1:6" ht="16.5">
      <c r="A361" s="429"/>
      <c r="B361" s="430"/>
      <c r="C361" s="431"/>
      <c r="D361" s="432"/>
      <c r="E361" s="435" t="s">
        <v>958</v>
      </c>
      <c r="F361" s="436">
        <f>SUM(F355:F360)</f>
        <v>7925833</v>
      </c>
    </row>
    <row r="362" spans="1:6" ht="33">
      <c r="A362" s="423" t="s">
        <v>1385</v>
      </c>
      <c r="B362" s="424" t="s">
        <v>900</v>
      </c>
      <c r="C362" s="437"/>
      <c r="D362" s="438"/>
      <c r="E362" s="439"/>
      <c r="F362" s="440"/>
    </row>
    <row r="363" spans="1:6" ht="16.5">
      <c r="A363" s="429" t="s">
        <v>1386</v>
      </c>
      <c r="B363" s="430" t="s">
        <v>899</v>
      </c>
      <c r="C363" s="431" t="s">
        <v>493</v>
      </c>
      <c r="D363" s="432">
        <v>111</v>
      </c>
      <c r="E363" s="433">
        <v>55008</v>
      </c>
      <c r="F363" s="434">
        <f>D363*E363</f>
        <v>6105888</v>
      </c>
    </row>
    <row r="364" spans="1:6" ht="16.5">
      <c r="A364" s="429" t="s">
        <v>1387</v>
      </c>
      <c r="B364" s="430" t="s">
        <v>823</v>
      </c>
      <c r="C364" s="431" t="s">
        <v>157</v>
      </c>
      <c r="D364" s="432">
        <v>2</v>
      </c>
      <c r="E364" s="433">
        <v>538971</v>
      </c>
      <c r="F364" s="434">
        <f t="shared" ref="F364:F368" si="19">D364*E364</f>
        <v>1077942</v>
      </c>
    </row>
    <row r="365" spans="1:6" ht="16.5">
      <c r="A365" s="429" t="s">
        <v>1443</v>
      </c>
      <c r="B365" s="430" t="s">
        <v>824</v>
      </c>
      <c r="C365" s="431" t="s">
        <v>454</v>
      </c>
      <c r="D365" s="432">
        <v>8</v>
      </c>
      <c r="E365" s="433">
        <v>11489</v>
      </c>
      <c r="F365" s="434">
        <f t="shared" si="19"/>
        <v>91912</v>
      </c>
    </row>
    <row r="366" spans="1:6" ht="33">
      <c r="A366" s="429" t="s">
        <v>1444</v>
      </c>
      <c r="B366" s="430" t="s">
        <v>825</v>
      </c>
      <c r="C366" s="431" t="s">
        <v>454</v>
      </c>
      <c r="D366" s="432">
        <v>8</v>
      </c>
      <c r="E366" s="433">
        <v>11646</v>
      </c>
      <c r="F366" s="434">
        <f t="shared" si="19"/>
        <v>93168</v>
      </c>
    </row>
    <row r="367" spans="1:6" ht="16.5">
      <c r="A367" s="429" t="s">
        <v>1445</v>
      </c>
      <c r="B367" s="430" t="s">
        <v>826</v>
      </c>
      <c r="C367" s="431" t="s">
        <v>454</v>
      </c>
      <c r="D367" s="432">
        <v>2</v>
      </c>
      <c r="E367" s="433">
        <v>5794</v>
      </c>
      <c r="F367" s="434">
        <f t="shared" si="19"/>
        <v>11588</v>
      </c>
    </row>
    <row r="368" spans="1:6" ht="16.5">
      <c r="A368" s="429" t="s">
        <v>1446</v>
      </c>
      <c r="B368" s="430" t="s">
        <v>828</v>
      </c>
      <c r="C368" s="431" t="s">
        <v>454</v>
      </c>
      <c r="D368" s="432">
        <v>3</v>
      </c>
      <c r="E368" s="433">
        <v>42332</v>
      </c>
      <c r="F368" s="434">
        <f t="shared" si="19"/>
        <v>126996</v>
      </c>
    </row>
    <row r="369" spans="1:6" ht="16.5">
      <c r="A369" s="429"/>
      <c r="B369" s="430"/>
      <c r="C369" s="431"/>
      <c r="D369" s="432"/>
      <c r="E369" s="441" t="s">
        <v>958</v>
      </c>
      <c r="F369" s="442">
        <f>SUM(F363:F368)</f>
        <v>7507494</v>
      </c>
    </row>
    <row r="370" spans="1:6" ht="33">
      <c r="A370" s="423" t="s">
        <v>1388</v>
      </c>
      <c r="B370" s="424" t="s">
        <v>901</v>
      </c>
      <c r="C370" s="437"/>
      <c r="D370" s="438"/>
      <c r="E370" s="439"/>
      <c r="F370" s="440"/>
    </row>
    <row r="371" spans="1:6" ht="16.5">
      <c r="A371" s="429" t="s">
        <v>1389</v>
      </c>
      <c r="B371" s="430" t="s">
        <v>902</v>
      </c>
      <c r="C371" s="431" t="s">
        <v>493</v>
      </c>
      <c r="D371" s="432">
        <v>23</v>
      </c>
      <c r="E371" s="433">
        <v>39180</v>
      </c>
      <c r="F371" s="434">
        <f>D371*E371</f>
        <v>901140</v>
      </c>
    </row>
    <row r="372" spans="1:6" ht="16.5">
      <c r="A372" s="429"/>
      <c r="B372" s="430"/>
      <c r="C372" s="431"/>
      <c r="D372" s="432"/>
      <c r="E372" s="441" t="s">
        <v>958</v>
      </c>
      <c r="F372" s="442">
        <f>F371</f>
        <v>901140</v>
      </c>
    </row>
    <row r="373" spans="1:6" ht="16.5">
      <c r="A373" s="423" t="s">
        <v>1390</v>
      </c>
      <c r="B373" s="424" t="s">
        <v>1545</v>
      </c>
      <c r="C373" s="437"/>
      <c r="D373" s="438"/>
      <c r="E373" s="439"/>
      <c r="F373" s="440"/>
    </row>
    <row r="374" spans="1:6" ht="16.5">
      <c r="A374" s="429" t="s">
        <v>1391</v>
      </c>
      <c r="B374" s="430" t="s">
        <v>821</v>
      </c>
      <c r="C374" s="431" t="s">
        <v>157</v>
      </c>
      <c r="D374" s="432">
        <v>7</v>
      </c>
      <c r="E374" s="433">
        <v>888944</v>
      </c>
      <c r="F374" s="434">
        <f t="shared" ref="F374:F386" si="20">D374*E374</f>
        <v>6222608</v>
      </c>
    </row>
    <row r="375" spans="1:6" ht="33">
      <c r="A375" s="429" t="s">
        <v>1392</v>
      </c>
      <c r="B375" s="430" t="s">
        <v>822</v>
      </c>
      <c r="C375" s="431" t="s">
        <v>157</v>
      </c>
      <c r="D375" s="432">
        <v>7</v>
      </c>
      <c r="E375" s="433">
        <v>824505</v>
      </c>
      <c r="F375" s="434">
        <f t="shared" si="20"/>
        <v>5771535</v>
      </c>
    </row>
    <row r="376" spans="1:6" ht="16.5">
      <c r="A376" s="429" t="s">
        <v>1548</v>
      </c>
      <c r="B376" s="430" t="s">
        <v>823</v>
      </c>
      <c r="C376" s="431" t="s">
        <v>157</v>
      </c>
      <c r="D376" s="432">
        <v>7</v>
      </c>
      <c r="E376" s="433">
        <v>538971</v>
      </c>
      <c r="F376" s="434">
        <f t="shared" si="20"/>
        <v>3772797</v>
      </c>
    </row>
    <row r="377" spans="1:6" ht="16.5">
      <c r="A377" s="429" t="s">
        <v>1549</v>
      </c>
      <c r="B377" s="430" t="s">
        <v>824</v>
      </c>
      <c r="C377" s="431" t="s">
        <v>454</v>
      </c>
      <c r="D377" s="432">
        <v>47</v>
      </c>
      <c r="E377" s="433">
        <v>11489</v>
      </c>
      <c r="F377" s="434">
        <f t="shared" si="20"/>
        <v>539983</v>
      </c>
    </row>
    <row r="378" spans="1:6" ht="33">
      <c r="A378" s="429" t="s">
        <v>1550</v>
      </c>
      <c r="B378" s="430" t="s">
        <v>825</v>
      </c>
      <c r="C378" s="431" t="s">
        <v>454</v>
      </c>
      <c r="D378" s="432">
        <v>47</v>
      </c>
      <c r="E378" s="433">
        <v>11646</v>
      </c>
      <c r="F378" s="434">
        <f t="shared" si="20"/>
        <v>547362</v>
      </c>
    </row>
    <row r="379" spans="1:6" ht="16.5">
      <c r="A379" s="429" t="s">
        <v>1551</v>
      </c>
      <c r="B379" s="430" t="s">
        <v>826</v>
      </c>
      <c r="C379" s="431" t="s">
        <v>454</v>
      </c>
      <c r="D379" s="432">
        <v>12</v>
      </c>
      <c r="E379" s="433">
        <v>5794</v>
      </c>
      <c r="F379" s="434">
        <f t="shared" si="20"/>
        <v>69528</v>
      </c>
    </row>
    <row r="380" spans="1:6" ht="16.5">
      <c r="A380" s="429" t="s">
        <v>1552</v>
      </c>
      <c r="B380" s="430" t="s">
        <v>827</v>
      </c>
      <c r="C380" s="431" t="s">
        <v>493</v>
      </c>
      <c r="D380" s="432">
        <v>304</v>
      </c>
      <c r="E380" s="433">
        <v>12135</v>
      </c>
      <c r="F380" s="434">
        <f t="shared" si="20"/>
        <v>3689040</v>
      </c>
    </row>
    <row r="381" spans="1:6" ht="16.5">
      <c r="A381" s="429" t="s">
        <v>1553</v>
      </c>
      <c r="B381" s="430" t="s">
        <v>828</v>
      </c>
      <c r="C381" s="431" t="s">
        <v>454</v>
      </c>
      <c r="D381" s="432">
        <v>16</v>
      </c>
      <c r="E381" s="433">
        <v>42332</v>
      </c>
      <c r="F381" s="434">
        <f t="shared" si="20"/>
        <v>677312</v>
      </c>
    </row>
    <row r="382" spans="1:6" ht="16.5">
      <c r="A382" s="429" t="s">
        <v>1554</v>
      </c>
      <c r="B382" s="430" t="s">
        <v>829</v>
      </c>
      <c r="C382" s="431" t="s">
        <v>493</v>
      </c>
      <c r="D382" s="432">
        <v>456</v>
      </c>
      <c r="E382" s="433">
        <v>11836</v>
      </c>
      <c r="F382" s="434">
        <f t="shared" si="20"/>
        <v>5397216</v>
      </c>
    </row>
    <row r="383" spans="1:6" ht="16.5">
      <c r="A383" s="429" t="s">
        <v>1555</v>
      </c>
      <c r="B383" s="430" t="s">
        <v>830</v>
      </c>
      <c r="C383" s="431" t="s">
        <v>493</v>
      </c>
      <c r="D383" s="432">
        <v>347</v>
      </c>
      <c r="E383" s="433">
        <v>4100</v>
      </c>
      <c r="F383" s="434">
        <f t="shared" si="20"/>
        <v>1422700</v>
      </c>
    </row>
    <row r="384" spans="1:6" ht="16.5">
      <c r="A384" s="429" t="s">
        <v>1556</v>
      </c>
      <c r="B384" s="430" t="s">
        <v>831</v>
      </c>
      <c r="C384" s="431" t="s">
        <v>157</v>
      </c>
      <c r="D384" s="432">
        <v>7</v>
      </c>
      <c r="E384" s="433">
        <v>41140</v>
      </c>
      <c r="F384" s="434">
        <f t="shared" si="20"/>
        <v>287980</v>
      </c>
    </row>
    <row r="385" spans="1:6" ht="16.5">
      <c r="A385" s="429" t="s">
        <v>1557</v>
      </c>
      <c r="B385" s="430" t="s">
        <v>832</v>
      </c>
      <c r="C385" s="431" t="s">
        <v>157</v>
      </c>
      <c r="D385" s="432">
        <v>2</v>
      </c>
      <c r="E385" s="433">
        <v>340124</v>
      </c>
      <c r="F385" s="434">
        <f t="shared" si="20"/>
        <v>680248</v>
      </c>
    </row>
    <row r="386" spans="1:6" ht="16.5">
      <c r="A386" s="429" t="s">
        <v>1558</v>
      </c>
      <c r="B386" s="430" t="s">
        <v>833</v>
      </c>
      <c r="C386" s="431" t="s">
        <v>157</v>
      </c>
      <c r="D386" s="432">
        <v>2</v>
      </c>
      <c r="E386" s="433">
        <v>29690</v>
      </c>
      <c r="F386" s="434">
        <f t="shared" si="20"/>
        <v>59380</v>
      </c>
    </row>
    <row r="387" spans="1:6" ht="16.5">
      <c r="A387" s="443"/>
      <c r="B387" s="444"/>
      <c r="C387" s="445"/>
      <c r="D387" s="446"/>
      <c r="E387" s="447" t="s">
        <v>958</v>
      </c>
      <c r="F387" s="448">
        <f>SUM(F374:F386)</f>
        <v>29137689</v>
      </c>
    </row>
    <row r="388" spans="1:6" ht="16.5">
      <c r="A388" s="423" t="s">
        <v>1393</v>
      </c>
      <c r="B388" s="424" t="s">
        <v>1545</v>
      </c>
      <c r="C388" s="437"/>
      <c r="D388" s="438"/>
      <c r="E388" s="439"/>
      <c r="F388" s="440"/>
    </row>
    <row r="389" spans="1:6" ht="16.5">
      <c r="A389" s="429" t="s">
        <v>1394</v>
      </c>
      <c r="B389" s="430" t="s">
        <v>889</v>
      </c>
      <c r="C389" s="431" t="s">
        <v>493</v>
      </c>
      <c r="D389" s="432">
        <v>65</v>
      </c>
      <c r="E389" s="433">
        <v>302880</v>
      </c>
      <c r="F389" s="434">
        <f t="shared" ref="F389:F395" si="21">D389*E389</f>
        <v>19687200</v>
      </c>
    </row>
    <row r="390" spans="1:6" ht="16.5">
      <c r="A390" s="429" t="s">
        <v>1395</v>
      </c>
      <c r="B390" s="430" t="s">
        <v>890</v>
      </c>
      <c r="C390" s="431" t="s">
        <v>157</v>
      </c>
      <c r="D390" s="432">
        <v>3</v>
      </c>
      <c r="E390" s="433">
        <v>32346</v>
      </c>
      <c r="F390" s="434">
        <f t="shared" si="21"/>
        <v>97038</v>
      </c>
    </row>
    <row r="391" spans="1:6" ht="16.5">
      <c r="A391" s="429" t="s">
        <v>1559</v>
      </c>
      <c r="B391" s="430" t="s">
        <v>823</v>
      </c>
      <c r="C391" s="431" t="s">
        <v>157</v>
      </c>
      <c r="D391" s="432">
        <v>4</v>
      </c>
      <c r="E391" s="433">
        <v>538971</v>
      </c>
      <c r="F391" s="434">
        <f t="shared" si="21"/>
        <v>2155884</v>
      </c>
    </row>
    <row r="392" spans="1:6" ht="16.5">
      <c r="A392" s="429" t="s">
        <v>1560</v>
      </c>
      <c r="B392" s="430" t="s">
        <v>824</v>
      </c>
      <c r="C392" s="431" t="s">
        <v>454</v>
      </c>
      <c r="D392" s="432">
        <v>20</v>
      </c>
      <c r="E392" s="433">
        <v>11489</v>
      </c>
      <c r="F392" s="434">
        <f t="shared" si="21"/>
        <v>229780</v>
      </c>
    </row>
    <row r="393" spans="1:6" ht="33">
      <c r="A393" s="429" t="s">
        <v>1561</v>
      </c>
      <c r="B393" s="430" t="s">
        <v>825</v>
      </c>
      <c r="C393" s="431" t="s">
        <v>454</v>
      </c>
      <c r="D393" s="432">
        <v>20</v>
      </c>
      <c r="E393" s="433">
        <v>11646</v>
      </c>
      <c r="F393" s="434">
        <f t="shared" si="21"/>
        <v>232920</v>
      </c>
    </row>
    <row r="394" spans="1:6" ht="16.5">
      <c r="A394" s="429" t="s">
        <v>1562</v>
      </c>
      <c r="B394" s="430" t="s">
        <v>826</v>
      </c>
      <c r="C394" s="431" t="s">
        <v>454</v>
      </c>
      <c r="D394" s="432">
        <v>5</v>
      </c>
      <c r="E394" s="433">
        <v>5794</v>
      </c>
      <c r="F394" s="434">
        <f t="shared" si="21"/>
        <v>28970</v>
      </c>
    </row>
    <row r="395" spans="1:6" ht="16.5">
      <c r="A395" s="429" t="s">
        <v>1563</v>
      </c>
      <c r="B395" s="430" t="s">
        <v>828</v>
      </c>
      <c r="C395" s="431" t="s">
        <v>454</v>
      </c>
      <c r="D395" s="432">
        <v>7</v>
      </c>
      <c r="E395" s="433">
        <v>42332</v>
      </c>
      <c r="F395" s="434">
        <f t="shared" si="21"/>
        <v>296324</v>
      </c>
    </row>
    <row r="396" spans="1:6" ht="16.5">
      <c r="A396" s="429"/>
      <c r="B396" s="430"/>
      <c r="C396" s="431"/>
      <c r="D396" s="432"/>
      <c r="E396" s="441" t="s">
        <v>958</v>
      </c>
      <c r="F396" s="442">
        <f>SUM(F389:F395)</f>
        <v>22728116</v>
      </c>
    </row>
    <row r="397" spans="1:6" ht="33">
      <c r="A397" s="423" t="s">
        <v>1396</v>
      </c>
      <c r="B397" s="424" t="s">
        <v>1547</v>
      </c>
      <c r="C397" s="437" t="s">
        <v>493</v>
      </c>
      <c r="D397" s="438"/>
      <c r="E397" s="439"/>
      <c r="F397" s="440"/>
    </row>
    <row r="398" spans="1:6" ht="16.5">
      <c r="A398" s="429" t="s">
        <v>1397</v>
      </c>
      <c r="B398" s="430" t="s">
        <v>1546</v>
      </c>
      <c r="C398" s="431" t="s">
        <v>493</v>
      </c>
      <c r="D398" s="432">
        <v>340</v>
      </c>
      <c r="E398" s="433">
        <v>27929</v>
      </c>
      <c r="F398" s="434">
        <f t="shared" ref="F398:F403" si="22">D398*E398</f>
        <v>9495860</v>
      </c>
    </row>
    <row r="399" spans="1:6" ht="16.5">
      <c r="A399" s="429" t="s">
        <v>1448</v>
      </c>
      <c r="B399" s="430" t="s">
        <v>823</v>
      </c>
      <c r="C399" s="431" t="s">
        <v>157</v>
      </c>
      <c r="D399" s="432">
        <v>4</v>
      </c>
      <c r="E399" s="433">
        <v>538971</v>
      </c>
      <c r="F399" s="434">
        <f t="shared" si="22"/>
        <v>2155884</v>
      </c>
    </row>
    <row r="400" spans="1:6" ht="16.5">
      <c r="A400" s="429" t="s">
        <v>1564</v>
      </c>
      <c r="B400" s="430" t="s">
        <v>824</v>
      </c>
      <c r="C400" s="431" t="s">
        <v>454</v>
      </c>
      <c r="D400" s="432">
        <v>27</v>
      </c>
      <c r="E400" s="433">
        <v>11489</v>
      </c>
      <c r="F400" s="434">
        <f t="shared" si="22"/>
        <v>310203</v>
      </c>
    </row>
    <row r="401" spans="1:7" ht="33">
      <c r="A401" s="429" t="s">
        <v>1565</v>
      </c>
      <c r="B401" s="430" t="s">
        <v>825</v>
      </c>
      <c r="C401" s="431" t="s">
        <v>454</v>
      </c>
      <c r="D401" s="432">
        <v>27</v>
      </c>
      <c r="E401" s="433">
        <v>11646</v>
      </c>
      <c r="F401" s="434">
        <f t="shared" si="22"/>
        <v>314442</v>
      </c>
    </row>
    <row r="402" spans="1:7" ht="16.5">
      <c r="A402" s="429" t="s">
        <v>1566</v>
      </c>
      <c r="B402" s="430" t="s">
        <v>826</v>
      </c>
      <c r="C402" s="431" t="s">
        <v>454</v>
      </c>
      <c r="D402" s="432">
        <v>7</v>
      </c>
      <c r="E402" s="433">
        <v>5794</v>
      </c>
      <c r="F402" s="434">
        <f t="shared" si="22"/>
        <v>40558</v>
      </c>
    </row>
    <row r="403" spans="1:7" ht="16.5">
      <c r="A403" s="429" t="s">
        <v>1567</v>
      </c>
      <c r="B403" s="449" t="s">
        <v>828</v>
      </c>
      <c r="C403" s="431" t="s">
        <v>454</v>
      </c>
      <c r="D403" s="432">
        <v>9</v>
      </c>
      <c r="E403" s="433">
        <v>42332</v>
      </c>
      <c r="F403" s="434">
        <f t="shared" si="22"/>
        <v>380988</v>
      </c>
    </row>
    <row r="404" spans="1:7" ht="16.5">
      <c r="A404" s="443"/>
      <c r="B404" s="444"/>
      <c r="C404" s="445"/>
      <c r="D404" s="446"/>
      <c r="E404" s="447" t="s">
        <v>958</v>
      </c>
      <c r="F404" s="448">
        <f>SUM(F398:F403)</f>
        <v>12697935</v>
      </c>
    </row>
    <row r="405" spans="1:7" ht="16.5">
      <c r="A405" s="450"/>
      <c r="B405" s="424"/>
      <c r="C405" s="451"/>
      <c r="D405" s="452"/>
      <c r="E405" s="453" t="s">
        <v>903</v>
      </c>
      <c r="F405" s="454">
        <f>F260+F275+F290+F305+F316+F326+F335+F344+F353+F361+F369+F372+F387+F396+F404</f>
        <v>363039580</v>
      </c>
      <c r="G405" s="455"/>
    </row>
    <row r="406" spans="1:7" ht="15.95" customHeight="1">
      <c r="A406" s="333">
        <v>11</v>
      </c>
      <c r="B406" s="576" t="s">
        <v>1514</v>
      </c>
      <c r="C406" s="577"/>
      <c r="D406" s="577"/>
      <c r="E406" s="577"/>
      <c r="F406" s="578"/>
    </row>
    <row r="407" spans="1:7" ht="15.95" customHeight="1">
      <c r="A407" s="333" t="s">
        <v>1524</v>
      </c>
      <c r="B407" s="371" t="s">
        <v>1515</v>
      </c>
      <c r="C407" s="335"/>
      <c r="D407" s="335"/>
      <c r="E407" s="335"/>
      <c r="F407" s="336"/>
    </row>
    <row r="408" spans="1:7" ht="15.95" customHeight="1">
      <c r="A408" s="397" t="s">
        <v>1525</v>
      </c>
      <c r="B408" s="456" t="s">
        <v>216</v>
      </c>
      <c r="C408" s="387" t="s">
        <v>8</v>
      </c>
      <c r="D408" s="397">
        <v>1019.33</v>
      </c>
      <c r="E408" s="388">
        <v>1441</v>
      </c>
      <c r="F408" s="389">
        <f>D408*E408</f>
        <v>1468854.53</v>
      </c>
    </row>
    <row r="409" spans="1:7" ht="16.5">
      <c r="A409" s="397" t="s">
        <v>1526</v>
      </c>
      <c r="B409" s="456" t="s">
        <v>280</v>
      </c>
      <c r="C409" s="397" t="s">
        <v>66</v>
      </c>
      <c r="D409" s="397">
        <v>1639.11</v>
      </c>
      <c r="E409" s="388">
        <v>8829</v>
      </c>
      <c r="F409" s="389">
        <f t="shared" ref="F409:F425" si="23">D409*E409</f>
        <v>14471702.189999999</v>
      </c>
    </row>
    <row r="410" spans="1:7" ht="15.95" customHeight="1">
      <c r="A410" s="397" t="s">
        <v>1527</v>
      </c>
      <c r="B410" s="207" t="s">
        <v>55</v>
      </c>
      <c r="C410" s="337" t="s">
        <v>66</v>
      </c>
      <c r="D410" s="337">
        <v>787.6</v>
      </c>
      <c r="E410" s="342">
        <v>16226</v>
      </c>
      <c r="F410" s="389">
        <f t="shared" si="23"/>
        <v>12779597.6</v>
      </c>
    </row>
    <row r="411" spans="1:7" ht="33">
      <c r="A411" s="397" t="s">
        <v>1528</v>
      </c>
      <c r="B411" s="457" t="s">
        <v>1516</v>
      </c>
      <c r="C411" s="361" t="s">
        <v>66</v>
      </c>
      <c r="D411" s="337">
        <v>852</v>
      </c>
      <c r="E411" s="342">
        <v>38125</v>
      </c>
      <c r="F411" s="389">
        <f t="shared" si="23"/>
        <v>32482500</v>
      </c>
    </row>
    <row r="412" spans="1:7" ht="15.95" customHeight="1">
      <c r="A412" s="397" t="s">
        <v>1529</v>
      </c>
      <c r="B412" s="398" t="s">
        <v>18</v>
      </c>
      <c r="C412" s="397" t="s">
        <v>66</v>
      </c>
      <c r="D412" s="397">
        <v>508.4</v>
      </c>
      <c r="E412" s="388">
        <v>55470</v>
      </c>
      <c r="F412" s="389">
        <f t="shared" si="23"/>
        <v>28200948</v>
      </c>
    </row>
    <row r="413" spans="1:7" ht="49.5">
      <c r="A413" s="397" t="s">
        <v>1530</v>
      </c>
      <c r="B413" s="392" t="s">
        <v>1517</v>
      </c>
      <c r="C413" s="397" t="s">
        <v>7</v>
      </c>
      <c r="D413" s="458">
        <v>7</v>
      </c>
      <c r="E413" s="388">
        <v>1209590</v>
      </c>
      <c r="F413" s="389">
        <f t="shared" si="23"/>
        <v>8467130</v>
      </c>
    </row>
    <row r="414" spans="1:7" ht="49.5">
      <c r="A414" s="397" t="s">
        <v>1531</v>
      </c>
      <c r="B414" s="392" t="s">
        <v>1518</v>
      </c>
      <c r="C414" s="397" t="s">
        <v>7</v>
      </c>
      <c r="D414" s="458">
        <v>2</v>
      </c>
      <c r="E414" s="388">
        <v>1383302</v>
      </c>
      <c r="F414" s="389">
        <f t="shared" si="23"/>
        <v>2766604</v>
      </c>
    </row>
    <row r="415" spans="1:7" ht="49.5">
      <c r="A415" s="397" t="s">
        <v>1532</v>
      </c>
      <c r="B415" s="392" t="s">
        <v>1519</v>
      </c>
      <c r="C415" s="397" t="s">
        <v>7</v>
      </c>
      <c r="D415" s="458">
        <v>2</v>
      </c>
      <c r="E415" s="388">
        <v>1527274</v>
      </c>
      <c r="F415" s="389">
        <f t="shared" si="23"/>
        <v>3054548</v>
      </c>
    </row>
    <row r="416" spans="1:7" ht="49.5">
      <c r="A416" s="397" t="s">
        <v>1533</v>
      </c>
      <c r="B416" s="392" t="s">
        <v>1520</v>
      </c>
      <c r="C416" s="397" t="s">
        <v>7</v>
      </c>
      <c r="D416" s="458">
        <v>3</v>
      </c>
      <c r="E416" s="388">
        <v>1776610</v>
      </c>
      <c r="F416" s="389">
        <f t="shared" si="23"/>
        <v>5329830</v>
      </c>
    </row>
    <row r="417" spans="1:6" ht="49.5">
      <c r="A417" s="397" t="s">
        <v>1534</v>
      </c>
      <c r="B417" s="392" t="s">
        <v>1521</v>
      </c>
      <c r="C417" s="397" t="s">
        <v>7</v>
      </c>
      <c r="D417" s="458">
        <v>3</v>
      </c>
      <c r="E417" s="388">
        <v>2066085</v>
      </c>
      <c r="F417" s="389">
        <f t="shared" si="23"/>
        <v>6198255</v>
      </c>
    </row>
    <row r="418" spans="1:6" ht="15.95" customHeight="1">
      <c r="A418" s="397" t="s">
        <v>1535</v>
      </c>
      <c r="B418" s="459" t="s">
        <v>376</v>
      </c>
      <c r="C418" s="387" t="s">
        <v>7</v>
      </c>
      <c r="D418" s="397">
        <v>1</v>
      </c>
      <c r="E418" s="388">
        <v>1122960</v>
      </c>
      <c r="F418" s="389">
        <f t="shared" si="23"/>
        <v>1122960</v>
      </c>
    </row>
    <row r="419" spans="1:6" ht="16.5">
      <c r="A419" s="397" t="s">
        <v>1536</v>
      </c>
      <c r="B419" s="399" t="s">
        <v>1626</v>
      </c>
      <c r="C419" s="387" t="s">
        <v>8</v>
      </c>
      <c r="D419" s="397">
        <f>4.63+4.08+5.5+11.2+16.23+3.66+4.32+19.15+6.57+24.71+8.33+9.81+26.21+11.66+8.37+5.58+11.05+39.8</f>
        <v>220.86</v>
      </c>
      <c r="E419" s="388">
        <v>5403</v>
      </c>
      <c r="F419" s="389">
        <f t="shared" si="23"/>
        <v>1193306.58</v>
      </c>
    </row>
    <row r="420" spans="1:6" ht="16.5">
      <c r="A420" s="397" t="s">
        <v>1537</v>
      </c>
      <c r="B420" s="399" t="s">
        <v>1630</v>
      </c>
      <c r="C420" s="387" t="s">
        <v>8</v>
      </c>
      <c r="D420" s="397">
        <f>25.34+57.1</f>
        <v>82.44</v>
      </c>
      <c r="E420" s="388">
        <v>10181</v>
      </c>
      <c r="F420" s="389">
        <f t="shared" si="23"/>
        <v>839321.64</v>
      </c>
    </row>
    <row r="421" spans="1:6" ht="16.5">
      <c r="A421" s="397" t="s">
        <v>1538</v>
      </c>
      <c r="B421" s="460" t="s">
        <v>1627</v>
      </c>
      <c r="C421" s="461" t="s">
        <v>8</v>
      </c>
      <c r="D421" s="462">
        <v>32.94</v>
      </c>
      <c r="E421" s="463">
        <v>13367</v>
      </c>
      <c r="F421" s="389">
        <f t="shared" si="23"/>
        <v>440308.98</v>
      </c>
    </row>
    <row r="422" spans="1:6" ht="16.5">
      <c r="A422" s="397" t="s">
        <v>1539</v>
      </c>
      <c r="B422" s="460" t="s">
        <v>1638</v>
      </c>
      <c r="C422" s="461" t="s">
        <v>8</v>
      </c>
      <c r="D422" s="462">
        <v>24.82</v>
      </c>
      <c r="E422" s="463">
        <v>16552</v>
      </c>
      <c r="F422" s="389">
        <f t="shared" ref="F422" si="24">D422*E422</f>
        <v>410820.64</v>
      </c>
    </row>
    <row r="423" spans="1:6" ht="16.5">
      <c r="A423" s="397" t="s">
        <v>1637</v>
      </c>
      <c r="B423" s="460" t="s">
        <v>1636</v>
      </c>
      <c r="C423" s="461" t="s">
        <v>8</v>
      </c>
      <c r="D423" s="462">
        <v>62.11</v>
      </c>
      <c r="E423" s="463">
        <v>20534</v>
      </c>
      <c r="F423" s="389">
        <f t="shared" ref="F423" si="25">D423*E423</f>
        <v>1275366.74</v>
      </c>
    </row>
    <row r="424" spans="1:6" ht="16.5">
      <c r="A424" s="397" t="s">
        <v>1639</v>
      </c>
      <c r="B424" s="460" t="s">
        <v>1629</v>
      </c>
      <c r="C424" s="461" t="s">
        <v>8</v>
      </c>
      <c r="D424" s="397">
        <v>254.61999999999998</v>
      </c>
      <c r="E424" s="388">
        <v>26928</v>
      </c>
      <c r="F424" s="389">
        <f t="shared" si="23"/>
        <v>6856407.3599999994</v>
      </c>
    </row>
    <row r="425" spans="1:6" ht="16.5">
      <c r="A425" s="397" t="s">
        <v>1640</v>
      </c>
      <c r="B425" s="460" t="s">
        <v>1628</v>
      </c>
      <c r="C425" s="461" t="s">
        <v>8</v>
      </c>
      <c r="D425" s="462">
        <v>428.46999999999997</v>
      </c>
      <c r="E425" s="463">
        <v>37257</v>
      </c>
      <c r="F425" s="389">
        <f t="shared" si="23"/>
        <v>15963506.789999999</v>
      </c>
    </row>
    <row r="426" spans="1:6" ht="15.95" customHeight="1">
      <c r="A426" s="582" t="s">
        <v>1003</v>
      </c>
      <c r="B426" s="582"/>
      <c r="C426" s="582"/>
      <c r="D426" s="582"/>
      <c r="E426" s="582"/>
      <c r="F426" s="343">
        <f>+SUM(F408:F425)</f>
        <v>143321968.04999998</v>
      </c>
    </row>
    <row r="428" spans="1:6" ht="15.95" customHeight="1">
      <c r="F428" s="483">
        <f>+F426+F405+F244+F241+F228+F216+F171+F143+F88+F67+F43+F10</f>
        <v>4780568285.6051998</v>
      </c>
    </row>
    <row r="429" spans="1:6" ht="15.95" customHeight="1">
      <c r="C429" s="484">
        <v>0.15</v>
      </c>
      <c r="E429" s="329">
        <f>+F426*C429</f>
        <v>21498295.207499996</v>
      </c>
      <c r="F429" s="332">
        <f>+F428*C429</f>
        <v>717085242.8407799</v>
      </c>
    </row>
    <row r="430" spans="1:6" ht="15.95" customHeight="1">
      <c r="C430" s="484">
        <v>0.1</v>
      </c>
      <c r="E430" s="329">
        <f>+F426*C430</f>
        <v>14332196.805</v>
      </c>
      <c r="F430" s="332">
        <f>+F428*C430</f>
        <v>478056828.56051999</v>
      </c>
    </row>
    <row r="431" spans="1:6" ht="15.95" customHeight="1">
      <c r="C431" s="484">
        <v>0.05</v>
      </c>
      <c r="E431" s="329">
        <f>+F426*C431</f>
        <v>7166098.4024999999</v>
      </c>
      <c r="F431" s="332">
        <f>+F428*C431</f>
        <v>239028414.28026</v>
      </c>
    </row>
    <row r="432" spans="1:6" ht="15.95" customHeight="1">
      <c r="E432" s="329">
        <f>SUM(E429:E431)</f>
        <v>42996590.414999992</v>
      </c>
      <c r="F432" s="486">
        <f>SUM(F428:F431)</f>
        <v>6214738771.2867603</v>
      </c>
    </row>
    <row r="433" spans="2:6" ht="15.95" customHeight="1">
      <c r="E433" s="485">
        <f>+F426+E432</f>
        <v>186318558.46499997</v>
      </c>
    </row>
    <row r="434" spans="2:6" ht="15.95" customHeight="1">
      <c r="B434" s="494">
        <f>+E433</f>
        <v>186318558.46499997</v>
      </c>
      <c r="E434" s="485"/>
      <c r="F434" s="332">
        <f>+F432*0.08</f>
        <v>497179101.70294082</v>
      </c>
    </row>
    <row r="435" spans="2:6" ht="15.95" customHeight="1">
      <c r="B435" s="464">
        <f>+F426*0.08</f>
        <v>11465757.443999998</v>
      </c>
      <c r="F435" s="487">
        <f>+((F432+F434)/0.98)*0.02</f>
        <v>136977915.77530003</v>
      </c>
    </row>
    <row r="436" spans="2:6" ht="15.95" customHeight="1">
      <c r="B436" s="494">
        <f>+B435+B434</f>
        <v>197784315.90899998</v>
      </c>
      <c r="F436" s="488">
        <f>+F432+F434+F435</f>
        <v>6848895788.7650013</v>
      </c>
    </row>
    <row r="437" spans="2:6" ht="15.95" customHeight="1">
      <c r="B437" s="464">
        <f>+B436/0.98*0.02</f>
        <v>4036414.6103877551</v>
      </c>
    </row>
    <row r="438" spans="2:6" ht="15.95" customHeight="1">
      <c r="B438" s="494">
        <f>+B436+B437</f>
        <v>201820730.51938772</v>
      </c>
      <c r="D438" s="617" t="s">
        <v>1657</v>
      </c>
      <c r="E438" s="617"/>
      <c r="F438" s="332">
        <f>+F428</f>
        <v>4780568285.6051998</v>
      </c>
    </row>
    <row r="439" spans="2:6" ht="15.95" customHeight="1">
      <c r="B439" s="495">
        <f>+B438+'PPTO Suministros'!F179</f>
        <v>513544391.40224487</v>
      </c>
      <c r="D439" s="618" t="s">
        <v>1658</v>
      </c>
      <c r="E439" s="618"/>
      <c r="F439" s="332">
        <f>+F429+F430+F431</f>
        <v>1434170485.68156</v>
      </c>
    </row>
    <row r="440" spans="2:6" ht="15.95" customHeight="1">
      <c r="D440" s="618" t="s">
        <v>1659</v>
      </c>
      <c r="E440" s="618"/>
      <c r="F440" s="332">
        <f>+F434</f>
        <v>497179101.70294082</v>
      </c>
    </row>
    <row r="441" spans="2:6" ht="15.95" customHeight="1">
      <c r="F441" s="492">
        <f>SUM(F438:F440)</f>
        <v>6711917872.9897013</v>
      </c>
    </row>
  </sheetData>
  <mergeCells count="30">
    <mergeCell ref="G73:J75"/>
    <mergeCell ref="B89:F89"/>
    <mergeCell ref="A88:E88"/>
    <mergeCell ref="A143:E143"/>
    <mergeCell ref="A244:E244"/>
    <mergeCell ref="B242:F242"/>
    <mergeCell ref="A171:E171"/>
    <mergeCell ref="A216:E216"/>
    <mergeCell ref="B229:F229"/>
    <mergeCell ref="B172:F172"/>
    <mergeCell ref="B144:F144"/>
    <mergeCell ref="A1:F1"/>
    <mergeCell ref="A3:A4"/>
    <mergeCell ref="B3:B4"/>
    <mergeCell ref="C3:C4"/>
    <mergeCell ref="D3:D4"/>
    <mergeCell ref="E3:E4"/>
    <mergeCell ref="F3:F4"/>
    <mergeCell ref="A10:E10"/>
    <mergeCell ref="A43:E43"/>
    <mergeCell ref="B11:F11"/>
    <mergeCell ref="B44:F44"/>
    <mergeCell ref="A241:E241"/>
    <mergeCell ref="A228:E228"/>
    <mergeCell ref="A67:E67"/>
    <mergeCell ref="D438:E438"/>
    <mergeCell ref="D439:E439"/>
    <mergeCell ref="D440:E440"/>
    <mergeCell ref="B406:F406"/>
    <mergeCell ref="A426:E426"/>
  </mergeCells>
  <pageMargins left="0.31496062992125984" right="0.31496062992125984" top="0.55118110236220474" bottom="0.74803149606299213" header="0.31496062992125984" footer="0.31496062992125984"/>
  <pageSetup scale="75"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68"/>
  <sheetViews>
    <sheetView topLeftCell="A1484" zoomScale="70" zoomScaleNormal="70" zoomScalePageLayoutView="70" workbookViewId="0">
      <selection activeCell="B1496" sqref="B1496:H1497"/>
    </sheetView>
  </sheetViews>
  <sheetFormatPr baseColWidth="10" defaultRowHeight="15"/>
  <cols>
    <col min="1" max="1" width="24.28515625" customWidth="1"/>
    <col min="2" max="2" width="36.42578125" customWidth="1"/>
    <col min="3" max="3" width="12.85546875" customWidth="1"/>
    <col min="4" max="4" width="16.28515625" customWidth="1"/>
    <col min="5" max="5" width="19.42578125" customWidth="1"/>
    <col min="6" max="6" width="21.28515625" customWidth="1"/>
    <col min="7" max="7" width="17.28515625" customWidth="1"/>
    <col min="8" max="8" width="21.7109375" customWidth="1"/>
    <col min="9" max="9" width="14" customWidth="1"/>
    <col min="11" max="11" width="13.7109375" bestFit="1" customWidth="1"/>
    <col min="12" max="12" width="24.7109375" customWidth="1"/>
    <col min="18" max="18" width="16.42578125" bestFit="1" customWidth="1"/>
  </cols>
  <sheetData>
    <row r="1" spans="1:9" s="65" customFormat="1" ht="16.5" thickBot="1">
      <c r="A1" s="64"/>
      <c r="B1" s="640"/>
      <c r="C1" s="640"/>
      <c r="D1" s="640"/>
      <c r="E1" s="640"/>
      <c r="F1" s="640"/>
      <c r="G1" s="640"/>
      <c r="H1" s="640"/>
      <c r="I1" s="64"/>
    </row>
    <row r="2" spans="1:9" s="65" customFormat="1" ht="15" customHeight="1">
      <c r="A2" s="641"/>
      <c r="B2" s="629" t="s">
        <v>388</v>
      </c>
      <c r="C2" s="630"/>
      <c r="D2" s="630"/>
      <c r="E2" s="630"/>
      <c r="F2" s="630"/>
      <c r="G2" s="630"/>
      <c r="H2" s="630"/>
      <c r="I2" s="66" t="s">
        <v>389</v>
      </c>
    </row>
    <row r="3" spans="1:9" s="65" customFormat="1" ht="15" customHeight="1">
      <c r="A3" s="642"/>
      <c r="B3" s="631"/>
      <c r="C3" s="632"/>
      <c r="D3" s="632"/>
      <c r="E3" s="632"/>
      <c r="F3" s="632"/>
      <c r="G3" s="632"/>
      <c r="H3" s="632"/>
      <c r="I3" s="67" t="s">
        <v>291</v>
      </c>
    </row>
    <row r="4" spans="1:9" s="65" customFormat="1" ht="15" customHeight="1">
      <c r="A4" s="68"/>
      <c r="B4" s="69"/>
      <c r="C4" s="69"/>
      <c r="D4" s="69"/>
      <c r="E4" s="69"/>
      <c r="F4" s="70"/>
      <c r="G4" s="70"/>
      <c r="H4" s="70"/>
      <c r="I4" s="71"/>
    </row>
    <row r="5" spans="1:9" s="65" customFormat="1" ht="15" customHeight="1">
      <c r="A5" s="72" t="s">
        <v>390</v>
      </c>
      <c r="B5" s="73"/>
      <c r="C5" s="73"/>
      <c r="D5" s="73"/>
      <c r="E5" s="73"/>
      <c r="F5" s="74"/>
      <c r="G5" s="74"/>
      <c r="H5" s="70"/>
      <c r="I5" s="71"/>
    </row>
    <row r="6" spans="1:9" s="65" customFormat="1">
      <c r="A6" s="75" t="s">
        <v>391</v>
      </c>
      <c r="B6" s="76" t="s">
        <v>392</v>
      </c>
      <c r="C6" s="76" t="s">
        <v>393</v>
      </c>
      <c r="D6" s="76" t="s">
        <v>394</v>
      </c>
      <c r="E6" s="76" t="s">
        <v>395</v>
      </c>
      <c r="F6" s="76" t="s">
        <v>396</v>
      </c>
      <c r="G6" s="76" t="s">
        <v>397</v>
      </c>
      <c r="H6" s="74"/>
      <c r="I6" s="71"/>
    </row>
    <row r="7" spans="1:9" s="65" customFormat="1">
      <c r="A7" s="77" t="s">
        <v>398</v>
      </c>
      <c r="B7" s="78" t="s">
        <v>399</v>
      </c>
      <c r="C7" s="79" t="s">
        <v>400</v>
      </c>
      <c r="D7" s="80">
        <v>40600</v>
      </c>
      <c r="E7" s="79">
        <v>0.106</v>
      </c>
      <c r="F7" s="79">
        <v>0</v>
      </c>
      <c r="G7" s="80">
        <f>(D7*E7)+((D7*E7)*F7/100)</f>
        <v>4303.5999999999995</v>
      </c>
      <c r="H7" s="81"/>
      <c r="I7" s="71"/>
    </row>
    <row r="8" spans="1:9" s="65" customFormat="1">
      <c r="A8" s="77" t="s">
        <v>401</v>
      </c>
      <c r="B8" s="78" t="s">
        <v>402</v>
      </c>
      <c r="C8" s="79" t="s">
        <v>403</v>
      </c>
      <c r="D8" s="80">
        <v>82000</v>
      </c>
      <c r="E8" s="79">
        <v>8.0000000000000002E-3</v>
      </c>
      <c r="F8" s="79">
        <v>0</v>
      </c>
      <c r="G8" s="80">
        <f>(D8*E8)+((D8*E8)*F8/100)</f>
        <v>656</v>
      </c>
      <c r="H8" s="81"/>
      <c r="I8" s="71"/>
    </row>
    <row r="9" spans="1:9" s="65" customFormat="1">
      <c r="A9" s="77" t="s">
        <v>404</v>
      </c>
      <c r="B9" s="78" t="s">
        <v>405</v>
      </c>
      <c r="C9" s="79" t="s">
        <v>406</v>
      </c>
      <c r="D9" s="80">
        <v>1250</v>
      </c>
      <c r="E9" s="79">
        <v>4.3999999999999997E-2</v>
      </c>
      <c r="F9" s="79">
        <v>0</v>
      </c>
      <c r="G9" s="80">
        <f>(D9*E9)+((D9*E9)*F9/100)</f>
        <v>55</v>
      </c>
      <c r="H9" s="81"/>
      <c r="I9" s="71"/>
    </row>
    <row r="10" spans="1:9" s="65" customFormat="1">
      <c r="A10" s="82"/>
      <c r="B10" s="83"/>
      <c r="C10" s="84"/>
      <c r="D10" s="84"/>
      <c r="E10" s="84"/>
      <c r="F10"/>
      <c r="G10" s="85" t="s">
        <v>407</v>
      </c>
      <c r="H10" s="80">
        <f>SUM(G7:G9)</f>
        <v>5014.5999999999995</v>
      </c>
      <c r="I10" s="71"/>
    </row>
    <row r="11" spans="1:9" s="65" customFormat="1">
      <c r="A11" s="72" t="s">
        <v>408</v>
      </c>
      <c r="B11" s="73"/>
      <c r="C11" s="73"/>
      <c r="D11" s="73"/>
      <c r="E11" s="73"/>
      <c r="F11"/>
      <c r="G11" s="74"/>
      <c r="H11" s="86"/>
      <c r="I11" s="71"/>
    </row>
    <row r="12" spans="1:9" s="65" customFormat="1">
      <c r="A12" s="75" t="s">
        <v>391</v>
      </c>
      <c r="B12" s="76" t="s">
        <v>392</v>
      </c>
      <c r="C12" s="76" t="s">
        <v>393</v>
      </c>
      <c r="D12" s="76" t="s">
        <v>394</v>
      </c>
      <c r="E12" s="76" t="s">
        <v>395</v>
      </c>
      <c r="F12" s="76" t="s">
        <v>396</v>
      </c>
      <c r="G12" s="76" t="s">
        <v>397</v>
      </c>
      <c r="H12" s="86"/>
      <c r="I12" s="71"/>
    </row>
    <row r="13" spans="1:9" s="65" customFormat="1">
      <c r="A13" s="87" t="s">
        <v>409</v>
      </c>
      <c r="B13" s="88" t="s">
        <v>409</v>
      </c>
      <c r="C13" s="88" t="s">
        <v>409</v>
      </c>
      <c r="D13" s="88" t="s">
        <v>409</v>
      </c>
      <c r="E13" s="88" t="s">
        <v>409</v>
      </c>
      <c r="F13" s="79" t="s">
        <v>409</v>
      </c>
      <c r="G13" s="89" t="s">
        <v>409</v>
      </c>
      <c r="H13" s="86"/>
      <c r="I13" s="71"/>
    </row>
    <row r="14" spans="1:9" s="65" customFormat="1">
      <c r="A14" s="90"/>
      <c r="B14" s="91"/>
      <c r="C14" s="91"/>
      <c r="D14" s="91"/>
      <c r="E14" s="91"/>
      <c r="F14"/>
      <c r="G14" s="85" t="s">
        <v>407</v>
      </c>
      <c r="H14" s="92">
        <f>SUM(G13:G13)</f>
        <v>0</v>
      </c>
      <c r="I14" s="71"/>
    </row>
    <row r="15" spans="1:9" s="65" customFormat="1">
      <c r="A15" s="72" t="s">
        <v>410</v>
      </c>
      <c r="B15" s="73"/>
      <c r="C15" s="73"/>
      <c r="D15" s="73"/>
      <c r="E15" s="73"/>
      <c r="F15"/>
      <c r="G15" s="74"/>
      <c r="H15" s="86"/>
      <c r="I15" s="71"/>
    </row>
    <row r="16" spans="1:9" s="65" customFormat="1">
      <c r="A16" s="75" t="s">
        <v>391</v>
      </c>
      <c r="B16" s="76" t="s">
        <v>392</v>
      </c>
      <c r="C16" s="76" t="s">
        <v>393</v>
      </c>
      <c r="D16" s="76" t="s">
        <v>394</v>
      </c>
      <c r="E16" s="76" t="s">
        <v>395</v>
      </c>
      <c r="F16" s="76" t="s">
        <v>396</v>
      </c>
      <c r="G16" s="76" t="s">
        <v>397</v>
      </c>
      <c r="H16" s="86"/>
      <c r="I16" s="71"/>
    </row>
    <row r="17" spans="1:11" s="65" customFormat="1">
      <c r="A17" s="77" t="s">
        <v>409</v>
      </c>
      <c r="B17" s="79" t="s">
        <v>409</v>
      </c>
      <c r="C17" s="79" t="s">
        <v>409</v>
      </c>
      <c r="D17" s="79" t="s">
        <v>409</v>
      </c>
      <c r="E17" s="79" t="s">
        <v>409</v>
      </c>
      <c r="F17" s="79" t="s">
        <v>409</v>
      </c>
      <c r="G17" s="89" t="s">
        <v>409</v>
      </c>
      <c r="H17" s="86"/>
      <c r="I17" s="71"/>
    </row>
    <row r="18" spans="1:11" s="65" customFormat="1">
      <c r="A18" s="90"/>
      <c r="B18" s="91"/>
      <c r="C18" s="91"/>
      <c r="D18" s="91"/>
      <c r="E18" s="91"/>
      <c r="F18"/>
      <c r="G18" s="93" t="s">
        <v>407</v>
      </c>
      <c r="H18" s="92">
        <f>SUM(G17:G17)</f>
        <v>0</v>
      </c>
      <c r="I18" s="71"/>
    </row>
    <row r="19" spans="1:11" s="65" customFormat="1">
      <c r="A19" s="72" t="s">
        <v>411</v>
      </c>
      <c r="B19" s="73"/>
      <c r="C19" s="73"/>
      <c r="D19" s="73"/>
      <c r="E19" s="73"/>
      <c r="F19"/>
      <c r="G19" s="74"/>
      <c r="H19" s="86"/>
      <c r="I19" s="71"/>
    </row>
    <row r="20" spans="1:11" s="65" customFormat="1">
      <c r="A20" s="75" t="s">
        <v>391</v>
      </c>
      <c r="B20" s="76" t="s">
        <v>392</v>
      </c>
      <c r="C20" s="76" t="s">
        <v>393</v>
      </c>
      <c r="D20" s="76" t="s">
        <v>394</v>
      </c>
      <c r="E20" s="76" t="s">
        <v>395</v>
      </c>
      <c r="F20" s="76" t="s">
        <v>396</v>
      </c>
      <c r="G20" s="76" t="s">
        <v>397</v>
      </c>
      <c r="H20" s="86"/>
      <c r="I20" s="71"/>
    </row>
    <row r="21" spans="1:11" s="65" customFormat="1">
      <c r="A21" s="77" t="s">
        <v>409</v>
      </c>
      <c r="B21" s="79" t="s">
        <v>409</v>
      </c>
      <c r="C21" s="79" t="s">
        <v>409</v>
      </c>
      <c r="D21" s="79" t="s">
        <v>409</v>
      </c>
      <c r="E21" s="79" t="s">
        <v>409</v>
      </c>
      <c r="F21" s="79" t="s">
        <v>409</v>
      </c>
      <c r="G21" s="89" t="s">
        <v>409</v>
      </c>
      <c r="H21" s="81"/>
      <c r="I21" s="71"/>
    </row>
    <row r="22" spans="1:11" s="65" customFormat="1">
      <c r="A22" s="94"/>
      <c r="B22" s="95"/>
      <c r="C22" s="95"/>
      <c r="D22" s="95"/>
      <c r="E22" s="95"/>
      <c r="F22"/>
      <c r="G22" s="93" t="s">
        <v>407</v>
      </c>
      <c r="H22" s="92">
        <f>SUM(G20:G21)</f>
        <v>0</v>
      </c>
      <c r="I22" s="71"/>
    </row>
    <row r="23" spans="1:11" s="65" customFormat="1">
      <c r="A23" s="94"/>
      <c r="B23" s="95"/>
      <c r="C23" s="95"/>
      <c r="D23" s="95"/>
      <c r="E23" s="95"/>
      <c r="F23"/>
      <c r="G23" s="74"/>
      <c r="H23" s="81"/>
      <c r="I23" s="71"/>
    </row>
    <row r="24" spans="1:11" s="65" customFormat="1">
      <c r="A24" s="96"/>
      <c r="B24" s="97"/>
      <c r="C24" s="98"/>
      <c r="D24" s="98"/>
      <c r="E24" s="98"/>
      <c r="F24"/>
      <c r="G24" s="99" t="s">
        <v>412</v>
      </c>
      <c r="H24" s="100">
        <f>SUM(H10:H22)</f>
        <v>5014.5999999999995</v>
      </c>
      <c r="I24" s="71"/>
    </row>
    <row r="25" spans="1:11" s="65" customFormat="1">
      <c r="A25" s="96"/>
      <c r="B25" s="97"/>
      <c r="C25" s="98"/>
      <c r="D25" s="98"/>
      <c r="E25" s="98"/>
      <c r="F25" s="101"/>
      <c r="G25" s="102"/>
      <c r="H25" s="70"/>
      <c r="I25" s="71"/>
      <c r="K25" s="65" t="s">
        <v>413</v>
      </c>
    </row>
    <row r="26" spans="1:11" s="65" customFormat="1" ht="15.75" thickBot="1">
      <c r="A26" s="624" t="s">
        <v>414</v>
      </c>
      <c r="B26" s="625"/>
      <c r="C26" s="625"/>
      <c r="D26" s="625"/>
      <c r="E26" s="625"/>
      <c r="F26" s="625"/>
      <c r="G26" s="626"/>
      <c r="H26" s="117">
        <f>+ROUND(H24,0)</f>
        <v>5015</v>
      </c>
      <c r="I26" s="103"/>
      <c r="K26" s="65">
        <f>1350*1.1</f>
        <v>1485.0000000000002</v>
      </c>
    </row>
    <row r="27" spans="1:11" s="65" customFormat="1" ht="15.75" thickBot="1">
      <c r="A27" s="91"/>
      <c r="B27" s="91"/>
      <c r="C27" s="91"/>
      <c r="D27" s="91"/>
      <c r="E27" s="91"/>
      <c r="G27" s="104"/>
      <c r="H27" s="105"/>
    </row>
    <row r="28" spans="1:11" s="65" customFormat="1">
      <c r="A28" s="627"/>
      <c r="B28" s="629" t="s">
        <v>415</v>
      </c>
      <c r="C28" s="630"/>
      <c r="D28" s="630"/>
      <c r="E28" s="630"/>
      <c r="F28" s="630"/>
      <c r="G28" s="630"/>
      <c r="H28" s="630"/>
      <c r="I28" s="66" t="s">
        <v>389</v>
      </c>
    </row>
    <row r="29" spans="1:11" s="65" customFormat="1">
      <c r="A29" s="628"/>
      <c r="B29" s="631"/>
      <c r="C29" s="632"/>
      <c r="D29" s="632"/>
      <c r="E29" s="632"/>
      <c r="F29" s="632"/>
      <c r="G29" s="632"/>
      <c r="H29" s="632"/>
      <c r="I29" s="67" t="s">
        <v>291</v>
      </c>
    </row>
    <row r="30" spans="1:11" s="65" customFormat="1">
      <c r="A30" s="68"/>
      <c r="B30" s="69"/>
      <c r="C30" s="69"/>
      <c r="D30" s="69"/>
      <c r="E30" s="69"/>
      <c r="F30" s="70"/>
      <c r="G30" s="70"/>
      <c r="H30" s="70"/>
      <c r="I30" s="71"/>
    </row>
    <row r="31" spans="1:11" s="65" customFormat="1">
      <c r="A31" s="72" t="s">
        <v>390</v>
      </c>
      <c r="B31" s="73"/>
      <c r="C31" s="73"/>
      <c r="D31" s="73"/>
      <c r="E31" s="73"/>
      <c r="F31" s="74"/>
      <c r="G31" s="74"/>
      <c r="H31" s="70"/>
      <c r="I31" s="71"/>
    </row>
    <row r="32" spans="1:11" s="65" customFormat="1">
      <c r="A32" s="75" t="s">
        <v>391</v>
      </c>
      <c r="B32" s="76" t="s">
        <v>392</v>
      </c>
      <c r="C32" s="76" t="s">
        <v>393</v>
      </c>
      <c r="D32" s="76" t="s">
        <v>394</v>
      </c>
      <c r="E32" s="76" t="s">
        <v>395</v>
      </c>
      <c r="F32" s="76" t="s">
        <v>396</v>
      </c>
      <c r="G32" s="76" t="s">
        <v>397</v>
      </c>
      <c r="H32" s="74"/>
      <c r="I32" s="71"/>
    </row>
    <row r="33" spans="1:9" s="65" customFormat="1">
      <c r="A33" s="77" t="s">
        <v>404</v>
      </c>
      <c r="B33" s="78" t="s">
        <v>416</v>
      </c>
      <c r="C33" s="79" t="s">
        <v>406</v>
      </c>
      <c r="D33" s="106">
        <v>1250</v>
      </c>
      <c r="E33" s="79">
        <v>3.9E-2</v>
      </c>
      <c r="F33" s="79">
        <v>0</v>
      </c>
      <c r="G33" s="106">
        <f>(D33*E33)+((D33*E33)*F33/100)</f>
        <v>48.75</v>
      </c>
      <c r="H33" s="74"/>
      <c r="I33" s="71"/>
    </row>
    <row r="34" spans="1:9" s="65" customFormat="1">
      <c r="A34" s="82"/>
      <c r="B34" s="83"/>
      <c r="C34" s="84"/>
      <c r="D34" s="84"/>
      <c r="E34" s="84"/>
      <c r="F34"/>
      <c r="G34" s="93" t="s">
        <v>407</v>
      </c>
      <c r="H34" s="107">
        <f>SUM(G33)</f>
        <v>48.75</v>
      </c>
      <c r="I34" s="71"/>
    </row>
    <row r="35" spans="1:9" s="65" customFormat="1">
      <c r="A35" s="72" t="s">
        <v>408</v>
      </c>
      <c r="B35" s="73"/>
      <c r="C35" s="73"/>
      <c r="D35" s="73"/>
      <c r="E35" s="73"/>
      <c r="F35"/>
      <c r="G35" s="74"/>
      <c r="H35" s="108"/>
      <c r="I35" s="71"/>
    </row>
    <row r="36" spans="1:9" s="65" customFormat="1">
      <c r="A36" s="75" t="s">
        <v>391</v>
      </c>
      <c r="B36" s="76" t="s">
        <v>392</v>
      </c>
      <c r="C36" s="76" t="s">
        <v>393</v>
      </c>
      <c r="D36" s="76" t="s">
        <v>394</v>
      </c>
      <c r="E36" s="76" t="s">
        <v>395</v>
      </c>
      <c r="F36" s="76" t="s">
        <v>396</v>
      </c>
      <c r="G36" s="76" t="s">
        <v>397</v>
      </c>
      <c r="H36" s="108"/>
      <c r="I36" s="71"/>
    </row>
    <row r="37" spans="1:9" s="65" customFormat="1">
      <c r="A37" s="109">
        <v>1596</v>
      </c>
      <c r="B37" s="78" t="s">
        <v>417</v>
      </c>
      <c r="C37" s="79" t="s">
        <v>157</v>
      </c>
      <c r="D37" s="106">
        <v>3500</v>
      </c>
      <c r="E37" s="79">
        <v>0.11</v>
      </c>
      <c r="F37" s="79">
        <v>0</v>
      </c>
      <c r="G37" s="106">
        <f>(D37*E37)+((D37*E37)*F37/100)</f>
        <v>385</v>
      </c>
      <c r="H37" s="108"/>
      <c r="I37" s="71"/>
    </row>
    <row r="38" spans="1:9" s="65" customFormat="1">
      <c r="A38" s="110">
        <v>2294</v>
      </c>
      <c r="B38" s="78" t="s">
        <v>418</v>
      </c>
      <c r="C38" s="79" t="s">
        <v>419</v>
      </c>
      <c r="D38" s="106">
        <v>2000</v>
      </c>
      <c r="E38" s="79">
        <v>0.02</v>
      </c>
      <c r="F38" s="79">
        <v>0</v>
      </c>
      <c r="G38" s="106">
        <f>(D38*E38)+((D38*E38)*F38/100)</f>
        <v>40</v>
      </c>
      <c r="H38" s="108"/>
      <c r="I38" s="71"/>
    </row>
    <row r="39" spans="1:9" s="65" customFormat="1">
      <c r="A39" s="111">
        <v>3843</v>
      </c>
      <c r="B39" s="112" t="s">
        <v>420</v>
      </c>
      <c r="C39" s="88" t="s">
        <v>421</v>
      </c>
      <c r="D39" s="113">
        <v>2500</v>
      </c>
      <c r="E39" s="88">
        <v>0.06</v>
      </c>
      <c r="F39" s="79">
        <v>0</v>
      </c>
      <c r="G39" s="106">
        <f>(D39*E39)+((D39*E39)*F39/100)</f>
        <v>150</v>
      </c>
      <c r="H39" s="108"/>
      <c r="I39" s="71"/>
    </row>
    <row r="40" spans="1:9" s="65" customFormat="1">
      <c r="A40" s="111">
        <v>3891</v>
      </c>
      <c r="B40" s="112" t="s">
        <v>422</v>
      </c>
      <c r="C40" s="88" t="s">
        <v>423</v>
      </c>
      <c r="D40" s="113">
        <v>7000</v>
      </c>
      <c r="E40" s="88">
        <v>5.0000000000000001E-3</v>
      </c>
      <c r="F40" s="79">
        <v>0</v>
      </c>
      <c r="G40" s="106">
        <f>(D40*E40)+((D40*E40)*F40/100)</f>
        <v>35</v>
      </c>
      <c r="H40" s="108"/>
      <c r="I40" s="71"/>
    </row>
    <row r="41" spans="1:9" s="65" customFormat="1">
      <c r="A41" s="90"/>
      <c r="B41" s="91"/>
      <c r="C41" s="91"/>
      <c r="D41" s="91"/>
      <c r="E41" s="91"/>
      <c r="F41"/>
      <c r="G41" s="93" t="s">
        <v>407</v>
      </c>
      <c r="H41" s="107">
        <f>SUM(G37:G40)</f>
        <v>610</v>
      </c>
      <c r="I41" s="71"/>
    </row>
    <row r="42" spans="1:9" s="65" customFormat="1">
      <c r="A42" s="72" t="s">
        <v>410</v>
      </c>
      <c r="B42" s="73"/>
      <c r="C42" s="73"/>
      <c r="D42" s="73"/>
      <c r="E42" s="73"/>
      <c r="F42"/>
      <c r="G42" s="74"/>
      <c r="H42" s="108"/>
      <c r="I42" s="71"/>
    </row>
    <row r="43" spans="1:9" s="65" customFormat="1">
      <c r="A43" s="75" t="s">
        <v>391</v>
      </c>
      <c r="B43" s="76" t="s">
        <v>392</v>
      </c>
      <c r="C43" s="76" t="s">
        <v>393</v>
      </c>
      <c r="D43" s="76" t="s">
        <v>394</v>
      </c>
      <c r="E43" s="76" t="s">
        <v>395</v>
      </c>
      <c r="F43" s="76" t="s">
        <v>396</v>
      </c>
      <c r="G43" s="76" t="s">
        <v>397</v>
      </c>
      <c r="H43" s="108"/>
      <c r="I43" s="71"/>
    </row>
    <row r="44" spans="1:9" s="65" customFormat="1" ht="25.5">
      <c r="A44" s="109" t="s">
        <v>424</v>
      </c>
      <c r="B44" s="78" t="s">
        <v>425</v>
      </c>
      <c r="C44" s="79" t="s">
        <v>426</v>
      </c>
      <c r="D44" s="106">
        <v>20616</v>
      </c>
      <c r="E44" s="79">
        <v>4.4999999999999998E-2</v>
      </c>
      <c r="F44" s="79">
        <v>0</v>
      </c>
      <c r="G44" s="106">
        <f>(D44*E44)+((D44*E44)*F44/100)</f>
        <v>927.71999999999991</v>
      </c>
      <c r="H44" s="108"/>
      <c r="I44" s="71"/>
    </row>
    <row r="45" spans="1:9" s="65" customFormat="1" ht="25.5">
      <c r="A45" s="110" t="s">
        <v>427</v>
      </c>
      <c r="B45" s="78" t="s">
        <v>428</v>
      </c>
      <c r="C45" s="79" t="s">
        <v>426</v>
      </c>
      <c r="D45" s="106">
        <v>44127</v>
      </c>
      <c r="E45" s="79">
        <v>3.1E-2</v>
      </c>
      <c r="F45" s="79">
        <v>0</v>
      </c>
      <c r="G45" s="106">
        <f>(D45*E45)+((D45*E45)*F45/100)</f>
        <v>1367.9369999999999</v>
      </c>
      <c r="H45" s="108"/>
      <c r="I45" s="71"/>
    </row>
    <row r="46" spans="1:9" s="65" customFormat="1">
      <c r="A46" s="90"/>
      <c r="B46" s="91"/>
      <c r="C46" s="91"/>
      <c r="D46" s="91"/>
      <c r="E46" s="91"/>
      <c r="F46"/>
      <c r="G46" s="93" t="s">
        <v>407</v>
      </c>
      <c r="H46" s="107">
        <f>SUM(G44:G45)</f>
        <v>2295.6569999999997</v>
      </c>
      <c r="I46" s="71"/>
    </row>
    <row r="47" spans="1:9" s="65" customFormat="1">
      <c r="A47" s="72" t="s">
        <v>411</v>
      </c>
      <c r="B47" s="73"/>
      <c r="C47" s="73"/>
      <c r="D47" s="73"/>
      <c r="E47" s="73"/>
      <c r="F47"/>
      <c r="G47" s="74"/>
      <c r="H47" s="108"/>
      <c r="I47" s="71"/>
    </row>
    <row r="48" spans="1:9" s="65" customFormat="1">
      <c r="A48" s="75" t="s">
        <v>391</v>
      </c>
      <c r="B48" s="76" t="s">
        <v>392</v>
      </c>
      <c r="C48" s="76" t="s">
        <v>393</v>
      </c>
      <c r="D48" s="76" t="s">
        <v>394</v>
      </c>
      <c r="E48" s="76" t="s">
        <v>395</v>
      </c>
      <c r="F48" s="76" t="s">
        <v>396</v>
      </c>
      <c r="G48" s="76" t="s">
        <v>397</v>
      </c>
      <c r="H48" s="108"/>
      <c r="I48" s="71"/>
    </row>
    <row r="49" spans="1:11" s="65" customFormat="1">
      <c r="A49" s="87" t="s">
        <v>409</v>
      </c>
      <c r="B49" s="114" t="s">
        <v>409</v>
      </c>
      <c r="C49" s="114" t="s">
        <v>409</v>
      </c>
      <c r="D49" s="114" t="s">
        <v>409</v>
      </c>
      <c r="E49" s="114" t="s">
        <v>409</v>
      </c>
      <c r="F49" s="79" t="s">
        <v>409</v>
      </c>
      <c r="G49" s="89" t="s">
        <v>409</v>
      </c>
      <c r="H49" s="108"/>
      <c r="I49" s="71"/>
    </row>
    <row r="50" spans="1:11" s="65" customFormat="1">
      <c r="A50" s="94"/>
      <c r="B50" s="95"/>
      <c r="C50" s="95"/>
      <c r="D50" s="95"/>
      <c r="E50" s="95"/>
      <c r="F50"/>
      <c r="G50" s="93" t="s">
        <v>407</v>
      </c>
      <c r="H50" s="107">
        <f>SUM(G48:G49)</f>
        <v>0</v>
      </c>
      <c r="I50" s="71"/>
    </row>
    <row r="51" spans="1:11" s="65" customFormat="1">
      <c r="A51" s="94"/>
      <c r="B51" s="95"/>
      <c r="C51" s="95"/>
      <c r="D51" s="95"/>
      <c r="E51" s="95"/>
      <c r="F51"/>
      <c r="G51" s="74"/>
      <c r="H51" s="74"/>
      <c r="I51" s="71"/>
    </row>
    <row r="52" spans="1:11" s="65" customFormat="1">
      <c r="A52" s="96"/>
      <c r="B52" s="97"/>
      <c r="C52" s="98"/>
      <c r="D52" s="98"/>
      <c r="E52" s="98"/>
      <c r="F52"/>
      <c r="G52" s="99" t="s">
        <v>412</v>
      </c>
      <c r="H52" s="115">
        <f>SUM(H34:H50)</f>
        <v>2954.4069999999997</v>
      </c>
      <c r="I52" s="71"/>
    </row>
    <row r="53" spans="1:11" s="65" customFormat="1">
      <c r="A53" s="96"/>
      <c r="B53" s="97"/>
      <c r="C53" s="98"/>
      <c r="D53" s="98"/>
      <c r="E53" s="98"/>
      <c r="F53" s="101"/>
      <c r="G53" s="116"/>
      <c r="H53" s="70"/>
      <c r="I53" s="71"/>
      <c r="K53" s="65" t="s">
        <v>413</v>
      </c>
    </row>
    <row r="54" spans="1:11" s="65" customFormat="1" ht="15.75" thickBot="1">
      <c r="A54" s="624" t="s">
        <v>414</v>
      </c>
      <c r="B54" s="625"/>
      <c r="C54" s="625"/>
      <c r="D54" s="625"/>
      <c r="E54" s="625"/>
      <c r="F54" s="625"/>
      <c r="G54" s="626"/>
      <c r="H54" s="117">
        <f>+ROUND(H52,0)</f>
        <v>2954</v>
      </c>
      <c r="I54" s="103"/>
      <c r="K54" s="65">
        <f>2710*1.1</f>
        <v>2981.0000000000005</v>
      </c>
    </row>
    <row r="55" spans="1:11" s="65" customFormat="1">
      <c r="A55" s="118"/>
      <c r="B55" s="118"/>
      <c r="C55" s="118"/>
      <c r="D55" s="118"/>
      <c r="E55" s="118"/>
      <c r="F55" s="118"/>
      <c r="G55" s="118"/>
      <c r="H55" s="119"/>
      <c r="I55" s="70"/>
    </row>
    <row r="56" spans="1:11" s="65" customFormat="1" ht="15.75" thickBot="1">
      <c r="A56" s="120"/>
      <c r="B56" s="73"/>
      <c r="C56" s="73"/>
      <c r="D56" s="73"/>
      <c r="E56" s="73"/>
      <c r="G56" s="121"/>
      <c r="H56" s="122"/>
    </row>
    <row r="57" spans="1:11" s="65" customFormat="1">
      <c r="A57" s="627"/>
      <c r="B57" s="629" t="s">
        <v>429</v>
      </c>
      <c r="C57" s="630"/>
      <c r="D57" s="630"/>
      <c r="E57" s="630"/>
      <c r="F57" s="630"/>
      <c r="G57" s="630"/>
      <c r="H57" s="630"/>
      <c r="I57" s="66" t="s">
        <v>389</v>
      </c>
    </row>
    <row r="58" spans="1:11" s="65" customFormat="1">
      <c r="A58" s="628"/>
      <c r="B58" s="631"/>
      <c r="C58" s="632"/>
      <c r="D58" s="632"/>
      <c r="E58" s="632"/>
      <c r="F58" s="632"/>
      <c r="G58" s="632"/>
      <c r="H58" s="632"/>
      <c r="I58" s="67" t="s">
        <v>8</v>
      </c>
    </row>
    <row r="59" spans="1:11" s="65" customFormat="1">
      <c r="A59" s="68"/>
      <c r="B59" s="69"/>
      <c r="C59" s="69"/>
      <c r="D59" s="69"/>
      <c r="E59" s="69"/>
      <c r="F59" s="70"/>
      <c r="G59" s="70"/>
      <c r="H59" s="70"/>
      <c r="I59" s="71"/>
    </row>
    <row r="60" spans="1:11" s="65" customFormat="1">
      <c r="A60" s="72" t="s">
        <v>390</v>
      </c>
      <c r="B60" s="73"/>
      <c r="C60" s="73"/>
      <c r="D60" s="73"/>
      <c r="E60" s="73"/>
      <c r="F60" s="74"/>
      <c r="G60" s="74"/>
      <c r="H60" s="70"/>
      <c r="I60" s="71"/>
    </row>
    <row r="61" spans="1:11" s="65" customFormat="1">
      <c r="A61" s="75" t="s">
        <v>391</v>
      </c>
      <c r="B61" s="76" t="s">
        <v>392</v>
      </c>
      <c r="C61" s="76" t="s">
        <v>393</v>
      </c>
      <c r="D61" s="76" t="s">
        <v>394</v>
      </c>
      <c r="E61" s="76" t="s">
        <v>395</v>
      </c>
      <c r="F61" s="76" t="s">
        <v>396</v>
      </c>
      <c r="G61" s="76" t="s">
        <v>397</v>
      </c>
      <c r="H61" s="74"/>
      <c r="I61" s="71"/>
    </row>
    <row r="62" spans="1:11" s="65" customFormat="1">
      <c r="A62" s="77" t="s">
        <v>404</v>
      </c>
      <c r="B62" s="78" t="s">
        <v>416</v>
      </c>
      <c r="C62" s="79" t="s">
        <v>406</v>
      </c>
      <c r="D62" s="107">
        <v>1250</v>
      </c>
      <c r="E62" s="79">
        <v>0.2</v>
      </c>
      <c r="F62" s="79">
        <v>0</v>
      </c>
      <c r="G62" s="107">
        <f>(D62*E62)+((D62*E62)*F62/100)</f>
        <v>250</v>
      </c>
      <c r="H62" s="74"/>
      <c r="I62" s="71"/>
    </row>
    <row r="63" spans="1:11" s="65" customFormat="1">
      <c r="A63" s="82"/>
      <c r="B63" s="83"/>
      <c r="C63" s="84"/>
      <c r="D63" s="84"/>
      <c r="E63" s="84"/>
      <c r="F63"/>
      <c r="G63" s="93" t="s">
        <v>407</v>
      </c>
      <c r="H63" s="107">
        <f>SUM(G62)</f>
        <v>250</v>
      </c>
      <c r="I63" s="71"/>
    </row>
    <row r="64" spans="1:11" s="65" customFormat="1">
      <c r="A64" s="72" t="s">
        <v>408</v>
      </c>
      <c r="B64" s="73"/>
      <c r="C64" s="73"/>
      <c r="D64" s="73"/>
      <c r="E64" s="73"/>
      <c r="F64"/>
      <c r="G64" s="74"/>
      <c r="H64" s="108"/>
      <c r="I64" s="71"/>
    </row>
    <row r="65" spans="1:9" s="65" customFormat="1">
      <c r="A65" s="75" t="s">
        <v>391</v>
      </c>
      <c r="B65" s="76" t="s">
        <v>392</v>
      </c>
      <c r="C65" s="76" t="s">
        <v>393</v>
      </c>
      <c r="D65" s="76" t="s">
        <v>394</v>
      </c>
      <c r="E65" s="76" t="s">
        <v>395</v>
      </c>
      <c r="F65" s="76" t="s">
        <v>396</v>
      </c>
      <c r="G65" s="76" t="s">
        <v>397</v>
      </c>
      <c r="H65" s="108"/>
      <c r="I65" s="71"/>
    </row>
    <row r="66" spans="1:9" s="65" customFormat="1">
      <c r="A66" s="109">
        <v>1596</v>
      </c>
      <c r="B66" s="78" t="s">
        <v>417</v>
      </c>
      <c r="C66" s="79" t="s">
        <v>157</v>
      </c>
      <c r="D66" s="106">
        <v>3500</v>
      </c>
      <c r="E66" s="79">
        <v>0.05</v>
      </c>
      <c r="F66" s="79">
        <v>0</v>
      </c>
      <c r="G66" s="107">
        <f>(D66*E66)+((D66*E66)*F66/100)</f>
        <v>175</v>
      </c>
      <c r="H66" s="108"/>
      <c r="I66" s="71"/>
    </row>
    <row r="67" spans="1:9" s="65" customFormat="1">
      <c r="A67" s="110">
        <v>2294</v>
      </c>
      <c r="B67" s="78" t="s">
        <v>418</v>
      </c>
      <c r="C67" s="79" t="s">
        <v>419</v>
      </c>
      <c r="D67" s="106">
        <v>2000</v>
      </c>
      <c r="E67" s="79">
        <v>0.01</v>
      </c>
      <c r="F67" s="79">
        <v>0</v>
      </c>
      <c r="G67" s="107">
        <f>(D67*E67)+((D67*E67)*F67/100)</f>
        <v>20</v>
      </c>
      <c r="H67" s="108"/>
      <c r="I67" s="71"/>
    </row>
    <row r="68" spans="1:9" s="65" customFormat="1">
      <c r="A68" s="111">
        <v>3843</v>
      </c>
      <c r="B68" s="112" t="s">
        <v>420</v>
      </c>
      <c r="C68" s="88" t="s">
        <v>421</v>
      </c>
      <c r="D68" s="113">
        <v>2500</v>
      </c>
      <c r="E68" s="88">
        <v>0.01</v>
      </c>
      <c r="F68" s="79">
        <v>0</v>
      </c>
      <c r="G68" s="107">
        <f>(D68*E68)+((D68*E68)*F68/100)</f>
        <v>25</v>
      </c>
      <c r="H68" s="108"/>
      <c r="I68" s="71"/>
    </row>
    <row r="69" spans="1:9" s="65" customFormat="1">
      <c r="A69" s="90"/>
      <c r="B69" s="91"/>
      <c r="C69" s="91"/>
      <c r="D69" s="91"/>
      <c r="E69" s="91"/>
      <c r="F69"/>
      <c r="G69" s="93" t="s">
        <v>407</v>
      </c>
      <c r="H69" s="107">
        <f>SUM(G66:G68)</f>
        <v>220</v>
      </c>
      <c r="I69" s="71"/>
    </row>
    <row r="70" spans="1:9" s="65" customFormat="1">
      <c r="A70" s="72" t="s">
        <v>410</v>
      </c>
      <c r="B70" s="73"/>
      <c r="C70" s="73"/>
      <c r="D70" s="73"/>
      <c r="E70" s="73"/>
      <c r="F70"/>
      <c r="G70" s="74"/>
      <c r="H70" s="108"/>
      <c r="I70" s="71"/>
    </row>
    <row r="71" spans="1:9" s="65" customFormat="1">
      <c r="A71" s="75" t="s">
        <v>391</v>
      </c>
      <c r="B71" s="76" t="s">
        <v>392</v>
      </c>
      <c r="C71" s="76" t="s">
        <v>393</v>
      </c>
      <c r="D71" s="76" t="s">
        <v>394</v>
      </c>
      <c r="E71" s="76" t="s">
        <v>395</v>
      </c>
      <c r="F71" s="76" t="s">
        <v>396</v>
      </c>
      <c r="G71" s="76" t="s">
        <v>397</v>
      </c>
      <c r="H71" s="108"/>
      <c r="I71" s="71"/>
    </row>
    <row r="72" spans="1:9" s="65" customFormat="1" ht="25.5">
      <c r="A72" s="109" t="s">
        <v>424</v>
      </c>
      <c r="B72" s="78" t="s">
        <v>425</v>
      </c>
      <c r="C72" s="79" t="s">
        <v>426</v>
      </c>
      <c r="D72" s="113">
        <v>20616</v>
      </c>
      <c r="E72" s="79">
        <v>1.4999999999999999E-2</v>
      </c>
      <c r="F72" s="79">
        <v>0</v>
      </c>
      <c r="G72" s="113">
        <f>(D72*E72)+((D72*E72)*F72/100)</f>
        <v>309.24</v>
      </c>
      <c r="H72" s="108"/>
      <c r="I72" s="71"/>
    </row>
    <row r="73" spans="1:9" s="65" customFormat="1" ht="25.5">
      <c r="A73" s="110" t="s">
        <v>427</v>
      </c>
      <c r="B73" s="78" t="s">
        <v>428</v>
      </c>
      <c r="C73" s="79" t="s">
        <v>426</v>
      </c>
      <c r="D73" s="113">
        <v>44127</v>
      </c>
      <c r="E73" s="79">
        <v>1.4999999999999999E-2</v>
      </c>
      <c r="F73" s="79">
        <v>0</v>
      </c>
      <c r="G73" s="113">
        <f>(D73*E73)+((D73*E73)*F73/100)</f>
        <v>661.90499999999997</v>
      </c>
      <c r="H73" s="108"/>
      <c r="I73" s="71"/>
    </row>
    <row r="74" spans="1:9" s="65" customFormat="1">
      <c r="A74" s="90"/>
      <c r="B74" s="91"/>
      <c r="C74" s="91"/>
      <c r="D74" s="91"/>
      <c r="E74" s="91"/>
      <c r="F74"/>
      <c r="G74" s="93" t="s">
        <v>407</v>
      </c>
      <c r="H74" s="107">
        <f>SUM(G72:G73)</f>
        <v>971.14499999999998</v>
      </c>
      <c r="I74" s="71"/>
    </row>
    <row r="75" spans="1:9" s="65" customFormat="1">
      <c r="A75" s="72" t="s">
        <v>411</v>
      </c>
      <c r="B75" s="73"/>
      <c r="C75" s="73"/>
      <c r="D75" s="73"/>
      <c r="E75" s="73"/>
      <c r="F75"/>
      <c r="G75" s="74"/>
      <c r="H75" s="108"/>
      <c r="I75" s="71"/>
    </row>
    <row r="76" spans="1:9" s="65" customFormat="1">
      <c r="A76" s="75" t="s">
        <v>391</v>
      </c>
      <c r="B76" s="76" t="s">
        <v>392</v>
      </c>
      <c r="C76" s="76" t="s">
        <v>393</v>
      </c>
      <c r="D76" s="76" t="s">
        <v>394</v>
      </c>
      <c r="E76" s="76" t="s">
        <v>395</v>
      </c>
      <c r="F76" s="76" t="s">
        <v>396</v>
      </c>
      <c r="G76" s="76" t="s">
        <v>397</v>
      </c>
      <c r="H76" s="108"/>
      <c r="I76" s="71"/>
    </row>
    <row r="77" spans="1:9" s="65" customFormat="1">
      <c r="A77" s="87" t="s">
        <v>409</v>
      </c>
      <c r="B77" s="114" t="s">
        <v>409</v>
      </c>
      <c r="C77" s="114" t="s">
        <v>409</v>
      </c>
      <c r="D77" s="114" t="s">
        <v>409</v>
      </c>
      <c r="E77" s="114" t="s">
        <v>409</v>
      </c>
      <c r="F77" s="79" t="s">
        <v>409</v>
      </c>
      <c r="G77" s="89" t="s">
        <v>409</v>
      </c>
      <c r="H77" s="108"/>
      <c r="I77" s="71"/>
    </row>
    <row r="78" spans="1:9" s="65" customFormat="1">
      <c r="A78" s="94"/>
      <c r="B78" s="95"/>
      <c r="C78" s="95"/>
      <c r="D78" s="95"/>
      <c r="E78" s="95"/>
      <c r="F78"/>
      <c r="G78" s="93" t="s">
        <v>407</v>
      </c>
      <c r="H78" s="107">
        <f>SUM(G76:G77)</f>
        <v>0</v>
      </c>
      <c r="I78" s="71"/>
    </row>
    <row r="79" spans="1:9" s="65" customFormat="1">
      <c r="A79" s="94"/>
      <c r="B79" s="95"/>
      <c r="C79" s="95"/>
      <c r="D79" s="95"/>
      <c r="E79" s="95"/>
      <c r="F79"/>
      <c r="G79" s="74"/>
      <c r="H79" s="74"/>
      <c r="I79" s="71"/>
    </row>
    <row r="80" spans="1:9" s="65" customFormat="1">
      <c r="A80" s="96"/>
      <c r="B80" s="97"/>
      <c r="C80" s="98"/>
      <c r="D80" s="98"/>
      <c r="E80" s="98"/>
      <c r="F80"/>
      <c r="G80" s="99" t="s">
        <v>412</v>
      </c>
      <c r="H80" s="115">
        <f>SUM(H63:H78)</f>
        <v>1441.145</v>
      </c>
      <c r="I80" s="71"/>
    </row>
    <row r="81" spans="1:11" s="65" customFormat="1">
      <c r="A81" s="96"/>
      <c r="B81" s="97"/>
      <c r="C81" s="98"/>
      <c r="D81" s="98"/>
      <c r="E81" s="98"/>
      <c r="F81" s="101"/>
      <c r="G81" s="116"/>
      <c r="H81" s="70"/>
      <c r="I81" s="71"/>
      <c r="K81" s="65" t="s">
        <v>413</v>
      </c>
    </row>
    <row r="82" spans="1:11" s="65" customFormat="1" ht="15.75" thickBot="1">
      <c r="A82" s="624" t="s">
        <v>430</v>
      </c>
      <c r="B82" s="625"/>
      <c r="C82" s="625"/>
      <c r="D82" s="625"/>
      <c r="E82" s="625"/>
      <c r="F82" s="625"/>
      <c r="G82" s="626"/>
      <c r="H82" s="117">
        <f>+ROUND(H80,0)</f>
        <v>1441</v>
      </c>
      <c r="I82" s="103"/>
      <c r="K82" s="65">
        <f>1300*1.1</f>
        <v>1430.0000000000002</v>
      </c>
    </row>
    <row r="83" spans="1:11" s="65" customFormat="1">
      <c r="A83" s="123"/>
      <c r="B83" s="95"/>
      <c r="C83" s="95"/>
      <c r="D83" s="95"/>
      <c r="E83" s="95"/>
      <c r="G83" s="104"/>
      <c r="H83" s="105"/>
    </row>
    <row r="84" spans="1:11" s="65" customFormat="1" ht="15.75" thickBot="1">
      <c r="A84" s="123"/>
      <c r="B84" s="95"/>
      <c r="C84" s="95"/>
      <c r="D84" s="95"/>
      <c r="E84" s="95"/>
      <c r="G84" s="121"/>
      <c r="H84" s="124"/>
    </row>
    <row r="85" spans="1:11" s="65" customFormat="1">
      <c r="A85" s="627"/>
      <c r="B85" s="629" t="s">
        <v>431</v>
      </c>
      <c r="C85" s="630"/>
      <c r="D85" s="630"/>
      <c r="E85" s="630"/>
      <c r="F85" s="630"/>
      <c r="G85" s="630"/>
      <c r="H85" s="630"/>
      <c r="I85" s="66" t="s">
        <v>389</v>
      </c>
    </row>
    <row r="86" spans="1:11" s="65" customFormat="1">
      <c r="A86" s="628"/>
      <c r="B86" s="631"/>
      <c r="C86" s="632"/>
      <c r="D86" s="632"/>
      <c r="E86" s="632"/>
      <c r="F86" s="632"/>
      <c r="G86" s="632"/>
      <c r="H86" s="632"/>
      <c r="I86" s="67" t="s">
        <v>432</v>
      </c>
    </row>
    <row r="87" spans="1:11" s="65" customFormat="1">
      <c r="A87" s="68"/>
      <c r="B87" s="69"/>
      <c r="C87" s="69"/>
      <c r="D87" s="69"/>
      <c r="E87" s="69"/>
      <c r="F87" s="70"/>
      <c r="G87" s="70"/>
      <c r="H87" s="70"/>
      <c r="I87" s="71"/>
    </row>
    <row r="88" spans="1:11" s="65" customFormat="1">
      <c r="A88" s="72" t="s">
        <v>390</v>
      </c>
      <c r="B88" s="73"/>
      <c r="C88" s="73"/>
      <c r="D88" s="73"/>
      <c r="E88" s="73"/>
      <c r="F88" s="74"/>
      <c r="G88" s="74"/>
      <c r="H88" s="70"/>
      <c r="I88" s="71"/>
    </row>
    <row r="89" spans="1:11" s="65" customFormat="1">
      <c r="A89" s="75" t="s">
        <v>391</v>
      </c>
      <c r="B89" s="76" t="s">
        <v>392</v>
      </c>
      <c r="C89" s="76" t="s">
        <v>393</v>
      </c>
      <c r="D89" s="76" t="s">
        <v>394</v>
      </c>
      <c r="E89" s="76" t="s">
        <v>395</v>
      </c>
      <c r="F89" s="76" t="s">
        <v>396</v>
      </c>
      <c r="G89" s="76" t="s">
        <v>397</v>
      </c>
      <c r="H89" s="74"/>
      <c r="I89" s="71"/>
    </row>
    <row r="90" spans="1:11" s="65" customFormat="1">
      <c r="A90" s="77" t="s">
        <v>433</v>
      </c>
      <c r="B90" s="78" t="s">
        <v>434</v>
      </c>
      <c r="C90" s="79" t="s">
        <v>403</v>
      </c>
      <c r="D90" s="107">
        <v>84000</v>
      </c>
      <c r="E90" s="79">
        <v>4.2000000000000003E-2</v>
      </c>
      <c r="F90" s="79">
        <v>0</v>
      </c>
      <c r="G90" s="107">
        <f>(D90*E90)+((D90*E90)*F90/100)</f>
        <v>3528</v>
      </c>
      <c r="H90" s="74"/>
      <c r="I90" s="71"/>
    </row>
    <row r="91" spans="1:11" s="65" customFormat="1">
      <c r="A91" s="77" t="s">
        <v>404</v>
      </c>
      <c r="B91" s="78" t="s">
        <v>416</v>
      </c>
      <c r="C91" s="79" t="s">
        <v>406</v>
      </c>
      <c r="D91" s="107">
        <v>1250</v>
      </c>
      <c r="E91" s="79">
        <v>0.2</v>
      </c>
      <c r="F91" s="79">
        <v>0</v>
      </c>
      <c r="G91" s="107">
        <f>(D91*E91)+((D91*E91)*F91/100)</f>
        <v>250</v>
      </c>
      <c r="H91" s="74"/>
      <c r="I91" s="71"/>
    </row>
    <row r="92" spans="1:11" s="65" customFormat="1">
      <c r="A92" s="79" t="s">
        <v>435</v>
      </c>
      <c r="B92" s="78" t="s">
        <v>436</v>
      </c>
      <c r="C92" s="79" t="s">
        <v>437</v>
      </c>
      <c r="D92" s="107">
        <v>35000</v>
      </c>
      <c r="E92" s="79">
        <v>0.08</v>
      </c>
      <c r="F92" s="79">
        <v>0</v>
      </c>
      <c r="G92" s="107">
        <f>(D92*E92)+((D92*E92)*F92/100)</f>
        <v>2800</v>
      </c>
      <c r="H92" s="74"/>
      <c r="I92" s="71"/>
    </row>
    <row r="93" spans="1:11" s="65" customFormat="1">
      <c r="A93" s="82"/>
      <c r="B93" s="83"/>
      <c r="C93" s="84"/>
      <c r="D93" s="84"/>
      <c r="E93" s="84"/>
      <c r="F93"/>
      <c r="G93" s="93" t="s">
        <v>407</v>
      </c>
      <c r="H93" s="107">
        <f>SUM(G90:G92)</f>
        <v>6578</v>
      </c>
      <c r="I93" s="71"/>
    </row>
    <row r="94" spans="1:11" s="65" customFormat="1">
      <c r="A94" s="72" t="s">
        <v>408</v>
      </c>
      <c r="B94" s="73"/>
      <c r="C94" s="73"/>
      <c r="D94" s="73"/>
      <c r="E94" s="73"/>
      <c r="F94"/>
      <c r="G94" s="74"/>
      <c r="H94" s="108"/>
      <c r="I94" s="71"/>
    </row>
    <row r="95" spans="1:11" s="65" customFormat="1">
      <c r="A95" s="75" t="s">
        <v>391</v>
      </c>
      <c r="B95" s="76" t="s">
        <v>392</v>
      </c>
      <c r="C95" s="76" t="s">
        <v>393</v>
      </c>
      <c r="D95" s="76" t="s">
        <v>394</v>
      </c>
      <c r="E95" s="76" t="s">
        <v>395</v>
      </c>
      <c r="F95" s="76" t="s">
        <v>396</v>
      </c>
      <c r="G95" s="76" t="s">
        <v>397</v>
      </c>
      <c r="H95" s="108"/>
      <c r="I95" s="71"/>
    </row>
    <row r="96" spans="1:11" s="65" customFormat="1">
      <c r="A96" s="87" t="s">
        <v>409</v>
      </c>
      <c r="B96" s="114" t="s">
        <v>409</v>
      </c>
      <c r="C96" s="114" t="s">
        <v>409</v>
      </c>
      <c r="D96" s="114" t="s">
        <v>409</v>
      </c>
      <c r="E96" s="114" t="s">
        <v>409</v>
      </c>
      <c r="F96" s="79" t="s">
        <v>409</v>
      </c>
      <c r="G96" s="89" t="s">
        <v>409</v>
      </c>
      <c r="H96" s="108"/>
      <c r="I96" s="71"/>
    </row>
    <row r="97" spans="1:11" s="65" customFormat="1" ht="15.75" customHeight="1">
      <c r="A97" s="90"/>
      <c r="B97" s="91"/>
      <c r="C97" s="91"/>
      <c r="D97" s="91"/>
      <c r="E97" s="91"/>
      <c r="F97"/>
      <c r="G97" s="93" t="s">
        <v>407</v>
      </c>
      <c r="H97" s="107">
        <f>SUM(G96:G96)</f>
        <v>0</v>
      </c>
      <c r="I97" s="71"/>
    </row>
    <row r="98" spans="1:11" s="65" customFormat="1">
      <c r="A98" s="72" t="s">
        <v>410</v>
      </c>
      <c r="B98" s="73"/>
      <c r="C98" s="73"/>
      <c r="D98" s="73"/>
      <c r="E98" s="73"/>
      <c r="F98"/>
      <c r="G98" s="74"/>
      <c r="H98" s="108"/>
      <c r="I98" s="71"/>
    </row>
    <row r="99" spans="1:11" s="65" customFormat="1">
      <c r="A99" s="75" t="s">
        <v>391</v>
      </c>
      <c r="B99" s="76" t="s">
        <v>392</v>
      </c>
      <c r="C99" s="76" t="s">
        <v>393</v>
      </c>
      <c r="D99" s="76" t="s">
        <v>394</v>
      </c>
      <c r="E99" s="76" t="s">
        <v>395</v>
      </c>
      <c r="F99" s="76" t="s">
        <v>396</v>
      </c>
      <c r="G99" s="76" t="s">
        <v>397</v>
      </c>
      <c r="H99" s="108"/>
      <c r="I99" s="71"/>
    </row>
    <row r="100" spans="1:11" s="65" customFormat="1">
      <c r="A100" s="125" t="s">
        <v>438</v>
      </c>
      <c r="B100" s="126" t="s">
        <v>439</v>
      </c>
      <c r="C100" s="127" t="s">
        <v>426</v>
      </c>
      <c r="D100" s="107">
        <v>5627</v>
      </c>
      <c r="E100" s="79">
        <v>0.4</v>
      </c>
      <c r="F100" s="79">
        <v>0</v>
      </c>
      <c r="G100" s="107">
        <f>(D100*E100)+((D100*E100)*F100/100)</f>
        <v>2250.8000000000002</v>
      </c>
      <c r="H100" s="108"/>
      <c r="I100" s="71"/>
    </row>
    <row r="101" spans="1:11" s="65" customFormat="1">
      <c r="A101" s="90"/>
      <c r="B101" s="91"/>
      <c r="C101" s="91"/>
      <c r="D101" s="91"/>
      <c r="E101" s="91"/>
      <c r="F101"/>
      <c r="G101" s="93" t="s">
        <v>407</v>
      </c>
      <c r="H101" s="107">
        <f>SUM(G100:G100)</f>
        <v>2250.8000000000002</v>
      </c>
      <c r="I101" s="71"/>
    </row>
    <row r="102" spans="1:11" s="65" customFormat="1">
      <c r="A102" s="72" t="s">
        <v>411</v>
      </c>
      <c r="B102" s="73"/>
      <c r="C102" s="73"/>
      <c r="D102" s="73"/>
      <c r="E102" s="73"/>
      <c r="F102"/>
      <c r="G102" s="74"/>
      <c r="H102" s="108"/>
      <c r="I102" s="71"/>
    </row>
    <row r="103" spans="1:11" s="65" customFormat="1">
      <c r="A103" s="75" t="s">
        <v>391</v>
      </c>
      <c r="B103" s="76" t="s">
        <v>392</v>
      </c>
      <c r="C103" s="76" t="s">
        <v>393</v>
      </c>
      <c r="D103" s="76" t="s">
        <v>394</v>
      </c>
      <c r="E103" s="76" t="s">
        <v>395</v>
      </c>
      <c r="F103" s="76" t="s">
        <v>396</v>
      </c>
      <c r="G103" s="76" t="s">
        <v>397</v>
      </c>
      <c r="H103" s="108"/>
      <c r="I103" s="71"/>
    </row>
    <row r="104" spans="1:11" s="65" customFormat="1">
      <c r="A104" s="87" t="s">
        <v>409</v>
      </c>
      <c r="B104" s="114" t="s">
        <v>409</v>
      </c>
      <c r="C104" s="114" t="s">
        <v>409</v>
      </c>
      <c r="D104" s="114" t="s">
        <v>409</v>
      </c>
      <c r="E104" s="114" t="s">
        <v>409</v>
      </c>
      <c r="F104" s="79" t="s">
        <v>409</v>
      </c>
      <c r="G104" s="89" t="s">
        <v>409</v>
      </c>
      <c r="H104" s="108"/>
      <c r="I104" s="71"/>
    </row>
    <row r="105" spans="1:11" s="65" customFormat="1">
      <c r="A105" s="94"/>
      <c r="B105" s="95"/>
      <c r="C105" s="95"/>
      <c r="D105" s="95"/>
      <c r="E105" s="95"/>
      <c r="F105"/>
      <c r="G105" s="93" t="s">
        <v>407</v>
      </c>
      <c r="H105" s="107">
        <f>SUM(G103:G104)</f>
        <v>0</v>
      </c>
      <c r="I105" s="71"/>
    </row>
    <row r="106" spans="1:11" s="65" customFormat="1">
      <c r="A106" s="94"/>
      <c r="B106" s="95"/>
      <c r="C106" s="95"/>
      <c r="D106" s="95"/>
      <c r="E106" s="95"/>
      <c r="F106"/>
      <c r="G106" s="74"/>
      <c r="H106" s="74"/>
      <c r="I106" s="71"/>
    </row>
    <row r="107" spans="1:11" s="65" customFormat="1">
      <c r="A107" s="96"/>
      <c r="B107" s="97"/>
      <c r="C107" s="98"/>
      <c r="D107" s="98"/>
      <c r="E107" s="98"/>
      <c r="F107"/>
      <c r="G107" s="99" t="s">
        <v>412</v>
      </c>
      <c r="H107" s="115">
        <f>SUM(H93:H105)</f>
        <v>8828.7999999999993</v>
      </c>
      <c r="I107" s="71"/>
    </row>
    <row r="108" spans="1:11" s="65" customFormat="1">
      <c r="A108" s="96"/>
      <c r="B108" s="97"/>
      <c r="C108" s="98"/>
      <c r="D108" s="98"/>
      <c r="E108" s="98"/>
      <c r="F108" s="101"/>
      <c r="G108" s="116"/>
      <c r="H108" s="70"/>
      <c r="I108" s="71"/>
      <c r="K108" s="65" t="s">
        <v>440</v>
      </c>
    </row>
    <row r="109" spans="1:11" s="65" customFormat="1" ht="15.75" thickBot="1">
      <c r="A109" s="624" t="s">
        <v>441</v>
      </c>
      <c r="B109" s="625"/>
      <c r="C109" s="625"/>
      <c r="D109" s="625"/>
      <c r="E109" s="625"/>
      <c r="F109" s="625"/>
      <c r="G109" s="626"/>
      <c r="H109" s="117">
        <f>+ROUND(H107,0)</f>
        <v>8829</v>
      </c>
      <c r="I109" s="103"/>
      <c r="K109" s="65">
        <f>8005*1.1</f>
        <v>8805.5</v>
      </c>
    </row>
    <row r="110" spans="1:11" s="65" customFormat="1">
      <c r="A110" s="123"/>
      <c r="B110" s="95"/>
      <c r="C110" s="95"/>
      <c r="D110" s="95"/>
      <c r="E110" s="95"/>
      <c r="G110" s="121"/>
      <c r="H110" s="124"/>
    </row>
    <row r="111" spans="1:11" s="65" customFormat="1" ht="15" customHeight="1" thickBot="1">
      <c r="B111" s="97"/>
      <c r="C111" s="98"/>
      <c r="D111" s="98"/>
      <c r="E111" s="98"/>
      <c r="G111" s="128"/>
      <c r="H111" s="129"/>
    </row>
    <row r="112" spans="1:11" s="65" customFormat="1">
      <c r="A112" s="627"/>
      <c r="B112" s="629" t="s">
        <v>442</v>
      </c>
      <c r="C112" s="630"/>
      <c r="D112" s="630"/>
      <c r="E112" s="630"/>
      <c r="F112" s="630"/>
      <c r="G112" s="630"/>
      <c r="H112" s="630"/>
      <c r="I112" s="66" t="s">
        <v>389</v>
      </c>
    </row>
    <row r="113" spans="1:9" s="65" customFormat="1">
      <c r="A113" s="628"/>
      <c r="B113" s="631"/>
      <c r="C113" s="632"/>
      <c r="D113" s="632"/>
      <c r="E113" s="632"/>
      <c r="F113" s="632"/>
      <c r="G113" s="632"/>
      <c r="H113" s="632"/>
      <c r="I113" s="67" t="s">
        <v>432</v>
      </c>
    </row>
    <row r="114" spans="1:9" s="65" customFormat="1">
      <c r="A114" s="68"/>
      <c r="B114" s="69"/>
      <c r="C114" s="69"/>
      <c r="D114" s="69"/>
      <c r="E114" s="69"/>
      <c r="F114" s="70"/>
      <c r="G114" s="70"/>
      <c r="H114" s="70"/>
      <c r="I114" s="71"/>
    </row>
    <row r="115" spans="1:9" s="65" customFormat="1">
      <c r="A115" s="72" t="s">
        <v>390</v>
      </c>
      <c r="B115" s="73"/>
      <c r="C115" s="73"/>
      <c r="D115" s="73"/>
      <c r="E115" s="73"/>
      <c r="F115" s="74"/>
      <c r="G115" s="74"/>
      <c r="H115" s="70"/>
      <c r="I115" s="71"/>
    </row>
    <row r="116" spans="1:9" s="65" customFormat="1">
      <c r="A116" s="75" t="s">
        <v>391</v>
      </c>
      <c r="B116" s="76" t="s">
        <v>392</v>
      </c>
      <c r="C116" s="76" t="s">
        <v>393</v>
      </c>
      <c r="D116" s="76" t="s">
        <v>394</v>
      </c>
      <c r="E116" s="76" t="s">
        <v>395</v>
      </c>
      <c r="F116" s="76" t="s">
        <v>396</v>
      </c>
      <c r="G116" s="76" t="s">
        <v>397</v>
      </c>
      <c r="H116" s="74"/>
      <c r="I116" s="71"/>
    </row>
    <row r="117" spans="1:9" s="65" customFormat="1">
      <c r="A117" s="77" t="s">
        <v>433</v>
      </c>
      <c r="B117" s="78" t="s">
        <v>434</v>
      </c>
      <c r="C117" s="79" t="s">
        <v>403</v>
      </c>
      <c r="D117" s="107">
        <v>84000</v>
      </c>
      <c r="E117" s="79">
        <v>2.4E-2</v>
      </c>
      <c r="F117" s="79">
        <v>0</v>
      </c>
      <c r="G117" s="107">
        <f>(D117*E117)+((D117*E117)*F117/100)</f>
        <v>2016</v>
      </c>
      <c r="H117" s="74"/>
      <c r="I117" s="71"/>
    </row>
    <row r="118" spans="1:9" s="65" customFormat="1">
      <c r="A118" s="77" t="s">
        <v>398</v>
      </c>
      <c r="B118" s="78" t="s">
        <v>399</v>
      </c>
      <c r="C118" s="79" t="s">
        <v>400</v>
      </c>
      <c r="D118" s="107">
        <v>40600</v>
      </c>
      <c r="E118" s="79">
        <v>0.35</v>
      </c>
      <c r="F118" s="79">
        <v>0</v>
      </c>
      <c r="G118" s="107">
        <f>(D118*E118)+((D118*E118)*F118/100)</f>
        <v>14210</v>
      </c>
      <c r="H118" s="74"/>
      <c r="I118" s="71"/>
    </row>
    <row r="119" spans="1:9" s="65" customFormat="1">
      <c r="A119" s="77"/>
      <c r="B119" s="78"/>
      <c r="C119" s="79"/>
      <c r="D119" s="79"/>
      <c r="E119" s="79"/>
      <c r="F119" s="79"/>
      <c r="G119" s="89"/>
      <c r="H119" s="107">
        <f>SUM(G117:G119)</f>
        <v>16226</v>
      </c>
      <c r="I119" s="71"/>
    </row>
    <row r="120" spans="1:9" s="65" customFormat="1">
      <c r="A120" s="82"/>
      <c r="B120" s="83"/>
      <c r="C120" s="84"/>
      <c r="D120" s="84"/>
      <c r="E120" s="84"/>
      <c r="F120"/>
      <c r="G120" s="93" t="s">
        <v>407</v>
      </c>
      <c r="H120" s="108"/>
      <c r="I120" s="71"/>
    </row>
    <row r="121" spans="1:9" s="65" customFormat="1">
      <c r="A121" s="72" t="s">
        <v>408</v>
      </c>
      <c r="B121" s="73"/>
      <c r="C121" s="73"/>
      <c r="D121" s="73"/>
      <c r="E121" s="73"/>
      <c r="F121"/>
      <c r="G121" s="74"/>
      <c r="H121" s="108"/>
      <c r="I121" s="71"/>
    </row>
    <row r="122" spans="1:9" s="65" customFormat="1">
      <c r="A122" s="75" t="s">
        <v>391</v>
      </c>
      <c r="B122" s="76" t="s">
        <v>392</v>
      </c>
      <c r="C122" s="76" t="s">
        <v>393</v>
      </c>
      <c r="D122" s="76" t="s">
        <v>394</v>
      </c>
      <c r="E122" s="76" t="s">
        <v>395</v>
      </c>
      <c r="F122" s="76" t="s">
        <v>396</v>
      </c>
      <c r="G122" s="76" t="s">
        <v>397</v>
      </c>
      <c r="H122" s="108"/>
      <c r="I122" s="71"/>
    </row>
    <row r="123" spans="1:9" s="65" customFormat="1">
      <c r="A123" s="87" t="s">
        <v>409</v>
      </c>
      <c r="B123" s="114" t="s">
        <v>409</v>
      </c>
      <c r="C123" s="114" t="s">
        <v>409</v>
      </c>
      <c r="D123" s="114" t="s">
        <v>409</v>
      </c>
      <c r="E123" s="114" t="s">
        <v>409</v>
      </c>
      <c r="F123" s="79" t="s">
        <v>409</v>
      </c>
      <c r="G123" s="130" t="s">
        <v>409</v>
      </c>
      <c r="H123" s="107">
        <f>SUM(G123:G123)</f>
        <v>0</v>
      </c>
      <c r="I123" s="71"/>
    </row>
    <row r="124" spans="1:9" s="65" customFormat="1">
      <c r="A124" s="90"/>
      <c r="B124" s="91"/>
      <c r="C124" s="91"/>
      <c r="D124" s="91"/>
      <c r="E124" s="91"/>
      <c r="F124"/>
      <c r="G124" s="93" t="s">
        <v>407</v>
      </c>
      <c r="H124" s="108"/>
      <c r="I124" s="71"/>
    </row>
    <row r="125" spans="1:9" s="65" customFormat="1">
      <c r="A125" s="72" t="s">
        <v>410</v>
      </c>
      <c r="B125" s="73"/>
      <c r="C125" s="73"/>
      <c r="D125" s="73"/>
      <c r="E125" s="73"/>
      <c r="F125"/>
      <c r="G125" s="74"/>
      <c r="H125" s="108"/>
      <c r="I125" s="71"/>
    </row>
    <row r="126" spans="1:9" s="65" customFormat="1">
      <c r="A126" s="75" t="s">
        <v>391</v>
      </c>
      <c r="B126" s="76" t="s">
        <v>392</v>
      </c>
      <c r="C126" s="76" t="s">
        <v>393</v>
      </c>
      <c r="D126" s="76" t="s">
        <v>394</v>
      </c>
      <c r="E126" s="76" t="s">
        <v>395</v>
      </c>
      <c r="F126" s="76" t="s">
        <v>396</v>
      </c>
      <c r="G126" s="76" t="s">
        <v>397</v>
      </c>
      <c r="H126" s="108"/>
      <c r="I126" s="71"/>
    </row>
    <row r="127" spans="1:9" s="65" customFormat="1">
      <c r="A127" s="125"/>
      <c r="B127" s="126"/>
      <c r="C127" s="127"/>
      <c r="D127" s="127"/>
      <c r="E127" s="79"/>
      <c r="F127" s="79"/>
      <c r="G127" s="89"/>
      <c r="H127" s="107"/>
      <c r="I127" s="71"/>
    </row>
    <row r="128" spans="1:9" s="65" customFormat="1">
      <c r="A128" s="90"/>
      <c r="B128" s="91"/>
      <c r="C128" s="91"/>
      <c r="D128" s="91"/>
      <c r="E128" s="91"/>
      <c r="F128"/>
      <c r="G128" s="93" t="s">
        <v>407</v>
      </c>
      <c r="H128" s="108"/>
      <c r="I128" s="71"/>
    </row>
    <row r="129" spans="1:11" s="65" customFormat="1">
      <c r="A129" s="72" t="s">
        <v>411</v>
      </c>
      <c r="B129" s="73"/>
      <c r="C129" s="73"/>
      <c r="D129" s="73"/>
      <c r="E129" s="73"/>
      <c r="F129"/>
      <c r="G129" s="74"/>
      <c r="H129" s="108"/>
      <c r="I129" s="71"/>
    </row>
    <row r="130" spans="1:11" s="65" customFormat="1">
      <c r="A130" s="75" t="s">
        <v>391</v>
      </c>
      <c r="B130" s="76" t="s">
        <v>392</v>
      </c>
      <c r="C130" s="76" t="s">
        <v>393</v>
      </c>
      <c r="D130" s="76" t="s">
        <v>394</v>
      </c>
      <c r="E130" s="76" t="s">
        <v>395</v>
      </c>
      <c r="F130" s="76" t="s">
        <v>396</v>
      </c>
      <c r="G130" s="76" t="s">
        <v>397</v>
      </c>
      <c r="H130" s="108"/>
      <c r="I130" s="71"/>
    </row>
    <row r="131" spans="1:11" s="65" customFormat="1">
      <c r="A131" s="87" t="s">
        <v>409</v>
      </c>
      <c r="B131" s="114" t="s">
        <v>409</v>
      </c>
      <c r="C131" s="114" t="s">
        <v>409</v>
      </c>
      <c r="D131" s="114" t="s">
        <v>409</v>
      </c>
      <c r="E131" s="114" t="s">
        <v>409</v>
      </c>
      <c r="F131" s="79" t="s">
        <v>409</v>
      </c>
      <c r="G131" s="89" t="s">
        <v>409</v>
      </c>
      <c r="H131" s="107">
        <f>SUM(G130:G131)</f>
        <v>0</v>
      </c>
      <c r="I131" s="71"/>
    </row>
    <row r="132" spans="1:11" s="65" customFormat="1">
      <c r="A132" s="94"/>
      <c r="B132" s="95"/>
      <c r="C132" s="95"/>
      <c r="D132" s="95"/>
      <c r="E132" s="95"/>
      <c r="F132"/>
      <c r="G132" s="93" t="s">
        <v>407</v>
      </c>
      <c r="H132" s="74"/>
      <c r="I132" s="71"/>
    </row>
    <row r="133" spans="1:11" s="65" customFormat="1">
      <c r="A133" s="94"/>
      <c r="B133" s="95"/>
      <c r="C133" s="95"/>
      <c r="D133" s="95"/>
      <c r="E133" s="95"/>
      <c r="F133"/>
      <c r="G133" s="74"/>
      <c r="H133" s="115">
        <f>SUM(H119:H131)</f>
        <v>16226</v>
      </c>
      <c r="I133" s="71"/>
    </row>
    <row r="134" spans="1:11" s="65" customFormat="1">
      <c r="A134" s="96"/>
      <c r="B134" s="97"/>
      <c r="C134" s="98"/>
      <c r="D134" s="98"/>
      <c r="E134" s="98"/>
      <c r="F134"/>
      <c r="G134" s="99" t="s">
        <v>412</v>
      </c>
      <c r="H134" s="70"/>
      <c r="I134" s="71"/>
      <c r="K134" s="65" t="s">
        <v>413</v>
      </c>
    </row>
    <row r="135" spans="1:11" s="65" customFormat="1" ht="15.75" thickBot="1">
      <c r="A135" s="624" t="s">
        <v>441</v>
      </c>
      <c r="B135" s="625"/>
      <c r="C135" s="625"/>
      <c r="D135" s="625"/>
      <c r="E135" s="625"/>
      <c r="F135" s="625"/>
      <c r="G135" s="626"/>
      <c r="H135" s="117">
        <f>+ROUND(H133,0)</f>
        <v>16226</v>
      </c>
      <c r="I135" s="103"/>
      <c r="K135" s="65">
        <f>14660*1.1</f>
        <v>16126.000000000002</v>
      </c>
    </row>
    <row r="136" spans="1:11" s="65" customFormat="1">
      <c r="H136" s="124"/>
    </row>
    <row r="137" spans="1:11" s="65" customFormat="1">
      <c r="A137" s="123"/>
      <c r="B137" s="95"/>
      <c r="C137" s="95"/>
      <c r="D137" s="95"/>
      <c r="E137" s="95"/>
      <c r="G137" s="121"/>
      <c r="H137" s="131"/>
    </row>
    <row r="138" spans="1:11" s="65" customFormat="1" ht="15.75" thickBot="1">
      <c r="B138" s="97"/>
      <c r="C138" s="98"/>
      <c r="D138" s="98"/>
      <c r="E138" s="98"/>
      <c r="G138" s="128"/>
    </row>
    <row r="139" spans="1:11" s="65" customFormat="1">
      <c r="A139" s="627"/>
      <c r="B139" s="629" t="s">
        <v>275</v>
      </c>
      <c r="C139" s="630"/>
      <c r="D139" s="630"/>
      <c r="E139" s="630"/>
      <c r="F139" s="630"/>
      <c r="G139" s="630"/>
      <c r="H139" s="630"/>
      <c r="I139" s="66" t="s">
        <v>389</v>
      </c>
    </row>
    <row r="140" spans="1:11" s="65" customFormat="1">
      <c r="A140" s="628"/>
      <c r="B140" s="631"/>
      <c r="C140" s="632"/>
      <c r="D140" s="632"/>
      <c r="E140" s="632"/>
      <c r="F140" s="632"/>
      <c r="G140" s="632"/>
      <c r="H140" s="632"/>
      <c r="I140" s="67" t="s">
        <v>432</v>
      </c>
    </row>
    <row r="141" spans="1:11" s="65" customFormat="1">
      <c r="A141" s="68"/>
      <c r="B141" s="69"/>
      <c r="C141" s="69"/>
      <c r="D141" s="69"/>
      <c r="E141" s="69"/>
      <c r="F141" s="70"/>
      <c r="G141" s="70"/>
      <c r="H141" s="70"/>
      <c r="I141" s="71"/>
    </row>
    <row r="142" spans="1:11" s="65" customFormat="1">
      <c r="A142" s="72" t="s">
        <v>390</v>
      </c>
      <c r="B142" s="73"/>
      <c r="C142" s="73"/>
      <c r="D142" s="73"/>
      <c r="E142" s="73"/>
      <c r="F142" s="74"/>
      <c r="G142" s="74"/>
      <c r="H142" s="70"/>
      <c r="I142" s="71"/>
    </row>
    <row r="143" spans="1:11" s="65" customFormat="1">
      <c r="A143" s="75" t="s">
        <v>391</v>
      </c>
      <c r="B143" s="76" t="s">
        <v>392</v>
      </c>
      <c r="C143" s="76" t="s">
        <v>393</v>
      </c>
      <c r="D143" s="76" t="s">
        <v>394</v>
      </c>
      <c r="E143" s="76" t="s">
        <v>395</v>
      </c>
      <c r="F143" s="76" t="s">
        <v>396</v>
      </c>
      <c r="G143" s="76" t="s">
        <v>397</v>
      </c>
      <c r="H143" s="74"/>
      <c r="I143" s="71"/>
    </row>
    <row r="144" spans="1:11" s="65" customFormat="1">
      <c r="A144" s="77" t="s">
        <v>443</v>
      </c>
      <c r="B144" s="78" t="s">
        <v>444</v>
      </c>
      <c r="C144" s="79" t="s">
        <v>403</v>
      </c>
      <c r="D144" s="107">
        <v>94000</v>
      </c>
      <c r="E144" s="79">
        <v>0.05</v>
      </c>
      <c r="F144" s="79">
        <v>0</v>
      </c>
      <c r="G144" s="107">
        <f>(D144*E144)+((D144*E144)*F144/100)</f>
        <v>4700</v>
      </c>
      <c r="H144" s="74"/>
      <c r="I144" s="71"/>
    </row>
    <row r="145" spans="1:9" s="65" customFormat="1">
      <c r="A145" s="77" t="s">
        <v>445</v>
      </c>
      <c r="B145" s="78" t="s">
        <v>446</v>
      </c>
      <c r="C145" s="79" t="s">
        <v>403</v>
      </c>
      <c r="D145" s="107">
        <v>85000</v>
      </c>
      <c r="E145" s="79">
        <v>0.05</v>
      </c>
      <c r="F145" s="79">
        <v>0</v>
      </c>
      <c r="G145" s="107">
        <f>(D145*E145)+((D145*E145)*F145/100)</f>
        <v>4250</v>
      </c>
      <c r="H145" s="74"/>
      <c r="I145" s="71"/>
    </row>
    <row r="146" spans="1:9" s="65" customFormat="1">
      <c r="A146" s="77" t="s">
        <v>447</v>
      </c>
      <c r="B146" s="78" t="s">
        <v>448</v>
      </c>
      <c r="C146" s="79" t="s">
        <v>437</v>
      </c>
      <c r="D146" s="107">
        <v>240000</v>
      </c>
      <c r="E146" s="79">
        <v>0.01</v>
      </c>
      <c r="F146" s="79">
        <v>0</v>
      </c>
      <c r="G146" s="107">
        <f>(D146*E146)+((D146*E146)*F146/100)</f>
        <v>2400</v>
      </c>
      <c r="H146" s="74"/>
      <c r="I146" s="71"/>
    </row>
    <row r="147" spans="1:9" s="65" customFormat="1">
      <c r="A147" s="77" t="s">
        <v>404</v>
      </c>
      <c r="B147" s="78" t="s">
        <v>405</v>
      </c>
      <c r="C147" s="79" t="s">
        <v>406</v>
      </c>
      <c r="D147" s="107">
        <v>1250</v>
      </c>
      <c r="E147" s="79">
        <v>0.03</v>
      </c>
      <c r="F147" s="79">
        <v>0</v>
      </c>
      <c r="G147" s="107">
        <f>(D147*E147)+((D147*E147)*F147/100)</f>
        <v>37.5</v>
      </c>
      <c r="H147" s="74"/>
      <c r="I147" s="71"/>
    </row>
    <row r="148" spans="1:9" s="65" customFormat="1">
      <c r="A148" s="82"/>
      <c r="B148" s="83"/>
      <c r="C148" s="84"/>
      <c r="D148" s="84"/>
      <c r="E148" s="84"/>
      <c r="F148"/>
      <c r="G148" s="93" t="s">
        <v>407</v>
      </c>
      <c r="H148" s="107">
        <f>SUM(G144:G147)</f>
        <v>11387.5</v>
      </c>
      <c r="I148" s="71"/>
    </row>
    <row r="149" spans="1:9" s="65" customFormat="1">
      <c r="A149" s="72" t="s">
        <v>408</v>
      </c>
      <c r="B149" s="73"/>
      <c r="C149" s="73"/>
      <c r="D149" s="73"/>
      <c r="E149" s="73"/>
      <c r="F149"/>
      <c r="G149" s="74"/>
      <c r="H149" s="108"/>
      <c r="I149" s="71"/>
    </row>
    <row r="150" spans="1:9" s="65" customFormat="1">
      <c r="A150" s="75" t="s">
        <v>391</v>
      </c>
      <c r="B150" s="76" t="s">
        <v>392</v>
      </c>
      <c r="C150" s="76" t="s">
        <v>393</v>
      </c>
      <c r="D150" s="76" t="s">
        <v>394</v>
      </c>
      <c r="E150" s="76" t="s">
        <v>395</v>
      </c>
      <c r="F150" s="76" t="s">
        <v>396</v>
      </c>
      <c r="G150" s="76" t="s">
        <v>397</v>
      </c>
      <c r="H150" s="108"/>
      <c r="I150" s="71"/>
    </row>
    <row r="151" spans="1:9" s="65" customFormat="1">
      <c r="A151" s="87">
        <v>2414</v>
      </c>
      <c r="B151" s="132" t="s">
        <v>449</v>
      </c>
      <c r="C151" s="114" t="s">
        <v>432</v>
      </c>
      <c r="D151" s="107">
        <v>7500</v>
      </c>
      <c r="E151" s="79">
        <v>1.35</v>
      </c>
      <c r="F151" s="79">
        <v>0</v>
      </c>
      <c r="G151" s="107">
        <f>(D151*E151)+((D151*E151)*F151/100)</f>
        <v>10125</v>
      </c>
      <c r="H151" s="108"/>
      <c r="I151" s="71"/>
    </row>
    <row r="152" spans="1:9" s="65" customFormat="1">
      <c r="A152" s="90"/>
      <c r="B152" s="91"/>
      <c r="C152" s="91"/>
      <c r="D152" s="91"/>
      <c r="E152" s="91"/>
      <c r="F152"/>
      <c r="G152" s="93" t="s">
        <v>407</v>
      </c>
      <c r="H152" s="107">
        <f>SUM(G151:G151)</f>
        <v>10125</v>
      </c>
      <c r="I152" s="71"/>
    </row>
    <row r="153" spans="1:9" s="65" customFormat="1">
      <c r="A153" s="72" t="s">
        <v>410</v>
      </c>
      <c r="B153" s="73"/>
      <c r="C153" s="73"/>
      <c r="D153" s="73"/>
      <c r="E153" s="73"/>
      <c r="F153"/>
      <c r="G153" s="74"/>
      <c r="H153" s="108"/>
      <c r="I153" s="71"/>
    </row>
    <row r="154" spans="1:9" s="65" customFormat="1">
      <c r="A154" s="75" t="s">
        <v>391</v>
      </c>
      <c r="B154" s="76" t="s">
        <v>392</v>
      </c>
      <c r="C154" s="76" t="s">
        <v>393</v>
      </c>
      <c r="D154" s="76" t="s">
        <v>394</v>
      </c>
      <c r="E154" s="76" t="s">
        <v>395</v>
      </c>
      <c r="F154" s="76" t="s">
        <v>396</v>
      </c>
      <c r="G154" s="76" t="s">
        <v>397</v>
      </c>
      <c r="H154" s="108"/>
      <c r="I154" s="71"/>
    </row>
    <row r="155" spans="1:9" s="65" customFormat="1">
      <c r="A155" s="125" t="s">
        <v>450</v>
      </c>
      <c r="B155" s="126" t="s">
        <v>451</v>
      </c>
      <c r="C155" s="127" t="s">
        <v>426</v>
      </c>
      <c r="D155" s="107">
        <v>16879</v>
      </c>
      <c r="E155" s="79">
        <v>0.06</v>
      </c>
      <c r="F155" s="79">
        <v>0</v>
      </c>
      <c r="G155" s="107">
        <f>(D155*E155)+((D155*E155)*F155/100)</f>
        <v>1012.74</v>
      </c>
      <c r="H155" s="108"/>
      <c r="I155" s="71"/>
    </row>
    <row r="156" spans="1:9" s="65" customFormat="1">
      <c r="A156" s="90"/>
      <c r="B156" s="91"/>
      <c r="C156" s="91"/>
      <c r="D156" s="91"/>
      <c r="E156" s="91"/>
      <c r="F156"/>
      <c r="G156" s="93" t="s">
        <v>407</v>
      </c>
      <c r="H156" s="107">
        <f>SUM(G155:G155)</f>
        <v>1012.74</v>
      </c>
      <c r="I156" s="71"/>
    </row>
    <row r="157" spans="1:9" s="65" customFormat="1">
      <c r="A157" s="72" t="s">
        <v>411</v>
      </c>
      <c r="B157" s="73"/>
      <c r="C157" s="73"/>
      <c r="D157" s="73"/>
      <c r="E157" s="73"/>
      <c r="F157"/>
      <c r="G157" s="74"/>
      <c r="H157" s="108"/>
      <c r="I157" s="71"/>
    </row>
    <row r="158" spans="1:9" s="65" customFormat="1">
      <c r="A158" s="75" t="s">
        <v>391</v>
      </c>
      <c r="B158" s="76" t="s">
        <v>392</v>
      </c>
      <c r="C158" s="76" t="s">
        <v>393</v>
      </c>
      <c r="D158" s="76" t="s">
        <v>394</v>
      </c>
      <c r="E158" s="76" t="s">
        <v>395</v>
      </c>
      <c r="F158" s="76" t="s">
        <v>396</v>
      </c>
      <c r="G158" s="76" t="s">
        <v>397</v>
      </c>
      <c r="H158" s="108"/>
      <c r="I158" s="71"/>
    </row>
    <row r="159" spans="1:9" s="65" customFormat="1" ht="25.5">
      <c r="A159" s="77" t="s">
        <v>452</v>
      </c>
      <c r="B159" s="78" t="s">
        <v>453</v>
      </c>
      <c r="C159" s="79" t="s">
        <v>454</v>
      </c>
      <c r="D159" s="107">
        <v>12000</v>
      </c>
      <c r="E159" s="79">
        <v>1.3</v>
      </c>
      <c r="F159" s="79">
        <v>0</v>
      </c>
      <c r="G159" s="107">
        <f>(D159*E159)+((D159*E159)*F159/100)</f>
        <v>15600</v>
      </c>
      <c r="H159" s="108"/>
      <c r="I159" s="71"/>
    </row>
    <row r="160" spans="1:9" s="65" customFormat="1" ht="15" customHeight="1">
      <c r="A160" s="94"/>
      <c r="B160" s="95"/>
      <c r="C160" s="95"/>
      <c r="D160" s="95"/>
      <c r="E160" s="95"/>
      <c r="F160"/>
      <c r="G160" s="93" t="s">
        <v>407</v>
      </c>
      <c r="H160" s="107">
        <f>SUM(G158:G159)</f>
        <v>15600</v>
      </c>
      <c r="I160" s="71"/>
    </row>
    <row r="161" spans="1:11" s="65" customFormat="1">
      <c r="A161" s="94"/>
      <c r="B161" s="95"/>
      <c r="C161" s="95"/>
      <c r="D161" s="95"/>
      <c r="E161" s="95"/>
      <c r="F161"/>
      <c r="G161" s="74"/>
      <c r="H161" s="74"/>
      <c r="I161" s="71"/>
    </row>
    <row r="162" spans="1:11" s="65" customFormat="1">
      <c r="A162" s="96"/>
      <c r="B162" s="97"/>
      <c r="C162" s="98"/>
      <c r="D162" s="98"/>
      <c r="E162" s="98"/>
      <c r="F162"/>
      <c r="G162" s="99" t="s">
        <v>412</v>
      </c>
      <c r="H162" s="115">
        <f>SUM(H148:H160)</f>
        <v>38125.240000000005</v>
      </c>
      <c r="I162" s="71"/>
    </row>
    <row r="163" spans="1:11" s="65" customFormat="1">
      <c r="A163" s="96"/>
      <c r="B163" s="97"/>
      <c r="C163" s="98"/>
      <c r="D163" s="98"/>
      <c r="E163" s="98"/>
      <c r="F163" s="101"/>
      <c r="G163" s="116"/>
      <c r="H163" s="70"/>
      <c r="I163" s="71"/>
      <c r="K163" s="65" t="s">
        <v>413</v>
      </c>
    </row>
    <row r="164" spans="1:11" s="65" customFormat="1" ht="15.75" thickBot="1">
      <c r="A164" s="624" t="s">
        <v>441</v>
      </c>
      <c r="B164" s="625"/>
      <c r="C164" s="625"/>
      <c r="D164" s="625"/>
      <c r="E164" s="625"/>
      <c r="F164" s="625"/>
      <c r="G164" s="626"/>
      <c r="H164" s="117">
        <f>+ROUND(H162,0)</f>
        <v>38125</v>
      </c>
      <c r="I164" s="103"/>
      <c r="K164" s="65">
        <f>27140*1.1</f>
        <v>29854.000000000004</v>
      </c>
    </row>
    <row r="165" spans="1:11" s="65" customFormat="1">
      <c r="B165" s="97"/>
      <c r="C165" s="98"/>
      <c r="D165" s="98"/>
      <c r="E165" s="98"/>
      <c r="F165" s="128"/>
      <c r="G165" s="133"/>
      <c r="H165" s="134"/>
    </row>
    <row r="166" spans="1:11" s="65" customFormat="1" ht="15.75" thickBot="1">
      <c r="A166" s="633"/>
      <c r="B166" s="633"/>
      <c r="C166" s="633"/>
      <c r="D166" s="633"/>
      <c r="E166" s="633"/>
      <c r="F166" s="633"/>
      <c r="G166" s="633"/>
    </row>
    <row r="167" spans="1:11" s="65" customFormat="1">
      <c r="A167" s="627"/>
      <c r="B167" s="629" t="s">
        <v>241</v>
      </c>
      <c r="C167" s="630"/>
      <c r="D167" s="630"/>
      <c r="E167" s="630"/>
      <c r="F167" s="630"/>
      <c r="G167" s="630"/>
      <c r="H167" s="643"/>
      <c r="I167" s="66" t="s">
        <v>389</v>
      </c>
    </row>
    <row r="168" spans="1:11" s="65" customFormat="1">
      <c r="A168" s="628"/>
      <c r="B168" s="631"/>
      <c r="C168" s="632"/>
      <c r="D168" s="632"/>
      <c r="E168" s="632"/>
      <c r="F168" s="632"/>
      <c r="G168" s="632"/>
      <c r="H168" s="644"/>
      <c r="I168" s="67" t="s">
        <v>455</v>
      </c>
    </row>
    <row r="169" spans="1:11" s="65" customFormat="1">
      <c r="A169" s="68"/>
      <c r="B169" s="69"/>
      <c r="C169" s="69"/>
      <c r="D169" s="69"/>
      <c r="E169" s="69"/>
      <c r="F169" s="70"/>
      <c r="G169" s="70"/>
      <c r="H169" s="70"/>
      <c r="I169" s="71"/>
    </row>
    <row r="170" spans="1:11" s="65" customFormat="1">
      <c r="A170" s="72" t="s">
        <v>390</v>
      </c>
      <c r="B170" s="73"/>
      <c r="C170" s="73"/>
      <c r="D170" s="73"/>
      <c r="E170" s="73"/>
      <c r="F170" s="74"/>
      <c r="G170" s="74"/>
      <c r="H170" s="70"/>
      <c r="I170" s="71"/>
    </row>
    <row r="171" spans="1:11" s="65" customFormat="1">
      <c r="A171" s="75" t="s">
        <v>391</v>
      </c>
      <c r="B171" s="76" t="s">
        <v>392</v>
      </c>
      <c r="C171" s="76" t="s">
        <v>393</v>
      </c>
      <c r="D171" s="76" t="s">
        <v>394</v>
      </c>
      <c r="E171" s="76" t="s">
        <v>395</v>
      </c>
      <c r="F171" s="76" t="s">
        <v>396</v>
      </c>
      <c r="G171" s="76" t="s">
        <v>397</v>
      </c>
      <c r="H171" s="74"/>
      <c r="I171" s="71"/>
    </row>
    <row r="172" spans="1:11" s="65" customFormat="1">
      <c r="A172" s="77" t="s">
        <v>404</v>
      </c>
      <c r="B172" s="79" t="s">
        <v>405</v>
      </c>
      <c r="C172" s="79" t="s">
        <v>406</v>
      </c>
      <c r="D172" s="107">
        <v>1250</v>
      </c>
      <c r="E172" s="79">
        <v>0.3</v>
      </c>
      <c r="F172" s="79">
        <v>0</v>
      </c>
      <c r="G172" s="107">
        <f>(D172*E172)+((D172*E172)*F172/100)</f>
        <v>375</v>
      </c>
      <c r="H172" s="74"/>
      <c r="I172" s="71"/>
    </row>
    <row r="173" spans="1:11" s="65" customFormat="1">
      <c r="A173" s="82"/>
      <c r="B173" s="83"/>
      <c r="C173" s="84"/>
      <c r="D173" s="84"/>
      <c r="E173" s="84"/>
      <c r="F173"/>
      <c r="G173" s="93" t="s">
        <v>407</v>
      </c>
      <c r="H173" s="107">
        <f>SUM(G172:G172)</f>
        <v>375</v>
      </c>
      <c r="I173" s="71"/>
    </row>
    <row r="174" spans="1:11" s="65" customFormat="1">
      <c r="A174" s="72" t="s">
        <v>408</v>
      </c>
      <c r="B174" s="73"/>
      <c r="C174" s="73"/>
      <c r="D174" s="73"/>
      <c r="E174" s="73"/>
      <c r="F174"/>
      <c r="G174" s="74"/>
      <c r="H174" s="108"/>
      <c r="I174" s="71"/>
    </row>
    <row r="175" spans="1:11" s="65" customFormat="1">
      <c r="A175" s="75" t="s">
        <v>391</v>
      </c>
      <c r="B175" s="76" t="s">
        <v>392</v>
      </c>
      <c r="C175" s="76" t="s">
        <v>393</v>
      </c>
      <c r="D175" s="76" t="s">
        <v>394</v>
      </c>
      <c r="E175" s="76" t="s">
        <v>395</v>
      </c>
      <c r="F175" s="76" t="s">
        <v>396</v>
      </c>
      <c r="G175" s="76" t="s">
        <v>397</v>
      </c>
      <c r="H175" s="108"/>
      <c r="I175" s="71"/>
    </row>
    <row r="176" spans="1:11" s="65" customFormat="1">
      <c r="A176" s="135">
        <v>203</v>
      </c>
      <c r="B176" s="78" t="s">
        <v>456</v>
      </c>
      <c r="C176" s="127" t="s">
        <v>455</v>
      </c>
      <c r="D176" s="107">
        <v>2900</v>
      </c>
      <c r="E176" s="79">
        <v>1</v>
      </c>
      <c r="F176" s="79">
        <v>3</v>
      </c>
      <c r="G176" s="107">
        <f>(D176*E176)+((D176*E176)*F176/100)</f>
        <v>2987</v>
      </c>
      <c r="H176" s="108"/>
      <c r="I176" s="71"/>
    </row>
    <row r="177" spans="1:11" s="65" customFormat="1">
      <c r="A177" s="90"/>
      <c r="B177" s="91"/>
      <c r="C177" s="91"/>
      <c r="D177" s="91"/>
      <c r="E177" s="91"/>
      <c r="F177"/>
      <c r="G177" s="85" t="s">
        <v>407</v>
      </c>
      <c r="H177" s="107">
        <f>SUM(G176:G176)</f>
        <v>2987</v>
      </c>
      <c r="I177" s="71"/>
    </row>
    <row r="178" spans="1:11" s="65" customFormat="1">
      <c r="A178" s="72" t="s">
        <v>410</v>
      </c>
      <c r="B178" s="73"/>
      <c r="C178" s="73"/>
      <c r="D178" s="73"/>
      <c r="E178" s="73"/>
      <c r="F178"/>
      <c r="G178" s="74"/>
      <c r="H178" s="108"/>
      <c r="I178" s="71"/>
    </row>
    <row r="179" spans="1:11" s="65" customFormat="1">
      <c r="A179" s="75" t="s">
        <v>391</v>
      </c>
      <c r="B179" s="76" t="s">
        <v>392</v>
      </c>
      <c r="C179" s="76" t="s">
        <v>393</v>
      </c>
      <c r="D179" s="76" t="s">
        <v>394</v>
      </c>
      <c r="E179" s="76" t="s">
        <v>395</v>
      </c>
      <c r="F179" s="76" t="s">
        <v>396</v>
      </c>
      <c r="G179" s="76" t="s">
        <v>397</v>
      </c>
      <c r="H179" s="108"/>
      <c r="I179" s="71"/>
    </row>
    <row r="180" spans="1:11" s="65" customFormat="1">
      <c r="A180" s="77" t="s">
        <v>438</v>
      </c>
      <c r="B180" s="78" t="s">
        <v>457</v>
      </c>
      <c r="C180" s="79" t="s">
        <v>426</v>
      </c>
      <c r="D180" s="107">
        <v>16879</v>
      </c>
      <c r="E180" s="79">
        <v>3.7999999999999999E-2</v>
      </c>
      <c r="F180" s="79">
        <v>0</v>
      </c>
      <c r="G180" s="107">
        <f>(D180*E180)+((D180*E180)*F180/100)</f>
        <v>641.40199999999993</v>
      </c>
      <c r="H180" s="108"/>
      <c r="I180" s="71"/>
    </row>
    <row r="181" spans="1:11" s="65" customFormat="1">
      <c r="A181" s="90"/>
      <c r="B181" s="91"/>
      <c r="C181" s="91"/>
      <c r="D181" s="91"/>
      <c r="E181" s="91"/>
      <c r="F181"/>
      <c r="G181" s="93" t="s">
        <v>407</v>
      </c>
      <c r="H181" s="107">
        <f>SUM(G180:G180)</f>
        <v>641.40199999999993</v>
      </c>
      <c r="I181" s="71"/>
    </row>
    <row r="182" spans="1:11" s="65" customFormat="1">
      <c r="A182" s="72" t="s">
        <v>411</v>
      </c>
      <c r="B182" s="73"/>
      <c r="C182" s="73"/>
      <c r="D182" s="73"/>
      <c r="E182" s="73"/>
      <c r="F182"/>
      <c r="G182" s="74"/>
      <c r="H182" s="108"/>
      <c r="I182" s="71"/>
    </row>
    <row r="183" spans="1:11" s="65" customFormat="1">
      <c r="A183" s="75" t="s">
        <v>391</v>
      </c>
      <c r="B183" s="76" t="s">
        <v>392</v>
      </c>
      <c r="C183" s="76" t="s">
        <v>393</v>
      </c>
      <c r="D183" s="76" t="s">
        <v>394</v>
      </c>
      <c r="E183" s="76" t="s">
        <v>395</v>
      </c>
      <c r="F183" s="76" t="s">
        <v>396</v>
      </c>
      <c r="G183" s="76" t="s">
        <v>397</v>
      </c>
      <c r="H183" s="108"/>
      <c r="I183" s="71"/>
    </row>
    <row r="184" spans="1:11" s="65" customFormat="1">
      <c r="A184" s="87" t="s">
        <v>409</v>
      </c>
      <c r="B184" s="114" t="s">
        <v>409</v>
      </c>
      <c r="C184" s="114" t="s">
        <v>409</v>
      </c>
      <c r="D184" s="114" t="s">
        <v>409</v>
      </c>
      <c r="E184" s="114" t="s">
        <v>409</v>
      </c>
      <c r="F184" s="79" t="s">
        <v>409</v>
      </c>
      <c r="G184" s="89" t="s">
        <v>409</v>
      </c>
      <c r="H184" s="108"/>
      <c r="I184" s="71"/>
    </row>
    <row r="185" spans="1:11" s="65" customFormat="1">
      <c r="A185" s="94"/>
      <c r="B185" s="95"/>
      <c r="C185" s="95"/>
      <c r="D185" s="95"/>
      <c r="E185" s="95"/>
      <c r="F185"/>
      <c r="G185" s="93" t="s">
        <v>407</v>
      </c>
      <c r="H185" s="107">
        <f>SUM(G183:G184)</f>
        <v>0</v>
      </c>
      <c r="I185" s="71"/>
    </row>
    <row r="186" spans="1:11" s="65" customFormat="1">
      <c r="A186" s="94"/>
      <c r="B186" s="95"/>
      <c r="C186" s="95"/>
      <c r="D186" s="95"/>
      <c r="E186" s="95"/>
      <c r="F186"/>
      <c r="G186" s="74"/>
      <c r="H186" s="74"/>
      <c r="I186" s="71"/>
    </row>
    <row r="187" spans="1:11" s="65" customFormat="1">
      <c r="A187" s="96"/>
      <c r="B187" s="97"/>
      <c r="C187" s="98"/>
      <c r="D187" s="98"/>
      <c r="E187" s="98"/>
      <c r="F187"/>
      <c r="G187" s="99" t="s">
        <v>412</v>
      </c>
      <c r="H187" s="115">
        <f>SUM(H173:H185)</f>
        <v>4003.402</v>
      </c>
      <c r="I187" s="71"/>
    </row>
    <row r="188" spans="1:11" s="65" customFormat="1">
      <c r="A188" s="96"/>
      <c r="B188" s="97"/>
      <c r="C188" s="98"/>
      <c r="D188" s="98"/>
      <c r="E188" s="98"/>
      <c r="F188" s="101"/>
      <c r="G188" s="116"/>
      <c r="H188" s="70"/>
      <c r="I188" s="71"/>
      <c r="K188" s="65" t="s">
        <v>413</v>
      </c>
    </row>
    <row r="189" spans="1:11" s="65" customFormat="1" ht="15.75" thickBot="1">
      <c r="A189" s="624" t="s">
        <v>458</v>
      </c>
      <c r="B189" s="625"/>
      <c r="C189" s="625"/>
      <c r="D189" s="625"/>
      <c r="E189" s="625"/>
      <c r="F189" s="625"/>
      <c r="G189" s="626"/>
      <c r="H189" s="117">
        <f>+ROUND(H187,0)</f>
        <v>4003</v>
      </c>
      <c r="I189" s="103"/>
      <c r="K189" s="65">
        <f>3660*1.1</f>
        <v>4026.0000000000005</v>
      </c>
    </row>
    <row r="190" spans="1:11" s="65" customFormat="1">
      <c r="A190" s="123"/>
      <c r="B190" s="95"/>
      <c r="C190" s="95"/>
      <c r="D190" s="95"/>
      <c r="E190" s="95"/>
      <c r="G190" s="104"/>
      <c r="H190" s="121"/>
    </row>
    <row r="191" spans="1:11" s="65" customFormat="1" ht="15.75" thickBot="1">
      <c r="A191" s="123"/>
      <c r="B191" s="95"/>
      <c r="C191" s="95"/>
      <c r="D191" s="95"/>
      <c r="E191" s="95"/>
      <c r="G191" s="121"/>
      <c r="H191" s="133"/>
    </row>
    <row r="192" spans="1:11" s="65" customFormat="1">
      <c r="A192" s="627"/>
      <c r="B192" s="629" t="s">
        <v>50</v>
      </c>
      <c r="C192" s="630"/>
      <c r="D192" s="630"/>
      <c r="E192" s="630"/>
      <c r="F192" s="630"/>
      <c r="G192" s="630"/>
      <c r="H192" s="630"/>
      <c r="I192" s="66" t="s">
        <v>389</v>
      </c>
    </row>
    <row r="193" spans="1:9" s="65" customFormat="1">
      <c r="A193" s="628"/>
      <c r="B193" s="631"/>
      <c r="C193" s="632"/>
      <c r="D193" s="632"/>
      <c r="E193" s="632"/>
      <c r="F193" s="632"/>
      <c r="G193" s="632"/>
      <c r="H193" s="632"/>
      <c r="I193" s="67" t="s">
        <v>291</v>
      </c>
    </row>
    <row r="194" spans="1:9" s="65" customFormat="1">
      <c r="A194" s="68"/>
      <c r="B194" s="69"/>
      <c r="C194" s="69"/>
      <c r="D194" s="69"/>
      <c r="E194" s="69"/>
      <c r="F194" s="70"/>
      <c r="G194" s="70"/>
      <c r="H194" s="70"/>
      <c r="I194" s="71"/>
    </row>
    <row r="195" spans="1:9" s="65" customFormat="1">
      <c r="A195" s="72" t="s">
        <v>390</v>
      </c>
      <c r="B195" s="73"/>
      <c r="C195" s="73"/>
      <c r="D195" s="73"/>
      <c r="E195" s="73"/>
      <c r="F195" s="74"/>
      <c r="G195" s="74"/>
      <c r="H195" s="70"/>
      <c r="I195" s="71"/>
    </row>
    <row r="196" spans="1:9" s="65" customFormat="1">
      <c r="A196" s="75" t="s">
        <v>391</v>
      </c>
      <c r="B196" s="76" t="s">
        <v>392</v>
      </c>
      <c r="C196" s="76" t="s">
        <v>393</v>
      </c>
      <c r="D196" s="76" t="s">
        <v>394</v>
      </c>
      <c r="E196" s="76" t="s">
        <v>395</v>
      </c>
      <c r="F196" s="76" t="s">
        <v>396</v>
      </c>
      <c r="G196" s="76" t="s">
        <v>397</v>
      </c>
      <c r="H196" s="74"/>
      <c r="I196" s="71"/>
    </row>
    <row r="197" spans="1:9" s="65" customFormat="1" ht="25.5">
      <c r="A197" s="77" t="s">
        <v>452</v>
      </c>
      <c r="B197" s="78" t="s">
        <v>453</v>
      </c>
      <c r="C197" s="79" t="s">
        <v>454</v>
      </c>
      <c r="D197" s="107">
        <v>12000</v>
      </c>
      <c r="E197" s="79">
        <v>0.2</v>
      </c>
      <c r="F197" s="79">
        <v>0</v>
      </c>
      <c r="G197" s="107">
        <f>(D197*E197)+((D197*E197)*F197/100)</f>
        <v>2400</v>
      </c>
      <c r="H197" s="74"/>
      <c r="I197" s="71"/>
    </row>
    <row r="198" spans="1:9" s="65" customFormat="1">
      <c r="A198" s="77" t="s">
        <v>404</v>
      </c>
      <c r="B198" s="78" t="s">
        <v>405</v>
      </c>
      <c r="C198" s="79" t="s">
        <v>406</v>
      </c>
      <c r="D198" s="107">
        <v>1250</v>
      </c>
      <c r="E198" s="79">
        <v>0.03</v>
      </c>
      <c r="F198" s="79">
        <v>0</v>
      </c>
      <c r="G198" s="107">
        <f>(D198*E198)+((D198*E198)*F198/100)</f>
        <v>37.5</v>
      </c>
      <c r="H198" s="74"/>
      <c r="I198" s="71"/>
    </row>
    <row r="199" spans="1:9" s="65" customFormat="1">
      <c r="A199" s="82"/>
      <c r="B199" s="83"/>
      <c r="C199" s="84"/>
      <c r="D199" s="84"/>
      <c r="E199" s="84"/>
      <c r="F199"/>
      <c r="G199" s="93" t="s">
        <v>407</v>
      </c>
      <c r="H199" s="107">
        <f>SUM(G197:G198)</f>
        <v>2437.5</v>
      </c>
      <c r="I199" s="71"/>
    </row>
    <row r="200" spans="1:9" s="65" customFormat="1">
      <c r="A200" s="72" t="s">
        <v>408</v>
      </c>
      <c r="B200" s="73"/>
      <c r="C200" s="73"/>
      <c r="D200" s="73"/>
      <c r="E200" s="73"/>
      <c r="F200"/>
      <c r="G200" s="74"/>
      <c r="H200" s="108"/>
      <c r="I200" s="71"/>
    </row>
    <row r="201" spans="1:9" s="65" customFormat="1">
      <c r="A201" s="75" t="s">
        <v>391</v>
      </c>
      <c r="B201" s="76" t="s">
        <v>392</v>
      </c>
      <c r="C201" s="76" t="s">
        <v>393</v>
      </c>
      <c r="D201" s="76" t="s">
        <v>394</v>
      </c>
      <c r="E201" s="76" t="s">
        <v>395</v>
      </c>
      <c r="F201" s="76" t="s">
        <v>396</v>
      </c>
      <c r="G201" s="76" t="s">
        <v>397</v>
      </c>
      <c r="H201" s="108"/>
      <c r="I201" s="71"/>
    </row>
    <row r="202" spans="1:9" s="65" customFormat="1">
      <c r="A202" s="125" t="s">
        <v>459</v>
      </c>
      <c r="B202" s="78" t="s">
        <v>460</v>
      </c>
      <c r="C202" s="127" t="s">
        <v>432</v>
      </c>
      <c r="D202" s="107">
        <f>+H247</f>
        <v>281819</v>
      </c>
      <c r="E202" s="79">
        <v>0.06</v>
      </c>
      <c r="F202" s="79">
        <v>10</v>
      </c>
      <c r="G202" s="107">
        <f>(D202*E202)+((D202*E202)*F202/100)</f>
        <v>18600.054</v>
      </c>
      <c r="H202" s="108"/>
      <c r="I202" s="71"/>
    </row>
    <row r="203" spans="1:9" s="65" customFormat="1">
      <c r="A203" s="90"/>
      <c r="B203" s="91"/>
      <c r="C203" s="91"/>
      <c r="D203" s="91"/>
      <c r="E203" s="91"/>
      <c r="F203"/>
      <c r="G203" s="93" t="s">
        <v>407</v>
      </c>
      <c r="H203" s="107">
        <f>SUM(G202:G202)</f>
        <v>18600.054</v>
      </c>
      <c r="I203" s="71"/>
    </row>
    <row r="204" spans="1:9" s="65" customFormat="1">
      <c r="A204" s="72" t="s">
        <v>410</v>
      </c>
      <c r="B204" s="73"/>
      <c r="C204" s="73"/>
      <c r="D204" s="73"/>
      <c r="E204" s="73"/>
      <c r="F204"/>
      <c r="G204" s="74"/>
      <c r="H204" s="108"/>
      <c r="I204" s="71"/>
    </row>
    <row r="205" spans="1:9" s="65" customFormat="1">
      <c r="A205" s="75" t="s">
        <v>391</v>
      </c>
      <c r="B205" s="76" t="s">
        <v>392</v>
      </c>
      <c r="C205" s="76" t="s">
        <v>393</v>
      </c>
      <c r="D205" s="76" t="s">
        <v>394</v>
      </c>
      <c r="E205" s="76" t="s">
        <v>395</v>
      </c>
      <c r="F205" s="76" t="s">
        <v>396</v>
      </c>
      <c r="G205" s="76" t="s">
        <v>397</v>
      </c>
      <c r="H205" s="108"/>
      <c r="I205" s="71"/>
    </row>
    <row r="206" spans="1:9" s="65" customFormat="1">
      <c r="A206" s="125" t="s">
        <v>478</v>
      </c>
      <c r="B206" s="126" t="s">
        <v>479</v>
      </c>
      <c r="C206" s="127" t="s">
        <v>426</v>
      </c>
      <c r="D206" s="107">
        <f>5627*6+10300+15000</f>
        <v>59062</v>
      </c>
      <c r="E206" s="79">
        <v>0.2</v>
      </c>
      <c r="F206" s="79">
        <v>0</v>
      </c>
      <c r="G206" s="107">
        <f>(D206*E206)+((D206*E206)*F206/100)</f>
        <v>11812.400000000001</v>
      </c>
      <c r="H206" s="108"/>
      <c r="I206" s="71"/>
    </row>
    <row r="207" spans="1:9" s="65" customFormat="1">
      <c r="A207" s="90"/>
      <c r="B207" s="91"/>
      <c r="C207" s="91"/>
      <c r="D207" s="91"/>
      <c r="E207" s="91"/>
      <c r="F207"/>
      <c r="G207" s="93" t="s">
        <v>407</v>
      </c>
      <c r="H207" s="107">
        <f>SUM(G206:G206)</f>
        <v>11812.400000000001</v>
      </c>
      <c r="I207" s="71"/>
    </row>
    <row r="208" spans="1:9" s="65" customFormat="1">
      <c r="A208" s="72" t="s">
        <v>411</v>
      </c>
      <c r="B208" s="73"/>
      <c r="C208" s="73"/>
      <c r="D208" s="73"/>
      <c r="E208" s="73"/>
      <c r="F208"/>
      <c r="G208" s="74"/>
      <c r="H208" s="108"/>
      <c r="I208" s="71"/>
    </row>
    <row r="209" spans="1:11" s="65" customFormat="1">
      <c r="A209" s="75" t="s">
        <v>391</v>
      </c>
      <c r="B209" s="76" t="s">
        <v>392</v>
      </c>
      <c r="C209" s="76" t="s">
        <v>393</v>
      </c>
      <c r="D209" s="76" t="s">
        <v>394</v>
      </c>
      <c r="E209" s="76" t="s">
        <v>395</v>
      </c>
      <c r="F209" s="76" t="s">
        <v>396</v>
      </c>
      <c r="G209" s="76" t="s">
        <v>397</v>
      </c>
      <c r="H209" s="108"/>
      <c r="I209" s="71"/>
    </row>
    <row r="210" spans="1:11" s="65" customFormat="1">
      <c r="A210" s="87" t="s">
        <v>409</v>
      </c>
      <c r="B210" s="114" t="s">
        <v>409</v>
      </c>
      <c r="C210" s="114" t="s">
        <v>409</v>
      </c>
      <c r="D210" s="114" t="s">
        <v>409</v>
      </c>
      <c r="E210" s="114" t="s">
        <v>409</v>
      </c>
      <c r="F210" s="79" t="s">
        <v>409</v>
      </c>
      <c r="G210" s="89" t="s">
        <v>409</v>
      </c>
      <c r="H210" s="108"/>
      <c r="I210" s="71"/>
    </row>
    <row r="211" spans="1:11" s="65" customFormat="1">
      <c r="A211" s="94"/>
      <c r="B211" s="95"/>
      <c r="C211" s="95"/>
      <c r="D211" s="95"/>
      <c r="E211" s="95"/>
      <c r="F211"/>
      <c r="G211" s="93" t="s">
        <v>407</v>
      </c>
      <c r="H211" s="107">
        <f>SUM(G209:G210)</f>
        <v>0</v>
      </c>
      <c r="I211" s="71"/>
    </row>
    <row r="212" spans="1:11" s="65" customFormat="1">
      <c r="A212" s="94"/>
      <c r="B212" s="95"/>
      <c r="C212" s="95"/>
      <c r="D212" s="95"/>
      <c r="E212" s="95"/>
      <c r="F212"/>
      <c r="G212" s="74"/>
      <c r="H212" s="74"/>
      <c r="I212" s="71"/>
    </row>
    <row r="213" spans="1:11" s="65" customFormat="1">
      <c r="A213" s="96"/>
      <c r="B213" s="97"/>
      <c r="C213" s="98"/>
      <c r="D213" s="98"/>
      <c r="E213" s="98"/>
      <c r="F213"/>
      <c r="G213" s="99" t="s">
        <v>412</v>
      </c>
      <c r="H213" s="115">
        <f>SUM(H199:H211)</f>
        <v>32849.953999999998</v>
      </c>
      <c r="I213" s="71"/>
    </row>
    <row r="214" spans="1:11" s="65" customFormat="1">
      <c r="A214" s="96"/>
      <c r="B214" s="97"/>
      <c r="C214" s="98"/>
      <c r="D214" s="98"/>
      <c r="E214" s="98"/>
      <c r="F214" s="101"/>
      <c r="G214" s="116"/>
      <c r="H214" s="70"/>
      <c r="I214" s="71"/>
      <c r="K214" s="65" t="s">
        <v>413</v>
      </c>
    </row>
    <row r="215" spans="1:11" s="65" customFormat="1" ht="15.75" thickBot="1">
      <c r="A215" s="624" t="s">
        <v>414</v>
      </c>
      <c r="B215" s="625"/>
      <c r="C215" s="625"/>
      <c r="D215" s="625"/>
      <c r="E215" s="625"/>
      <c r="F215" s="625"/>
      <c r="G215" s="626"/>
      <c r="H215" s="117">
        <f>+ROUND(H213,0)</f>
        <v>32850</v>
      </c>
      <c r="I215" s="103"/>
      <c r="K215" s="65">
        <f>17720*1.1</f>
        <v>19492</v>
      </c>
    </row>
    <row r="216" spans="1:11" s="65" customFormat="1">
      <c r="A216" s="123"/>
      <c r="B216" s="95"/>
      <c r="C216" s="95"/>
      <c r="D216" s="95"/>
      <c r="E216" s="95"/>
      <c r="G216" s="121"/>
      <c r="H216" s="133"/>
    </row>
    <row r="217" spans="1:11" s="65" customFormat="1" ht="15.75" thickBot="1">
      <c r="B217" s="97"/>
      <c r="C217" s="98"/>
      <c r="D217" s="98"/>
      <c r="E217" s="98"/>
      <c r="G217" s="128"/>
    </row>
    <row r="218" spans="1:11">
      <c r="A218" s="627" t="s">
        <v>463</v>
      </c>
      <c r="B218" s="629" t="s">
        <v>464</v>
      </c>
      <c r="C218" s="630"/>
      <c r="D218" s="630"/>
      <c r="E218" s="630"/>
      <c r="F218" s="630"/>
      <c r="G218" s="630"/>
      <c r="H218" s="630"/>
      <c r="I218" s="66" t="s">
        <v>389</v>
      </c>
      <c r="J218" s="136"/>
    </row>
    <row r="219" spans="1:11">
      <c r="A219" s="628"/>
      <c r="B219" s="631"/>
      <c r="C219" s="632"/>
      <c r="D219" s="632"/>
      <c r="E219" s="632"/>
      <c r="F219" s="632"/>
      <c r="G219" s="632"/>
      <c r="H219" s="632"/>
      <c r="I219" s="67" t="s">
        <v>432</v>
      </c>
      <c r="J219" s="136"/>
    </row>
    <row r="220" spans="1:11">
      <c r="A220" s="68"/>
      <c r="B220" s="69"/>
      <c r="C220" s="69"/>
      <c r="D220" s="69"/>
      <c r="E220" s="69"/>
      <c r="F220" s="70"/>
      <c r="G220" s="70"/>
      <c r="H220" s="70"/>
      <c r="I220" s="71"/>
      <c r="J220" s="136"/>
    </row>
    <row r="221" spans="1:11">
      <c r="A221" s="72" t="s">
        <v>390</v>
      </c>
      <c r="B221" s="73"/>
      <c r="C221" s="73"/>
      <c r="D221" s="73"/>
      <c r="E221" s="73"/>
      <c r="F221" s="74"/>
      <c r="G221" s="74"/>
      <c r="H221" s="70"/>
      <c r="I221" s="71"/>
      <c r="J221" s="136"/>
    </row>
    <row r="222" spans="1:11">
      <c r="A222" s="75" t="s">
        <v>391</v>
      </c>
      <c r="B222" s="76" t="s">
        <v>392</v>
      </c>
      <c r="C222" s="76" t="s">
        <v>393</v>
      </c>
      <c r="D222" s="76" t="s">
        <v>394</v>
      </c>
      <c r="E222" s="76" t="s">
        <v>395</v>
      </c>
      <c r="F222" s="76" t="s">
        <v>396</v>
      </c>
      <c r="G222" s="76" t="s">
        <v>397</v>
      </c>
      <c r="H222" s="74"/>
      <c r="I222" s="71"/>
      <c r="J222" s="136"/>
    </row>
    <row r="223" spans="1:11">
      <c r="A223" s="77" t="s">
        <v>465</v>
      </c>
      <c r="B223" s="78" t="s">
        <v>466</v>
      </c>
      <c r="C223" s="79" t="s">
        <v>437</v>
      </c>
      <c r="D223" s="107">
        <v>60000</v>
      </c>
      <c r="E223" s="79">
        <v>0.13</v>
      </c>
      <c r="F223" s="79">
        <v>0</v>
      </c>
      <c r="G223" s="107">
        <f>(D223*E223)+((D223*E223)*F223/100)</f>
        <v>7800</v>
      </c>
      <c r="H223" s="74"/>
      <c r="I223" s="71"/>
      <c r="J223" s="136"/>
    </row>
    <row r="224" spans="1:11">
      <c r="A224" s="77" t="s">
        <v>404</v>
      </c>
      <c r="B224" s="78" t="s">
        <v>405</v>
      </c>
      <c r="C224" s="79" t="s">
        <v>406</v>
      </c>
      <c r="D224" s="107">
        <v>1250</v>
      </c>
      <c r="E224" s="79">
        <v>2</v>
      </c>
      <c r="F224" s="79">
        <v>0</v>
      </c>
      <c r="G224" s="107">
        <f>(D224*E224)+((D224*E224)*F224/100)</f>
        <v>2500</v>
      </c>
      <c r="H224" s="74"/>
      <c r="I224" s="71"/>
      <c r="J224" s="136"/>
    </row>
    <row r="225" spans="1:10">
      <c r="A225" s="79" t="s">
        <v>467</v>
      </c>
      <c r="B225" s="78" t="s">
        <v>468</v>
      </c>
      <c r="C225" s="79" t="s">
        <v>437</v>
      </c>
      <c r="D225" s="107">
        <v>35000</v>
      </c>
      <c r="E225" s="79">
        <v>0.15</v>
      </c>
      <c r="F225" s="79">
        <v>0</v>
      </c>
      <c r="G225" s="107">
        <f>(D225*E225)+((D225*E225)*F225/100)</f>
        <v>5250</v>
      </c>
      <c r="H225" s="74"/>
      <c r="I225" s="71"/>
      <c r="J225" s="136"/>
    </row>
    <row r="226" spans="1:10">
      <c r="A226" s="82"/>
      <c r="B226" s="83"/>
      <c r="C226" s="84"/>
      <c r="D226" s="84"/>
      <c r="E226" s="84"/>
      <c r="F226" s="70"/>
      <c r="G226" s="93" t="s">
        <v>407</v>
      </c>
      <c r="H226" s="107">
        <f>SUM(G223:G225)</f>
        <v>15550</v>
      </c>
      <c r="I226" s="71"/>
      <c r="J226" s="136"/>
    </row>
    <row r="227" spans="1:10">
      <c r="A227" s="72" t="s">
        <v>408</v>
      </c>
      <c r="B227" s="73"/>
      <c r="C227" s="73"/>
      <c r="D227" s="73"/>
      <c r="E227" s="73"/>
      <c r="F227" s="70"/>
      <c r="G227" s="74"/>
      <c r="H227" s="108"/>
      <c r="I227" s="71"/>
      <c r="J227" s="136"/>
    </row>
    <row r="228" spans="1:10">
      <c r="A228" s="75" t="s">
        <v>391</v>
      </c>
      <c r="B228" s="76" t="s">
        <v>392</v>
      </c>
      <c r="C228" s="76" t="s">
        <v>393</v>
      </c>
      <c r="D228" s="76" t="s">
        <v>394</v>
      </c>
      <c r="E228" s="76" t="s">
        <v>395</v>
      </c>
      <c r="F228" s="76" t="s">
        <v>396</v>
      </c>
      <c r="G228" s="76" t="s">
        <v>397</v>
      </c>
      <c r="H228" s="108"/>
      <c r="I228" s="71"/>
      <c r="J228" s="136"/>
    </row>
    <row r="229" spans="1:10">
      <c r="A229" s="135">
        <v>214</v>
      </c>
      <c r="B229" s="78" t="s">
        <v>469</v>
      </c>
      <c r="C229" s="127" t="s">
        <v>470</v>
      </c>
      <c r="D229" s="107">
        <v>12</v>
      </c>
      <c r="E229" s="79">
        <v>190</v>
      </c>
      <c r="F229" s="79">
        <v>0</v>
      </c>
      <c r="G229" s="107">
        <f t="shared" ref="G229:G234" si="0">(D229*E229)+((D229*E229)*F229/100)</f>
        <v>2280</v>
      </c>
      <c r="H229" s="108"/>
      <c r="I229" s="71"/>
      <c r="J229" s="136"/>
    </row>
    <row r="230" spans="1:10">
      <c r="A230" s="135">
        <v>224</v>
      </c>
      <c r="B230" s="78" t="s">
        <v>471</v>
      </c>
      <c r="C230" s="127" t="s">
        <v>454</v>
      </c>
      <c r="D230" s="107">
        <v>35000</v>
      </c>
      <c r="E230" s="79">
        <v>0.56000000000000005</v>
      </c>
      <c r="F230" s="79">
        <v>0</v>
      </c>
      <c r="G230" s="107">
        <f t="shared" si="0"/>
        <v>19600.000000000004</v>
      </c>
      <c r="H230" s="108"/>
      <c r="I230" s="71"/>
      <c r="J230" s="136"/>
    </row>
    <row r="231" spans="1:10">
      <c r="A231" s="135">
        <v>1350</v>
      </c>
      <c r="B231" s="78" t="s">
        <v>472</v>
      </c>
      <c r="C231" s="127" t="s">
        <v>454</v>
      </c>
      <c r="D231" s="107">
        <v>50000</v>
      </c>
      <c r="E231" s="79">
        <v>0.84</v>
      </c>
      <c r="F231" s="79">
        <v>0</v>
      </c>
      <c r="G231" s="107">
        <f t="shared" si="0"/>
        <v>42000</v>
      </c>
      <c r="H231" s="108"/>
      <c r="I231" s="71"/>
      <c r="J231" s="136"/>
    </row>
    <row r="232" spans="1:10">
      <c r="A232" s="135">
        <v>3282</v>
      </c>
      <c r="B232" s="78" t="s">
        <v>473</v>
      </c>
      <c r="C232" s="127" t="s">
        <v>474</v>
      </c>
      <c r="D232" s="107">
        <v>7700</v>
      </c>
      <c r="E232" s="79">
        <v>0.1</v>
      </c>
      <c r="F232" s="79">
        <v>0</v>
      </c>
      <c r="G232" s="107">
        <f t="shared" si="0"/>
        <v>770</v>
      </c>
      <c r="H232" s="108"/>
      <c r="I232" s="71"/>
      <c r="J232" s="136"/>
    </row>
    <row r="233" spans="1:10">
      <c r="A233" s="135">
        <v>3331</v>
      </c>
      <c r="B233" s="78" t="s">
        <v>475</v>
      </c>
      <c r="C233" s="127" t="s">
        <v>476</v>
      </c>
      <c r="D233" s="107">
        <v>25000</v>
      </c>
      <c r="E233" s="79">
        <v>7</v>
      </c>
      <c r="F233" s="79">
        <v>5</v>
      </c>
      <c r="G233" s="107">
        <f t="shared" si="0"/>
        <v>183750</v>
      </c>
      <c r="H233" s="108"/>
      <c r="I233" s="71"/>
      <c r="J233" s="136"/>
    </row>
    <row r="234" spans="1:10">
      <c r="A234" s="135">
        <v>3830</v>
      </c>
      <c r="B234" s="78" t="s">
        <v>477</v>
      </c>
      <c r="C234" s="127" t="s">
        <v>474</v>
      </c>
      <c r="D234" s="107">
        <v>25000</v>
      </c>
      <c r="E234" s="79">
        <v>6.0000000000000001E-3</v>
      </c>
      <c r="F234" s="79">
        <v>0</v>
      </c>
      <c r="G234" s="107">
        <f t="shared" si="0"/>
        <v>150</v>
      </c>
      <c r="H234" s="108"/>
      <c r="I234" s="71"/>
      <c r="J234" s="136"/>
    </row>
    <row r="235" spans="1:10">
      <c r="A235" s="90"/>
      <c r="B235" s="91"/>
      <c r="C235" s="91"/>
      <c r="D235" s="91"/>
      <c r="E235" s="91"/>
      <c r="F235" s="70"/>
      <c r="G235" s="85" t="s">
        <v>407</v>
      </c>
      <c r="H235" s="107">
        <f>SUM(G229:G234)</f>
        <v>248550</v>
      </c>
      <c r="I235" s="71"/>
      <c r="J235" s="136"/>
    </row>
    <row r="236" spans="1:10">
      <c r="A236" s="72" t="s">
        <v>410</v>
      </c>
      <c r="B236" s="73"/>
      <c r="C236" s="73"/>
      <c r="D236" s="73"/>
      <c r="E236" s="73"/>
      <c r="F236" s="70"/>
      <c r="G236" s="74"/>
      <c r="H236" s="108"/>
      <c r="I236" s="71"/>
      <c r="J236" s="136"/>
    </row>
    <row r="237" spans="1:10">
      <c r="A237" s="75" t="s">
        <v>391</v>
      </c>
      <c r="B237" s="76" t="s">
        <v>392</v>
      </c>
      <c r="C237" s="76" t="s">
        <v>393</v>
      </c>
      <c r="D237" s="76" t="s">
        <v>394</v>
      </c>
      <c r="E237" s="76" t="s">
        <v>395</v>
      </c>
      <c r="F237" s="76" t="s">
        <v>396</v>
      </c>
      <c r="G237" s="76" t="s">
        <v>397</v>
      </c>
      <c r="H237" s="108"/>
      <c r="I237" s="71"/>
      <c r="J237" s="136"/>
    </row>
    <row r="238" spans="1:10">
      <c r="A238" s="125" t="s">
        <v>478</v>
      </c>
      <c r="B238" s="126" t="s">
        <v>479</v>
      </c>
      <c r="C238" s="127" t="s">
        <v>426</v>
      </c>
      <c r="D238" s="107">
        <f>5627*6+10300+15000</f>
        <v>59062</v>
      </c>
      <c r="E238" s="79">
        <v>0.3</v>
      </c>
      <c r="F238" s="79">
        <v>0</v>
      </c>
      <c r="G238" s="107">
        <f>(D238*E238)+((D238*E238)*F238/100)</f>
        <v>17718.599999999999</v>
      </c>
      <c r="H238" s="108"/>
      <c r="I238" s="71"/>
      <c r="J238" s="136"/>
    </row>
    <row r="239" spans="1:10">
      <c r="A239" s="90"/>
      <c r="B239" s="91"/>
      <c r="C239" s="91"/>
      <c r="D239" s="91"/>
      <c r="E239" s="91"/>
      <c r="F239" s="70"/>
      <c r="G239" s="93" t="s">
        <v>407</v>
      </c>
      <c r="H239" s="107">
        <f>SUM(G238:G238)</f>
        <v>17718.599999999999</v>
      </c>
      <c r="I239" s="71"/>
      <c r="J239" s="136"/>
    </row>
    <row r="240" spans="1:10">
      <c r="A240" s="72" t="s">
        <v>411</v>
      </c>
      <c r="B240" s="73"/>
      <c r="C240" s="73"/>
      <c r="D240" s="73"/>
      <c r="E240" s="73"/>
      <c r="F240" s="70"/>
      <c r="G240" s="74"/>
      <c r="H240" s="108"/>
      <c r="I240" s="71"/>
      <c r="J240" s="136"/>
    </row>
    <row r="241" spans="1:10">
      <c r="A241" s="75" t="s">
        <v>391</v>
      </c>
      <c r="B241" s="76" t="s">
        <v>392</v>
      </c>
      <c r="C241" s="76" t="s">
        <v>393</v>
      </c>
      <c r="D241" s="76" t="s">
        <v>394</v>
      </c>
      <c r="E241" s="76" t="s">
        <v>395</v>
      </c>
      <c r="F241" s="76" t="s">
        <v>396</v>
      </c>
      <c r="G241" s="76" t="s">
        <v>397</v>
      </c>
      <c r="H241" s="108"/>
      <c r="I241" s="71"/>
      <c r="J241" s="136"/>
    </row>
    <row r="242" spans="1:10">
      <c r="A242" s="87" t="s">
        <v>409</v>
      </c>
      <c r="B242" s="114" t="s">
        <v>409</v>
      </c>
      <c r="C242" s="114" t="s">
        <v>409</v>
      </c>
      <c r="D242" s="114" t="s">
        <v>409</v>
      </c>
      <c r="E242" s="114" t="s">
        <v>409</v>
      </c>
      <c r="F242" s="79" t="s">
        <v>409</v>
      </c>
      <c r="G242" s="89" t="s">
        <v>409</v>
      </c>
      <c r="H242" s="108"/>
      <c r="I242" s="71"/>
      <c r="J242" s="136"/>
    </row>
    <row r="243" spans="1:10">
      <c r="A243" s="94"/>
      <c r="B243" s="95"/>
      <c r="C243" s="95"/>
      <c r="D243" s="95"/>
      <c r="E243" s="95"/>
      <c r="F243" s="70"/>
      <c r="G243" s="93" t="s">
        <v>407</v>
      </c>
      <c r="H243" s="107">
        <f>SUM(G241:G242)</f>
        <v>0</v>
      </c>
      <c r="I243" s="71"/>
      <c r="J243" s="136"/>
    </row>
    <row r="244" spans="1:10">
      <c r="A244" s="94"/>
      <c r="B244" s="95"/>
      <c r="C244" s="95"/>
      <c r="D244" s="95"/>
      <c r="E244" s="95"/>
      <c r="F244" s="70"/>
      <c r="G244" s="74"/>
      <c r="H244" s="74"/>
      <c r="I244" s="71"/>
      <c r="J244" s="136"/>
    </row>
    <row r="245" spans="1:10">
      <c r="A245" s="96"/>
      <c r="B245" s="97"/>
      <c r="C245" s="98"/>
      <c r="D245" s="98"/>
      <c r="E245" s="98"/>
      <c r="F245" s="70"/>
      <c r="G245" s="99" t="s">
        <v>412</v>
      </c>
      <c r="H245" s="115">
        <f>SUM(H226:H243)</f>
        <v>281818.59999999998</v>
      </c>
      <c r="I245" s="71"/>
      <c r="J245" s="136"/>
    </row>
    <row r="246" spans="1:10">
      <c r="A246" s="96"/>
      <c r="B246" s="97"/>
      <c r="C246" s="98"/>
      <c r="D246" s="98"/>
      <c r="E246" s="98"/>
      <c r="F246" s="101"/>
      <c r="G246" s="116"/>
      <c r="H246" s="70"/>
      <c r="I246" s="71"/>
      <c r="J246" s="136"/>
    </row>
    <row r="247" spans="1:10" ht="15.75" thickBot="1">
      <c r="A247" s="624" t="s">
        <v>441</v>
      </c>
      <c r="B247" s="625"/>
      <c r="C247" s="625"/>
      <c r="D247" s="625"/>
      <c r="E247" s="625"/>
      <c r="F247" s="625"/>
      <c r="G247" s="626"/>
      <c r="H247" s="117">
        <f>+ROUND(H245,0)</f>
        <v>281819</v>
      </c>
      <c r="I247" s="103"/>
      <c r="J247" s="136"/>
    </row>
    <row r="248" spans="1:10" s="65" customFormat="1">
      <c r="A248" s="137"/>
      <c r="B248" s="138"/>
      <c r="C248" s="138"/>
      <c r="D248" s="138"/>
      <c r="E248" s="138"/>
      <c r="F248" s="138"/>
      <c r="G248" s="138"/>
    </row>
    <row r="249" spans="1:10" s="65" customFormat="1" ht="15.75" thickBot="1">
      <c r="A249" s="69"/>
      <c r="B249" s="69"/>
      <c r="C249" s="69"/>
      <c r="D249" s="69"/>
      <c r="E249" s="69"/>
    </row>
    <row r="250" spans="1:10" s="65" customFormat="1">
      <c r="A250" s="627"/>
      <c r="B250" s="634" t="s">
        <v>164</v>
      </c>
      <c r="C250" s="635"/>
      <c r="D250" s="635"/>
      <c r="E250" s="635"/>
      <c r="F250" s="635"/>
      <c r="G250" s="635"/>
      <c r="H250" s="636"/>
      <c r="I250" s="66" t="s">
        <v>389</v>
      </c>
    </row>
    <row r="251" spans="1:10" s="65" customFormat="1">
      <c r="A251" s="628"/>
      <c r="B251" s="637"/>
      <c r="C251" s="638"/>
      <c r="D251" s="638"/>
      <c r="E251" s="638"/>
      <c r="F251" s="638"/>
      <c r="G251" s="638"/>
      <c r="H251" s="639"/>
      <c r="I251" s="67" t="s">
        <v>432</v>
      </c>
    </row>
    <row r="252" spans="1:10" s="65" customFormat="1">
      <c r="A252" s="68"/>
      <c r="B252" s="69"/>
      <c r="C252" s="69"/>
      <c r="D252" s="69"/>
      <c r="E252" s="69"/>
      <c r="F252" s="70"/>
      <c r="G252" s="70"/>
      <c r="H252" s="70"/>
      <c r="I252" s="71"/>
    </row>
    <row r="253" spans="1:10" s="65" customFormat="1">
      <c r="A253" s="72" t="s">
        <v>390</v>
      </c>
      <c r="B253" s="73"/>
      <c r="C253" s="73"/>
      <c r="D253" s="73"/>
      <c r="E253" s="73"/>
      <c r="F253" s="74"/>
      <c r="G253" s="74"/>
      <c r="H253" s="70"/>
      <c r="I253" s="71"/>
    </row>
    <row r="254" spans="1:10" s="65" customFormat="1">
      <c r="A254" s="75" t="s">
        <v>391</v>
      </c>
      <c r="B254" s="76" t="s">
        <v>392</v>
      </c>
      <c r="C254" s="76" t="s">
        <v>393</v>
      </c>
      <c r="D254" s="76" t="s">
        <v>394</v>
      </c>
      <c r="E254" s="76" t="s">
        <v>395</v>
      </c>
      <c r="F254" s="76" t="s">
        <v>396</v>
      </c>
      <c r="G254" s="76" t="s">
        <v>397</v>
      </c>
      <c r="H254" s="74"/>
      <c r="I254" s="71"/>
    </row>
    <row r="255" spans="1:10" s="65" customFormat="1">
      <c r="A255" s="77" t="s">
        <v>465</v>
      </c>
      <c r="B255" s="78" t="s">
        <v>466</v>
      </c>
      <c r="C255" s="79" t="s">
        <v>437</v>
      </c>
      <c r="D255" s="107">
        <v>60000</v>
      </c>
      <c r="E255" s="79">
        <v>0.15</v>
      </c>
      <c r="F255" s="79">
        <v>0</v>
      </c>
      <c r="G255" s="107">
        <f>(D255*E255)+((D255*E255)*F255/100)</f>
        <v>9000</v>
      </c>
      <c r="H255" s="74"/>
      <c r="I255" s="71"/>
    </row>
    <row r="256" spans="1:10" s="65" customFormat="1">
      <c r="A256" s="77" t="s">
        <v>404</v>
      </c>
      <c r="B256" s="78" t="s">
        <v>405</v>
      </c>
      <c r="C256" s="79" t="s">
        <v>406</v>
      </c>
      <c r="D256" s="107">
        <v>1250</v>
      </c>
      <c r="E256" s="79">
        <v>15</v>
      </c>
      <c r="F256" s="79">
        <v>0</v>
      </c>
      <c r="G256" s="107">
        <f>(D256*E256)+((D256*E256)*F256/100)</f>
        <v>18750</v>
      </c>
      <c r="H256" s="74"/>
      <c r="I256" s="71"/>
    </row>
    <row r="257" spans="1:9" s="65" customFormat="1">
      <c r="A257" s="79" t="s">
        <v>467</v>
      </c>
      <c r="B257" s="78" t="s">
        <v>468</v>
      </c>
      <c r="C257" s="79" t="s">
        <v>437</v>
      </c>
      <c r="D257" s="107">
        <v>35000</v>
      </c>
      <c r="E257" s="79">
        <v>0.15</v>
      </c>
      <c r="F257" s="79">
        <v>0</v>
      </c>
      <c r="G257" s="107">
        <f>(D257*E257)+((D257*E257)*F257/100)</f>
        <v>5250</v>
      </c>
      <c r="I257" s="71"/>
    </row>
    <row r="258" spans="1:9" s="65" customFormat="1">
      <c r="A258" s="82"/>
      <c r="B258" s="83"/>
      <c r="C258" s="84"/>
      <c r="D258" s="84"/>
      <c r="E258" s="84"/>
      <c r="F258"/>
      <c r="G258" s="93" t="s">
        <v>407</v>
      </c>
      <c r="H258" s="107">
        <f>SUM(G255:G257)</f>
        <v>33000</v>
      </c>
      <c r="I258" s="71"/>
    </row>
    <row r="259" spans="1:9" s="65" customFormat="1">
      <c r="A259" s="72" t="s">
        <v>408</v>
      </c>
      <c r="B259" s="73"/>
      <c r="C259" s="73"/>
      <c r="D259" s="73"/>
      <c r="E259" s="73"/>
      <c r="F259"/>
      <c r="G259" s="74"/>
      <c r="H259" s="108"/>
      <c r="I259" s="71"/>
    </row>
    <row r="260" spans="1:9" s="65" customFormat="1">
      <c r="A260" s="75" t="s">
        <v>391</v>
      </c>
      <c r="B260" s="76" t="s">
        <v>392</v>
      </c>
      <c r="C260" s="76" t="s">
        <v>393</v>
      </c>
      <c r="D260" s="76" t="s">
        <v>394</v>
      </c>
      <c r="E260" s="76" t="s">
        <v>395</v>
      </c>
      <c r="F260" s="76" t="s">
        <v>396</v>
      </c>
      <c r="G260" s="76" t="s">
        <v>397</v>
      </c>
      <c r="H260" s="108"/>
      <c r="I260" s="71"/>
    </row>
    <row r="261" spans="1:9" s="65" customFormat="1">
      <c r="A261" s="135">
        <v>214</v>
      </c>
      <c r="B261" s="78" t="s">
        <v>480</v>
      </c>
      <c r="C261" s="127" t="s">
        <v>470</v>
      </c>
      <c r="D261" s="107">
        <v>12</v>
      </c>
      <c r="E261" s="79">
        <v>210</v>
      </c>
      <c r="F261" s="79">
        <v>0</v>
      </c>
      <c r="G261" s="107">
        <f t="shared" ref="G261:G267" si="1">(D261*E261)+((D261*E261)*F261/100)</f>
        <v>2520</v>
      </c>
      <c r="H261" s="108"/>
      <c r="I261" s="71"/>
    </row>
    <row r="262" spans="1:9" s="65" customFormat="1">
      <c r="A262" s="139">
        <v>224</v>
      </c>
      <c r="B262" s="78" t="s">
        <v>471</v>
      </c>
      <c r="C262" s="127" t="s">
        <v>454</v>
      </c>
      <c r="D262" s="107">
        <v>35000</v>
      </c>
      <c r="E262" s="79">
        <v>0.67</v>
      </c>
      <c r="F262" s="79">
        <v>0</v>
      </c>
      <c r="G262" s="107">
        <f t="shared" si="1"/>
        <v>23450</v>
      </c>
      <c r="H262" s="108"/>
      <c r="I262" s="71"/>
    </row>
    <row r="263" spans="1:9" s="65" customFormat="1">
      <c r="A263" s="139">
        <v>1032</v>
      </c>
      <c r="B263" s="78" t="s">
        <v>481</v>
      </c>
      <c r="C263" s="127" t="s">
        <v>474</v>
      </c>
      <c r="D263" s="107">
        <v>55500</v>
      </c>
      <c r="E263" s="79">
        <v>0.8</v>
      </c>
      <c r="F263" s="79">
        <v>0</v>
      </c>
      <c r="G263" s="107">
        <f t="shared" si="1"/>
        <v>44400</v>
      </c>
      <c r="H263" s="108"/>
      <c r="I263" s="71"/>
    </row>
    <row r="264" spans="1:9" s="65" customFormat="1">
      <c r="A264" s="139">
        <v>3282</v>
      </c>
      <c r="B264" s="78" t="s">
        <v>473</v>
      </c>
      <c r="C264" s="127" t="s">
        <v>474</v>
      </c>
      <c r="D264" s="107">
        <v>7700</v>
      </c>
      <c r="E264" s="79">
        <v>0.1</v>
      </c>
      <c r="F264" s="79">
        <v>0</v>
      </c>
      <c r="G264" s="107">
        <f t="shared" si="1"/>
        <v>770</v>
      </c>
      <c r="H264" s="108"/>
      <c r="I264" s="71"/>
    </row>
    <row r="265" spans="1:9" s="65" customFormat="1">
      <c r="A265" s="139">
        <v>3328</v>
      </c>
      <c r="B265" s="78" t="s">
        <v>482</v>
      </c>
      <c r="C265" s="127" t="s">
        <v>454</v>
      </c>
      <c r="D265" s="107">
        <v>50000</v>
      </c>
      <c r="E265" s="79">
        <v>0.87</v>
      </c>
      <c r="F265" s="79">
        <v>0</v>
      </c>
      <c r="G265" s="107">
        <f t="shared" si="1"/>
        <v>43500</v>
      </c>
      <c r="H265" s="108"/>
      <c r="I265" s="71"/>
    </row>
    <row r="266" spans="1:9" s="65" customFormat="1">
      <c r="A266" s="139">
        <v>3331</v>
      </c>
      <c r="B266" s="78" t="s">
        <v>483</v>
      </c>
      <c r="C266" s="127" t="s">
        <v>476</v>
      </c>
      <c r="D266" s="107">
        <v>25000</v>
      </c>
      <c r="E266" s="79">
        <v>8.5</v>
      </c>
      <c r="F266" s="79">
        <v>5</v>
      </c>
      <c r="G266" s="107">
        <f t="shared" si="1"/>
        <v>223125</v>
      </c>
      <c r="H266" s="108"/>
      <c r="I266" s="71"/>
    </row>
    <row r="267" spans="1:9" s="65" customFormat="1">
      <c r="A267" s="139">
        <v>5000</v>
      </c>
      <c r="B267" s="78" t="s">
        <v>484</v>
      </c>
      <c r="C267" s="127" t="s">
        <v>406</v>
      </c>
      <c r="D267" s="107">
        <v>150000</v>
      </c>
      <c r="E267" s="79">
        <v>0.9</v>
      </c>
      <c r="F267" s="79">
        <v>0</v>
      </c>
      <c r="G267" s="107">
        <f t="shared" si="1"/>
        <v>135000</v>
      </c>
      <c r="H267" s="107">
        <f>SUM(G261:G267)</f>
        <v>472765</v>
      </c>
      <c r="I267" s="71"/>
    </row>
    <row r="268" spans="1:9" s="65" customFormat="1">
      <c r="A268" s="90"/>
      <c r="B268" s="91"/>
      <c r="C268" s="91"/>
      <c r="D268" s="91"/>
      <c r="E268" s="91"/>
      <c r="F268"/>
      <c r="G268" s="85" t="s">
        <v>407</v>
      </c>
      <c r="H268" s="108"/>
      <c r="I268" s="71"/>
    </row>
    <row r="269" spans="1:9" s="65" customFormat="1">
      <c r="A269" s="72" t="s">
        <v>410</v>
      </c>
      <c r="B269" s="73"/>
      <c r="C269" s="73"/>
      <c r="D269" s="73"/>
      <c r="E269" s="73"/>
      <c r="F269"/>
      <c r="G269" s="74"/>
      <c r="H269" s="108"/>
      <c r="I269" s="71"/>
    </row>
    <row r="270" spans="1:9" s="65" customFormat="1">
      <c r="A270" s="75" t="s">
        <v>391</v>
      </c>
      <c r="B270" s="76" t="s">
        <v>392</v>
      </c>
      <c r="C270" s="76" t="s">
        <v>393</v>
      </c>
      <c r="D270" s="76" t="s">
        <v>394</v>
      </c>
      <c r="E270" s="76" t="s">
        <v>395</v>
      </c>
      <c r="F270" s="76" t="s">
        <v>396</v>
      </c>
      <c r="G270" s="76" t="s">
        <v>397</v>
      </c>
      <c r="H270" s="108"/>
      <c r="I270" s="71"/>
    </row>
    <row r="271" spans="1:9" s="65" customFormat="1">
      <c r="A271" s="125" t="s">
        <v>478</v>
      </c>
      <c r="B271" s="126" t="s">
        <v>479</v>
      </c>
      <c r="C271" s="127" t="s">
        <v>426</v>
      </c>
      <c r="D271" s="107">
        <f>5627*6+10300+15000</f>
        <v>59062</v>
      </c>
      <c r="E271" s="79">
        <v>2.8</v>
      </c>
      <c r="F271" s="79">
        <v>0</v>
      </c>
      <c r="G271" s="107">
        <f>(D271*E271)+((D271*E271)*F271/100)</f>
        <v>165373.59999999998</v>
      </c>
      <c r="H271" s="107">
        <f>SUM(G271:G271)</f>
        <v>165373.59999999998</v>
      </c>
      <c r="I271" s="71"/>
    </row>
    <row r="272" spans="1:9" s="65" customFormat="1">
      <c r="A272" s="90"/>
      <c r="B272" s="91"/>
      <c r="C272" s="91"/>
      <c r="D272" s="91"/>
      <c r="E272" s="91"/>
      <c r="F272"/>
      <c r="G272" s="93" t="s">
        <v>407</v>
      </c>
      <c r="H272" s="108"/>
      <c r="I272" s="71"/>
    </row>
    <row r="273" spans="1:9" s="65" customFormat="1">
      <c r="A273" s="72" t="s">
        <v>411</v>
      </c>
      <c r="B273" s="73"/>
      <c r="C273" s="73"/>
      <c r="D273" s="73"/>
      <c r="E273" s="73"/>
      <c r="F273"/>
      <c r="G273" s="74"/>
      <c r="H273" s="108"/>
      <c r="I273" s="71"/>
    </row>
    <row r="274" spans="1:9" s="65" customFormat="1">
      <c r="A274" s="75" t="s">
        <v>391</v>
      </c>
      <c r="B274" s="76" t="s">
        <v>392</v>
      </c>
      <c r="C274" s="76" t="s">
        <v>393</v>
      </c>
      <c r="D274" s="76" t="s">
        <v>394</v>
      </c>
      <c r="E274" s="76" t="s">
        <v>395</v>
      </c>
      <c r="F274" s="76" t="s">
        <v>396</v>
      </c>
      <c r="G274" s="76" t="s">
        <v>397</v>
      </c>
      <c r="H274" s="108"/>
      <c r="I274" s="71"/>
    </row>
    <row r="275" spans="1:9" s="65" customFormat="1">
      <c r="A275" s="87" t="s">
        <v>409</v>
      </c>
      <c r="B275" s="114" t="s">
        <v>409</v>
      </c>
      <c r="C275" s="114" t="s">
        <v>409</v>
      </c>
      <c r="D275" s="114" t="s">
        <v>409</v>
      </c>
      <c r="E275" s="114" t="s">
        <v>409</v>
      </c>
      <c r="F275" s="79" t="s">
        <v>409</v>
      </c>
      <c r="G275" s="89" t="s">
        <v>409</v>
      </c>
      <c r="H275" s="107">
        <f>SUM(G274:G275)</f>
        <v>0</v>
      </c>
      <c r="I275" s="71"/>
    </row>
    <row r="276" spans="1:9" s="65" customFormat="1">
      <c r="A276" s="94"/>
      <c r="B276" s="95"/>
      <c r="C276" s="95"/>
      <c r="D276" s="95"/>
      <c r="E276" s="95"/>
      <c r="F276"/>
      <c r="G276" s="93" t="s">
        <v>407</v>
      </c>
      <c r="H276" s="74"/>
      <c r="I276" s="71"/>
    </row>
    <row r="277" spans="1:9" s="65" customFormat="1">
      <c r="A277" s="94"/>
      <c r="B277" s="95"/>
      <c r="C277" s="95"/>
      <c r="D277" s="95"/>
      <c r="E277" s="95"/>
      <c r="F277"/>
      <c r="G277" s="74"/>
      <c r="H277" s="115">
        <f>SUM(H258:H275)</f>
        <v>671138.6</v>
      </c>
      <c r="I277" s="71"/>
    </row>
    <row r="278" spans="1:9" s="65" customFormat="1">
      <c r="A278" s="96"/>
      <c r="B278" s="97"/>
      <c r="C278" s="98"/>
      <c r="D278" s="98"/>
      <c r="E278" s="98"/>
      <c r="F278"/>
      <c r="G278" s="99" t="s">
        <v>412</v>
      </c>
      <c r="H278" s="70"/>
      <c r="I278" s="71"/>
    </row>
    <row r="279" spans="1:9" s="65" customFormat="1" ht="15.75" thickBot="1">
      <c r="A279" s="624" t="s">
        <v>441</v>
      </c>
      <c r="B279" s="625"/>
      <c r="C279" s="625"/>
      <c r="D279" s="625"/>
      <c r="E279" s="625"/>
      <c r="F279" s="625"/>
      <c r="G279" s="626"/>
      <c r="H279" s="117">
        <f>+ROUND(H277,0)</f>
        <v>671139</v>
      </c>
      <c r="I279" s="103"/>
    </row>
    <row r="280" spans="1:9" s="65" customFormat="1">
      <c r="H280" s="140"/>
    </row>
    <row r="281" spans="1:9" s="65" customFormat="1">
      <c r="A281" s="120"/>
      <c r="B281" s="73"/>
      <c r="C281" s="73"/>
      <c r="D281" s="73"/>
      <c r="E281" s="73"/>
      <c r="G281" s="121"/>
      <c r="H281" s="140"/>
    </row>
    <row r="282" spans="1:9" s="65" customFormat="1" ht="15.75" thickBot="1">
      <c r="A282" s="128"/>
      <c r="B282" s="141"/>
      <c r="C282" s="141"/>
      <c r="D282" s="141"/>
      <c r="E282" s="141"/>
      <c r="F282" s="141"/>
      <c r="G282" s="141"/>
      <c r="H282" s="140"/>
    </row>
    <row r="283" spans="1:9" s="65" customFormat="1">
      <c r="A283" s="627"/>
      <c r="B283" s="629" t="s">
        <v>485</v>
      </c>
      <c r="C283" s="630"/>
      <c r="D283" s="630"/>
      <c r="E283" s="630"/>
      <c r="F283" s="630"/>
      <c r="G283" s="630"/>
      <c r="H283" s="643"/>
      <c r="I283" s="66" t="s">
        <v>389</v>
      </c>
    </row>
    <row r="284" spans="1:9" s="65" customFormat="1">
      <c r="A284" s="628"/>
      <c r="B284" s="631"/>
      <c r="C284" s="632"/>
      <c r="D284" s="632"/>
      <c r="E284" s="632"/>
      <c r="F284" s="632"/>
      <c r="G284" s="632"/>
      <c r="H284" s="644"/>
      <c r="I284" s="67" t="s">
        <v>432</v>
      </c>
    </row>
    <row r="285" spans="1:9" s="65" customFormat="1">
      <c r="A285" s="68"/>
      <c r="B285" s="69"/>
      <c r="C285" s="69"/>
      <c r="D285" s="69"/>
      <c r="E285" s="69"/>
      <c r="F285" s="70"/>
      <c r="G285" s="70"/>
      <c r="H285" s="70"/>
      <c r="I285" s="71"/>
    </row>
    <row r="286" spans="1:9" s="65" customFormat="1">
      <c r="A286" s="72" t="s">
        <v>390</v>
      </c>
      <c r="B286" s="73"/>
      <c r="C286" s="73"/>
      <c r="D286" s="73"/>
      <c r="E286" s="73"/>
      <c r="F286" s="74"/>
      <c r="G286" s="74"/>
      <c r="H286" s="70"/>
      <c r="I286" s="71"/>
    </row>
    <row r="287" spans="1:9" s="65" customFormat="1">
      <c r="A287" s="75" t="s">
        <v>391</v>
      </c>
      <c r="B287" s="76" t="s">
        <v>392</v>
      </c>
      <c r="C287" s="76" t="s">
        <v>393</v>
      </c>
      <c r="D287" s="76" t="s">
        <v>394</v>
      </c>
      <c r="E287" s="76" t="s">
        <v>395</v>
      </c>
      <c r="F287" s="76" t="s">
        <v>396</v>
      </c>
      <c r="G287" s="76" t="s">
        <v>397</v>
      </c>
      <c r="H287" s="74"/>
      <c r="I287" s="71"/>
    </row>
    <row r="288" spans="1:9" s="65" customFormat="1">
      <c r="A288" s="77" t="s">
        <v>465</v>
      </c>
      <c r="B288" s="78" t="s">
        <v>466</v>
      </c>
      <c r="C288" s="79" t="s">
        <v>437</v>
      </c>
      <c r="D288" s="107">
        <v>60000</v>
      </c>
      <c r="E288" s="79">
        <v>0.15</v>
      </c>
      <c r="F288" s="79">
        <v>0</v>
      </c>
      <c r="G288" s="107">
        <f>(D288*E288)+((D288*E288)*F288/100)</f>
        <v>9000</v>
      </c>
      <c r="H288" s="74"/>
      <c r="I288" s="71"/>
    </row>
    <row r="289" spans="1:9" s="65" customFormat="1">
      <c r="A289" s="77" t="s">
        <v>404</v>
      </c>
      <c r="B289" s="78" t="s">
        <v>405</v>
      </c>
      <c r="C289" s="79" t="s">
        <v>406</v>
      </c>
      <c r="D289" s="107">
        <v>1250</v>
      </c>
      <c r="E289" s="79">
        <v>25</v>
      </c>
      <c r="F289" s="79">
        <v>0</v>
      </c>
      <c r="G289" s="107">
        <f>(D289*E289)+((D289*E289)*F289/100)</f>
        <v>31250</v>
      </c>
      <c r="H289" s="74"/>
      <c r="I289" s="71"/>
    </row>
    <row r="290" spans="1:9" s="65" customFormat="1">
      <c r="A290" s="79" t="s">
        <v>467</v>
      </c>
      <c r="B290" s="78" t="s">
        <v>468</v>
      </c>
      <c r="C290" s="79" t="s">
        <v>437</v>
      </c>
      <c r="D290" s="107">
        <v>35000</v>
      </c>
      <c r="E290" s="79">
        <v>0.15</v>
      </c>
      <c r="F290" s="79">
        <v>0</v>
      </c>
      <c r="G290" s="107">
        <f>(D290*E290)+((D290*E290)*F290/100)</f>
        <v>5250</v>
      </c>
      <c r="H290" s="74"/>
      <c r="I290" s="71"/>
    </row>
    <row r="291" spans="1:9" s="65" customFormat="1">
      <c r="A291" s="82"/>
      <c r="B291" s="83"/>
      <c r="C291" s="84"/>
      <c r="D291" s="84"/>
      <c r="E291" s="84"/>
      <c r="F291"/>
      <c r="G291" s="93" t="s">
        <v>407</v>
      </c>
      <c r="H291" s="107">
        <f>SUM(G288:G290)</f>
        <v>45500</v>
      </c>
      <c r="I291" s="71"/>
    </row>
    <row r="292" spans="1:9" s="65" customFormat="1">
      <c r="A292" s="72" t="s">
        <v>408</v>
      </c>
      <c r="B292" s="73"/>
      <c r="C292" s="73"/>
      <c r="D292" s="73"/>
      <c r="E292" s="73"/>
      <c r="F292"/>
      <c r="G292" s="74"/>
      <c r="H292" s="108"/>
      <c r="I292" s="71"/>
    </row>
    <row r="293" spans="1:9" s="65" customFormat="1">
      <c r="A293" s="75" t="s">
        <v>391</v>
      </c>
      <c r="B293" s="76" t="s">
        <v>392</v>
      </c>
      <c r="C293" s="76" t="s">
        <v>393</v>
      </c>
      <c r="D293" s="76" t="s">
        <v>394</v>
      </c>
      <c r="E293" s="76" t="s">
        <v>395</v>
      </c>
      <c r="F293" s="76" t="s">
        <v>396</v>
      </c>
      <c r="G293" s="76" t="s">
        <v>397</v>
      </c>
      <c r="H293" s="108"/>
      <c r="I293" s="71"/>
    </row>
    <row r="294" spans="1:9" s="65" customFormat="1">
      <c r="A294" s="135">
        <v>214</v>
      </c>
      <c r="B294" s="78" t="s">
        <v>480</v>
      </c>
      <c r="C294" s="127" t="s">
        <v>470</v>
      </c>
      <c r="D294" s="107">
        <v>12</v>
      </c>
      <c r="E294" s="79">
        <v>210</v>
      </c>
      <c r="F294" s="79">
        <v>0</v>
      </c>
      <c r="G294" s="107">
        <f t="shared" ref="G294:G300" si="2">(D294*E294)+((D294*E294)*F294/100)</f>
        <v>2520</v>
      </c>
      <c r="H294" s="108"/>
      <c r="I294" s="71"/>
    </row>
    <row r="295" spans="1:9" s="65" customFormat="1">
      <c r="A295" s="139">
        <v>224</v>
      </c>
      <c r="B295" s="78" t="s">
        <v>471</v>
      </c>
      <c r="C295" s="127" t="s">
        <v>454</v>
      </c>
      <c r="D295" s="107">
        <v>35000</v>
      </c>
      <c r="E295" s="79">
        <v>0.67</v>
      </c>
      <c r="F295" s="79">
        <v>0</v>
      </c>
      <c r="G295" s="107">
        <f t="shared" si="2"/>
        <v>23450</v>
      </c>
      <c r="H295" s="108"/>
      <c r="I295" s="71"/>
    </row>
    <row r="296" spans="1:9" s="65" customFormat="1">
      <c r="A296" s="139">
        <v>1032</v>
      </c>
      <c r="B296" s="78" t="s">
        <v>481</v>
      </c>
      <c r="C296" s="127" t="s">
        <v>474</v>
      </c>
      <c r="D296" s="107">
        <v>55500</v>
      </c>
      <c r="E296" s="79">
        <v>0.8</v>
      </c>
      <c r="F296" s="79">
        <v>0</v>
      </c>
      <c r="G296" s="107">
        <f t="shared" si="2"/>
        <v>44400</v>
      </c>
      <c r="H296" s="108"/>
      <c r="I296" s="71"/>
    </row>
    <row r="297" spans="1:9" s="65" customFormat="1">
      <c r="A297" s="139">
        <v>3282</v>
      </c>
      <c r="B297" s="78" t="s">
        <v>473</v>
      </c>
      <c r="C297" s="127" t="s">
        <v>474</v>
      </c>
      <c r="D297" s="107">
        <v>7700</v>
      </c>
      <c r="E297" s="79">
        <v>0.1</v>
      </c>
      <c r="F297" s="79">
        <v>0</v>
      </c>
      <c r="G297" s="107">
        <f t="shared" si="2"/>
        <v>770</v>
      </c>
      <c r="H297" s="108"/>
      <c r="I297" s="71"/>
    </row>
    <row r="298" spans="1:9" s="65" customFormat="1">
      <c r="A298" s="139">
        <v>3328</v>
      </c>
      <c r="B298" s="78" t="s">
        <v>482</v>
      </c>
      <c r="C298" s="127" t="s">
        <v>454</v>
      </c>
      <c r="D298" s="107">
        <v>50000</v>
      </c>
      <c r="E298" s="79">
        <v>0.87</v>
      </c>
      <c r="F298" s="79">
        <v>0</v>
      </c>
      <c r="G298" s="107">
        <f t="shared" si="2"/>
        <v>43500</v>
      </c>
      <c r="H298" s="108"/>
      <c r="I298" s="71"/>
    </row>
    <row r="299" spans="1:9" s="65" customFormat="1">
      <c r="A299" s="139">
        <v>3331</v>
      </c>
      <c r="B299" s="78" t="s">
        <v>483</v>
      </c>
      <c r="C299" s="127" t="s">
        <v>476</v>
      </c>
      <c r="D299" s="107">
        <v>25000</v>
      </c>
      <c r="E299" s="79">
        <v>8.5</v>
      </c>
      <c r="F299" s="79">
        <v>5</v>
      </c>
      <c r="G299" s="107">
        <f t="shared" si="2"/>
        <v>223125</v>
      </c>
      <c r="H299" s="108"/>
      <c r="I299" s="71"/>
    </row>
    <row r="300" spans="1:9" s="65" customFormat="1">
      <c r="A300" s="139">
        <v>5000</v>
      </c>
      <c r="B300" s="78" t="s">
        <v>484</v>
      </c>
      <c r="C300" s="127" t="s">
        <v>406</v>
      </c>
      <c r="D300" s="107">
        <v>150000</v>
      </c>
      <c r="E300" s="79">
        <v>1.1000000000000001</v>
      </c>
      <c r="F300" s="79">
        <v>0</v>
      </c>
      <c r="G300" s="107">
        <f t="shared" si="2"/>
        <v>165000</v>
      </c>
      <c r="H300" s="108"/>
      <c r="I300" s="71"/>
    </row>
    <row r="301" spans="1:9" s="65" customFormat="1">
      <c r="A301" s="90"/>
      <c r="B301" s="91"/>
      <c r="C301" s="91"/>
      <c r="D301" s="91"/>
      <c r="E301" s="91"/>
      <c r="F301"/>
      <c r="G301" s="85" t="s">
        <v>407</v>
      </c>
      <c r="H301" s="107">
        <f>SUM(G294:G300)</f>
        <v>502765</v>
      </c>
      <c r="I301" s="71"/>
    </row>
    <row r="302" spans="1:9" s="65" customFormat="1">
      <c r="A302" s="72" t="s">
        <v>410</v>
      </c>
      <c r="B302" s="73"/>
      <c r="C302" s="73"/>
      <c r="D302" s="73"/>
      <c r="E302" s="73"/>
      <c r="F302"/>
      <c r="G302" s="74"/>
      <c r="H302" s="108"/>
      <c r="I302" s="71"/>
    </row>
    <row r="303" spans="1:9" s="65" customFormat="1">
      <c r="A303" s="75" t="s">
        <v>391</v>
      </c>
      <c r="B303" s="76" t="s">
        <v>392</v>
      </c>
      <c r="C303" s="76" t="s">
        <v>393</v>
      </c>
      <c r="D303" s="76" t="s">
        <v>394</v>
      </c>
      <c r="E303" s="76" t="s">
        <v>395</v>
      </c>
      <c r="F303" s="76" t="s">
        <v>396</v>
      </c>
      <c r="G303" s="76" t="s">
        <v>397</v>
      </c>
      <c r="H303" s="108"/>
      <c r="I303" s="71"/>
    </row>
    <row r="304" spans="1:9" s="65" customFormat="1">
      <c r="A304" s="125" t="s">
        <v>478</v>
      </c>
      <c r="B304" s="126" t="s">
        <v>479</v>
      </c>
      <c r="C304" s="127" t="s">
        <v>426</v>
      </c>
      <c r="D304" s="107">
        <f>5627*6+10300+15000</f>
        <v>59062</v>
      </c>
      <c r="E304" s="79">
        <v>3.2</v>
      </c>
      <c r="F304" s="79">
        <v>0</v>
      </c>
      <c r="G304" s="107">
        <f>(D304*E304)+((D304*E304)*F304/100)</f>
        <v>188998.40000000002</v>
      </c>
      <c r="H304" s="108"/>
      <c r="I304" s="71"/>
    </row>
    <row r="305" spans="1:9" s="65" customFormat="1">
      <c r="A305" s="90"/>
      <c r="B305" s="91"/>
      <c r="C305" s="91"/>
      <c r="D305" s="91"/>
      <c r="E305" s="91"/>
      <c r="F305"/>
      <c r="G305" s="93" t="s">
        <v>407</v>
      </c>
      <c r="H305" s="107">
        <f>SUM(G304:G304)</f>
        <v>188998.40000000002</v>
      </c>
      <c r="I305" s="71"/>
    </row>
    <row r="306" spans="1:9" s="65" customFormat="1">
      <c r="A306" s="72" t="s">
        <v>411</v>
      </c>
      <c r="B306" s="73"/>
      <c r="C306" s="73"/>
      <c r="D306" s="73"/>
      <c r="E306" s="73"/>
      <c r="F306"/>
      <c r="G306" s="74"/>
      <c r="H306" s="108"/>
      <c r="I306" s="71"/>
    </row>
    <row r="307" spans="1:9" s="65" customFormat="1">
      <c r="A307" s="75" t="s">
        <v>391</v>
      </c>
      <c r="B307" s="76" t="s">
        <v>392</v>
      </c>
      <c r="C307" s="76" t="s">
        <v>393</v>
      </c>
      <c r="D307" s="76" t="s">
        <v>394</v>
      </c>
      <c r="E307" s="76" t="s">
        <v>395</v>
      </c>
      <c r="F307" s="76" t="s">
        <v>396</v>
      </c>
      <c r="G307" s="76" t="s">
        <v>397</v>
      </c>
      <c r="H307" s="108"/>
      <c r="I307" s="71"/>
    </row>
    <row r="308" spans="1:9" s="65" customFormat="1">
      <c r="A308" s="87" t="s">
        <v>409</v>
      </c>
      <c r="B308" s="114" t="s">
        <v>409</v>
      </c>
      <c r="C308" s="114" t="s">
        <v>409</v>
      </c>
      <c r="D308" s="114" t="s">
        <v>409</v>
      </c>
      <c r="E308" s="114" t="s">
        <v>409</v>
      </c>
      <c r="F308" s="79" t="s">
        <v>409</v>
      </c>
      <c r="G308" s="89" t="s">
        <v>409</v>
      </c>
      <c r="H308" s="108"/>
      <c r="I308" s="71"/>
    </row>
    <row r="309" spans="1:9" s="65" customFormat="1">
      <c r="A309" s="94"/>
      <c r="B309" s="95"/>
      <c r="C309" s="95"/>
      <c r="D309" s="95"/>
      <c r="E309" s="95"/>
      <c r="F309"/>
      <c r="G309" s="93" t="s">
        <v>407</v>
      </c>
      <c r="H309" s="107">
        <f>SUM(G307:G308)</f>
        <v>0</v>
      </c>
      <c r="I309" s="71"/>
    </row>
    <row r="310" spans="1:9" s="65" customFormat="1">
      <c r="A310" s="94"/>
      <c r="B310" s="95"/>
      <c r="C310" s="95"/>
      <c r="D310" s="95"/>
      <c r="E310" s="95"/>
      <c r="F310"/>
      <c r="G310" s="74"/>
      <c r="H310" s="74"/>
      <c r="I310" s="71"/>
    </row>
    <row r="311" spans="1:9" s="65" customFormat="1">
      <c r="A311" s="96"/>
      <c r="B311" s="97"/>
      <c r="C311" s="98"/>
      <c r="D311" s="98"/>
      <c r="E311" s="98"/>
      <c r="F311"/>
      <c r="G311" s="99" t="s">
        <v>412</v>
      </c>
      <c r="H311" s="115">
        <f>SUM(H291:H309)</f>
        <v>737263.4</v>
      </c>
      <c r="I311" s="71"/>
    </row>
    <row r="312" spans="1:9" s="65" customFormat="1">
      <c r="A312" s="96"/>
      <c r="B312" s="97"/>
      <c r="C312" s="98"/>
      <c r="D312" s="98"/>
      <c r="E312" s="98"/>
      <c r="F312" s="101"/>
      <c r="G312" s="116"/>
      <c r="H312" s="70"/>
      <c r="I312" s="71"/>
    </row>
    <row r="313" spans="1:9" s="65" customFormat="1" ht="15.75" thickBot="1">
      <c r="A313" s="624" t="s">
        <v>441</v>
      </c>
      <c r="B313" s="625"/>
      <c r="C313" s="625"/>
      <c r="D313" s="625"/>
      <c r="E313" s="625"/>
      <c r="F313" s="625"/>
      <c r="G313" s="626"/>
      <c r="H313" s="117">
        <f>+ROUND(H311,0)</f>
        <v>737263</v>
      </c>
      <c r="I313" s="103"/>
    </row>
    <row r="314" spans="1:9" s="65" customFormat="1">
      <c r="A314" s="91"/>
      <c r="B314" s="91"/>
      <c r="C314" s="91"/>
      <c r="D314" s="91"/>
      <c r="E314" s="91"/>
      <c r="G314" s="104"/>
      <c r="H314" s="140"/>
    </row>
    <row r="315" spans="1:9" s="65" customFormat="1" ht="15.75" thickBot="1">
      <c r="A315" s="120"/>
      <c r="B315" s="73"/>
      <c r="C315" s="73"/>
      <c r="D315" s="73"/>
      <c r="E315" s="73"/>
      <c r="G315" s="121"/>
      <c r="H315" s="140"/>
    </row>
    <row r="316" spans="1:9" s="65" customFormat="1">
      <c r="A316" s="627"/>
      <c r="B316" s="629" t="s">
        <v>61</v>
      </c>
      <c r="C316" s="630"/>
      <c r="D316" s="630"/>
      <c r="E316" s="630"/>
      <c r="F316" s="630"/>
      <c r="G316" s="630"/>
      <c r="H316" s="643"/>
      <c r="I316" s="66" t="s">
        <v>389</v>
      </c>
    </row>
    <row r="317" spans="1:9" s="65" customFormat="1">
      <c r="A317" s="628"/>
      <c r="B317" s="631"/>
      <c r="C317" s="632"/>
      <c r="D317" s="632"/>
      <c r="E317" s="632"/>
      <c r="F317" s="632"/>
      <c r="G317" s="632"/>
      <c r="H317" s="644"/>
      <c r="I317" s="67" t="s">
        <v>486</v>
      </c>
    </row>
    <row r="318" spans="1:9" s="65" customFormat="1">
      <c r="A318" s="68"/>
      <c r="B318" s="69"/>
      <c r="C318" s="69"/>
      <c r="D318" s="69"/>
      <c r="E318" s="69"/>
      <c r="F318" s="70"/>
      <c r="G318" s="70"/>
      <c r="H318" s="70"/>
      <c r="I318" s="71"/>
    </row>
    <row r="319" spans="1:9" s="65" customFormat="1">
      <c r="A319" s="72" t="s">
        <v>390</v>
      </c>
      <c r="B319" s="73"/>
      <c r="C319" s="73"/>
      <c r="D319" s="73"/>
      <c r="E319" s="73"/>
      <c r="F319" s="74"/>
      <c r="G319" s="74"/>
      <c r="H319" s="70"/>
      <c r="I319" s="71"/>
    </row>
    <row r="320" spans="1:9" s="65" customFormat="1">
      <c r="A320" s="75" t="s">
        <v>391</v>
      </c>
      <c r="B320" s="76" t="s">
        <v>392</v>
      </c>
      <c r="C320" s="76" t="s">
        <v>393</v>
      </c>
      <c r="D320" s="76" t="s">
        <v>394</v>
      </c>
      <c r="E320" s="76" t="s">
        <v>395</v>
      </c>
      <c r="F320" s="76" t="s">
        <v>396</v>
      </c>
      <c r="G320" s="76" t="s">
        <v>397</v>
      </c>
      <c r="H320" s="74"/>
      <c r="I320" s="71"/>
    </row>
    <row r="321" spans="1:9" s="65" customFormat="1">
      <c r="A321" s="77" t="s">
        <v>409</v>
      </c>
      <c r="B321" s="79" t="s">
        <v>409</v>
      </c>
      <c r="C321" s="79" t="s">
        <v>409</v>
      </c>
      <c r="D321" s="79" t="s">
        <v>409</v>
      </c>
      <c r="E321" s="79" t="s">
        <v>409</v>
      </c>
      <c r="F321" s="79" t="s">
        <v>409</v>
      </c>
      <c r="G321" s="89" t="s">
        <v>409</v>
      </c>
      <c r="H321" s="74"/>
      <c r="I321" s="71"/>
    </row>
    <row r="322" spans="1:9" s="65" customFormat="1">
      <c r="A322" s="82"/>
      <c r="B322" s="83"/>
      <c r="C322" s="84"/>
      <c r="D322" s="84"/>
      <c r="E322" s="84"/>
      <c r="F322"/>
      <c r="G322" s="93" t="s">
        <v>407</v>
      </c>
      <c r="H322" s="107">
        <f>SUM(G321:G321)</f>
        <v>0</v>
      </c>
      <c r="I322" s="71"/>
    </row>
    <row r="323" spans="1:9" s="65" customFormat="1">
      <c r="A323" s="72" t="s">
        <v>408</v>
      </c>
      <c r="B323" s="73"/>
      <c r="C323" s="73"/>
      <c r="D323" s="73"/>
      <c r="E323" s="73"/>
      <c r="F323"/>
      <c r="G323" s="74"/>
      <c r="H323" s="108"/>
      <c r="I323" s="71"/>
    </row>
    <row r="324" spans="1:9" s="65" customFormat="1">
      <c r="A324" s="75" t="s">
        <v>391</v>
      </c>
      <c r="B324" s="76" t="s">
        <v>392</v>
      </c>
      <c r="C324" s="76" t="s">
        <v>393</v>
      </c>
      <c r="D324" s="76" t="s">
        <v>394</v>
      </c>
      <c r="E324" s="76" t="s">
        <v>395</v>
      </c>
      <c r="F324" s="76" t="s">
        <v>396</v>
      </c>
      <c r="G324" s="76" t="s">
        <v>397</v>
      </c>
      <c r="H324" s="108"/>
      <c r="I324" s="71"/>
    </row>
    <row r="325" spans="1:9" s="65" customFormat="1" ht="25.5">
      <c r="A325" s="135">
        <v>111</v>
      </c>
      <c r="B325" s="78" t="s">
        <v>487</v>
      </c>
      <c r="C325" s="127" t="s">
        <v>423</v>
      </c>
      <c r="D325" s="107">
        <v>3100</v>
      </c>
      <c r="E325" s="79">
        <v>0.03</v>
      </c>
      <c r="F325" s="79">
        <v>0</v>
      </c>
      <c r="G325" s="107">
        <f>(D325*E325)+((D325*E325)*F325/100)</f>
        <v>93</v>
      </c>
      <c r="H325" s="108"/>
      <c r="I325" s="71"/>
    </row>
    <row r="326" spans="1:9" s="65" customFormat="1">
      <c r="A326" s="139">
        <v>2458</v>
      </c>
      <c r="B326" s="78" t="s">
        <v>488</v>
      </c>
      <c r="C326" s="127" t="s">
        <v>157</v>
      </c>
      <c r="D326" s="107">
        <v>2552</v>
      </c>
      <c r="E326" s="79">
        <v>0.03</v>
      </c>
      <c r="F326" s="79">
        <v>0</v>
      </c>
      <c r="G326" s="107">
        <f>(D326*E326)+((D326*E326)*F326/100)</f>
        <v>76.56</v>
      </c>
      <c r="H326" s="108"/>
      <c r="I326" s="71"/>
    </row>
    <row r="327" spans="1:9" s="65" customFormat="1">
      <c r="A327" s="139">
        <v>3999</v>
      </c>
      <c r="B327" s="78" t="s">
        <v>489</v>
      </c>
      <c r="C327" s="127" t="s">
        <v>423</v>
      </c>
      <c r="D327" s="107">
        <v>2550</v>
      </c>
      <c r="E327" s="79">
        <v>1</v>
      </c>
      <c r="F327" s="79">
        <v>3</v>
      </c>
      <c r="G327" s="107">
        <f>(D327*E327)+((D327*E327)*F327/100)</f>
        <v>2626.5</v>
      </c>
      <c r="H327" s="108"/>
      <c r="I327" s="71"/>
    </row>
    <row r="328" spans="1:9" s="65" customFormat="1">
      <c r="A328" s="90"/>
      <c r="B328" s="91"/>
      <c r="C328" s="91"/>
      <c r="D328" s="91"/>
      <c r="E328" s="91"/>
      <c r="F328"/>
      <c r="G328" s="85" t="s">
        <v>407</v>
      </c>
      <c r="H328" s="107">
        <f>SUM(G325:G327)</f>
        <v>2796.06</v>
      </c>
      <c r="I328" s="71"/>
    </row>
    <row r="329" spans="1:9" s="65" customFormat="1">
      <c r="A329" s="72" t="s">
        <v>410</v>
      </c>
      <c r="B329" s="73"/>
      <c r="C329" s="73"/>
      <c r="D329" s="73"/>
      <c r="E329" s="73"/>
      <c r="F329"/>
      <c r="G329" s="74"/>
      <c r="H329" s="108"/>
      <c r="I329" s="71"/>
    </row>
    <row r="330" spans="1:9" s="65" customFormat="1">
      <c r="A330" s="75" t="s">
        <v>391</v>
      </c>
      <c r="B330" s="76" t="s">
        <v>392</v>
      </c>
      <c r="C330" s="76" t="s">
        <v>393</v>
      </c>
      <c r="D330" s="76" t="s">
        <v>394</v>
      </c>
      <c r="E330" s="76" t="s">
        <v>395</v>
      </c>
      <c r="F330" s="76" t="s">
        <v>396</v>
      </c>
      <c r="G330" s="76" t="s">
        <v>397</v>
      </c>
      <c r="H330" s="108"/>
      <c r="I330" s="71"/>
    </row>
    <row r="331" spans="1:9" s="65" customFormat="1">
      <c r="A331" s="125" t="s">
        <v>438</v>
      </c>
      <c r="B331" s="126" t="s">
        <v>490</v>
      </c>
      <c r="C331" s="127" t="s">
        <v>426</v>
      </c>
      <c r="D331" s="107">
        <v>5627</v>
      </c>
      <c r="E331" s="79">
        <v>7.1999999999999995E-2</v>
      </c>
      <c r="F331" s="79">
        <v>0</v>
      </c>
      <c r="G331" s="107">
        <f>(D331*E331)+((D331*E331)*F331/100)</f>
        <v>405.14399999999995</v>
      </c>
      <c r="H331" s="108"/>
      <c r="I331" s="71"/>
    </row>
    <row r="332" spans="1:9" s="65" customFormat="1">
      <c r="A332" s="90"/>
      <c r="B332" s="91"/>
      <c r="C332" s="91"/>
      <c r="D332" s="91"/>
      <c r="E332" s="91"/>
      <c r="F332"/>
      <c r="G332" s="93" t="s">
        <v>407</v>
      </c>
      <c r="H332" s="107">
        <f>SUM(G331:G331)</f>
        <v>405.14399999999995</v>
      </c>
      <c r="I332" s="71"/>
    </row>
    <row r="333" spans="1:9" s="65" customFormat="1">
      <c r="A333" s="72" t="s">
        <v>411</v>
      </c>
      <c r="B333" s="73"/>
      <c r="C333" s="73"/>
      <c r="D333" s="73"/>
      <c r="E333" s="73"/>
      <c r="F333"/>
      <c r="G333" s="74"/>
      <c r="H333" s="108"/>
      <c r="I333" s="71"/>
    </row>
    <row r="334" spans="1:9" s="65" customFormat="1">
      <c r="A334" s="75" t="s">
        <v>391</v>
      </c>
      <c r="B334" s="76" t="s">
        <v>392</v>
      </c>
      <c r="C334" s="76" t="s">
        <v>393</v>
      </c>
      <c r="D334" s="76" t="s">
        <v>394</v>
      </c>
      <c r="E334" s="76" t="s">
        <v>395</v>
      </c>
      <c r="F334" s="76" t="s">
        <v>396</v>
      </c>
      <c r="G334" s="76" t="s">
        <v>397</v>
      </c>
      <c r="H334" s="108"/>
      <c r="I334" s="71"/>
    </row>
    <row r="335" spans="1:9" s="65" customFormat="1">
      <c r="A335" s="87" t="s">
        <v>409</v>
      </c>
      <c r="B335" s="114" t="s">
        <v>409</v>
      </c>
      <c r="C335" s="114" t="s">
        <v>409</v>
      </c>
      <c r="D335" s="114" t="s">
        <v>409</v>
      </c>
      <c r="E335" s="114" t="s">
        <v>409</v>
      </c>
      <c r="F335" s="79" t="s">
        <v>409</v>
      </c>
      <c r="G335" s="89" t="s">
        <v>409</v>
      </c>
      <c r="H335" s="108"/>
      <c r="I335" s="71"/>
    </row>
    <row r="336" spans="1:9" s="65" customFormat="1">
      <c r="A336" s="94"/>
      <c r="B336" s="95"/>
      <c r="C336" s="95"/>
      <c r="D336" s="95"/>
      <c r="E336" s="95"/>
      <c r="F336"/>
      <c r="G336" s="93" t="s">
        <v>407</v>
      </c>
      <c r="H336" s="107">
        <f>SUM(G334:G335)</f>
        <v>0</v>
      </c>
      <c r="I336" s="71"/>
    </row>
    <row r="337" spans="1:9" s="65" customFormat="1">
      <c r="A337" s="94"/>
      <c r="B337" s="95"/>
      <c r="C337" s="95"/>
      <c r="D337" s="95"/>
      <c r="E337" s="95"/>
      <c r="F337"/>
      <c r="G337" s="74"/>
      <c r="H337" s="74"/>
      <c r="I337" s="71"/>
    </row>
    <row r="338" spans="1:9" s="65" customFormat="1">
      <c r="A338" s="96"/>
      <c r="B338" s="97"/>
      <c r="C338" s="98"/>
      <c r="D338" s="98"/>
      <c r="E338" s="98"/>
      <c r="F338"/>
      <c r="G338" s="99" t="s">
        <v>412</v>
      </c>
      <c r="H338" s="115">
        <f>SUM(H322:H336)</f>
        <v>3201.2039999999997</v>
      </c>
      <c r="I338" s="71"/>
    </row>
    <row r="339" spans="1:9" s="65" customFormat="1">
      <c r="A339" s="96"/>
      <c r="B339" s="97"/>
      <c r="C339" s="98"/>
      <c r="D339" s="98"/>
      <c r="E339" s="98"/>
      <c r="F339" s="101"/>
      <c r="G339" s="116"/>
      <c r="H339" s="70"/>
      <c r="I339" s="71"/>
    </row>
    <row r="340" spans="1:9" s="65" customFormat="1" ht="15.75" thickBot="1">
      <c r="A340" s="624" t="s">
        <v>491</v>
      </c>
      <c r="B340" s="625"/>
      <c r="C340" s="625"/>
      <c r="D340" s="625"/>
      <c r="E340" s="625"/>
      <c r="F340" s="625"/>
      <c r="G340" s="626"/>
      <c r="H340" s="117">
        <f>+ROUND(H338,0)</f>
        <v>3201</v>
      </c>
      <c r="I340" s="103"/>
    </row>
    <row r="341" spans="1:9" s="65" customFormat="1">
      <c r="A341" s="128"/>
      <c r="B341" s="141"/>
      <c r="C341" s="141"/>
      <c r="D341" s="141"/>
      <c r="E341" s="141"/>
      <c r="F341" s="141"/>
      <c r="G341" s="141"/>
      <c r="H341" s="140"/>
    </row>
    <row r="342" spans="1:9" s="65" customFormat="1" ht="15.75" thickBot="1">
      <c r="A342" s="142"/>
      <c r="B342" s="143"/>
      <c r="C342" s="143"/>
      <c r="D342" s="143"/>
      <c r="E342" s="143"/>
      <c r="F342" s="84"/>
      <c r="G342" s="144"/>
      <c r="H342" s="145"/>
    </row>
    <row r="343" spans="1:9" s="65" customFormat="1">
      <c r="A343" s="627"/>
      <c r="B343" s="629" t="s">
        <v>795</v>
      </c>
      <c r="C343" s="630"/>
      <c r="D343" s="630"/>
      <c r="E343" s="630"/>
      <c r="F343" s="630"/>
      <c r="G343" s="630"/>
      <c r="H343" s="643"/>
      <c r="I343" s="66" t="s">
        <v>389</v>
      </c>
    </row>
    <row r="344" spans="1:9" s="65" customFormat="1">
      <c r="A344" s="628"/>
      <c r="B344" s="631"/>
      <c r="C344" s="632"/>
      <c r="D344" s="632"/>
      <c r="E344" s="632"/>
      <c r="F344" s="632"/>
      <c r="G344" s="632"/>
      <c r="H344" s="644"/>
      <c r="I344" s="67" t="s">
        <v>8</v>
      </c>
    </row>
    <row r="345" spans="1:9" s="65" customFormat="1">
      <c r="A345" s="68"/>
      <c r="B345" s="69"/>
      <c r="C345" s="69"/>
      <c r="D345" s="69"/>
      <c r="E345" s="69"/>
      <c r="F345" s="70"/>
      <c r="G345" s="70"/>
      <c r="H345" s="70"/>
      <c r="I345" s="71"/>
    </row>
    <row r="346" spans="1:9" s="65" customFormat="1">
      <c r="A346" s="72" t="s">
        <v>390</v>
      </c>
      <c r="B346" s="73"/>
      <c r="C346" s="73"/>
      <c r="D346" s="73"/>
      <c r="E346" s="73"/>
      <c r="F346" s="74"/>
      <c r="G346" s="74"/>
      <c r="H346" s="70"/>
      <c r="I346" s="71"/>
    </row>
    <row r="347" spans="1:9" s="65" customFormat="1">
      <c r="A347" s="75" t="s">
        <v>391</v>
      </c>
      <c r="B347" s="76" t="s">
        <v>392</v>
      </c>
      <c r="C347" s="76" t="s">
        <v>393</v>
      </c>
      <c r="D347" s="76" t="s">
        <v>394</v>
      </c>
      <c r="E347" s="76" t="s">
        <v>395</v>
      </c>
      <c r="F347" s="76" t="s">
        <v>396</v>
      </c>
      <c r="G347" s="76" t="s">
        <v>397</v>
      </c>
      <c r="H347" s="74"/>
      <c r="I347" s="71"/>
    </row>
    <row r="348" spans="1:9" s="65" customFormat="1">
      <c r="A348" s="77" t="s">
        <v>404</v>
      </c>
      <c r="B348" s="79" t="s">
        <v>405</v>
      </c>
      <c r="C348" s="79" t="s">
        <v>406</v>
      </c>
      <c r="D348" s="107">
        <v>1250</v>
      </c>
      <c r="E348" s="79">
        <v>0.5</v>
      </c>
      <c r="F348" s="79">
        <v>0</v>
      </c>
      <c r="G348" s="107">
        <f>(D348*E348)+((D348*E348)*F348/100)</f>
        <v>625</v>
      </c>
      <c r="H348" s="74"/>
      <c r="I348" s="71"/>
    </row>
    <row r="349" spans="1:9" s="65" customFormat="1">
      <c r="A349" s="82"/>
      <c r="B349" s="83"/>
      <c r="C349" s="84"/>
      <c r="D349" s="84"/>
      <c r="E349" s="84"/>
      <c r="F349"/>
      <c r="G349" s="93" t="s">
        <v>407</v>
      </c>
      <c r="H349" s="107">
        <f>SUM(G348:G348)</f>
        <v>625</v>
      </c>
      <c r="I349" s="71"/>
    </row>
    <row r="350" spans="1:9" s="65" customFormat="1">
      <c r="A350" s="72" t="s">
        <v>408</v>
      </c>
      <c r="B350" s="73"/>
      <c r="C350" s="73"/>
      <c r="D350" s="73"/>
      <c r="E350" s="73"/>
      <c r="F350"/>
      <c r="G350" s="74"/>
      <c r="H350" s="108"/>
      <c r="I350" s="71"/>
    </row>
    <row r="351" spans="1:9" s="65" customFormat="1">
      <c r="A351" s="75" t="s">
        <v>391</v>
      </c>
      <c r="B351" s="76" t="s">
        <v>392</v>
      </c>
      <c r="C351" s="76" t="s">
        <v>393</v>
      </c>
      <c r="D351" s="76" t="s">
        <v>394</v>
      </c>
      <c r="E351" s="76" t="s">
        <v>395</v>
      </c>
      <c r="F351" s="76" t="s">
        <v>396</v>
      </c>
      <c r="G351" s="76" t="s">
        <v>397</v>
      </c>
      <c r="H351" s="108"/>
      <c r="I351" s="71"/>
    </row>
    <row r="352" spans="1:9" s="65" customFormat="1">
      <c r="A352" s="135">
        <v>3688</v>
      </c>
      <c r="B352" s="78" t="s">
        <v>492</v>
      </c>
      <c r="C352" s="127" t="s">
        <v>493</v>
      </c>
      <c r="D352" s="107">
        <v>23605</v>
      </c>
      <c r="E352" s="79">
        <v>1</v>
      </c>
      <c r="F352" s="79">
        <v>5</v>
      </c>
      <c r="G352" s="107">
        <f>(D352*E352)+((D352*E352)*F352/100)</f>
        <v>24785.25</v>
      </c>
      <c r="H352" s="108"/>
      <c r="I352" s="71"/>
    </row>
    <row r="353" spans="1:11" s="65" customFormat="1">
      <c r="A353" s="90"/>
      <c r="B353" s="91"/>
      <c r="C353" s="91"/>
      <c r="D353" s="91"/>
      <c r="E353" s="91"/>
      <c r="F353"/>
      <c r="G353" s="85" t="s">
        <v>407</v>
      </c>
      <c r="H353" s="107">
        <f>SUM(G352:G352)</f>
        <v>24785.25</v>
      </c>
      <c r="I353" s="71"/>
    </row>
    <row r="354" spans="1:11" s="65" customFormat="1">
      <c r="A354" s="72" t="s">
        <v>410</v>
      </c>
      <c r="B354" s="73"/>
      <c r="C354" s="73"/>
      <c r="D354" s="73"/>
      <c r="E354" s="73"/>
      <c r="F354"/>
      <c r="G354" s="74"/>
      <c r="H354" s="108"/>
      <c r="I354" s="71"/>
    </row>
    <row r="355" spans="1:11" s="65" customFormat="1">
      <c r="A355" s="75" t="s">
        <v>391</v>
      </c>
      <c r="B355" s="76" t="s">
        <v>392</v>
      </c>
      <c r="C355" s="76" t="s">
        <v>393</v>
      </c>
      <c r="D355" s="76" t="s">
        <v>394</v>
      </c>
      <c r="E355" s="76" t="s">
        <v>395</v>
      </c>
      <c r="F355" s="76" t="s">
        <v>396</v>
      </c>
      <c r="G355" s="76" t="s">
        <v>397</v>
      </c>
      <c r="H355" s="108"/>
      <c r="I355" s="71"/>
    </row>
    <row r="356" spans="1:11" s="65" customFormat="1">
      <c r="A356" s="77" t="s">
        <v>494</v>
      </c>
      <c r="B356" s="78" t="s">
        <v>495</v>
      </c>
      <c r="C356" s="79" t="s">
        <v>426</v>
      </c>
      <c r="D356" s="107">
        <v>15927</v>
      </c>
      <c r="E356" s="79">
        <v>0.15</v>
      </c>
      <c r="F356" s="79">
        <v>0</v>
      </c>
      <c r="G356" s="107">
        <f>(D356*E356)+((D356*E356)*F356/100)</f>
        <v>2389.0499999999997</v>
      </c>
      <c r="H356" s="108"/>
      <c r="I356" s="71"/>
    </row>
    <row r="357" spans="1:11" s="65" customFormat="1">
      <c r="A357" s="90"/>
      <c r="B357" s="91"/>
      <c r="C357" s="91"/>
      <c r="D357" s="91"/>
      <c r="E357" s="91"/>
      <c r="F357"/>
      <c r="G357" s="93" t="s">
        <v>407</v>
      </c>
      <c r="H357" s="107">
        <f>SUM(G356:G356)</f>
        <v>2389.0499999999997</v>
      </c>
      <c r="I357" s="71"/>
    </row>
    <row r="358" spans="1:11" s="65" customFormat="1">
      <c r="A358" s="72" t="s">
        <v>411</v>
      </c>
      <c r="B358" s="73"/>
      <c r="C358" s="73"/>
      <c r="D358" s="73"/>
      <c r="E358" s="73"/>
      <c r="F358"/>
      <c r="G358" s="74"/>
      <c r="H358" s="108"/>
      <c r="I358" s="71"/>
    </row>
    <row r="359" spans="1:11" s="65" customFormat="1">
      <c r="A359" s="75" t="s">
        <v>391</v>
      </c>
      <c r="B359" s="76" t="s">
        <v>392</v>
      </c>
      <c r="C359" s="76" t="s">
        <v>393</v>
      </c>
      <c r="D359" s="76" t="s">
        <v>394</v>
      </c>
      <c r="E359" s="76" t="s">
        <v>395</v>
      </c>
      <c r="F359" s="76" t="s">
        <v>396</v>
      </c>
      <c r="G359" s="76" t="s">
        <v>397</v>
      </c>
      <c r="H359" s="108"/>
      <c r="I359" s="71"/>
    </row>
    <row r="360" spans="1:11" s="65" customFormat="1">
      <c r="A360" s="87" t="s">
        <v>409</v>
      </c>
      <c r="B360" s="114" t="s">
        <v>409</v>
      </c>
      <c r="C360" s="114" t="s">
        <v>409</v>
      </c>
      <c r="D360" s="114" t="s">
        <v>409</v>
      </c>
      <c r="E360" s="114" t="s">
        <v>409</v>
      </c>
      <c r="F360" s="79" t="s">
        <v>409</v>
      </c>
      <c r="G360" s="89" t="s">
        <v>409</v>
      </c>
      <c r="H360" s="108"/>
      <c r="I360" s="71"/>
    </row>
    <row r="361" spans="1:11" s="65" customFormat="1">
      <c r="A361" s="94"/>
      <c r="B361" s="95"/>
      <c r="C361" s="95"/>
      <c r="D361" s="95"/>
      <c r="E361" s="95"/>
      <c r="F361"/>
      <c r="G361" s="93" t="s">
        <v>407</v>
      </c>
      <c r="H361" s="107">
        <f>SUM(G359:G360)</f>
        <v>0</v>
      </c>
      <c r="I361" s="71"/>
    </row>
    <row r="362" spans="1:11" s="65" customFormat="1">
      <c r="A362" s="94"/>
      <c r="B362" s="95"/>
      <c r="C362" s="95"/>
      <c r="D362" s="95"/>
      <c r="E362" s="95"/>
      <c r="F362"/>
      <c r="G362" s="74"/>
      <c r="H362" s="74"/>
      <c r="I362" s="71"/>
    </row>
    <row r="363" spans="1:11" s="65" customFormat="1">
      <c r="A363" s="96"/>
      <c r="B363" s="97"/>
      <c r="C363" s="98"/>
      <c r="D363" s="98"/>
      <c r="E363" s="98"/>
      <c r="F363"/>
      <c r="G363" s="99" t="s">
        <v>412</v>
      </c>
      <c r="H363" s="115">
        <f>SUM(H349:H361)</f>
        <v>27799.3</v>
      </c>
      <c r="I363" s="71"/>
      <c r="K363" s="65" t="s">
        <v>496</v>
      </c>
    </row>
    <row r="364" spans="1:11" s="65" customFormat="1">
      <c r="A364" s="96"/>
      <c r="B364" s="97"/>
      <c r="C364" s="98"/>
      <c r="D364" s="98"/>
      <c r="E364" s="98"/>
      <c r="F364" s="101"/>
      <c r="G364" s="116"/>
      <c r="H364" s="70"/>
      <c r="I364" s="71"/>
      <c r="K364" s="65">
        <f>12360*1.1</f>
        <v>13596.000000000002</v>
      </c>
    </row>
    <row r="365" spans="1:11" s="65" customFormat="1" ht="15.75" thickBot="1">
      <c r="A365" s="624" t="s">
        <v>430</v>
      </c>
      <c r="B365" s="625"/>
      <c r="C365" s="625"/>
      <c r="D365" s="625"/>
      <c r="E365" s="625"/>
      <c r="F365" s="625"/>
      <c r="G365" s="626"/>
      <c r="H365" s="117">
        <f>+ROUND(H363,0)</f>
        <v>27799</v>
      </c>
      <c r="I365" s="103"/>
    </row>
    <row r="366" spans="1:11" s="65" customFormat="1" ht="15.75" thickBot="1">
      <c r="A366" s="128"/>
      <c r="B366" s="141"/>
      <c r="C366" s="141"/>
      <c r="D366" s="141"/>
      <c r="E366" s="141"/>
      <c r="F366" s="141"/>
      <c r="G366" s="141"/>
      <c r="H366" s="140"/>
    </row>
    <row r="367" spans="1:11" s="65" customFormat="1">
      <c r="A367" s="627"/>
      <c r="B367" s="629" t="s">
        <v>995</v>
      </c>
      <c r="C367" s="630"/>
      <c r="D367" s="630"/>
      <c r="E367" s="630"/>
      <c r="F367" s="630"/>
      <c r="G367" s="630"/>
      <c r="H367" s="643"/>
      <c r="I367" s="66" t="s">
        <v>389</v>
      </c>
    </row>
    <row r="368" spans="1:11" s="65" customFormat="1">
      <c r="A368" s="628"/>
      <c r="B368" s="631"/>
      <c r="C368" s="632"/>
      <c r="D368" s="632"/>
      <c r="E368" s="632"/>
      <c r="F368" s="632"/>
      <c r="G368" s="632"/>
      <c r="H368" s="644"/>
      <c r="I368" s="67" t="s">
        <v>8</v>
      </c>
    </row>
    <row r="369" spans="1:9" s="65" customFormat="1">
      <c r="A369" s="68"/>
      <c r="B369" s="69"/>
      <c r="C369" s="69"/>
      <c r="D369" s="69"/>
      <c r="E369" s="69"/>
      <c r="F369" s="70"/>
      <c r="G369" s="70"/>
      <c r="H369" s="70"/>
      <c r="I369" s="71"/>
    </row>
    <row r="370" spans="1:9" s="65" customFormat="1">
      <c r="A370" s="72" t="s">
        <v>390</v>
      </c>
      <c r="B370" s="73"/>
      <c r="C370" s="73"/>
      <c r="D370" s="73"/>
      <c r="E370" s="73"/>
      <c r="F370" s="74"/>
      <c r="G370" s="74"/>
      <c r="H370" s="70"/>
      <c r="I370" s="71"/>
    </row>
    <row r="371" spans="1:9" s="65" customFormat="1">
      <c r="A371" s="75" t="s">
        <v>391</v>
      </c>
      <c r="B371" s="76" t="s">
        <v>392</v>
      </c>
      <c r="C371" s="76" t="s">
        <v>393</v>
      </c>
      <c r="D371" s="76" t="s">
        <v>394</v>
      </c>
      <c r="E371" s="76" t="s">
        <v>395</v>
      </c>
      <c r="F371" s="76" t="s">
        <v>396</v>
      </c>
      <c r="G371" s="76" t="s">
        <v>397</v>
      </c>
      <c r="H371" s="74"/>
      <c r="I371" s="71"/>
    </row>
    <row r="372" spans="1:9" s="65" customFormat="1">
      <c r="A372" s="77" t="s">
        <v>404</v>
      </c>
      <c r="B372" s="79" t="s">
        <v>405</v>
      </c>
      <c r="C372" s="79" t="s">
        <v>406</v>
      </c>
      <c r="D372" s="107">
        <v>1250</v>
      </c>
      <c r="E372" s="79">
        <v>0.5</v>
      </c>
      <c r="F372" s="79">
        <v>0</v>
      </c>
      <c r="G372" s="107">
        <f>(D372*E372)+((D372*E372)*F372/100)</f>
        <v>625</v>
      </c>
      <c r="H372" s="74"/>
      <c r="I372" s="71"/>
    </row>
    <row r="373" spans="1:9" s="65" customFormat="1">
      <c r="A373" s="82"/>
      <c r="B373" s="83"/>
      <c r="C373" s="84"/>
      <c r="D373" s="84"/>
      <c r="E373" s="84"/>
      <c r="F373"/>
      <c r="G373" s="93" t="s">
        <v>407</v>
      </c>
      <c r="H373" s="107">
        <f>SUM(G372:G372)</f>
        <v>625</v>
      </c>
      <c r="I373" s="71"/>
    </row>
    <row r="374" spans="1:9" s="65" customFormat="1">
      <c r="A374" s="72" t="s">
        <v>408</v>
      </c>
      <c r="B374" s="73"/>
      <c r="C374" s="73"/>
      <c r="D374" s="73"/>
      <c r="E374" s="73"/>
      <c r="F374"/>
      <c r="G374" s="74"/>
      <c r="H374" s="108"/>
      <c r="I374" s="71"/>
    </row>
    <row r="375" spans="1:9" s="65" customFormat="1">
      <c r="A375" s="75" t="s">
        <v>391</v>
      </c>
      <c r="B375" s="76" t="s">
        <v>392</v>
      </c>
      <c r="C375" s="76" t="s">
        <v>393</v>
      </c>
      <c r="D375" s="76" t="s">
        <v>394</v>
      </c>
      <c r="E375" s="76" t="s">
        <v>395</v>
      </c>
      <c r="F375" s="76" t="s">
        <v>396</v>
      </c>
      <c r="G375" s="76" t="s">
        <v>397</v>
      </c>
      <c r="H375" s="108"/>
      <c r="I375" s="71"/>
    </row>
    <row r="376" spans="1:9" s="65" customFormat="1">
      <c r="A376" s="135">
        <v>3688</v>
      </c>
      <c r="B376" s="78" t="s">
        <v>996</v>
      </c>
      <c r="C376" s="127" t="s">
        <v>493</v>
      </c>
      <c r="D376" s="107">
        <v>38726</v>
      </c>
      <c r="E376" s="79">
        <v>1</v>
      </c>
      <c r="F376" s="79">
        <v>5</v>
      </c>
      <c r="G376" s="107">
        <f>(D376*E376)+((D376*E376)*F376/100)</f>
        <v>40662.300000000003</v>
      </c>
      <c r="H376" s="108"/>
      <c r="I376" s="71"/>
    </row>
    <row r="377" spans="1:9" s="65" customFormat="1">
      <c r="A377" s="90"/>
      <c r="B377" s="91"/>
      <c r="C377" s="91"/>
      <c r="D377" s="91"/>
      <c r="E377" s="91"/>
      <c r="F377"/>
      <c r="G377" s="85" t="s">
        <v>407</v>
      </c>
      <c r="H377" s="107">
        <f>SUM(G376:G376)</f>
        <v>40662.300000000003</v>
      </c>
      <c r="I377" s="71"/>
    </row>
    <row r="378" spans="1:9" s="65" customFormat="1">
      <c r="A378" s="72" t="s">
        <v>410</v>
      </c>
      <c r="B378" s="73"/>
      <c r="C378" s="73"/>
      <c r="D378" s="73"/>
      <c r="E378" s="73"/>
      <c r="F378"/>
      <c r="G378" s="74"/>
      <c r="H378" s="108"/>
      <c r="I378" s="71"/>
    </row>
    <row r="379" spans="1:9" s="65" customFormat="1">
      <c r="A379" s="75" t="s">
        <v>391</v>
      </c>
      <c r="B379" s="76" t="s">
        <v>392</v>
      </c>
      <c r="C379" s="76" t="s">
        <v>393</v>
      </c>
      <c r="D379" s="76" t="s">
        <v>394</v>
      </c>
      <c r="E379" s="76" t="s">
        <v>395</v>
      </c>
      <c r="F379" s="76" t="s">
        <v>396</v>
      </c>
      <c r="G379" s="76" t="s">
        <v>397</v>
      </c>
      <c r="H379" s="108"/>
      <c r="I379" s="71"/>
    </row>
    <row r="380" spans="1:9" s="65" customFormat="1">
      <c r="A380" s="77" t="s">
        <v>494</v>
      </c>
      <c r="B380" s="78" t="s">
        <v>495</v>
      </c>
      <c r="C380" s="79" t="s">
        <v>426</v>
      </c>
      <c r="D380" s="107">
        <v>15927</v>
      </c>
      <c r="E380" s="79">
        <v>0.15</v>
      </c>
      <c r="F380" s="79">
        <v>0</v>
      </c>
      <c r="G380" s="107">
        <f>(D380*E380)+((D380*E380)*F380/100)</f>
        <v>2389.0499999999997</v>
      </c>
      <c r="H380" s="108"/>
      <c r="I380" s="71"/>
    </row>
    <row r="381" spans="1:9" s="65" customFormat="1">
      <c r="A381" s="90"/>
      <c r="B381" s="91"/>
      <c r="C381" s="91"/>
      <c r="D381" s="91"/>
      <c r="E381" s="91"/>
      <c r="F381"/>
      <c r="G381" s="93" t="s">
        <v>407</v>
      </c>
      <c r="H381" s="107">
        <f>SUM(G380:G380)</f>
        <v>2389.0499999999997</v>
      </c>
      <c r="I381" s="71"/>
    </row>
    <row r="382" spans="1:9" s="65" customFormat="1">
      <c r="A382" s="72" t="s">
        <v>411</v>
      </c>
      <c r="B382" s="73"/>
      <c r="C382" s="73"/>
      <c r="D382" s="73"/>
      <c r="E382" s="73"/>
      <c r="F382"/>
      <c r="G382" s="74"/>
      <c r="H382" s="108"/>
      <c r="I382" s="71"/>
    </row>
    <row r="383" spans="1:9" s="65" customFormat="1">
      <c r="A383" s="75" t="s">
        <v>391</v>
      </c>
      <c r="B383" s="76" t="s">
        <v>392</v>
      </c>
      <c r="C383" s="76" t="s">
        <v>393</v>
      </c>
      <c r="D383" s="76" t="s">
        <v>394</v>
      </c>
      <c r="E383" s="76" t="s">
        <v>395</v>
      </c>
      <c r="F383" s="76" t="s">
        <v>396</v>
      </c>
      <c r="G383" s="76" t="s">
        <v>397</v>
      </c>
      <c r="H383" s="108"/>
      <c r="I383" s="71"/>
    </row>
    <row r="384" spans="1:9" s="65" customFormat="1">
      <c r="A384" s="87" t="s">
        <v>409</v>
      </c>
      <c r="B384" s="114" t="s">
        <v>409</v>
      </c>
      <c r="C384" s="114" t="s">
        <v>409</v>
      </c>
      <c r="D384" s="114" t="s">
        <v>409</v>
      </c>
      <c r="E384" s="114" t="s">
        <v>409</v>
      </c>
      <c r="F384" s="79" t="s">
        <v>409</v>
      </c>
      <c r="G384" s="89" t="s">
        <v>409</v>
      </c>
      <c r="H384" s="108"/>
      <c r="I384" s="71"/>
    </row>
    <row r="385" spans="1:11" s="65" customFormat="1">
      <c r="A385" s="94"/>
      <c r="B385" s="95"/>
      <c r="C385" s="95"/>
      <c r="D385" s="95"/>
      <c r="E385" s="95"/>
      <c r="F385"/>
      <c r="G385" s="93" t="s">
        <v>407</v>
      </c>
      <c r="H385" s="107">
        <f>SUM(G383:G384)</f>
        <v>0</v>
      </c>
      <c r="I385" s="71"/>
    </row>
    <row r="386" spans="1:11" s="65" customFormat="1">
      <c r="A386" s="94"/>
      <c r="B386" s="95"/>
      <c r="C386" s="95"/>
      <c r="D386" s="95"/>
      <c r="E386" s="95"/>
      <c r="F386"/>
      <c r="G386" s="74"/>
      <c r="H386" s="74"/>
      <c r="I386" s="71"/>
    </row>
    <row r="387" spans="1:11" s="65" customFormat="1">
      <c r="A387" s="96"/>
      <c r="B387" s="97"/>
      <c r="C387" s="98"/>
      <c r="D387" s="98"/>
      <c r="E387" s="98"/>
      <c r="F387"/>
      <c r="G387" s="99" t="s">
        <v>412</v>
      </c>
      <c r="H387" s="115">
        <f>SUM(H373:H385)</f>
        <v>43676.350000000006</v>
      </c>
      <c r="I387" s="71"/>
      <c r="K387" s="65" t="s">
        <v>496</v>
      </c>
    </row>
    <row r="388" spans="1:11" s="65" customFormat="1">
      <c r="A388" s="96"/>
      <c r="B388" s="97"/>
      <c r="C388" s="98"/>
      <c r="D388" s="98"/>
      <c r="E388" s="98"/>
      <c r="F388" s="101"/>
      <c r="G388" s="116"/>
      <c r="H388" s="70"/>
      <c r="I388" s="71"/>
      <c r="K388" s="65">
        <f>12360*1.1</f>
        <v>13596.000000000002</v>
      </c>
    </row>
    <row r="389" spans="1:11" s="65" customFormat="1" ht="15.75" thickBot="1">
      <c r="A389" s="624" t="s">
        <v>430</v>
      </c>
      <c r="B389" s="625"/>
      <c r="C389" s="625"/>
      <c r="D389" s="625"/>
      <c r="E389" s="625"/>
      <c r="F389" s="625"/>
      <c r="G389" s="626"/>
      <c r="H389" s="117">
        <f>+ROUND(H387,0)</f>
        <v>43676</v>
      </c>
      <c r="I389" s="103"/>
    </row>
    <row r="390" spans="1:11" s="65" customFormat="1" ht="15.75" thickBot="1">
      <c r="A390" s="146"/>
      <c r="B390" s="147"/>
      <c r="C390" s="148"/>
      <c r="D390" s="84"/>
      <c r="E390" s="84"/>
      <c r="F390" s="84"/>
      <c r="G390" s="144"/>
      <c r="H390" s="145"/>
    </row>
    <row r="391" spans="1:11" s="65" customFormat="1">
      <c r="A391" s="627"/>
      <c r="B391" s="629" t="s">
        <v>497</v>
      </c>
      <c r="C391" s="630"/>
      <c r="D391" s="630"/>
      <c r="E391" s="630"/>
      <c r="F391" s="630"/>
      <c r="G391" s="630"/>
      <c r="H391" s="643"/>
      <c r="I391" s="66" t="s">
        <v>389</v>
      </c>
    </row>
    <row r="392" spans="1:11" s="65" customFormat="1">
      <c r="A392" s="628"/>
      <c r="B392" s="631"/>
      <c r="C392" s="632"/>
      <c r="D392" s="632"/>
      <c r="E392" s="632"/>
      <c r="F392" s="632"/>
      <c r="G392" s="632"/>
      <c r="H392" s="644"/>
      <c r="I392" s="67" t="s">
        <v>8</v>
      </c>
    </row>
    <row r="393" spans="1:11" s="65" customFormat="1">
      <c r="A393" s="68"/>
      <c r="B393" s="69"/>
      <c r="C393" s="69"/>
      <c r="D393" s="69"/>
      <c r="E393" s="69"/>
      <c r="F393" s="70"/>
      <c r="G393" s="70"/>
      <c r="H393" s="70"/>
      <c r="I393" s="71"/>
    </row>
    <row r="394" spans="1:11" s="65" customFormat="1">
      <c r="A394" s="72" t="s">
        <v>390</v>
      </c>
      <c r="B394" s="73"/>
      <c r="C394" s="73"/>
      <c r="D394" s="73"/>
      <c r="E394" s="73"/>
      <c r="F394" s="74"/>
      <c r="G394" s="74"/>
      <c r="H394" s="70"/>
      <c r="I394" s="71"/>
    </row>
    <row r="395" spans="1:11" s="65" customFormat="1">
      <c r="A395" s="75" t="s">
        <v>391</v>
      </c>
      <c r="B395" s="76" t="s">
        <v>392</v>
      </c>
      <c r="C395" s="76" t="s">
        <v>393</v>
      </c>
      <c r="D395" s="76" t="s">
        <v>394</v>
      </c>
      <c r="E395" s="76" t="s">
        <v>395</v>
      </c>
      <c r="F395" s="76" t="s">
        <v>396</v>
      </c>
      <c r="G395" s="76" t="s">
        <v>397</v>
      </c>
      <c r="H395" s="74"/>
      <c r="I395" s="71"/>
    </row>
    <row r="396" spans="1:11" s="65" customFormat="1">
      <c r="A396" s="77" t="s">
        <v>404</v>
      </c>
      <c r="B396" s="78" t="s">
        <v>405</v>
      </c>
      <c r="C396" s="79" t="s">
        <v>406</v>
      </c>
      <c r="D396" s="107">
        <v>1250</v>
      </c>
      <c r="E396" s="79">
        <v>3</v>
      </c>
      <c r="F396" s="79">
        <v>0</v>
      </c>
      <c r="G396" s="107">
        <f>(D396*E396)+((D396*E396)*F396/100)</f>
        <v>3750</v>
      </c>
      <c r="H396" s="74"/>
      <c r="I396" s="71"/>
    </row>
    <row r="397" spans="1:11" s="65" customFormat="1">
      <c r="A397" s="82"/>
      <c r="B397" s="83"/>
      <c r="C397" s="84"/>
      <c r="D397" s="84"/>
      <c r="E397" s="84"/>
      <c r="F397"/>
      <c r="G397" s="93" t="s">
        <v>407</v>
      </c>
      <c r="H397" s="107">
        <f>SUM(G396:G396)</f>
        <v>3750</v>
      </c>
      <c r="I397" s="71"/>
    </row>
    <row r="398" spans="1:11" s="65" customFormat="1">
      <c r="A398" s="72" t="s">
        <v>408</v>
      </c>
      <c r="B398" s="73"/>
      <c r="C398" s="73"/>
      <c r="D398" s="73"/>
      <c r="E398" s="73"/>
      <c r="F398"/>
      <c r="G398" s="74"/>
      <c r="H398" s="108"/>
      <c r="I398" s="71"/>
    </row>
    <row r="399" spans="1:11" s="65" customFormat="1">
      <c r="A399" s="75" t="s">
        <v>391</v>
      </c>
      <c r="B399" s="76" t="s">
        <v>392</v>
      </c>
      <c r="C399" s="76" t="s">
        <v>393</v>
      </c>
      <c r="D399" s="76" t="s">
        <v>394</v>
      </c>
      <c r="E399" s="76" t="s">
        <v>395</v>
      </c>
      <c r="F399" s="76" t="s">
        <v>396</v>
      </c>
      <c r="G399" s="76" t="s">
        <v>397</v>
      </c>
      <c r="H399" s="108"/>
      <c r="I399" s="71"/>
    </row>
    <row r="400" spans="1:11" s="65" customFormat="1">
      <c r="A400" s="135" t="s">
        <v>409</v>
      </c>
      <c r="B400" s="78" t="s">
        <v>498</v>
      </c>
      <c r="C400" s="127" t="s">
        <v>493</v>
      </c>
      <c r="D400" s="107">
        <v>220000</v>
      </c>
      <c r="E400" s="79">
        <v>1</v>
      </c>
      <c r="F400" s="79">
        <v>0</v>
      </c>
      <c r="G400" s="107">
        <f>(D400*E400)+((D400*E400)*F400/100)</f>
        <v>220000</v>
      </c>
      <c r="H400" s="108"/>
      <c r="I400" s="71"/>
    </row>
    <row r="401" spans="1:9" s="65" customFormat="1">
      <c r="A401" s="90"/>
      <c r="B401" s="91"/>
      <c r="C401" s="91"/>
      <c r="D401" s="91"/>
      <c r="E401" s="91"/>
      <c r="F401"/>
      <c r="G401" s="85" t="s">
        <v>407</v>
      </c>
      <c r="H401" s="107">
        <f>SUM(G400:G400)</f>
        <v>220000</v>
      </c>
      <c r="I401" s="71"/>
    </row>
    <row r="402" spans="1:9" s="65" customFormat="1">
      <c r="A402" s="72" t="s">
        <v>410</v>
      </c>
      <c r="B402" s="73"/>
      <c r="C402" s="73"/>
      <c r="D402" s="73"/>
      <c r="E402" s="73"/>
      <c r="F402"/>
      <c r="G402" s="74"/>
      <c r="H402" s="108"/>
      <c r="I402" s="71"/>
    </row>
    <row r="403" spans="1:9" s="65" customFormat="1">
      <c r="A403" s="75" t="s">
        <v>391</v>
      </c>
      <c r="B403" s="76" t="s">
        <v>392</v>
      </c>
      <c r="C403" s="76" t="s">
        <v>393</v>
      </c>
      <c r="D403" s="76" t="s">
        <v>394</v>
      </c>
      <c r="E403" s="76" t="s">
        <v>395</v>
      </c>
      <c r="F403" s="76" t="s">
        <v>396</v>
      </c>
      <c r="G403" s="76" t="s">
        <v>397</v>
      </c>
      <c r="H403" s="108"/>
      <c r="I403" s="71"/>
    </row>
    <row r="404" spans="1:9" s="65" customFormat="1">
      <c r="A404" s="77" t="s">
        <v>494</v>
      </c>
      <c r="B404" s="78" t="s">
        <v>495</v>
      </c>
      <c r="C404" s="79" t="s">
        <v>426</v>
      </c>
      <c r="D404" s="107">
        <v>15927</v>
      </c>
      <c r="E404" s="79">
        <v>1.2</v>
      </c>
      <c r="F404" s="79">
        <v>0</v>
      </c>
      <c r="G404" s="107">
        <f>(D404*E404)+((D404*E404)*F404/100)</f>
        <v>19112.399999999998</v>
      </c>
      <c r="H404" s="108"/>
      <c r="I404" s="149"/>
    </row>
    <row r="405" spans="1:9" s="65" customFormat="1">
      <c r="A405" s="90"/>
      <c r="B405" s="91"/>
      <c r="C405" s="91"/>
      <c r="D405" s="91"/>
      <c r="E405" s="91"/>
      <c r="F405"/>
      <c r="G405" s="93" t="s">
        <v>407</v>
      </c>
      <c r="H405" s="107">
        <f>SUM(G404:G404)</f>
        <v>19112.399999999998</v>
      </c>
      <c r="I405" s="71"/>
    </row>
    <row r="406" spans="1:9" s="65" customFormat="1">
      <c r="A406" s="72" t="s">
        <v>411</v>
      </c>
      <c r="B406" s="73"/>
      <c r="C406" s="73"/>
      <c r="D406" s="73"/>
      <c r="E406" s="73"/>
      <c r="F406"/>
      <c r="G406" s="74"/>
      <c r="H406" s="108"/>
      <c r="I406" s="71"/>
    </row>
    <row r="407" spans="1:9" s="65" customFormat="1">
      <c r="A407" s="75" t="s">
        <v>391</v>
      </c>
      <c r="B407" s="76" t="s">
        <v>392</v>
      </c>
      <c r="C407" s="76" t="s">
        <v>393</v>
      </c>
      <c r="D407" s="76" t="s">
        <v>394</v>
      </c>
      <c r="E407" s="76" t="s">
        <v>395</v>
      </c>
      <c r="F407" s="76" t="s">
        <v>396</v>
      </c>
      <c r="G407" s="76" t="s">
        <v>397</v>
      </c>
      <c r="H407" s="108"/>
      <c r="I407" s="71"/>
    </row>
    <row r="408" spans="1:9" s="65" customFormat="1">
      <c r="A408" s="87" t="s">
        <v>409</v>
      </c>
      <c r="B408" s="114" t="s">
        <v>409</v>
      </c>
      <c r="C408" s="114" t="s">
        <v>409</v>
      </c>
      <c r="D408" s="114" t="s">
        <v>409</v>
      </c>
      <c r="E408" s="114" t="s">
        <v>409</v>
      </c>
      <c r="F408" s="79" t="s">
        <v>409</v>
      </c>
      <c r="G408" s="89" t="s">
        <v>409</v>
      </c>
      <c r="H408" s="108"/>
      <c r="I408" s="71"/>
    </row>
    <row r="409" spans="1:9" s="65" customFormat="1">
      <c r="A409" s="94"/>
      <c r="B409" s="95"/>
      <c r="C409" s="95"/>
      <c r="D409" s="95"/>
      <c r="E409" s="95"/>
      <c r="F409"/>
      <c r="G409" s="93" t="s">
        <v>407</v>
      </c>
      <c r="H409" s="107">
        <f>SUM(G407:G408)</f>
        <v>0</v>
      </c>
      <c r="I409" s="71"/>
    </row>
    <row r="410" spans="1:9" s="65" customFormat="1">
      <c r="A410" s="94"/>
      <c r="B410" s="95"/>
      <c r="C410" s="95"/>
      <c r="D410" s="95"/>
      <c r="E410" s="95"/>
      <c r="F410"/>
      <c r="G410" s="74"/>
      <c r="H410" s="74"/>
      <c r="I410" s="71"/>
    </row>
    <row r="411" spans="1:9" s="65" customFormat="1">
      <c r="A411" s="96"/>
      <c r="B411" s="97"/>
      <c r="C411" s="98"/>
      <c r="D411" s="98"/>
      <c r="E411" s="98"/>
      <c r="F411"/>
      <c r="G411" s="99" t="s">
        <v>412</v>
      </c>
      <c r="H411" s="115">
        <f>SUM(H397:H409)</f>
        <v>242862.4</v>
      </c>
      <c r="I411" s="71"/>
    </row>
    <row r="412" spans="1:9" s="65" customFormat="1">
      <c r="A412" s="96"/>
      <c r="B412" s="97"/>
      <c r="C412" s="98"/>
      <c r="D412" s="98"/>
      <c r="E412" s="98"/>
      <c r="F412" s="101"/>
      <c r="G412" s="116"/>
      <c r="H412" s="70"/>
      <c r="I412" s="71"/>
    </row>
    <row r="413" spans="1:9" s="65" customFormat="1" ht="15.75" thickBot="1">
      <c r="A413" s="624" t="s">
        <v>430</v>
      </c>
      <c r="B413" s="625"/>
      <c r="C413" s="625"/>
      <c r="D413" s="625"/>
      <c r="E413" s="625"/>
      <c r="F413" s="625"/>
      <c r="G413" s="626"/>
      <c r="H413" s="117">
        <f>+ROUND(H411,0)</f>
        <v>242862</v>
      </c>
      <c r="I413" s="103"/>
    </row>
    <row r="414" spans="1:9" s="65" customFormat="1">
      <c r="A414" s="128"/>
      <c r="B414" s="141"/>
      <c r="C414" s="141"/>
      <c r="D414" s="141"/>
      <c r="E414" s="141"/>
      <c r="F414" s="141"/>
      <c r="G414" s="141"/>
      <c r="H414" s="140"/>
    </row>
    <row r="415" spans="1:9" s="65" customFormat="1" ht="15.75" thickBot="1">
      <c r="A415" s="146"/>
      <c r="B415" s="147"/>
      <c r="C415" s="148"/>
      <c r="D415" s="84"/>
      <c r="E415" s="84"/>
      <c r="F415" s="84"/>
      <c r="G415" s="144"/>
      <c r="H415" s="145"/>
    </row>
    <row r="416" spans="1:9" s="65" customFormat="1">
      <c r="A416" s="627"/>
      <c r="B416" s="629" t="s">
        <v>499</v>
      </c>
      <c r="C416" s="630"/>
      <c r="D416" s="630"/>
      <c r="E416" s="630"/>
      <c r="F416" s="630"/>
      <c r="G416" s="630"/>
      <c r="H416" s="643"/>
      <c r="I416" s="66" t="s">
        <v>389</v>
      </c>
    </row>
    <row r="417" spans="1:9" s="65" customFormat="1">
      <c r="A417" s="628"/>
      <c r="B417" s="631"/>
      <c r="C417" s="632"/>
      <c r="D417" s="632"/>
      <c r="E417" s="632"/>
      <c r="F417" s="632"/>
      <c r="G417" s="632"/>
      <c r="H417" s="644"/>
      <c r="I417" s="67" t="s">
        <v>8</v>
      </c>
    </row>
    <row r="418" spans="1:9" s="65" customFormat="1">
      <c r="A418" s="68"/>
      <c r="B418" s="69"/>
      <c r="C418" s="69"/>
      <c r="D418" s="69"/>
      <c r="E418" s="69"/>
      <c r="F418" s="70"/>
      <c r="G418" s="70"/>
      <c r="H418" s="70"/>
      <c r="I418" s="71"/>
    </row>
    <row r="419" spans="1:9" s="65" customFormat="1">
      <c r="A419" s="72" t="s">
        <v>390</v>
      </c>
      <c r="B419" s="73"/>
      <c r="C419" s="73"/>
      <c r="D419" s="73"/>
      <c r="E419" s="73"/>
      <c r="F419" s="74"/>
      <c r="G419" s="74"/>
      <c r="H419" s="70"/>
      <c r="I419" s="71"/>
    </row>
    <row r="420" spans="1:9" s="65" customFormat="1">
      <c r="A420" s="75" t="s">
        <v>391</v>
      </c>
      <c r="B420" s="76" t="s">
        <v>392</v>
      </c>
      <c r="C420" s="76" t="s">
        <v>393</v>
      </c>
      <c r="D420" s="76" t="s">
        <v>394</v>
      </c>
      <c r="E420" s="76" t="s">
        <v>395</v>
      </c>
      <c r="F420" s="76" t="s">
        <v>396</v>
      </c>
      <c r="G420" s="76" t="s">
        <v>397</v>
      </c>
      <c r="H420" s="74"/>
      <c r="I420" s="71"/>
    </row>
    <row r="421" spans="1:9" s="65" customFormat="1">
      <c r="A421" s="77" t="s">
        <v>404</v>
      </c>
      <c r="B421" s="78" t="s">
        <v>405</v>
      </c>
      <c r="C421" s="79" t="s">
        <v>406</v>
      </c>
      <c r="D421" s="107">
        <v>1250</v>
      </c>
      <c r="E421" s="79">
        <v>3</v>
      </c>
      <c r="F421" s="79">
        <v>0</v>
      </c>
      <c r="G421" s="107">
        <f>(D421*E421)+((D421*E421)*F421/100)</f>
        <v>3750</v>
      </c>
      <c r="H421" s="74"/>
      <c r="I421" s="71"/>
    </row>
    <row r="422" spans="1:9" s="65" customFormat="1">
      <c r="A422" s="82"/>
      <c r="B422" s="83"/>
      <c r="C422" s="84"/>
      <c r="D422" s="84"/>
      <c r="E422" s="84"/>
      <c r="F422"/>
      <c r="G422" s="93" t="s">
        <v>407</v>
      </c>
      <c r="H422" s="107">
        <f>SUM(G421:G421)</f>
        <v>3750</v>
      </c>
      <c r="I422" s="71"/>
    </row>
    <row r="423" spans="1:9" s="65" customFormat="1">
      <c r="A423" s="72" t="s">
        <v>408</v>
      </c>
      <c r="B423" s="73"/>
      <c r="C423" s="73"/>
      <c r="D423" s="73"/>
      <c r="E423" s="73"/>
      <c r="F423"/>
      <c r="G423" s="74"/>
      <c r="H423" s="108"/>
      <c r="I423" s="71"/>
    </row>
    <row r="424" spans="1:9" s="65" customFormat="1">
      <c r="A424" s="75" t="s">
        <v>391</v>
      </c>
      <c r="B424" s="76" t="s">
        <v>392</v>
      </c>
      <c r="C424" s="76" t="s">
        <v>393</v>
      </c>
      <c r="D424" s="76" t="s">
        <v>394</v>
      </c>
      <c r="E424" s="76" t="s">
        <v>395</v>
      </c>
      <c r="F424" s="76" t="s">
        <v>396</v>
      </c>
      <c r="G424" s="76" t="s">
        <v>397</v>
      </c>
      <c r="H424" s="108"/>
      <c r="I424" s="71"/>
    </row>
    <row r="425" spans="1:9" s="65" customFormat="1">
      <c r="A425" s="135" t="s">
        <v>409</v>
      </c>
      <c r="B425" s="78" t="s">
        <v>500</v>
      </c>
      <c r="C425" s="127" t="s">
        <v>493</v>
      </c>
      <c r="D425" s="107">
        <v>290000</v>
      </c>
      <c r="E425" s="79">
        <v>1</v>
      </c>
      <c r="F425" s="79">
        <v>0</v>
      </c>
      <c r="G425" s="107">
        <f>(D425*E425)+((D425*E425)*F425/100)</f>
        <v>290000</v>
      </c>
      <c r="H425" s="108"/>
      <c r="I425" s="71"/>
    </row>
    <row r="426" spans="1:9" s="65" customFormat="1">
      <c r="A426" s="90"/>
      <c r="B426" s="91"/>
      <c r="C426" s="91"/>
      <c r="D426" s="91"/>
      <c r="E426" s="91"/>
      <c r="F426"/>
      <c r="G426" s="85" t="s">
        <v>407</v>
      </c>
      <c r="H426" s="107">
        <f>SUM(G425:G425)</f>
        <v>290000</v>
      </c>
      <c r="I426" s="71"/>
    </row>
    <row r="427" spans="1:9" s="65" customFormat="1">
      <c r="A427" s="72" t="s">
        <v>410</v>
      </c>
      <c r="B427" s="73"/>
      <c r="C427" s="73"/>
      <c r="D427" s="73"/>
      <c r="E427" s="73"/>
      <c r="F427"/>
      <c r="G427" s="74"/>
      <c r="H427" s="108"/>
      <c r="I427" s="71"/>
    </row>
    <row r="428" spans="1:9" s="65" customFormat="1">
      <c r="A428" s="75" t="s">
        <v>391</v>
      </c>
      <c r="B428" s="76" t="s">
        <v>392</v>
      </c>
      <c r="C428" s="76" t="s">
        <v>393</v>
      </c>
      <c r="D428" s="76" t="s">
        <v>394</v>
      </c>
      <c r="E428" s="76" t="s">
        <v>395</v>
      </c>
      <c r="F428" s="76" t="s">
        <v>396</v>
      </c>
      <c r="G428" s="76" t="s">
        <v>397</v>
      </c>
      <c r="H428" s="108"/>
      <c r="I428" s="71"/>
    </row>
    <row r="429" spans="1:9" s="65" customFormat="1">
      <c r="A429" s="77" t="s">
        <v>494</v>
      </c>
      <c r="B429" s="78" t="s">
        <v>495</v>
      </c>
      <c r="C429" s="79" t="s">
        <v>426</v>
      </c>
      <c r="D429" s="107">
        <v>15927</v>
      </c>
      <c r="E429" s="79">
        <v>2.4</v>
      </c>
      <c r="F429" s="79">
        <v>0</v>
      </c>
      <c r="G429" s="107">
        <f>(D429*E429)+((D429*E429)*F429/100)</f>
        <v>38224.799999999996</v>
      </c>
      <c r="H429" s="108"/>
      <c r="I429" s="149"/>
    </row>
    <row r="430" spans="1:9" s="65" customFormat="1">
      <c r="A430" s="90"/>
      <c r="B430" s="91"/>
      <c r="C430" s="91"/>
      <c r="D430" s="91"/>
      <c r="E430" s="91"/>
      <c r="F430"/>
      <c r="G430" s="93" t="s">
        <v>407</v>
      </c>
      <c r="H430" s="107">
        <f>SUM(G429:G429)</f>
        <v>38224.799999999996</v>
      </c>
      <c r="I430" s="71"/>
    </row>
    <row r="431" spans="1:9" s="65" customFormat="1">
      <c r="A431" s="72" t="s">
        <v>411</v>
      </c>
      <c r="B431" s="73"/>
      <c r="C431" s="73"/>
      <c r="D431" s="73"/>
      <c r="E431" s="73"/>
      <c r="F431"/>
      <c r="G431" s="74"/>
      <c r="H431" s="108"/>
      <c r="I431" s="71"/>
    </row>
    <row r="432" spans="1:9" s="65" customFormat="1">
      <c r="A432" s="75" t="s">
        <v>391</v>
      </c>
      <c r="B432" s="76" t="s">
        <v>392</v>
      </c>
      <c r="C432" s="76" t="s">
        <v>393</v>
      </c>
      <c r="D432" s="76" t="s">
        <v>394</v>
      </c>
      <c r="E432" s="76" t="s">
        <v>395</v>
      </c>
      <c r="F432" s="76" t="s">
        <v>396</v>
      </c>
      <c r="G432" s="76" t="s">
        <v>397</v>
      </c>
      <c r="H432" s="108"/>
      <c r="I432" s="71"/>
    </row>
    <row r="433" spans="1:9" s="65" customFormat="1">
      <c r="A433" s="87" t="s">
        <v>409</v>
      </c>
      <c r="B433" s="114" t="s">
        <v>409</v>
      </c>
      <c r="C433" s="114" t="s">
        <v>409</v>
      </c>
      <c r="D433" s="114" t="s">
        <v>409</v>
      </c>
      <c r="E433" s="114" t="s">
        <v>409</v>
      </c>
      <c r="F433" s="79" t="s">
        <v>409</v>
      </c>
      <c r="G433" s="89" t="s">
        <v>409</v>
      </c>
      <c r="H433" s="108"/>
      <c r="I433" s="71"/>
    </row>
    <row r="434" spans="1:9" s="65" customFormat="1">
      <c r="A434" s="94"/>
      <c r="B434" s="95"/>
      <c r="C434" s="95"/>
      <c r="D434" s="95"/>
      <c r="E434" s="95"/>
      <c r="F434"/>
      <c r="G434" s="93" t="s">
        <v>407</v>
      </c>
      <c r="H434" s="107">
        <f>SUM(G432:G433)</f>
        <v>0</v>
      </c>
      <c r="I434" s="71"/>
    </row>
    <row r="435" spans="1:9" s="65" customFormat="1">
      <c r="A435" s="94"/>
      <c r="B435" s="95"/>
      <c r="C435" s="95"/>
      <c r="D435" s="95"/>
      <c r="E435" s="95"/>
      <c r="F435"/>
      <c r="G435" s="74"/>
      <c r="H435" s="74"/>
      <c r="I435" s="71"/>
    </row>
    <row r="436" spans="1:9" s="65" customFormat="1">
      <c r="A436" s="96"/>
      <c r="B436" s="97"/>
      <c r="C436" s="98"/>
      <c r="D436" s="98"/>
      <c r="E436" s="98"/>
      <c r="F436"/>
      <c r="G436" s="99" t="s">
        <v>412</v>
      </c>
      <c r="H436" s="115">
        <f>SUM(H422:H434)</f>
        <v>331974.8</v>
      </c>
      <c r="I436" s="71"/>
    </row>
    <row r="437" spans="1:9" s="65" customFormat="1">
      <c r="A437" s="96"/>
      <c r="B437" s="97"/>
      <c r="C437" s="98"/>
      <c r="D437" s="98"/>
      <c r="E437" s="98"/>
      <c r="F437" s="101"/>
      <c r="G437" s="116"/>
      <c r="H437" s="70"/>
      <c r="I437" s="71"/>
    </row>
    <row r="438" spans="1:9" s="65" customFormat="1" ht="15.75" thickBot="1">
      <c r="A438" s="624" t="s">
        <v>430</v>
      </c>
      <c r="B438" s="625"/>
      <c r="C438" s="625"/>
      <c r="D438" s="625"/>
      <c r="E438" s="625"/>
      <c r="F438" s="625"/>
      <c r="G438" s="626"/>
      <c r="H438" s="117">
        <f>+ROUND(H436,0)</f>
        <v>331975</v>
      </c>
      <c r="I438" s="103"/>
    </row>
    <row r="439" spans="1:9" s="65" customFormat="1">
      <c r="A439" s="128"/>
      <c r="B439" s="141"/>
      <c r="C439" s="141"/>
      <c r="D439" s="141"/>
      <c r="E439" s="141"/>
      <c r="F439" s="141"/>
      <c r="G439" s="141"/>
      <c r="H439" s="140"/>
    </row>
    <row r="440" spans="1:9" s="65" customFormat="1" ht="15.75" thickBot="1">
      <c r="A440" s="146"/>
      <c r="B440" s="147"/>
      <c r="C440" s="148"/>
      <c r="D440" s="84"/>
      <c r="E440" s="84"/>
      <c r="F440" s="84"/>
      <c r="G440" s="144"/>
      <c r="H440" s="145"/>
    </row>
    <row r="441" spans="1:9" s="65" customFormat="1">
      <c r="A441" s="627"/>
      <c r="B441" s="629" t="s">
        <v>48</v>
      </c>
      <c r="C441" s="630"/>
      <c r="D441" s="630"/>
      <c r="E441" s="630"/>
      <c r="F441" s="630"/>
      <c r="G441" s="630"/>
      <c r="H441" s="643"/>
      <c r="I441" s="66" t="s">
        <v>389</v>
      </c>
    </row>
    <row r="442" spans="1:9" s="65" customFormat="1">
      <c r="A442" s="628"/>
      <c r="B442" s="631"/>
      <c r="C442" s="632"/>
      <c r="D442" s="632"/>
      <c r="E442" s="632"/>
      <c r="F442" s="632"/>
      <c r="G442" s="632"/>
      <c r="H442" s="644"/>
      <c r="I442" s="67" t="s">
        <v>432</v>
      </c>
    </row>
    <row r="443" spans="1:9" s="65" customFormat="1">
      <c r="A443" s="68"/>
      <c r="B443" s="69"/>
      <c r="C443" s="69"/>
      <c r="D443" s="69"/>
      <c r="E443" s="69"/>
      <c r="F443" s="70"/>
      <c r="G443" s="70"/>
      <c r="H443" s="70"/>
      <c r="I443" s="71"/>
    </row>
    <row r="444" spans="1:9" s="65" customFormat="1">
      <c r="A444" s="72" t="s">
        <v>390</v>
      </c>
      <c r="B444" s="73"/>
      <c r="C444" s="73"/>
      <c r="D444" s="73"/>
      <c r="E444" s="73"/>
      <c r="F444" s="74"/>
      <c r="G444" s="74"/>
      <c r="H444" s="70"/>
      <c r="I444" s="71"/>
    </row>
    <row r="445" spans="1:9" s="65" customFormat="1">
      <c r="A445" s="75" t="s">
        <v>391</v>
      </c>
      <c r="B445" s="76" t="s">
        <v>392</v>
      </c>
      <c r="C445" s="76" t="s">
        <v>393</v>
      </c>
      <c r="D445" s="76" t="s">
        <v>394</v>
      </c>
      <c r="E445" s="76" t="s">
        <v>395</v>
      </c>
      <c r="F445" s="76" t="s">
        <v>396</v>
      </c>
      <c r="G445" s="76" t="s">
        <v>397</v>
      </c>
      <c r="H445" s="74"/>
      <c r="I445" s="71"/>
    </row>
    <row r="446" spans="1:9" s="65" customFormat="1">
      <c r="A446" s="77" t="s">
        <v>404</v>
      </c>
      <c r="B446" s="78" t="s">
        <v>405</v>
      </c>
      <c r="C446" s="79" t="s">
        <v>406</v>
      </c>
      <c r="D446" s="107">
        <v>1250</v>
      </c>
      <c r="E446" s="79">
        <v>10</v>
      </c>
      <c r="F446" s="79">
        <v>0</v>
      </c>
      <c r="G446" s="107">
        <f>(D446*E446)+((D446*E446)*F446/100)</f>
        <v>12500</v>
      </c>
      <c r="H446" s="74"/>
      <c r="I446" s="71"/>
    </row>
    <row r="447" spans="1:9" s="65" customFormat="1">
      <c r="A447" s="82"/>
      <c r="B447" s="83"/>
      <c r="C447" s="84"/>
      <c r="D447" s="84"/>
      <c r="E447" s="84"/>
      <c r="F447"/>
      <c r="G447" s="93" t="s">
        <v>407</v>
      </c>
      <c r="H447" s="107">
        <f>SUM(G446:G446)</f>
        <v>12500</v>
      </c>
      <c r="I447" s="71"/>
    </row>
    <row r="448" spans="1:9" s="65" customFormat="1">
      <c r="A448" s="72" t="s">
        <v>408</v>
      </c>
      <c r="B448" s="73"/>
      <c r="C448" s="73"/>
      <c r="D448" s="73"/>
      <c r="E448" s="73"/>
      <c r="F448"/>
      <c r="G448" s="74"/>
      <c r="H448" s="108"/>
      <c r="I448" s="71"/>
    </row>
    <row r="449" spans="1:9" s="65" customFormat="1">
      <c r="A449" s="75" t="s">
        <v>391</v>
      </c>
      <c r="B449" s="76" t="s">
        <v>392</v>
      </c>
      <c r="C449" s="76" t="s">
        <v>393</v>
      </c>
      <c r="D449" s="76" t="s">
        <v>394</v>
      </c>
      <c r="E449" s="76" t="s">
        <v>395</v>
      </c>
      <c r="F449" s="76" t="s">
        <v>396</v>
      </c>
      <c r="G449" s="76" t="s">
        <v>397</v>
      </c>
      <c r="H449" s="108"/>
      <c r="I449" s="71"/>
    </row>
    <row r="450" spans="1:9" s="65" customFormat="1" ht="25.5">
      <c r="A450" s="135" t="s">
        <v>501</v>
      </c>
      <c r="B450" s="78" t="s">
        <v>464</v>
      </c>
      <c r="C450" s="127" t="s">
        <v>432</v>
      </c>
      <c r="D450" s="107">
        <f>+H247</f>
        <v>281819</v>
      </c>
      <c r="E450" s="79">
        <v>1</v>
      </c>
      <c r="F450" s="79">
        <v>3</v>
      </c>
      <c r="G450" s="107">
        <f>(D450*E450)+((D450*E450)*F450/100)</f>
        <v>290273.57</v>
      </c>
      <c r="H450" s="108"/>
      <c r="I450" s="71"/>
    </row>
    <row r="451" spans="1:9" s="65" customFormat="1">
      <c r="A451" s="139">
        <v>5000</v>
      </c>
      <c r="B451" s="78" t="s">
        <v>484</v>
      </c>
      <c r="C451" s="127" t="s">
        <v>73</v>
      </c>
      <c r="D451" s="107">
        <v>150000</v>
      </c>
      <c r="E451" s="79">
        <v>1</v>
      </c>
      <c r="F451" s="79">
        <v>0</v>
      </c>
      <c r="G451" s="107">
        <f>(D451*E451)+((D451*E451)*F451/100)</f>
        <v>150000</v>
      </c>
      <c r="H451" s="108"/>
      <c r="I451" s="71"/>
    </row>
    <row r="452" spans="1:9" s="65" customFormat="1">
      <c r="A452" s="90"/>
      <c r="B452" s="91"/>
      <c r="C452" s="91"/>
      <c r="D452" s="91"/>
      <c r="E452" s="91"/>
      <c r="F452"/>
      <c r="G452" s="85" t="s">
        <v>407</v>
      </c>
      <c r="H452" s="107">
        <f>SUM(G450:G451)</f>
        <v>440273.57</v>
      </c>
      <c r="I452" s="71"/>
    </row>
    <row r="453" spans="1:9" s="65" customFormat="1">
      <c r="A453" s="72" t="s">
        <v>410</v>
      </c>
      <c r="B453" s="73"/>
      <c r="C453" s="73"/>
      <c r="D453" s="73"/>
      <c r="E453" s="73"/>
      <c r="F453"/>
      <c r="G453" s="74"/>
      <c r="H453" s="108"/>
      <c r="I453" s="71"/>
    </row>
    <row r="454" spans="1:9" s="65" customFormat="1">
      <c r="A454" s="75" t="s">
        <v>391</v>
      </c>
      <c r="B454" s="76" t="s">
        <v>392</v>
      </c>
      <c r="C454" s="76" t="s">
        <v>393</v>
      </c>
      <c r="D454" s="76" t="s">
        <v>394</v>
      </c>
      <c r="E454" s="76" t="s">
        <v>395</v>
      </c>
      <c r="F454" s="76" t="s">
        <v>396</v>
      </c>
      <c r="G454" s="76" t="s">
        <v>397</v>
      </c>
      <c r="H454" s="108"/>
      <c r="I454" s="71"/>
    </row>
    <row r="455" spans="1:9" s="65" customFormat="1">
      <c r="A455" s="77" t="s">
        <v>494</v>
      </c>
      <c r="B455" s="78" t="s">
        <v>495</v>
      </c>
      <c r="C455" s="79" t="s">
        <v>426</v>
      </c>
      <c r="D455" s="107">
        <v>15927</v>
      </c>
      <c r="E455" s="79">
        <v>9</v>
      </c>
      <c r="F455" s="79">
        <v>0</v>
      </c>
      <c r="G455" s="107">
        <f>(D455*E455)+((D455*E455)*F455/100)</f>
        <v>143343</v>
      </c>
      <c r="H455" s="108"/>
      <c r="I455" s="149"/>
    </row>
    <row r="456" spans="1:9" s="65" customFormat="1">
      <c r="A456" s="90"/>
      <c r="B456" s="91"/>
      <c r="C456" s="91"/>
      <c r="D456" s="91"/>
      <c r="E456" s="91"/>
      <c r="F456"/>
      <c r="G456" s="93" t="s">
        <v>407</v>
      </c>
      <c r="H456" s="107">
        <f>SUM(G455:G455)</f>
        <v>143343</v>
      </c>
      <c r="I456" s="71"/>
    </row>
    <row r="457" spans="1:9" s="65" customFormat="1">
      <c r="A457" s="72" t="s">
        <v>411</v>
      </c>
      <c r="B457" s="73"/>
      <c r="C457" s="73"/>
      <c r="D457" s="73"/>
      <c r="E457" s="73"/>
      <c r="F457"/>
      <c r="G457" s="74"/>
      <c r="H457" s="108"/>
      <c r="I457" s="71"/>
    </row>
    <row r="458" spans="1:9" s="65" customFormat="1">
      <c r="A458" s="75" t="s">
        <v>391</v>
      </c>
      <c r="B458" s="76" t="s">
        <v>392</v>
      </c>
      <c r="C458" s="76" t="s">
        <v>393</v>
      </c>
      <c r="D458" s="76" t="s">
        <v>394</v>
      </c>
      <c r="E458" s="76" t="s">
        <v>395</v>
      </c>
      <c r="F458" s="76" t="s">
        <v>396</v>
      </c>
      <c r="G458" s="76" t="s">
        <v>397</v>
      </c>
      <c r="H458" s="108"/>
      <c r="I458" s="71"/>
    </row>
    <row r="459" spans="1:9" s="65" customFormat="1">
      <c r="A459" s="87" t="s">
        <v>409</v>
      </c>
      <c r="B459" s="114" t="s">
        <v>409</v>
      </c>
      <c r="C459" s="114" t="s">
        <v>409</v>
      </c>
      <c r="D459" s="114" t="s">
        <v>409</v>
      </c>
      <c r="E459" s="114" t="s">
        <v>409</v>
      </c>
      <c r="F459" s="79" t="s">
        <v>409</v>
      </c>
      <c r="G459" s="89" t="s">
        <v>409</v>
      </c>
      <c r="H459" s="108"/>
      <c r="I459" s="71"/>
    </row>
    <row r="460" spans="1:9" s="65" customFormat="1">
      <c r="A460" s="94"/>
      <c r="B460" s="95"/>
      <c r="C460" s="95"/>
      <c r="D460" s="95"/>
      <c r="E460" s="95"/>
      <c r="F460"/>
      <c r="G460" s="93" t="s">
        <v>407</v>
      </c>
      <c r="H460" s="107">
        <f>SUM(G458:G459)</f>
        <v>0</v>
      </c>
      <c r="I460" s="71"/>
    </row>
    <row r="461" spans="1:9" s="65" customFormat="1">
      <c r="A461" s="94"/>
      <c r="B461" s="95"/>
      <c r="C461" s="95"/>
      <c r="D461" s="95"/>
      <c r="E461" s="95"/>
      <c r="F461"/>
      <c r="G461" s="74"/>
      <c r="H461" s="74"/>
      <c r="I461" s="71"/>
    </row>
    <row r="462" spans="1:9" s="65" customFormat="1">
      <c r="A462" s="96"/>
      <c r="B462" s="97"/>
      <c r="C462" s="98"/>
      <c r="D462" s="98"/>
      <c r="E462" s="98"/>
      <c r="F462"/>
      <c r="G462" s="99" t="s">
        <v>412</v>
      </c>
      <c r="H462" s="115">
        <f>SUM(H447:H460)</f>
        <v>596116.57000000007</v>
      </c>
      <c r="I462" s="71"/>
    </row>
    <row r="463" spans="1:9" s="65" customFormat="1">
      <c r="A463" s="96"/>
      <c r="B463" s="97"/>
      <c r="C463" s="98"/>
      <c r="D463" s="98"/>
      <c r="E463" s="98"/>
      <c r="F463" s="101"/>
      <c r="G463" s="116"/>
      <c r="H463" s="70"/>
      <c r="I463" s="71"/>
    </row>
    <row r="464" spans="1:9" s="65" customFormat="1" ht="15.75" thickBot="1">
      <c r="A464" s="624" t="s">
        <v>502</v>
      </c>
      <c r="B464" s="625"/>
      <c r="C464" s="625"/>
      <c r="D464" s="625"/>
      <c r="E464" s="625"/>
      <c r="F464" s="625"/>
      <c r="G464" s="626"/>
      <c r="H464" s="117">
        <f>+ROUND(H462,0)</f>
        <v>596117</v>
      </c>
      <c r="I464" s="103"/>
    </row>
    <row r="465" spans="1:9" s="65" customFormat="1">
      <c r="A465" s="150"/>
      <c r="B465" s="83"/>
      <c r="C465" s="148"/>
      <c r="D465" s="84"/>
      <c r="E465" s="84"/>
      <c r="F465" s="84"/>
      <c r="G465" s="144"/>
      <c r="H465" s="140"/>
    </row>
    <row r="466" spans="1:9" s="65" customFormat="1" ht="15.75" thickBot="1">
      <c r="A466" s="150"/>
      <c r="B466" s="83"/>
      <c r="C466" s="148"/>
      <c r="D466" s="84"/>
      <c r="E466" s="84"/>
      <c r="F466" s="84"/>
      <c r="G466" s="144"/>
      <c r="H466" s="140"/>
    </row>
    <row r="467" spans="1:9" s="65" customFormat="1">
      <c r="A467" s="627"/>
      <c r="B467" s="629" t="s">
        <v>503</v>
      </c>
      <c r="C467" s="630"/>
      <c r="D467" s="630"/>
      <c r="E467" s="630"/>
      <c r="F467" s="630"/>
      <c r="G467" s="630"/>
      <c r="H467" s="643"/>
      <c r="I467" s="66" t="s">
        <v>389</v>
      </c>
    </row>
    <row r="468" spans="1:9" s="65" customFormat="1">
      <c r="A468" s="628"/>
      <c r="B468" s="631"/>
      <c r="C468" s="632"/>
      <c r="D468" s="632"/>
      <c r="E468" s="632"/>
      <c r="F468" s="632"/>
      <c r="G468" s="632"/>
      <c r="H468" s="644"/>
      <c r="I468" s="67" t="s">
        <v>432</v>
      </c>
    </row>
    <row r="469" spans="1:9" s="65" customFormat="1">
      <c r="A469" s="68"/>
      <c r="B469" s="69"/>
      <c r="C469" s="69"/>
      <c r="D469" s="69"/>
      <c r="E469" s="69"/>
      <c r="F469" s="70"/>
      <c r="G469" s="70"/>
      <c r="H469" s="70"/>
      <c r="I469" s="71"/>
    </row>
    <row r="470" spans="1:9" s="65" customFormat="1">
      <c r="A470" s="72" t="s">
        <v>390</v>
      </c>
      <c r="B470" s="73"/>
      <c r="C470" s="73"/>
      <c r="D470" s="73"/>
      <c r="E470" s="73"/>
      <c r="F470" s="74"/>
      <c r="G470" s="74"/>
      <c r="H470" s="70"/>
      <c r="I470" s="71"/>
    </row>
    <row r="471" spans="1:9" s="65" customFormat="1">
      <c r="A471" s="75" t="s">
        <v>391</v>
      </c>
      <c r="B471" s="76" t="s">
        <v>392</v>
      </c>
      <c r="C471" s="76" t="s">
        <v>393</v>
      </c>
      <c r="D471" s="76" t="s">
        <v>394</v>
      </c>
      <c r="E471" s="76" t="s">
        <v>395</v>
      </c>
      <c r="F471" s="76" t="s">
        <v>396</v>
      </c>
      <c r="G471" s="76" t="s">
        <v>397</v>
      </c>
      <c r="H471" s="74"/>
      <c r="I471" s="71"/>
    </row>
    <row r="472" spans="1:9" s="65" customFormat="1">
      <c r="A472" s="77" t="s">
        <v>404</v>
      </c>
      <c r="B472" s="78" t="s">
        <v>405</v>
      </c>
      <c r="C472" s="79" t="s">
        <v>406</v>
      </c>
      <c r="D472" s="107">
        <v>1250</v>
      </c>
      <c r="E472" s="79">
        <v>5</v>
      </c>
      <c r="F472" s="79">
        <v>0</v>
      </c>
      <c r="G472" s="107">
        <f>(D472*E472)+((D472*E472)*F472/100)</f>
        <v>6250</v>
      </c>
      <c r="H472" s="74"/>
      <c r="I472" s="71"/>
    </row>
    <row r="473" spans="1:9" s="65" customFormat="1">
      <c r="A473" s="82"/>
      <c r="B473" s="83"/>
      <c r="C473" s="84"/>
      <c r="D473" s="84"/>
      <c r="E473" s="84"/>
      <c r="F473"/>
      <c r="G473" s="93" t="s">
        <v>407</v>
      </c>
      <c r="H473" s="107">
        <f>SUM(G472:G472)</f>
        <v>6250</v>
      </c>
      <c r="I473" s="71"/>
    </row>
    <row r="474" spans="1:9" s="65" customFormat="1">
      <c r="A474" s="72" t="s">
        <v>408</v>
      </c>
      <c r="B474" s="73"/>
      <c r="C474" s="73"/>
      <c r="D474" s="73"/>
      <c r="E474" s="73"/>
      <c r="F474"/>
      <c r="G474" s="74"/>
      <c r="H474" s="108"/>
      <c r="I474" s="71"/>
    </row>
    <row r="475" spans="1:9" s="65" customFormat="1">
      <c r="A475" s="75" t="s">
        <v>391</v>
      </c>
      <c r="B475" s="76" t="s">
        <v>392</v>
      </c>
      <c r="C475" s="76" t="s">
        <v>393</v>
      </c>
      <c r="D475" s="76" t="s">
        <v>394</v>
      </c>
      <c r="E475" s="76" t="s">
        <v>395</v>
      </c>
      <c r="F475" s="76" t="s">
        <v>396</v>
      </c>
      <c r="G475" s="76" t="s">
        <v>397</v>
      </c>
      <c r="H475" s="108"/>
      <c r="I475" s="71"/>
    </row>
    <row r="476" spans="1:9" s="65" customFormat="1" ht="25.5">
      <c r="A476" s="135" t="s">
        <v>501</v>
      </c>
      <c r="B476" s="78" t="s">
        <v>464</v>
      </c>
      <c r="C476" s="127" t="s">
        <v>432</v>
      </c>
      <c r="D476" s="107">
        <f>+H247</f>
        <v>281819</v>
      </c>
      <c r="E476" s="79">
        <v>1</v>
      </c>
      <c r="F476" s="79">
        <v>3</v>
      </c>
      <c r="G476" s="107">
        <f>(D476*E476)+((D476*E476)*F476/100)</f>
        <v>290273.57</v>
      </c>
      <c r="H476" s="108"/>
      <c r="I476" s="71"/>
    </row>
    <row r="477" spans="1:9" s="65" customFormat="1">
      <c r="A477" s="139">
        <v>5000</v>
      </c>
      <c r="B477" s="78" t="s">
        <v>484</v>
      </c>
      <c r="C477" s="127" t="s">
        <v>73</v>
      </c>
      <c r="D477" s="107">
        <v>150000</v>
      </c>
      <c r="E477" s="79">
        <v>1</v>
      </c>
      <c r="F477" s="79">
        <v>0</v>
      </c>
      <c r="G477" s="107">
        <f>(D477*E477)+((D477*E477)*F477/100)</f>
        <v>150000</v>
      </c>
      <c r="H477" s="108"/>
      <c r="I477" s="71"/>
    </row>
    <row r="478" spans="1:9" s="65" customFormat="1">
      <c r="A478" s="90"/>
      <c r="B478" s="91"/>
      <c r="C478" s="91"/>
      <c r="D478" s="91"/>
      <c r="E478" s="91"/>
      <c r="F478"/>
      <c r="G478" s="85" t="s">
        <v>407</v>
      </c>
      <c r="H478" s="107">
        <f>SUM(G476:G477)</f>
        <v>440273.57</v>
      </c>
      <c r="I478" s="71"/>
    </row>
    <row r="479" spans="1:9" s="65" customFormat="1">
      <c r="A479" s="72" t="s">
        <v>410</v>
      </c>
      <c r="B479" s="73"/>
      <c r="C479" s="73"/>
      <c r="D479" s="73"/>
      <c r="E479" s="73"/>
      <c r="F479"/>
      <c r="G479" s="74"/>
      <c r="H479" s="108"/>
      <c r="I479" s="71"/>
    </row>
    <row r="480" spans="1:9" s="65" customFormat="1">
      <c r="A480" s="75" t="s">
        <v>391</v>
      </c>
      <c r="B480" s="76" t="s">
        <v>392</v>
      </c>
      <c r="C480" s="76" t="s">
        <v>393</v>
      </c>
      <c r="D480" s="76" t="s">
        <v>394</v>
      </c>
      <c r="E480" s="76" t="s">
        <v>395</v>
      </c>
      <c r="F480" s="76" t="s">
        <v>396</v>
      </c>
      <c r="G480" s="76" t="s">
        <v>397</v>
      </c>
      <c r="H480" s="108"/>
      <c r="I480" s="71"/>
    </row>
    <row r="481" spans="1:9" s="65" customFormat="1">
      <c r="A481" s="77" t="s">
        <v>494</v>
      </c>
      <c r="B481" s="78" t="s">
        <v>495</v>
      </c>
      <c r="C481" s="79" t="s">
        <v>426</v>
      </c>
      <c r="D481" s="107">
        <v>15927</v>
      </c>
      <c r="E481" s="79">
        <v>7</v>
      </c>
      <c r="F481" s="79">
        <v>0</v>
      </c>
      <c r="G481" s="107">
        <f>(D481*E481)+((D481*E481)*F481/100)</f>
        <v>111489</v>
      </c>
      <c r="H481" s="108"/>
      <c r="I481" s="149"/>
    </row>
    <row r="482" spans="1:9" s="65" customFormat="1">
      <c r="A482" s="90"/>
      <c r="B482" s="91"/>
      <c r="C482" s="91"/>
      <c r="D482" s="91"/>
      <c r="E482" s="91"/>
      <c r="F482"/>
      <c r="G482" s="93" t="s">
        <v>407</v>
      </c>
      <c r="H482" s="107">
        <f>SUM(G481:G481)</f>
        <v>111489</v>
      </c>
      <c r="I482" s="71"/>
    </row>
    <row r="483" spans="1:9" s="65" customFormat="1">
      <c r="A483" s="72" t="s">
        <v>411</v>
      </c>
      <c r="B483" s="73"/>
      <c r="C483" s="73"/>
      <c r="D483" s="73"/>
      <c r="E483" s="73"/>
      <c r="F483"/>
      <c r="G483" s="74"/>
      <c r="H483" s="108"/>
      <c r="I483" s="71"/>
    </row>
    <row r="484" spans="1:9" s="65" customFormat="1">
      <c r="A484" s="75" t="s">
        <v>391</v>
      </c>
      <c r="B484" s="76" t="s">
        <v>392</v>
      </c>
      <c r="C484" s="76" t="s">
        <v>393</v>
      </c>
      <c r="D484" s="76" t="s">
        <v>394</v>
      </c>
      <c r="E484" s="76" t="s">
        <v>395</v>
      </c>
      <c r="F484" s="76" t="s">
        <v>396</v>
      </c>
      <c r="G484" s="76" t="s">
        <v>397</v>
      </c>
      <c r="H484" s="108"/>
      <c r="I484" s="71"/>
    </row>
    <row r="485" spans="1:9" s="65" customFormat="1">
      <c r="A485" s="87" t="s">
        <v>409</v>
      </c>
      <c r="B485" s="114" t="s">
        <v>409</v>
      </c>
      <c r="C485" s="114" t="s">
        <v>409</v>
      </c>
      <c r="D485" s="114" t="s">
        <v>409</v>
      </c>
      <c r="E485" s="114" t="s">
        <v>409</v>
      </c>
      <c r="F485" s="79" t="s">
        <v>409</v>
      </c>
      <c r="G485" s="89" t="s">
        <v>409</v>
      </c>
      <c r="H485" s="108"/>
      <c r="I485" s="71"/>
    </row>
    <row r="486" spans="1:9" s="65" customFormat="1">
      <c r="A486" s="94"/>
      <c r="B486" s="95"/>
      <c r="C486" s="95"/>
      <c r="D486" s="95"/>
      <c r="E486" s="95"/>
      <c r="F486"/>
      <c r="G486" s="93" t="s">
        <v>407</v>
      </c>
      <c r="H486" s="107">
        <f>SUM(G484:G485)</f>
        <v>0</v>
      </c>
      <c r="I486" s="71"/>
    </row>
    <row r="487" spans="1:9" s="65" customFormat="1">
      <c r="A487" s="94"/>
      <c r="B487" s="95"/>
      <c r="C487" s="95"/>
      <c r="D487" s="95"/>
      <c r="E487" s="95"/>
      <c r="F487"/>
      <c r="G487" s="74"/>
      <c r="H487" s="74"/>
      <c r="I487" s="71"/>
    </row>
    <row r="488" spans="1:9" s="65" customFormat="1">
      <c r="A488" s="96"/>
      <c r="B488" s="97"/>
      <c r="C488" s="98"/>
      <c r="D488" s="98"/>
      <c r="E488" s="98"/>
      <c r="F488"/>
      <c r="G488" s="99" t="s">
        <v>412</v>
      </c>
      <c r="H488" s="115">
        <f>SUM(H473:H486)</f>
        <v>558012.57000000007</v>
      </c>
      <c r="I488" s="71"/>
    </row>
    <row r="489" spans="1:9" s="65" customFormat="1">
      <c r="A489" s="96"/>
      <c r="B489" s="97"/>
      <c r="C489" s="98"/>
      <c r="D489" s="98"/>
      <c r="E489" s="98"/>
      <c r="F489" s="101"/>
      <c r="G489" s="116"/>
      <c r="H489" s="70"/>
      <c r="I489" s="71"/>
    </row>
    <row r="490" spans="1:9" s="65" customFormat="1" ht="15.75" thickBot="1">
      <c r="A490" s="624" t="s">
        <v>502</v>
      </c>
      <c r="B490" s="625"/>
      <c r="C490" s="625"/>
      <c r="D490" s="625"/>
      <c r="E490" s="625"/>
      <c r="F490" s="625"/>
      <c r="G490" s="626"/>
      <c r="H490" s="117">
        <f>+ROUND(H488,0)</f>
        <v>558013</v>
      </c>
      <c r="I490" s="103"/>
    </row>
    <row r="491" spans="1:9" s="65" customFormat="1">
      <c r="A491" s="84"/>
      <c r="B491" s="83"/>
      <c r="C491" s="84"/>
      <c r="D491" s="84"/>
      <c r="E491" s="84"/>
      <c r="F491" s="84"/>
      <c r="G491" s="144"/>
      <c r="H491" s="121"/>
    </row>
    <row r="492" spans="1:9" s="65" customFormat="1" ht="15.75" thickBot="1">
      <c r="A492" s="150"/>
      <c r="B492" s="83"/>
      <c r="C492" s="148"/>
      <c r="D492" s="84"/>
      <c r="E492" s="84"/>
      <c r="F492" s="84"/>
      <c r="G492" s="144"/>
      <c r="H492" s="140"/>
    </row>
    <row r="493" spans="1:9" s="65" customFormat="1">
      <c r="A493" s="627"/>
      <c r="B493" s="629" t="s">
        <v>504</v>
      </c>
      <c r="C493" s="630"/>
      <c r="D493" s="630"/>
      <c r="E493" s="630"/>
      <c r="F493" s="630"/>
      <c r="G493" s="630"/>
      <c r="H493" s="643"/>
      <c r="I493" s="66" t="s">
        <v>389</v>
      </c>
    </row>
    <row r="494" spans="1:9" s="65" customFormat="1">
      <c r="A494" s="628"/>
      <c r="B494" s="631"/>
      <c r="C494" s="632"/>
      <c r="D494" s="632"/>
      <c r="E494" s="632"/>
      <c r="F494" s="632"/>
      <c r="G494" s="632"/>
      <c r="H494" s="644"/>
      <c r="I494" s="67" t="s">
        <v>432</v>
      </c>
    </row>
    <row r="495" spans="1:9" s="65" customFormat="1">
      <c r="A495" s="68"/>
      <c r="B495" s="69"/>
      <c r="C495" s="69"/>
      <c r="D495" s="69"/>
      <c r="E495" s="69"/>
      <c r="F495" s="70"/>
      <c r="G495" s="70"/>
      <c r="H495" s="70"/>
      <c r="I495" s="71"/>
    </row>
    <row r="496" spans="1:9" s="65" customFormat="1">
      <c r="A496" s="72" t="s">
        <v>390</v>
      </c>
      <c r="B496" s="73"/>
      <c r="C496" s="73"/>
      <c r="D496" s="73"/>
      <c r="E496" s="73"/>
      <c r="F496" s="74"/>
      <c r="G496" s="74"/>
      <c r="H496" s="70"/>
      <c r="I496" s="71"/>
    </row>
    <row r="497" spans="1:9" s="65" customFormat="1">
      <c r="A497" s="75" t="s">
        <v>391</v>
      </c>
      <c r="B497" s="76" t="s">
        <v>392</v>
      </c>
      <c r="C497" s="76" t="s">
        <v>393</v>
      </c>
      <c r="D497" s="76" t="s">
        <v>394</v>
      </c>
      <c r="E497" s="76" t="s">
        <v>395</v>
      </c>
      <c r="F497" s="76" t="s">
        <v>396</v>
      </c>
      <c r="G497" s="76" t="s">
        <v>397</v>
      </c>
      <c r="H497" s="74"/>
      <c r="I497" s="71"/>
    </row>
    <row r="498" spans="1:9" s="65" customFormat="1">
      <c r="A498" s="77" t="s">
        <v>404</v>
      </c>
      <c r="B498" s="78" t="s">
        <v>405</v>
      </c>
      <c r="C498" s="79" t="s">
        <v>406</v>
      </c>
      <c r="D498" s="107">
        <v>1250</v>
      </c>
      <c r="E498" s="79">
        <v>3</v>
      </c>
      <c r="F498" s="79">
        <v>0</v>
      </c>
      <c r="G498" s="107">
        <f>(D498*E498)+((D498*E498)*F498/100)</f>
        <v>3750</v>
      </c>
      <c r="H498" s="74"/>
      <c r="I498" s="71"/>
    </row>
    <row r="499" spans="1:9" s="65" customFormat="1">
      <c r="A499" s="82"/>
      <c r="B499" s="83"/>
      <c r="C499" s="84"/>
      <c r="D499" s="84"/>
      <c r="E499" s="84"/>
      <c r="F499"/>
      <c r="G499" s="93" t="s">
        <v>407</v>
      </c>
      <c r="H499" s="107">
        <f>SUM(G498:G498)</f>
        <v>3750</v>
      </c>
      <c r="I499" s="71"/>
    </row>
    <row r="500" spans="1:9" s="65" customFormat="1">
      <c r="A500" s="72" t="s">
        <v>408</v>
      </c>
      <c r="B500" s="73"/>
      <c r="C500" s="73"/>
      <c r="D500" s="73"/>
      <c r="E500" s="73"/>
      <c r="F500"/>
      <c r="G500" s="74"/>
      <c r="H500" s="108"/>
      <c r="I500" s="71"/>
    </row>
    <row r="501" spans="1:9" s="65" customFormat="1">
      <c r="A501" s="75" t="s">
        <v>391</v>
      </c>
      <c r="B501" s="76" t="s">
        <v>392</v>
      </c>
      <c r="C501" s="76" t="s">
        <v>393</v>
      </c>
      <c r="D501" s="76" t="s">
        <v>394</v>
      </c>
      <c r="E501" s="76" t="s">
        <v>395</v>
      </c>
      <c r="F501" s="76" t="s">
        <v>396</v>
      </c>
      <c r="G501" s="76" t="s">
        <v>397</v>
      </c>
      <c r="H501" s="108"/>
      <c r="I501" s="71"/>
    </row>
    <row r="502" spans="1:9" s="65" customFormat="1" ht="25.5">
      <c r="A502" s="135" t="s">
        <v>501</v>
      </c>
      <c r="B502" s="78" t="s">
        <v>464</v>
      </c>
      <c r="C502" s="127" t="s">
        <v>432</v>
      </c>
      <c r="D502" s="107">
        <f>+H247</f>
        <v>281819</v>
      </c>
      <c r="E502" s="79">
        <v>1</v>
      </c>
      <c r="F502" s="79">
        <v>3</v>
      </c>
      <c r="G502" s="107">
        <f>(D502*E502)+((D502*E502)*F502/100)</f>
        <v>290273.57</v>
      </c>
      <c r="H502" s="108"/>
      <c r="I502" s="71"/>
    </row>
    <row r="503" spans="1:9" s="65" customFormat="1">
      <c r="A503" s="139">
        <v>5000</v>
      </c>
      <c r="B503" s="78" t="s">
        <v>484</v>
      </c>
      <c r="C503" s="127" t="s">
        <v>73</v>
      </c>
      <c r="D503" s="107">
        <v>150000</v>
      </c>
      <c r="E503" s="79">
        <v>1</v>
      </c>
      <c r="F503" s="79">
        <v>0</v>
      </c>
      <c r="G503" s="107">
        <f>(D503*E503)+((D503*E503)*F503/100)</f>
        <v>150000</v>
      </c>
      <c r="H503" s="108"/>
      <c r="I503" s="71"/>
    </row>
    <row r="504" spans="1:9" s="65" customFormat="1">
      <c r="A504" s="90"/>
      <c r="B504" s="91"/>
      <c r="C504" s="91"/>
      <c r="D504" s="91"/>
      <c r="E504" s="91"/>
      <c r="F504"/>
      <c r="G504" s="85" t="s">
        <v>407</v>
      </c>
      <c r="H504" s="107">
        <f>SUM(G502:G503)</f>
        <v>440273.57</v>
      </c>
      <c r="I504" s="71"/>
    </row>
    <row r="505" spans="1:9" s="65" customFormat="1">
      <c r="A505" s="72" t="s">
        <v>410</v>
      </c>
      <c r="B505" s="73"/>
      <c r="C505" s="73"/>
      <c r="D505" s="73"/>
      <c r="E505" s="73"/>
      <c r="F505"/>
      <c r="G505" s="74"/>
      <c r="H505" s="108"/>
      <c r="I505" s="71"/>
    </row>
    <row r="506" spans="1:9" s="65" customFormat="1">
      <c r="A506" s="75" t="s">
        <v>391</v>
      </c>
      <c r="B506" s="76" t="s">
        <v>392</v>
      </c>
      <c r="C506" s="76" t="s">
        <v>393</v>
      </c>
      <c r="D506" s="76" t="s">
        <v>394</v>
      </c>
      <c r="E506" s="76" t="s">
        <v>395</v>
      </c>
      <c r="F506" s="76" t="s">
        <v>396</v>
      </c>
      <c r="G506" s="76" t="s">
        <v>397</v>
      </c>
      <c r="H506" s="108"/>
      <c r="I506" s="71"/>
    </row>
    <row r="507" spans="1:9" s="65" customFormat="1">
      <c r="A507" s="77" t="s">
        <v>494</v>
      </c>
      <c r="B507" s="78" t="s">
        <v>495</v>
      </c>
      <c r="C507" s="79" t="s">
        <v>426</v>
      </c>
      <c r="D507" s="107">
        <v>15927</v>
      </c>
      <c r="E507" s="79">
        <v>8</v>
      </c>
      <c r="F507" s="79">
        <v>0</v>
      </c>
      <c r="G507" s="107">
        <f>(D507*E507)+((D507*E507)*F507/100)</f>
        <v>127416</v>
      </c>
      <c r="H507" s="108"/>
      <c r="I507" s="149"/>
    </row>
    <row r="508" spans="1:9" s="65" customFormat="1">
      <c r="A508" s="90"/>
      <c r="B508" s="91"/>
      <c r="C508" s="91"/>
      <c r="D508" s="91"/>
      <c r="E508" s="91"/>
      <c r="F508"/>
      <c r="G508" s="93" t="s">
        <v>407</v>
      </c>
      <c r="H508" s="107">
        <f>SUM(G507:G507)</f>
        <v>127416</v>
      </c>
      <c r="I508" s="71"/>
    </row>
    <row r="509" spans="1:9" s="65" customFormat="1">
      <c r="A509" s="72" t="s">
        <v>411</v>
      </c>
      <c r="B509" s="73"/>
      <c r="C509" s="73"/>
      <c r="D509" s="73"/>
      <c r="E509" s="73"/>
      <c r="F509"/>
      <c r="G509" s="74"/>
      <c r="H509" s="108"/>
      <c r="I509" s="71"/>
    </row>
    <row r="510" spans="1:9" s="65" customFormat="1">
      <c r="A510" s="75" t="s">
        <v>391</v>
      </c>
      <c r="B510" s="76" t="s">
        <v>392</v>
      </c>
      <c r="C510" s="76" t="s">
        <v>393</v>
      </c>
      <c r="D510" s="76" t="s">
        <v>394</v>
      </c>
      <c r="E510" s="76" t="s">
        <v>395</v>
      </c>
      <c r="F510" s="76" t="s">
        <v>396</v>
      </c>
      <c r="G510" s="76" t="s">
        <v>397</v>
      </c>
      <c r="H510" s="108"/>
      <c r="I510" s="71"/>
    </row>
    <row r="511" spans="1:9" s="65" customFormat="1">
      <c r="A511" s="87" t="s">
        <v>409</v>
      </c>
      <c r="B511" s="114" t="s">
        <v>409</v>
      </c>
      <c r="C511" s="114" t="s">
        <v>409</v>
      </c>
      <c r="D511" s="114" t="s">
        <v>409</v>
      </c>
      <c r="E511" s="114" t="s">
        <v>409</v>
      </c>
      <c r="F511" s="79" t="s">
        <v>409</v>
      </c>
      <c r="G511" s="89" t="s">
        <v>409</v>
      </c>
      <c r="H511" s="108"/>
      <c r="I511" s="71"/>
    </row>
    <row r="512" spans="1:9" s="65" customFormat="1">
      <c r="A512" s="94"/>
      <c r="B512" s="95"/>
      <c r="C512" s="95"/>
      <c r="D512" s="95"/>
      <c r="E512" s="95"/>
      <c r="F512"/>
      <c r="G512" s="93" t="s">
        <v>407</v>
      </c>
      <c r="H512" s="107">
        <f>SUM(G510:G511)</f>
        <v>0</v>
      </c>
      <c r="I512" s="71"/>
    </row>
    <row r="513" spans="1:9" s="65" customFormat="1">
      <c r="A513" s="94"/>
      <c r="B513" s="95"/>
      <c r="C513" s="95"/>
      <c r="D513" s="95"/>
      <c r="E513" s="95"/>
      <c r="F513"/>
      <c r="G513" s="74"/>
      <c r="H513" s="74"/>
      <c r="I513" s="71"/>
    </row>
    <row r="514" spans="1:9" s="65" customFormat="1">
      <c r="A514" s="96"/>
      <c r="B514" s="97"/>
      <c r="C514" s="98"/>
      <c r="D514" s="98"/>
      <c r="E514" s="98"/>
      <c r="F514"/>
      <c r="G514" s="99" t="s">
        <v>412</v>
      </c>
      <c r="H514" s="115">
        <f>SUM(H499:H512)</f>
        <v>571439.57000000007</v>
      </c>
      <c r="I514" s="71"/>
    </row>
    <row r="515" spans="1:9" s="65" customFormat="1">
      <c r="A515" s="96"/>
      <c r="B515" s="97"/>
      <c r="C515" s="98"/>
      <c r="D515" s="98"/>
      <c r="E515" s="98"/>
      <c r="F515" s="101"/>
      <c r="G515" s="116"/>
      <c r="H515" s="70"/>
      <c r="I515" s="71"/>
    </row>
    <row r="516" spans="1:9" s="65" customFormat="1" ht="15.75" thickBot="1">
      <c r="A516" s="624" t="s">
        <v>502</v>
      </c>
      <c r="B516" s="625"/>
      <c r="C516" s="625"/>
      <c r="D516" s="625"/>
      <c r="E516" s="625"/>
      <c r="F516" s="625"/>
      <c r="G516" s="626"/>
      <c r="H516" s="117">
        <f>+ROUND(H514,0)</f>
        <v>571440</v>
      </c>
      <c r="I516" s="103"/>
    </row>
    <row r="517" spans="1:9" s="65" customFormat="1">
      <c r="A517" s="84"/>
      <c r="B517" s="83"/>
      <c r="C517" s="84"/>
      <c r="D517" s="84"/>
      <c r="E517" s="84"/>
      <c r="F517" s="84"/>
      <c r="G517" s="144"/>
      <c r="H517" s="121"/>
    </row>
    <row r="518" spans="1:9" s="65" customFormat="1" ht="15.75" thickBot="1">
      <c r="A518" s="120"/>
      <c r="B518" s="73"/>
      <c r="C518" s="73"/>
      <c r="D518" s="73"/>
      <c r="E518" s="73"/>
      <c r="F518" s="121"/>
      <c r="G518" s="121"/>
      <c r="H518" s="121"/>
    </row>
    <row r="519" spans="1:9" s="65" customFormat="1">
      <c r="A519" s="627"/>
      <c r="B519" s="629" t="s">
        <v>242</v>
      </c>
      <c r="C519" s="630"/>
      <c r="D519" s="630"/>
      <c r="E519" s="630"/>
      <c r="F519" s="630"/>
      <c r="G519" s="630"/>
      <c r="H519" s="643"/>
      <c r="I519" s="66" t="s">
        <v>389</v>
      </c>
    </row>
    <row r="520" spans="1:9" s="65" customFormat="1">
      <c r="A520" s="628"/>
      <c r="B520" s="631"/>
      <c r="C520" s="632"/>
      <c r="D520" s="632"/>
      <c r="E520" s="632"/>
      <c r="F520" s="632"/>
      <c r="G520" s="632"/>
      <c r="H520" s="644"/>
      <c r="I520" s="67" t="s">
        <v>291</v>
      </c>
    </row>
    <row r="521" spans="1:9" s="65" customFormat="1">
      <c r="A521" s="68"/>
      <c r="B521" s="69"/>
      <c r="C521" s="69"/>
      <c r="D521" s="69"/>
      <c r="E521" s="69"/>
      <c r="F521" s="70"/>
      <c r="G521" s="70"/>
      <c r="H521" s="70"/>
      <c r="I521" s="71"/>
    </row>
    <row r="522" spans="1:9" s="65" customFormat="1">
      <c r="A522" s="72" t="s">
        <v>390</v>
      </c>
      <c r="B522" s="73"/>
      <c r="C522" s="73"/>
      <c r="D522" s="73"/>
      <c r="E522" s="73"/>
      <c r="F522" s="74"/>
      <c r="G522" s="74"/>
      <c r="H522" s="70"/>
      <c r="I522" s="71"/>
    </row>
    <row r="523" spans="1:9" s="65" customFormat="1">
      <c r="A523" s="75" t="s">
        <v>391</v>
      </c>
      <c r="B523" s="76" t="s">
        <v>392</v>
      </c>
      <c r="C523" s="76" t="s">
        <v>393</v>
      </c>
      <c r="D523" s="76" t="s">
        <v>394</v>
      </c>
      <c r="E523" s="76" t="s">
        <v>395</v>
      </c>
      <c r="F523" s="76" t="s">
        <v>396</v>
      </c>
      <c r="G523" s="76" t="s">
        <v>397</v>
      </c>
      <c r="H523" s="74"/>
      <c r="I523" s="71"/>
    </row>
    <row r="524" spans="1:9" s="65" customFormat="1">
      <c r="A524" s="77" t="s">
        <v>404</v>
      </c>
      <c r="B524" s="78" t="s">
        <v>405</v>
      </c>
      <c r="C524" s="79" t="s">
        <v>406</v>
      </c>
      <c r="D524" s="107">
        <v>1250</v>
      </c>
      <c r="E524" s="79">
        <v>0.1</v>
      </c>
      <c r="F524" s="79">
        <v>0</v>
      </c>
      <c r="G524" s="107">
        <f>(D524*E524)+((D524*E524)*F524/100)</f>
        <v>125</v>
      </c>
      <c r="H524" s="74"/>
      <c r="I524" s="71"/>
    </row>
    <row r="525" spans="1:9" s="65" customFormat="1">
      <c r="A525" s="82"/>
      <c r="B525" s="83"/>
      <c r="C525" s="84"/>
      <c r="D525" s="84"/>
      <c r="E525" s="84"/>
      <c r="F525"/>
      <c r="G525" s="93" t="s">
        <v>407</v>
      </c>
      <c r="H525" s="107">
        <f>SUM(G524:G524)</f>
        <v>125</v>
      </c>
      <c r="I525" s="71"/>
    </row>
    <row r="526" spans="1:9" s="65" customFormat="1">
      <c r="A526" s="72" t="s">
        <v>408</v>
      </c>
      <c r="B526" s="73"/>
      <c r="C526" s="73"/>
      <c r="D526" s="73"/>
      <c r="E526" s="73"/>
      <c r="F526"/>
      <c r="G526" s="74"/>
      <c r="H526" s="108"/>
      <c r="I526" s="71"/>
    </row>
    <row r="527" spans="1:9" s="65" customFormat="1">
      <c r="A527" s="75" t="s">
        <v>391</v>
      </c>
      <c r="B527" s="76" t="s">
        <v>392</v>
      </c>
      <c r="C527" s="76" t="s">
        <v>393</v>
      </c>
      <c r="D527" s="76" t="s">
        <v>394</v>
      </c>
      <c r="E527" s="76" t="s">
        <v>395</v>
      </c>
      <c r="F527" s="76" t="s">
        <v>396</v>
      </c>
      <c r="G527" s="76" t="s">
        <v>397</v>
      </c>
      <c r="H527" s="108"/>
      <c r="I527" s="71"/>
    </row>
    <row r="528" spans="1:9" s="65" customFormat="1" ht="25.5">
      <c r="A528" s="135" t="s">
        <v>501</v>
      </c>
      <c r="B528" s="78" t="s">
        <v>464</v>
      </c>
      <c r="C528" s="127" t="s">
        <v>432</v>
      </c>
      <c r="D528" s="107">
        <f>+H247</f>
        <v>281819</v>
      </c>
      <c r="E528" s="79">
        <v>0.1</v>
      </c>
      <c r="F528" s="79">
        <v>10</v>
      </c>
      <c r="G528" s="107">
        <f>(D528*E528)+((D528*E528)*F528/100)</f>
        <v>31000.09</v>
      </c>
      <c r="H528" s="108"/>
      <c r="I528" s="71"/>
    </row>
    <row r="529" spans="1:9" s="65" customFormat="1">
      <c r="A529" s="139">
        <v>5000</v>
      </c>
      <c r="B529" s="78" t="s">
        <v>484</v>
      </c>
      <c r="C529" s="127" t="s">
        <v>73</v>
      </c>
      <c r="D529" s="107">
        <v>150000</v>
      </c>
      <c r="E529" s="79">
        <v>0.12</v>
      </c>
      <c r="F529" s="79">
        <v>0</v>
      </c>
      <c r="G529" s="107">
        <f>(D529*E529)+((D529*E529)*F529/100)</f>
        <v>18000</v>
      </c>
      <c r="H529" s="108"/>
      <c r="I529" s="71"/>
    </row>
    <row r="530" spans="1:9" s="65" customFormat="1">
      <c r="A530" s="90"/>
      <c r="B530" s="91"/>
      <c r="C530" s="91"/>
      <c r="D530" s="91"/>
      <c r="E530" s="91"/>
      <c r="F530"/>
      <c r="G530" s="85" t="s">
        <v>407</v>
      </c>
      <c r="H530" s="107">
        <f>SUM(G528:G529)</f>
        <v>49000.09</v>
      </c>
      <c r="I530" s="71"/>
    </row>
    <row r="531" spans="1:9" s="65" customFormat="1">
      <c r="A531" s="72" t="s">
        <v>410</v>
      </c>
      <c r="B531" s="73"/>
      <c r="C531" s="73"/>
      <c r="D531" s="73"/>
      <c r="E531" s="73"/>
      <c r="F531"/>
      <c r="G531" s="74"/>
      <c r="H531" s="108"/>
      <c r="I531" s="71"/>
    </row>
    <row r="532" spans="1:9" s="65" customFormat="1">
      <c r="A532" s="75" t="s">
        <v>391</v>
      </c>
      <c r="B532" s="76" t="s">
        <v>392</v>
      </c>
      <c r="C532" s="76" t="s">
        <v>393</v>
      </c>
      <c r="D532" s="76" t="s">
        <v>394</v>
      </c>
      <c r="E532" s="76" t="s">
        <v>395</v>
      </c>
      <c r="F532" s="76" t="s">
        <v>396</v>
      </c>
      <c r="G532" s="76" t="s">
        <v>397</v>
      </c>
      <c r="H532" s="108"/>
      <c r="I532" s="71"/>
    </row>
    <row r="533" spans="1:9" s="65" customFormat="1">
      <c r="A533" s="77" t="s">
        <v>494</v>
      </c>
      <c r="B533" s="78" t="s">
        <v>495</v>
      </c>
      <c r="C533" s="79" t="s">
        <v>426</v>
      </c>
      <c r="D533" s="107">
        <v>15927</v>
      </c>
      <c r="E533" s="79">
        <v>0.7</v>
      </c>
      <c r="F533" s="79">
        <v>0</v>
      </c>
      <c r="G533" s="107">
        <f>(D533*E533)+((D533*E533)*F533/100)</f>
        <v>11148.9</v>
      </c>
      <c r="H533" s="108"/>
      <c r="I533" s="149"/>
    </row>
    <row r="534" spans="1:9" s="65" customFormat="1">
      <c r="A534" s="90"/>
      <c r="B534" s="91"/>
      <c r="C534" s="91"/>
      <c r="D534" s="91"/>
      <c r="E534" s="91"/>
      <c r="F534"/>
      <c r="G534" s="93" t="s">
        <v>407</v>
      </c>
      <c r="H534" s="107">
        <f>SUM(G533:G533)</f>
        <v>11148.9</v>
      </c>
      <c r="I534" s="71"/>
    </row>
    <row r="535" spans="1:9" s="65" customFormat="1">
      <c r="A535" s="72" t="s">
        <v>411</v>
      </c>
      <c r="B535" s="73"/>
      <c r="C535" s="73"/>
      <c r="D535" s="73"/>
      <c r="E535" s="73"/>
      <c r="F535"/>
      <c r="G535" s="74"/>
      <c r="H535" s="108"/>
      <c r="I535" s="71"/>
    </row>
    <row r="536" spans="1:9" s="65" customFormat="1">
      <c r="A536" s="75" t="s">
        <v>391</v>
      </c>
      <c r="B536" s="76" t="s">
        <v>392</v>
      </c>
      <c r="C536" s="76" t="s">
        <v>393</v>
      </c>
      <c r="D536" s="76" t="s">
        <v>394</v>
      </c>
      <c r="E536" s="76" t="s">
        <v>395</v>
      </c>
      <c r="F536" s="76" t="s">
        <v>396</v>
      </c>
      <c r="G536" s="76" t="s">
        <v>397</v>
      </c>
      <c r="H536" s="108"/>
      <c r="I536" s="71"/>
    </row>
    <row r="537" spans="1:9" s="65" customFormat="1">
      <c r="A537" s="87" t="s">
        <v>409</v>
      </c>
      <c r="B537" s="114" t="s">
        <v>409</v>
      </c>
      <c r="C537" s="114" t="s">
        <v>409</v>
      </c>
      <c r="D537" s="114" t="s">
        <v>409</v>
      </c>
      <c r="E537" s="114" t="s">
        <v>409</v>
      </c>
      <c r="F537" s="79" t="s">
        <v>409</v>
      </c>
      <c r="G537" s="89" t="s">
        <v>409</v>
      </c>
      <c r="H537" s="108"/>
      <c r="I537" s="71"/>
    </row>
    <row r="538" spans="1:9" s="65" customFormat="1">
      <c r="A538" s="94"/>
      <c r="B538" s="95"/>
      <c r="C538" s="95"/>
      <c r="D538" s="95"/>
      <c r="E538" s="95"/>
      <c r="F538"/>
      <c r="G538" s="93" t="s">
        <v>407</v>
      </c>
      <c r="H538" s="107">
        <f>SUM(G536:G537)</f>
        <v>0</v>
      </c>
      <c r="I538" s="71"/>
    </row>
    <row r="539" spans="1:9" s="65" customFormat="1">
      <c r="A539" s="94"/>
      <c r="B539" s="95"/>
      <c r="C539" s="95"/>
      <c r="D539" s="95"/>
      <c r="E539" s="95"/>
      <c r="F539"/>
      <c r="G539" s="74"/>
      <c r="H539" s="74"/>
      <c r="I539" s="71"/>
    </row>
    <row r="540" spans="1:9" s="65" customFormat="1">
      <c r="A540" s="96"/>
      <c r="B540" s="97"/>
      <c r="C540" s="98"/>
      <c r="D540" s="98"/>
      <c r="E540" s="98"/>
      <c r="F540"/>
      <c r="G540" s="99" t="s">
        <v>412</v>
      </c>
      <c r="H540" s="115">
        <f>SUM(H525:H538)</f>
        <v>60273.99</v>
      </c>
      <c r="I540" s="71"/>
    </row>
    <row r="541" spans="1:9" s="65" customFormat="1">
      <c r="A541" s="96"/>
      <c r="B541" s="97"/>
      <c r="C541" s="98"/>
      <c r="D541" s="98"/>
      <c r="E541" s="98"/>
      <c r="F541" s="101"/>
      <c r="G541" s="116"/>
      <c r="H541" s="70"/>
      <c r="I541" s="71"/>
    </row>
    <row r="542" spans="1:9" s="65" customFormat="1" ht="15.75" thickBot="1">
      <c r="A542" s="624" t="s">
        <v>414</v>
      </c>
      <c r="B542" s="625"/>
      <c r="C542" s="625"/>
      <c r="D542" s="625"/>
      <c r="E542" s="625"/>
      <c r="F542" s="625"/>
      <c r="G542" s="626"/>
      <c r="H542" s="117">
        <f>+ROUND(H540,0)</f>
        <v>60274</v>
      </c>
      <c r="I542" s="103"/>
    </row>
    <row r="543" spans="1:9" s="65" customFormat="1">
      <c r="A543" s="633"/>
      <c r="B543" s="633"/>
      <c r="C543" s="633"/>
      <c r="D543" s="633"/>
      <c r="E543" s="633"/>
      <c r="F543" s="633"/>
      <c r="G543" s="633"/>
    </row>
    <row r="544" spans="1:9" s="65" customFormat="1" ht="15.75" thickBot="1">
      <c r="H544" s="138"/>
      <c r="I544" s="151"/>
    </row>
    <row r="545" spans="1:9" s="65" customFormat="1">
      <c r="A545" s="627"/>
      <c r="B545" s="629" t="s">
        <v>997</v>
      </c>
      <c r="C545" s="630"/>
      <c r="D545" s="630"/>
      <c r="E545" s="630"/>
      <c r="F545" s="630"/>
      <c r="G545" s="630"/>
      <c r="H545" s="643"/>
      <c r="I545" s="66" t="s">
        <v>389</v>
      </c>
    </row>
    <row r="546" spans="1:9" s="65" customFormat="1">
      <c r="A546" s="628"/>
      <c r="B546" s="631"/>
      <c r="C546" s="632"/>
      <c r="D546" s="632"/>
      <c r="E546" s="632"/>
      <c r="F546" s="632"/>
      <c r="G546" s="632"/>
      <c r="H546" s="644"/>
      <c r="I546" s="67" t="s">
        <v>8</v>
      </c>
    </row>
    <row r="547" spans="1:9" s="65" customFormat="1">
      <c r="A547" s="68"/>
      <c r="B547" s="69"/>
      <c r="C547" s="69"/>
      <c r="D547" s="69"/>
      <c r="E547" s="69"/>
      <c r="F547" s="70"/>
      <c r="G547" s="70"/>
      <c r="H547" s="70"/>
      <c r="I547" s="71"/>
    </row>
    <row r="548" spans="1:9" s="65" customFormat="1">
      <c r="A548" s="72" t="s">
        <v>390</v>
      </c>
      <c r="B548" s="73"/>
      <c r="C548" s="73"/>
      <c r="D548" s="73"/>
      <c r="E548" s="73"/>
      <c r="F548" s="74"/>
      <c r="G548" s="74"/>
      <c r="H548" s="70"/>
      <c r="I548" s="71"/>
    </row>
    <row r="549" spans="1:9" s="65" customFormat="1">
      <c r="A549" s="75" t="s">
        <v>391</v>
      </c>
      <c r="B549" s="76" t="s">
        <v>392</v>
      </c>
      <c r="C549" s="76" t="s">
        <v>393</v>
      </c>
      <c r="D549" s="76" t="s">
        <v>394</v>
      </c>
      <c r="E549" s="76" t="s">
        <v>395</v>
      </c>
      <c r="F549" s="76" t="s">
        <v>396</v>
      </c>
      <c r="G549" s="76" t="s">
        <v>397</v>
      </c>
      <c r="H549" s="74"/>
      <c r="I549" s="71"/>
    </row>
    <row r="550" spans="1:9" s="65" customFormat="1">
      <c r="A550" s="77" t="s">
        <v>404</v>
      </c>
      <c r="B550" s="78" t="s">
        <v>405</v>
      </c>
      <c r="C550" s="79" t="s">
        <v>406</v>
      </c>
      <c r="D550" s="107">
        <v>1250</v>
      </c>
      <c r="E550" s="79">
        <v>0.1</v>
      </c>
      <c r="F550" s="79">
        <v>0</v>
      </c>
      <c r="G550" s="107">
        <f>(D550*E550)+((D550*E550)*F550/100)</f>
        <v>125</v>
      </c>
      <c r="H550" s="74"/>
      <c r="I550" s="71"/>
    </row>
    <row r="551" spans="1:9" s="65" customFormat="1">
      <c r="A551" s="82"/>
      <c r="B551" s="83"/>
      <c r="C551" s="84"/>
      <c r="D551" s="84"/>
      <c r="E551" s="84"/>
      <c r="F551"/>
      <c r="G551" s="93" t="s">
        <v>407</v>
      </c>
      <c r="H551" s="107">
        <f>SUM(G550:G550)</f>
        <v>125</v>
      </c>
      <c r="I551" s="71"/>
    </row>
    <row r="552" spans="1:9" s="65" customFormat="1">
      <c r="A552" s="72" t="s">
        <v>408</v>
      </c>
      <c r="B552" s="73"/>
      <c r="C552" s="73"/>
      <c r="D552" s="73"/>
      <c r="E552" s="73"/>
      <c r="F552"/>
      <c r="G552" s="74"/>
      <c r="H552" s="108"/>
      <c r="I552" s="71"/>
    </row>
    <row r="553" spans="1:9" s="65" customFormat="1">
      <c r="A553" s="75" t="s">
        <v>391</v>
      </c>
      <c r="B553" s="76" t="s">
        <v>392</v>
      </c>
      <c r="C553" s="76" t="s">
        <v>393</v>
      </c>
      <c r="D553" s="76" t="s">
        <v>394</v>
      </c>
      <c r="E553" s="76" t="s">
        <v>395</v>
      </c>
      <c r="F553" s="76" t="s">
        <v>396</v>
      </c>
      <c r="G553" s="76" t="s">
        <v>397</v>
      </c>
      <c r="H553" s="108"/>
      <c r="I553" s="71"/>
    </row>
    <row r="554" spans="1:9" s="65" customFormat="1" ht="25.5">
      <c r="A554" s="135" t="s">
        <v>501</v>
      </c>
      <c r="B554" s="78" t="s">
        <v>464</v>
      </c>
      <c r="C554" s="127" t="s">
        <v>432</v>
      </c>
      <c r="D554" s="107">
        <f>+H247</f>
        <v>281819</v>
      </c>
      <c r="E554" s="79">
        <v>7.0000000000000007E-2</v>
      </c>
      <c r="F554" s="79">
        <v>10</v>
      </c>
      <c r="G554" s="107">
        <f>(D554*E554)+((D554*E554)*F554/100)</f>
        <v>21700.063000000002</v>
      </c>
      <c r="H554" s="108"/>
      <c r="I554" s="71"/>
    </row>
    <row r="555" spans="1:9" s="65" customFormat="1">
      <c r="A555" s="139">
        <v>5000</v>
      </c>
      <c r="B555" s="78" t="s">
        <v>484</v>
      </c>
      <c r="C555" s="127" t="s">
        <v>73</v>
      </c>
      <c r="D555" s="107">
        <v>150000</v>
      </c>
      <c r="E555" s="79">
        <v>0.12</v>
      </c>
      <c r="F555" s="79">
        <v>0</v>
      </c>
      <c r="G555" s="107">
        <f>(D555*E555)+((D555*E555)*F555/100)</f>
        <v>18000</v>
      </c>
      <c r="H555" s="108"/>
      <c r="I555" s="71"/>
    </row>
    <row r="556" spans="1:9" s="65" customFormat="1">
      <c r="A556" s="90"/>
      <c r="B556" s="91"/>
      <c r="C556" s="91"/>
      <c r="D556" s="91"/>
      <c r="E556" s="91"/>
      <c r="F556"/>
      <c r="G556" s="85" t="s">
        <v>407</v>
      </c>
      <c r="H556" s="107">
        <f>SUM(G554:G555)</f>
        <v>39700.063000000002</v>
      </c>
      <c r="I556" s="71"/>
    </row>
    <row r="557" spans="1:9" s="65" customFormat="1">
      <c r="A557" s="72" t="s">
        <v>410</v>
      </c>
      <c r="B557" s="73"/>
      <c r="C557" s="73"/>
      <c r="D557" s="73"/>
      <c r="E557" s="73"/>
      <c r="F557"/>
      <c r="G557" s="74"/>
      <c r="H557" s="108"/>
      <c r="I557" s="71"/>
    </row>
    <row r="558" spans="1:9" s="65" customFormat="1">
      <c r="A558" s="75" t="s">
        <v>391</v>
      </c>
      <c r="B558" s="76" t="s">
        <v>392</v>
      </c>
      <c r="C558" s="76" t="s">
        <v>393</v>
      </c>
      <c r="D558" s="76" t="s">
        <v>394</v>
      </c>
      <c r="E558" s="76" t="s">
        <v>395</v>
      </c>
      <c r="F558" s="76" t="s">
        <v>396</v>
      </c>
      <c r="G558" s="76" t="s">
        <v>397</v>
      </c>
      <c r="H558" s="108"/>
      <c r="I558" s="71"/>
    </row>
    <row r="559" spans="1:9" s="65" customFormat="1">
      <c r="A559" s="77" t="s">
        <v>494</v>
      </c>
      <c r="B559" s="78" t="s">
        <v>495</v>
      </c>
      <c r="C559" s="79" t="s">
        <v>426</v>
      </c>
      <c r="D559" s="107">
        <v>15927</v>
      </c>
      <c r="E559" s="79">
        <v>0.5</v>
      </c>
      <c r="F559" s="79">
        <v>0</v>
      </c>
      <c r="G559" s="107">
        <f>(D559*E559)+((D559*E559)*F559/100)</f>
        <v>7963.5</v>
      </c>
      <c r="H559" s="108"/>
      <c r="I559" s="149"/>
    </row>
    <row r="560" spans="1:9" s="65" customFormat="1">
      <c r="A560" s="90"/>
      <c r="B560" s="91"/>
      <c r="C560" s="91"/>
      <c r="D560" s="91"/>
      <c r="E560" s="91"/>
      <c r="F560"/>
      <c r="G560" s="93" t="s">
        <v>407</v>
      </c>
      <c r="H560" s="107">
        <f>SUM(G559:G559)</f>
        <v>7963.5</v>
      </c>
      <c r="I560" s="71"/>
    </row>
    <row r="561" spans="1:9" s="65" customFormat="1">
      <c r="A561" s="72" t="s">
        <v>411</v>
      </c>
      <c r="B561" s="73"/>
      <c r="C561" s="73"/>
      <c r="D561" s="73"/>
      <c r="E561" s="73"/>
      <c r="F561"/>
      <c r="G561" s="74"/>
      <c r="H561" s="108"/>
      <c r="I561" s="71"/>
    </row>
    <row r="562" spans="1:9" s="65" customFormat="1">
      <c r="A562" s="75" t="s">
        <v>391</v>
      </c>
      <c r="B562" s="76" t="s">
        <v>392</v>
      </c>
      <c r="C562" s="76" t="s">
        <v>393</v>
      </c>
      <c r="D562" s="76" t="s">
        <v>394</v>
      </c>
      <c r="E562" s="76" t="s">
        <v>395</v>
      </c>
      <c r="F562" s="76" t="s">
        <v>396</v>
      </c>
      <c r="G562" s="76" t="s">
        <v>397</v>
      </c>
      <c r="H562" s="108"/>
      <c r="I562" s="71"/>
    </row>
    <row r="563" spans="1:9" s="65" customFormat="1">
      <c r="A563" s="87" t="s">
        <v>409</v>
      </c>
      <c r="B563" s="114" t="s">
        <v>409</v>
      </c>
      <c r="C563" s="114" t="s">
        <v>409</v>
      </c>
      <c r="D563" s="114" t="s">
        <v>409</v>
      </c>
      <c r="E563" s="114" t="s">
        <v>409</v>
      </c>
      <c r="F563" s="79" t="s">
        <v>409</v>
      </c>
      <c r="G563" s="89" t="s">
        <v>409</v>
      </c>
      <c r="H563" s="108"/>
      <c r="I563" s="71"/>
    </row>
    <row r="564" spans="1:9" s="65" customFormat="1">
      <c r="A564" s="94"/>
      <c r="B564" s="95"/>
      <c r="C564" s="95"/>
      <c r="D564" s="95"/>
      <c r="E564" s="95"/>
      <c r="F564"/>
      <c r="G564" s="93" t="s">
        <v>407</v>
      </c>
      <c r="H564" s="107">
        <f>SUM(G562:G563)</f>
        <v>0</v>
      </c>
      <c r="I564" s="71"/>
    </row>
    <row r="565" spans="1:9" s="65" customFormat="1">
      <c r="A565" s="94"/>
      <c r="B565" s="95"/>
      <c r="C565" s="95"/>
      <c r="D565" s="95"/>
      <c r="E565" s="95"/>
      <c r="F565"/>
      <c r="G565" s="74"/>
      <c r="H565" s="74"/>
      <c r="I565" s="71"/>
    </row>
    <row r="566" spans="1:9" s="65" customFormat="1">
      <c r="A566" s="96"/>
      <c r="B566" s="97"/>
      <c r="C566" s="98"/>
      <c r="D566" s="98"/>
      <c r="E566" s="98"/>
      <c r="F566"/>
      <c r="G566" s="99" t="s">
        <v>412</v>
      </c>
      <c r="H566" s="115">
        <f>SUM(H551:H564)</f>
        <v>47788.563000000002</v>
      </c>
      <c r="I566" s="71"/>
    </row>
    <row r="567" spans="1:9" s="65" customFormat="1">
      <c r="A567" s="96"/>
      <c r="B567" s="97"/>
      <c r="C567" s="98"/>
      <c r="D567" s="98"/>
      <c r="E567" s="98"/>
      <c r="F567" s="101"/>
      <c r="G567" s="116"/>
      <c r="H567" s="70"/>
      <c r="I567" s="71"/>
    </row>
    <row r="568" spans="1:9" s="65" customFormat="1" ht="15.75" thickBot="1">
      <c r="A568" s="624" t="s">
        <v>430</v>
      </c>
      <c r="B568" s="625"/>
      <c r="C568" s="625"/>
      <c r="D568" s="625"/>
      <c r="E568" s="625"/>
      <c r="F568" s="625"/>
      <c r="G568" s="626"/>
      <c r="H568" s="117">
        <f>+ROUND(H566,0)</f>
        <v>47789</v>
      </c>
      <c r="I568" s="103"/>
    </row>
    <row r="569" spans="1:9" s="65" customFormat="1">
      <c r="A569" s="633"/>
      <c r="B569" s="633"/>
      <c r="C569" s="633"/>
      <c r="D569" s="633"/>
      <c r="E569" s="633"/>
      <c r="F569" s="633"/>
      <c r="G569" s="633"/>
    </row>
    <row r="570" spans="1:9" s="65" customFormat="1" ht="15.75" thickBot="1">
      <c r="H570" s="138"/>
      <c r="I570" s="151"/>
    </row>
    <row r="571" spans="1:9" s="65" customFormat="1">
      <c r="A571" s="627"/>
      <c r="B571" s="629" t="s">
        <v>381</v>
      </c>
      <c r="C571" s="630"/>
      <c r="D571" s="630"/>
      <c r="E571" s="630"/>
      <c r="F571" s="630"/>
      <c r="G571" s="630"/>
      <c r="H571" s="643"/>
      <c r="I571" s="66" t="s">
        <v>389</v>
      </c>
    </row>
    <row r="572" spans="1:9" s="65" customFormat="1">
      <c r="A572" s="628"/>
      <c r="B572" s="631"/>
      <c r="C572" s="632"/>
      <c r="D572" s="632"/>
      <c r="E572" s="632"/>
      <c r="F572" s="632"/>
      <c r="G572" s="632"/>
      <c r="H572" s="644"/>
      <c r="I572" s="67" t="s">
        <v>432</v>
      </c>
    </row>
    <row r="573" spans="1:9" s="65" customFormat="1">
      <c r="A573" s="68"/>
      <c r="B573" s="69"/>
      <c r="C573" s="69"/>
      <c r="D573" s="69"/>
      <c r="E573" s="69"/>
      <c r="F573" s="70"/>
      <c r="G573" s="70"/>
      <c r="H573" s="70"/>
      <c r="I573" s="71"/>
    </row>
    <row r="574" spans="1:9" s="65" customFormat="1">
      <c r="A574" s="72" t="s">
        <v>390</v>
      </c>
      <c r="B574" s="73"/>
      <c r="C574" s="73"/>
      <c r="D574" s="73"/>
      <c r="E574" s="73"/>
      <c r="F574" s="74"/>
      <c r="G574" s="74"/>
      <c r="H574" s="70"/>
      <c r="I574" s="71"/>
    </row>
    <row r="575" spans="1:9" s="65" customFormat="1">
      <c r="A575" s="75" t="s">
        <v>391</v>
      </c>
      <c r="B575" s="76" t="s">
        <v>392</v>
      </c>
      <c r="C575" s="76" t="s">
        <v>393</v>
      </c>
      <c r="D575" s="76" t="s">
        <v>394</v>
      </c>
      <c r="E575" s="76" t="s">
        <v>395</v>
      </c>
      <c r="F575" s="76" t="s">
        <v>396</v>
      </c>
      <c r="G575" s="76" t="s">
        <v>397</v>
      </c>
      <c r="H575" s="74"/>
      <c r="I575" s="71"/>
    </row>
    <row r="576" spans="1:9" s="65" customFormat="1">
      <c r="A576" s="79" t="s">
        <v>401</v>
      </c>
      <c r="B576" s="78" t="s">
        <v>402</v>
      </c>
      <c r="C576" s="79" t="s">
        <v>403</v>
      </c>
      <c r="D576" s="107">
        <v>82000</v>
      </c>
      <c r="E576" s="79">
        <v>0.03</v>
      </c>
      <c r="F576" s="79">
        <v>0</v>
      </c>
      <c r="G576" s="107">
        <f>(D576*E576)+((D576*E576)*F576/100)</f>
        <v>2460</v>
      </c>
      <c r="H576" s="74"/>
      <c r="I576" s="71"/>
    </row>
    <row r="577" spans="1:9" s="65" customFormat="1">
      <c r="A577" s="79" t="s">
        <v>505</v>
      </c>
      <c r="B577" s="78" t="s">
        <v>506</v>
      </c>
      <c r="C577" s="79" t="s">
        <v>507</v>
      </c>
      <c r="D577" s="107">
        <v>39000</v>
      </c>
      <c r="E577" s="79">
        <v>0.05</v>
      </c>
      <c r="F577" s="79">
        <v>0</v>
      </c>
      <c r="G577" s="107">
        <f>(D577*E577)+((D577*E577)*F577/100)</f>
        <v>1950</v>
      </c>
      <c r="H577" s="74"/>
      <c r="I577" s="71"/>
    </row>
    <row r="578" spans="1:9" s="65" customFormat="1">
      <c r="A578" s="82"/>
      <c r="B578" s="83"/>
      <c r="C578" s="84"/>
      <c r="D578" s="84"/>
      <c r="E578" s="84"/>
      <c r="F578"/>
      <c r="G578" s="93" t="s">
        <v>407</v>
      </c>
      <c r="H578" s="107">
        <f>SUM(G576:G577)</f>
        <v>4410</v>
      </c>
      <c r="I578" s="71"/>
    </row>
    <row r="579" spans="1:9" s="65" customFormat="1">
      <c r="A579" s="72" t="s">
        <v>408</v>
      </c>
      <c r="B579" s="73"/>
      <c r="C579" s="73"/>
      <c r="D579" s="73"/>
      <c r="E579" s="73"/>
      <c r="F579"/>
      <c r="G579" s="74"/>
      <c r="H579" s="108"/>
      <c r="I579" s="71"/>
    </row>
    <row r="580" spans="1:9" s="65" customFormat="1">
      <c r="A580" s="75" t="s">
        <v>391</v>
      </c>
      <c r="B580" s="76" t="s">
        <v>392</v>
      </c>
      <c r="C580" s="76" t="s">
        <v>393</v>
      </c>
      <c r="D580" s="76" t="s">
        <v>394</v>
      </c>
      <c r="E580" s="76" t="s">
        <v>395</v>
      </c>
      <c r="F580" s="76" t="s">
        <v>396</v>
      </c>
      <c r="G580" s="76" t="s">
        <v>397</v>
      </c>
      <c r="H580" s="108"/>
      <c r="I580" s="71"/>
    </row>
    <row r="581" spans="1:9" s="65" customFormat="1">
      <c r="A581" s="135"/>
      <c r="B581" s="78"/>
      <c r="C581" s="127"/>
      <c r="D581" s="79"/>
      <c r="E581" s="79"/>
      <c r="F581" s="79"/>
      <c r="G581" s="89"/>
      <c r="H581" s="108"/>
      <c r="I581" s="71"/>
    </row>
    <row r="582" spans="1:9" s="65" customFormat="1">
      <c r="A582" s="139"/>
      <c r="B582" s="78"/>
      <c r="C582" s="127"/>
      <c r="D582" s="79"/>
      <c r="E582" s="79"/>
      <c r="F582" s="79"/>
      <c r="G582" s="89"/>
      <c r="H582" s="108"/>
      <c r="I582" s="71"/>
    </row>
    <row r="583" spans="1:9" s="65" customFormat="1">
      <c r="A583" s="90"/>
      <c r="B583" s="91"/>
      <c r="C583" s="91"/>
      <c r="D583" s="91"/>
      <c r="E583" s="91"/>
      <c r="F583"/>
      <c r="G583" s="85" t="s">
        <v>407</v>
      </c>
      <c r="H583" s="107">
        <f>SUM(G581:G582)</f>
        <v>0</v>
      </c>
      <c r="I583" s="71"/>
    </row>
    <row r="584" spans="1:9" s="65" customFormat="1">
      <c r="A584" s="72" t="s">
        <v>410</v>
      </c>
      <c r="B584" s="73"/>
      <c r="C584" s="73"/>
      <c r="D584" s="73"/>
      <c r="E584" s="73"/>
      <c r="F584"/>
      <c r="G584" s="74"/>
      <c r="H584" s="108"/>
      <c r="I584" s="71"/>
    </row>
    <row r="585" spans="1:9" s="65" customFormat="1">
      <c r="A585" s="75" t="s">
        <v>391</v>
      </c>
      <c r="B585" s="76" t="s">
        <v>392</v>
      </c>
      <c r="C585" s="76" t="s">
        <v>393</v>
      </c>
      <c r="D585" s="76" t="s">
        <v>394</v>
      </c>
      <c r="E585" s="76" t="s">
        <v>395</v>
      </c>
      <c r="F585" s="76" t="s">
        <v>396</v>
      </c>
      <c r="G585" s="76" t="s">
        <v>397</v>
      </c>
      <c r="H585" s="108"/>
      <c r="I585" s="71"/>
    </row>
    <row r="586" spans="1:9" s="65" customFormat="1">
      <c r="A586" s="125" t="s">
        <v>438</v>
      </c>
      <c r="B586" s="126" t="s">
        <v>439</v>
      </c>
      <c r="C586" s="127" t="s">
        <v>426</v>
      </c>
      <c r="D586" s="107">
        <v>5627</v>
      </c>
      <c r="E586" s="79">
        <v>0.8</v>
      </c>
      <c r="F586" s="79">
        <v>0</v>
      </c>
      <c r="G586" s="107">
        <f>(D586*E586)+((D586*E586)*F586/100)</f>
        <v>4501.6000000000004</v>
      </c>
      <c r="H586" s="108"/>
      <c r="I586" s="149"/>
    </row>
    <row r="587" spans="1:9" s="65" customFormat="1">
      <c r="A587" s="90"/>
      <c r="B587" s="91"/>
      <c r="C587" s="91"/>
      <c r="D587" s="91"/>
      <c r="E587" s="91"/>
      <c r="F587"/>
      <c r="G587" s="93" t="s">
        <v>407</v>
      </c>
      <c r="H587" s="107">
        <f>SUM(G586:G586)</f>
        <v>4501.6000000000004</v>
      </c>
      <c r="I587" s="71"/>
    </row>
    <row r="588" spans="1:9" s="65" customFormat="1">
      <c r="A588" s="72" t="s">
        <v>411</v>
      </c>
      <c r="B588" s="73"/>
      <c r="C588" s="73"/>
      <c r="D588" s="73"/>
      <c r="E588" s="73"/>
      <c r="F588"/>
      <c r="G588" s="74"/>
      <c r="H588" s="108"/>
      <c r="I588" s="71"/>
    </row>
    <row r="589" spans="1:9" s="65" customFormat="1">
      <c r="A589" s="75" t="s">
        <v>391</v>
      </c>
      <c r="B589" s="76" t="s">
        <v>392</v>
      </c>
      <c r="C589" s="76" t="s">
        <v>393</v>
      </c>
      <c r="D589" s="76" t="s">
        <v>394</v>
      </c>
      <c r="E589" s="76" t="s">
        <v>395</v>
      </c>
      <c r="F589" s="76" t="s">
        <v>396</v>
      </c>
      <c r="G589" s="76" t="s">
        <v>397</v>
      </c>
      <c r="H589" s="108"/>
      <c r="I589" s="71"/>
    </row>
    <row r="590" spans="1:9" s="65" customFormat="1">
      <c r="A590" s="87" t="s">
        <v>409</v>
      </c>
      <c r="B590" s="114" t="s">
        <v>409</v>
      </c>
      <c r="C590" s="114" t="s">
        <v>409</v>
      </c>
      <c r="D590" s="114" t="s">
        <v>409</v>
      </c>
      <c r="E590" s="114" t="s">
        <v>409</v>
      </c>
      <c r="F590" s="79" t="s">
        <v>409</v>
      </c>
      <c r="G590" s="89" t="s">
        <v>409</v>
      </c>
      <c r="H590" s="108"/>
      <c r="I590" s="71"/>
    </row>
    <row r="591" spans="1:9" s="65" customFormat="1">
      <c r="A591" s="94"/>
      <c r="B591" s="95"/>
      <c r="C591" s="95"/>
      <c r="D591" s="95"/>
      <c r="E591" s="95"/>
      <c r="F591"/>
      <c r="G591" s="93" t="s">
        <v>407</v>
      </c>
      <c r="H591" s="107">
        <f>SUM(G589:G590)</f>
        <v>0</v>
      </c>
      <c r="I591" s="71"/>
    </row>
    <row r="592" spans="1:9" s="65" customFormat="1">
      <c r="A592" s="94"/>
      <c r="B592" s="95"/>
      <c r="C592" s="95"/>
      <c r="D592" s="95"/>
      <c r="E592" s="95"/>
      <c r="F592"/>
      <c r="G592" s="74"/>
      <c r="H592" s="74"/>
      <c r="I592" s="71"/>
    </row>
    <row r="593" spans="1:9" s="65" customFormat="1">
      <c r="A593" s="96"/>
      <c r="B593" s="97"/>
      <c r="C593" s="98"/>
      <c r="D593" s="98"/>
      <c r="E593" s="98"/>
      <c r="F593"/>
      <c r="G593" s="99" t="s">
        <v>412</v>
      </c>
      <c r="H593" s="115">
        <f>SUM(H578:H591)</f>
        <v>8911.6</v>
      </c>
      <c r="I593" s="71"/>
    </row>
    <row r="594" spans="1:9" s="65" customFormat="1">
      <c r="A594" s="96"/>
      <c r="B594" s="97"/>
      <c r="C594" s="98"/>
      <c r="D594" s="98"/>
      <c r="E594" s="98"/>
      <c r="F594" s="101"/>
      <c r="G594" s="116"/>
      <c r="H594" s="70"/>
      <c r="I594" s="71"/>
    </row>
    <row r="595" spans="1:9" s="65" customFormat="1" ht="15.75" thickBot="1">
      <c r="A595" s="624" t="s">
        <v>441</v>
      </c>
      <c r="B595" s="625"/>
      <c r="C595" s="625"/>
      <c r="D595" s="625"/>
      <c r="E595" s="625"/>
      <c r="F595" s="625"/>
      <c r="G595" s="626"/>
      <c r="H595" s="117">
        <f>+ROUND(H593,0)</f>
        <v>8912</v>
      </c>
      <c r="I595" s="103"/>
    </row>
    <row r="596" spans="1:9" s="65" customFormat="1">
      <c r="A596" s="645"/>
      <c r="B596" s="138"/>
      <c r="C596" s="138"/>
      <c r="D596" s="138"/>
      <c r="E596" s="138"/>
      <c r="F596" s="138"/>
      <c r="G596" s="138"/>
      <c r="H596" s="138"/>
      <c r="I596" s="152"/>
    </row>
    <row r="597" spans="1:9" s="65" customFormat="1" ht="15.75" thickBot="1">
      <c r="A597" s="645"/>
      <c r="B597" s="138"/>
      <c r="C597" s="138"/>
      <c r="D597" s="138"/>
      <c r="E597" s="138"/>
      <c r="F597" s="138"/>
      <c r="G597" s="138"/>
    </row>
    <row r="598" spans="1:9" s="65" customFormat="1">
      <c r="A598" s="627"/>
      <c r="B598" s="629" t="s">
        <v>508</v>
      </c>
      <c r="C598" s="630"/>
      <c r="D598" s="630"/>
      <c r="E598" s="630"/>
      <c r="F598" s="630"/>
      <c r="G598" s="630"/>
      <c r="H598" s="643"/>
      <c r="I598" s="66" t="s">
        <v>389</v>
      </c>
    </row>
    <row r="599" spans="1:9" s="65" customFormat="1">
      <c r="A599" s="628"/>
      <c r="B599" s="631"/>
      <c r="C599" s="632"/>
      <c r="D599" s="632"/>
      <c r="E599" s="632"/>
      <c r="F599" s="632"/>
      <c r="G599" s="632"/>
      <c r="H599" s="644"/>
      <c r="I599" s="67" t="s">
        <v>73</v>
      </c>
    </row>
    <row r="600" spans="1:9" s="65" customFormat="1">
      <c r="A600" s="68"/>
      <c r="B600" s="69"/>
      <c r="C600" s="69"/>
      <c r="D600" s="69"/>
      <c r="E600" s="69"/>
      <c r="F600" s="70"/>
      <c r="G600" s="70"/>
      <c r="H600" s="70"/>
      <c r="I600" s="71"/>
    </row>
    <row r="601" spans="1:9" s="65" customFormat="1">
      <c r="A601" s="72" t="s">
        <v>390</v>
      </c>
      <c r="B601" s="73"/>
      <c r="C601" s="73"/>
      <c r="D601" s="73"/>
      <c r="E601" s="73"/>
      <c r="F601" s="74"/>
      <c r="G601" s="74"/>
      <c r="H601" s="70"/>
      <c r="I601" s="71"/>
    </row>
    <row r="602" spans="1:9" s="65" customFormat="1">
      <c r="A602" s="75" t="s">
        <v>391</v>
      </c>
      <c r="B602" s="76" t="s">
        <v>392</v>
      </c>
      <c r="C602" s="76" t="s">
        <v>393</v>
      </c>
      <c r="D602" s="76" t="s">
        <v>394</v>
      </c>
      <c r="E602" s="76" t="s">
        <v>395</v>
      </c>
      <c r="F602" s="76" t="s">
        <v>396</v>
      </c>
      <c r="G602" s="76" t="s">
        <v>397</v>
      </c>
      <c r="H602" s="74"/>
      <c r="I602" s="71"/>
    </row>
    <row r="603" spans="1:9" s="65" customFormat="1">
      <c r="A603" s="79"/>
      <c r="B603" s="78" t="s">
        <v>508</v>
      </c>
      <c r="C603" s="79" t="s">
        <v>73</v>
      </c>
      <c r="D603" s="107">
        <v>12000000</v>
      </c>
      <c r="E603" s="79">
        <v>1</v>
      </c>
      <c r="F603" s="79">
        <v>0</v>
      </c>
      <c r="G603" s="107">
        <f>(D603*E603)+((D603*E603)*F603/100)</f>
        <v>12000000</v>
      </c>
      <c r="H603" s="74"/>
      <c r="I603" s="71"/>
    </row>
    <row r="604" spans="1:9" s="65" customFormat="1">
      <c r="A604" s="82"/>
      <c r="B604" s="83"/>
      <c r="C604" s="84"/>
      <c r="D604" s="84"/>
      <c r="E604" s="84"/>
      <c r="F604"/>
      <c r="G604" s="93" t="s">
        <v>407</v>
      </c>
      <c r="H604" s="107">
        <f>SUM(G603:G603)</f>
        <v>12000000</v>
      </c>
      <c r="I604" s="71"/>
    </row>
    <row r="605" spans="1:9" s="65" customFormat="1">
      <c r="A605" s="72" t="s">
        <v>408</v>
      </c>
      <c r="B605" s="73"/>
      <c r="C605" s="73"/>
      <c r="D605" s="73"/>
      <c r="E605" s="73"/>
      <c r="F605"/>
      <c r="G605" s="74"/>
      <c r="H605" s="108"/>
      <c r="I605" s="71"/>
    </row>
    <row r="606" spans="1:9" s="65" customFormat="1">
      <c r="A606" s="75" t="s">
        <v>391</v>
      </c>
      <c r="B606" s="76" t="s">
        <v>392</v>
      </c>
      <c r="C606" s="76" t="s">
        <v>393</v>
      </c>
      <c r="D606" s="76" t="s">
        <v>394</v>
      </c>
      <c r="E606" s="76" t="s">
        <v>395</v>
      </c>
      <c r="F606" s="76" t="s">
        <v>396</v>
      </c>
      <c r="G606" s="76" t="s">
        <v>397</v>
      </c>
      <c r="H606" s="108"/>
      <c r="I606" s="71"/>
    </row>
    <row r="607" spans="1:9" s="65" customFormat="1">
      <c r="A607" s="135"/>
      <c r="B607" s="78"/>
      <c r="C607" s="127"/>
      <c r="D607" s="79"/>
      <c r="E607" s="79"/>
      <c r="F607" s="79"/>
      <c r="G607" s="89"/>
      <c r="H607" s="108"/>
      <c r="I607" s="71"/>
    </row>
    <row r="608" spans="1:9" s="65" customFormat="1">
      <c r="A608" s="139"/>
      <c r="B608" s="78"/>
      <c r="C608" s="127"/>
      <c r="D608" s="79"/>
      <c r="E608" s="79"/>
      <c r="F608" s="79"/>
      <c r="G608" s="89"/>
      <c r="H608" s="108"/>
      <c r="I608" s="71"/>
    </row>
    <row r="609" spans="1:9" s="65" customFormat="1">
      <c r="A609" s="90"/>
      <c r="B609" s="91"/>
      <c r="C609" s="91"/>
      <c r="D609" s="91"/>
      <c r="E609" s="91"/>
      <c r="F609"/>
      <c r="G609" s="85" t="s">
        <v>407</v>
      </c>
      <c r="H609" s="107">
        <f>SUM(G607:G608)</f>
        <v>0</v>
      </c>
      <c r="I609" s="71"/>
    </row>
    <row r="610" spans="1:9" s="65" customFormat="1">
      <c r="A610" s="72" t="s">
        <v>410</v>
      </c>
      <c r="B610" s="73"/>
      <c r="C610" s="73"/>
      <c r="D610" s="73"/>
      <c r="E610" s="73"/>
      <c r="F610"/>
      <c r="G610" s="74"/>
      <c r="H610" s="108"/>
      <c r="I610" s="71"/>
    </row>
    <row r="611" spans="1:9" s="65" customFormat="1">
      <c r="A611" s="75" t="s">
        <v>391</v>
      </c>
      <c r="B611" s="76" t="s">
        <v>392</v>
      </c>
      <c r="C611" s="76" t="s">
        <v>393</v>
      </c>
      <c r="D611" s="76" t="s">
        <v>394</v>
      </c>
      <c r="E611" s="76" t="s">
        <v>395</v>
      </c>
      <c r="F611" s="76" t="s">
        <v>396</v>
      </c>
      <c r="G611" s="76" t="s">
        <v>397</v>
      </c>
      <c r="H611" s="108"/>
      <c r="I611" s="71"/>
    </row>
    <row r="612" spans="1:9" s="65" customFormat="1">
      <c r="A612" s="125"/>
      <c r="B612" s="126"/>
      <c r="C612" s="127"/>
      <c r="D612" s="127"/>
      <c r="E612" s="79"/>
      <c r="F612" s="79"/>
      <c r="G612" s="89"/>
      <c r="H612" s="108"/>
      <c r="I612" s="149"/>
    </row>
    <row r="613" spans="1:9" s="65" customFormat="1">
      <c r="A613" s="90"/>
      <c r="B613" s="91"/>
      <c r="C613" s="91"/>
      <c r="D613" s="91"/>
      <c r="E613" s="91"/>
      <c r="F613"/>
      <c r="G613" s="93" t="s">
        <v>407</v>
      </c>
      <c r="H613" s="107">
        <f>SUM(G612:G612)</f>
        <v>0</v>
      </c>
      <c r="I613" s="71"/>
    </row>
    <row r="614" spans="1:9" s="65" customFormat="1">
      <c r="A614" s="72" t="s">
        <v>411</v>
      </c>
      <c r="B614" s="73"/>
      <c r="C614" s="73"/>
      <c r="D614" s="73"/>
      <c r="E614" s="73"/>
      <c r="F614"/>
      <c r="G614" s="74"/>
      <c r="H614" s="108"/>
      <c r="I614" s="71"/>
    </row>
    <row r="615" spans="1:9" s="65" customFormat="1">
      <c r="A615" s="75" t="s">
        <v>391</v>
      </c>
      <c r="B615" s="76" t="s">
        <v>392</v>
      </c>
      <c r="C615" s="76" t="s">
        <v>393</v>
      </c>
      <c r="D615" s="76" t="s">
        <v>394</v>
      </c>
      <c r="E615" s="76" t="s">
        <v>395</v>
      </c>
      <c r="F615" s="76" t="s">
        <v>396</v>
      </c>
      <c r="G615" s="76" t="s">
        <v>397</v>
      </c>
      <c r="H615" s="108"/>
      <c r="I615" s="71"/>
    </row>
    <row r="616" spans="1:9" s="65" customFormat="1">
      <c r="A616" s="87" t="s">
        <v>409</v>
      </c>
      <c r="B616" s="114" t="s">
        <v>409</v>
      </c>
      <c r="C616" s="114" t="s">
        <v>409</v>
      </c>
      <c r="D616" s="114" t="s">
        <v>409</v>
      </c>
      <c r="E616" s="114" t="s">
        <v>409</v>
      </c>
      <c r="F616" s="79" t="s">
        <v>409</v>
      </c>
      <c r="G616" s="89" t="s">
        <v>409</v>
      </c>
      <c r="H616" s="108"/>
      <c r="I616" s="71"/>
    </row>
    <row r="617" spans="1:9" s="65" customFormat="1">
      <c r="A617" s="94"/>
      <c r="B617" s="95"/>
      <c r="C617" s="95"/>
      <c r="D617" s="95"/>
      <c r="E617" s="95"/>
      <c r="F617"/>
      <c r="G617" s="93" t="s">
        <v>407</v>
      </c>
      <c r="H617" s="107">
        <f>SUM(G615:G616)</f>
        <v>0</v>
      </c>
      <c r="I617" s="71"/>
    </row>
    <row r="618" spans="1:9" s="65" customFormat="1">
      <c r="A618" s="94"/>
      <c r="B618" s="95"/>
      <c r="C618" s="95"/>
      <c r="D618" s="95"/>
      <c r="E618" s="95"/>
      <c r="F618"/>
      <c r="G618" s="74"/>
      <c r="H618" s="74"/>
      <c r="I618" s="71"/>
    </row>
    <row r="619" spans="1:9" s="65" customFormat="1">
      <c r="A619" s="96"/>
      <c r="B619" s="97"/>
      <c r="C619" s="98"/>
      <c r="D619" s="98"/>
      <c r="E619" s="98"/>
      <c r="F619"/>
      <c r="G619" s="99" t="s">
        <v>412</v>
      </c>
      <c r="H619" s="115">
        <f>SUM(H604:H617)</f>
        <v>12000000</v>
      </c>
      <c r="I619" s="71"/>
    </row>
    <row r="620" spans="1:9" s="65" customFormat="1">
      <c r="A620" s="96"/>
      <c r="B620" s="97"/>
      <c r="C620" s="98"/>
      <c r="D620" s="98"/>
      <c r="E620" s="98"/>
      <c r="F620" s="101"/>
      <c r="G620" s="116"/>
      <c r="H620" s="70"/>
      <c r="I620" s="71"/>
    </row>
    <row r="621" spans="1:9" s="65" customFormat="1" ht="15.75" thickBot="1">
      <c r="A621" s="624" t="s">
        <v>509</v>
      </c>
      <c r="B621" s="625"/>
      <c r="C621" s="625"/>
      <c r="D621" s="625"/>
      <c r="E621" s="625"/>
      <c r="F621" s="625"/>
      <c r="G621" s="626"/>
      <c r="H621" s="117">
        <f>+ROUND(H619,0)</f>
        <v>12000000</v>
      </c>
      <c r="I621" s="103"/>
    </row>
    <row r="622" spans="1:9" s="65" customFormat="1">
      <c r="A622" s="120"/>
      <c r="B622" s="73"/>
      <c r="C622" s="73"/>
      <c r="D622" s="73"/>
      <c r="E622" s="73"/>
      <c r="F622" s="121"/>
      <c r="G622" s="121"/>
      <c r="H622" s="121"/>
    </row>
    <row r="623" spans="1:9" s="65" customFormat="1" ht="15.75" thickBot="1">
      <c r="A623" s="128"/>
      <c r="B623" s="141"/>
      <c r="C623" s="141"/>
      <c r="D623" s="141"/>
      <c r="E623" s="141"/>
      <c r="F623" s="141"/>
      <c r="G623" s="141"/>
      <c r="H623" s="121"/>
    </row>
    <row r="624" spans="1:9" s="65" customFormat="1">
      <c r="A624" s="627"/>
      <c r="B624" s="629" t="s">
        <v>69</v>
      </c>
      <c r="C624" s="630"/>
      <c r="D624" s="630"/>
      <c r="E624" s="630"/>
      <c r="F624" s="630"/>
      <c r="G624" s="630"/>
      <c r="H624" s="643"/>
      <c r="I624" s="66" t="s">
        <v>389</v>
      </c>
    </row>
    <row r="625" spans="1:9" s="65" customFormat="1">
      <c r="A625" s="628"/>
      <c r="B625" s="631"/>
      <c r="C625" s="632"/>
      <c r="D625" s="632"/>
      <c r="E625" s="632"/>
      <c r="F625" s="632"/>
      <c r="G625" s="632"/>
      <c r="H625" s="644"/>
      <c r="I625" s="67" t="s">
        <v>291</v>
      </c>
    </row>
    <row r="626" spans="1:9" s="65" customFormat="1">
      <c r="A626" s="68"/>
      <c r="B626" s="69"/>
      <c r="C626" s="69"/>
      <c r="D626" s="69"/>
      <c r="E626" s="69"/>
      <c r="F626" s="70"/>
      <c r="G626" s="70"/>
      <c r="H626" s="70"/>
      <c r="I626" s="71"/>
    </row>
    <row r="627" spans="1:9" s="65" customFormat="1">
      <c r="A627" s="72" t="s">
        <v>390</v>
      </c>
      <c r="B627" s="73"/>
      <c r="C627" s="73"/>
      <c r="D627" s="73"/>
      <c r="E627" s="73"/>
      <c r="F627" s="74"/>
      <c r="G627" s="74"/>
      <c r="H627" s="70"/>
      <c r="I627" s="71"/>
    </row>
    <row r="628" spans="1:9" s="65" customFormat="1">
      <c r="A628" s="75" t="s">
        <v>391</v>
      </c>
      <c r="B628" s="76" t="s">
        <v>392</v>
      </c>
      <c r="C628" s="76" t="s">
        <v>393</v>
      </c>
      <c r="D628" s="76" t="s">
        <v>394</v>
      </c>
      <c r="E628" s="76" t="s">
        <v>395</v>
      </c>
      <c r="F628" s="76" t="s">
        <v>396</v>
      </c>
      <c r="G628" s="76" t="s">
        <v>397</v>
      </c>
      <c r="H628" s="74"/>
      <c r="I628" s="71"/>
    </row>
    <row r="629" spans="1:9" s="65" customFormat="1" ht="31.5" customHeight="1">
      <c r="A629" s="79" t="s">
        <v>730</v>
      </c>
      <c r="B629" s="78" t="s">
        <v>743</v>
      </c>
      <c r="C629" s="79" t="s">
        <v>403</v>
      </c>
      <c r="D629" s="107">
        <v>70000</v>
      </c>
      <c r="E629" s="79">
        <v>0.06</v>
      </c>
      <c r="F629" s="79">
        <v>0</v>
      </c>
      <c r="G629" s="107">
        <f>(D629*E629)+((D629*E629)*F629/100)</f>
        <v>4200</v>
      </c>
      <c r="H629" s="74"/>
      <c r="I629" s="71"/>
    </row>
    <row r="630" spans="1:9" s="65" customFormat="1">
      <c r="A630" s="79" t="s">
        <v>401</v>
      </c>
      <c r="B630" s="78" t="s">
        <v>402</v>
      </c>
      <c r="C630" s="79" t="s">
        <v>403</v>
      </c>
      <c r="D630" s="107">
        <v>82000</v>
      </c>
      <c r="E630" s="79">
        <v>0.04</v>
      </c>
      <c r="F630" s="79">
        <v>0</v>
      </c>
      <c r="G630" s="107">
        <f>(D630*E630)+((D630*E630)*F630/100)</f>
        <v>3280</v>
      </c>
      <c r="H630" s="74"/>
      <c r="I630" s="71"/>
    </row>
    <row r="631" spans="1:9" s="65" customFormat="1">
      <c r="A631" s="82"/>
      <c r="B631" s="83"/>
      <c r="C631" s="84"/>
      <c r="D631" s="84"/>
      <c r="E631" s="84"/>
      <c r="F631"/>
      <c r="G631" s="93" t="s">
        <v>407</v>
      </c>
      <c r="H631" s="107">
        <f>SUM(G629:G630)</f>
        <v>7480</v>
      </c>
      <c r="I631" s="71"/>
    </row>
    <row r="632" spans="1:9" s="65" customFormat="1">
      <c r="A632" s="72" t="s">
        <v>408</v>
      </c>
      <c r="B632" s="73"/>
      <c r="C632" s="73"/>
      <c r="D632" s="73"/>
      <c r="E632" s="73"/>
      <c r="F632"/>
      <c r="G632" s="74"/>
      <c r="H632" s="108"/>
      <c r="I632" s="71"/>
    </row>
    <row r="633" spans="1:9" s="65" customFormat="1">
      <c r="A633" s="75" t="s">
        <v>391</v>
      </c>
      <c r="B633" s="76" t="s">
        <v>392</v>
      </c>
      <c r="C633" s="76" t="s">
        <v>393</v>
      </c>
      <c r="D633" s="76" t="s">
        <v>394</v>
      </c>
      <c r="E633" s="76" t="s">
        <v>395</v>
      </c>
      <c r="F633" s="76" t="s">
        <v>396</v>
      </c>
      <c r="G633" s="76" t="s">
        <v>397</v>
      </c>
      <c r="H633" s="108"/>
      <c r="I633" s="71"/>
    </row>
    <row r="634" spans="1:9" s="65" customFormat="1">
      <c r="A634" s="135"/>
      <c r="B634" s="78"/>
      <c r="C634" s="127"/>
      <c r="D634" s="79"/>
      <c r="E634" s="79"/>
      <c r="F634" s="79"/>
      <c r="G634" s="89"/>
      <c r="H634" s="108"/>
      <c r="I634" s="71"/>
    </row>
    <row r="635" spans="1:9" s="65" customFormat="1">
      <c r="A635" s="139"/>
      <c r="B635" s="78"/>
      <c r="C635" s="127"/>
      <c r="D635" s="79"/>
      <c r="E635" s="79"/>
      <c r="F635" s="79"/>
      <c r="G635" s="89"/>
      <c r="H635" s="108"/>
      <c r="I635" s="71"/>
    </row>
    <row r="636" spans="1:9" s="65" customFormat="1">
      <c r="A636" s="90"/>
      <c r="B636" s="91"/>
      <c r="C636" s="91"/>
      <c r="D636" s="91"/>
      <c r="E636" s="91"/>
      <c r="F636"/>
      <c r="G636" s="85" t="s">
        <v>407</v>
      </c>
      <c r="H636" s="107">
        <f>SUM(G634:G635)</f>
        <v>0</v>
      </c>
      <c r="I636" s="71"/>
    </row>
    <row r="637" spans="1:9" s="65" customFormat="1">
      <c r="A637" s="72" t="s">
        <v>410</v>
      </c>
      <c r="B637" s="73"/>
      <c r="C637" s="73"/>
      <c r="D637" s="73"/>
      <c r="E637" s="73"/>
      <c r="F637"/>
      <c r="G637" s="74"/>
      <c r="H637" s="108"/>
      <c r="I637" s="71"/>
    </row>
    <row r="638" spans="1:9" s="65" customFormat="1">
      <c r="A638" s="75" t="s">
        <v>391</v>
      </c>
      <c r="B638" s="76" t="s">
        <v>392</v>
      </c>
      <c r="C638" s="76" t="s">
        <v>393</v>
      </c>
      <c r="D638" s="76" t="s">
        <v>394</v>
      </c>
      <c r="E638" s="76" t="s">
        <v>395</v>
      </c>
      <c r="F638" s="76" t="s">
        <v>396</v>
      </c>
      <c r="G638" s="76" t="s">
        <v>397</v>
      </c>
      <c r="H638" s="108"/>
      <c r="I638" s="71"/>
    </row>
    <row r="639" spans="1:9" s="65" customFormat="1">
      <c r="A639" s="125" t="s">
        <v>438</v>
      </c>
      <c r="B639" s="126" t="s">
        <v>439</v>
      </c>
      <c r="C639" s="127" t="s">
        <v>426</v>
      </c>
      <c r="D639" s="107">
        <v>5627</v>
      </c>
      <c r="E639" s="79">
        <v>0.1</v>
      </c>
      <c r="F639" s="79">
        <v>0</v>
      </c>
      <c r="G639" s="107">
        <f>(D639*E639)+((D639*E639)*F639/100)</f>
        <v>562.70000000000005</v>
      </c>
      <c r="H639" s="108"/>
      <c r="I639" s="149"/>
    </row>
    <row r="640" spans="1:9" s="65" customFormat="1">
      <c r="A640" s="90"/>
      <c r="B640" s="91"/>
      <c r="C640" s="91"/>
      <c r="D640" s="91"/>
      <c r="E640" s="91"/>
      <c r="F640"/>
      <c r="G640" s="93" t="s">
        <v>407</v>
      </c>
      <c r="H640" s="107">
        <f>SUM(G639:G639)</f>
        <v>562.70000000000005</v>
      </c>
      <c r="I640" s="71"/>
    </row>
    <row r="641" spans="1:9" s="65" customFormat="1">
      <c r="A641" s="72" t="s">
        <v>411</v>
      </c>
      <c r="B641" s="73"/>
      <c r="C641" s="73"/>
      <c r="D641" s="73"/>
      <c r="E641" s="73"/>
      <c r="F641"/>
      <c r="G641" s="74"/>
      <c r="H641" s="108"/>
      <c r="I641" s="71"/>
    </row>
    <row r="642" spans="1:9" s="65" customFormat="1">
      <c r="A642" s="75" t="s">
        <v>391</v>
      </c>
      <c r="B642" s="76" t="s">
        <v>392</v>
      </c>
      <c r="C642" s="76" t="s">
        <v>393</v>
      </c>
      <c r="D642" s="76" t="s">
        <v>394</v>
      </c>
      <c r="E642" s="76" t="s">
        <v>395</v>
      </c>
      <c r="F642" s="76" t="s">
        <v>396</v>
      </c>
      <c r="G642" s="76" t="s">
        <v>397</v>
      </c>
      <c r="H642" s="108"/>
      <c r="I642" s="71"/>
    </row>
    <row r="643" spans="1:9" s="65" customFormat="1">
      <c r="A643" s="87" t="s">
        <v>409</v>
      </c>
      <c r="B643" s="114" t="s">
        <v>409</v>
      </c>
      <c r="C643" s="114" t="s">
        <v>409</v>
      </c>
      <c r="D643" s="114" t="s">
        <v>409</v>
      </c>
      <c r="E643" s="114" t="s">
        <v>409</v>
      </c>
      <c r="F643" s="79" t="s">
        <v>409</v>
      </c>
      <c r="G643" s="89" t="s">
        <v>409</v>
      </c>
      <c r="H643" s="108"/>
      <c r="I643" s="71"/>
    </row>
    <row r="644" spans="1:9" s="65" customFormat="1">
      <c r="A644" s="94"/>
      <c r="B644" s="95"/>
      <c r="C644" s="95"/>
      <c r="D644" s="95"/>
      <c r="E644" s="95"/>
      <c r="F644"/>
      <c r="G644" s="93" t="s">
        <v>407</v>
      </c>
      <c r="H644" s="107">
        <f>SUM(G642:G643)</f>
        <v>0</v>
      </c>
      <c r="I644" s="71"/>
    </row>
    <row r="645" spans="1:9" s="65" customFormat="1">
      <c r="A645" s="94"/>
      <c r="B645" s="95"/>
      <c r="C645" s="95"/>
      <c r="D645" s="95"/>
      <c r="E645" s="95"/>
      <c r="F645"/>
      <c r="G645" s="74"/>
      <c r="H645" s="74"/>
      <c r="I645" s="71"/>
    </row>
    <row r="646" spans="1:9" s="65" customFormat="1">
      <c r="A646" s="96"/>
      <c r="B646" s="97"/>
      <c r="C646" s="98"/>
      <c r="D646" s="98"/>
      <c r="E646" s="98"/>
      <c r="F646"/>
      <c r="G646" s="99" t="s">
        <v>412</v>
      </c>
      <c r="H646" s="115">
        <f>SUM(H631:H644)</f>
        <v>8042.7</v>
      </c>
      <c r="I646" s="71"/>
    </row>
    <row r="647" spans="1:9" s="65" customFormat="1">
      <c r="A647" s="96"/>
      <c r="B647" s="97"/>
      <c r="C647" s="98"/>
      <c r="D647" s="98"/>
      <c r="E647" s="98"/>
      <c r="F647" s="101"/>
      <c r="G647" s="116"/>
      <c r="H647" s="70"/>
      <c r="I647" s="71"/>
    </row>
    <row r="648" spans="1:9" s="65" customFormat="1" ht="15.75" thickBot="1">
      <c r="A648" s="624" t="s">
        <v>414</v>
      </c>
      <c r="B648" s="625"/>
      <c r="C648" s="625"/>
      <c r="D648" s="625"/>
      <c r="E648" s="625"/>
      <c r="F648" s="625"/>
      <c r="G648" s="626"/>
      <c r="H648" s="117">
        <f>+ROUND(H646,0)</f>
        <v>8043</v>
      </c>
      <c r="I648" s="103"/>
    </row>
    <row r="649" spans="1:9" s="65" customFormat="1">
      <c r="A649" s="84"/>
      <c r="B649" s="83"/>
      <c r="C649" s="84"/>
      <c r="D649" s="84"/>
      <c r="E649" s="84"/>
      <c r="G649" s="104"/>
      <c r="H649" s="140"/>
    </row>
    <row r="650" spans="1:9" s="65" customFormat="1" ht="15.75" thickBot="1">
      <c r="A650" s="120"/>
      <c r="B650" s="73"/>
      <c r="C650" s="73"/>
      <c r="D650" s="73"/>
      <c r="E650" s="73"/>
      <c r="G650" s="121"/>
      <c r="H650" s="140"/>
    </row>
    <row r="651" spans="1:9" s="65" customFormat="1">
      <c r="A651" s="627"/>
      <c r="B651" s="629" t="s">
        <v>330</v>
      </c>
      <c r="C651" s="630"/>
      <c r="D651" s="630"/>
      <c r="E651" s="630"/>
      <c r="F651" s="630"/>
      <c r="G651" s="630"/>
      <c r="H651" s="643"/>
      <c r="I651" s="66" t="s">
        <v>389</v>
      </c>
    </row>
    <row r="652" spans="1:9" s="65" customFormat="1">
      <c r="A652" s="628"/>
      <c r="B652" s="631"/>
      <c r="C652" s="632"/>
      <c r="D652" s="632"/>
      <c r="E652" s="632"/>
      <c r="F652" s="632"/>
      <c r="G652" s="632"/>
      <c r="H652" s="644"/>
      <c r="I652" s="67" t="s">
        <v>7</v>
      </c>
    </row>
    <row r="653" spans="1:9" s="65" customFormat="1">
      <c r="A653" s="68"/>
      <c r="B653" s="69"/>
      <c r="C653" s="69"/>
      <c r="D653" s="69"/>
      <c r="E653" s="69"/>
      <c r="F653" s="70"/>
      <c r="G653" s="70"/>
      <c r="H653" s="70"/>
      <c r="I653" s="71"/>
    </row>
    <row r="654" spans="1:9" s="65" customFormat="1">
      <c r="A654" s="72" t="s">
        <v>390</v>
      </c>
      <c r="B654" s="73"/>
      <c r="C654" s="73"/>
      <c r="D654" s="73"/>
      <c r="E654" s="73"/>
      <c r="F654" s="74"/>
      <c r="G654" s="74"/>
      <c r="H654" s="70"/>
      <c r="I654" s="71"/>
    </row>
    <row r="655" spans="1:9" s="65" customFormat="1">
      <c r="A655" s="75" t="s">
        <v>391</v>
      </c>
      <c r="B655" s="76" t="s">
        <v>392</v>
      </c>
      <c r="C655" s="76" t="s">
        <v>393</v>
      </c>
      <c r="D655" s="76" t="s">
        <v>394</v>
      </c>
      <c r="E655" s="76" t="s">
        <v>395</v>
      </c>
      <c r="F655" s="76" t="s">
        <v>396</v>
      </c>
      <c r="G655" s="76" t="s">
        <v>397</v>
      </c>
      <c r="H655" s="74"/>
      <c r="I655" s="71"/>
    </row>
    <row r="656" spans="1:9" s="65" customFormat="1">
      <c r="A656" s="77" t="s">
        <v>404</v>
      </c>
      <c r="B656" s="78" t="s">
        <v>405</v>
      </c>
      <c r="C656" s="79" t="s">
        <v>406</v>
      </c>
      <c r="D656" s="107">
        <v>1250</v>
      </c>
      <c r="E656" s="79">
        <v>0.5</v>
      </c>
      <c r="F656" s="79">
        <v>0</v>
      </c>
      <c r="G656" s="107">
        <f>(D656*E656)+((D656*E656)*F656/100)</f>
        <v>625</v>
      </c>
      <c r="H656" s="74"/>
      <c r="I656" s="71"/>
    </row>
    <row r="657" spans="1:12" s="65" customFormat="1">
      <c r="A657" s="82"/>
      <c r="B657" s="83"/>
      <c r="C657" s="84"/>
      <c r="D657" s="84"/>
      <c r="E657" s="84"/>
      <c r="F657"/>
      <c r="G657" s="93" t="s">
        <v>407</v>
      </c>
      <c r="H657" s="107">
        <f>SUM(G656:G656)</f>
        <v>625</v>
      </c>
      <c r="I657" s="71"/>
    </row>
    <row r="658" spans="1:12" s="65" customFormat="1">
      <c r="A658" s="72" t="s">
        <v>408</v>
      </c>
      <c r="B658" s="73"/>
      <c r="C658" s="73"/>
      <c r="D658" s="73"/>
      <c r="E658" s="73"/>
      <c r="F658"/>
      <c r="G658" s="74"/>
      <c r="H658" s="108"/>
      <c r="I658" s="71"/>
    </row>
    <row r="659" spans="1:12" s="65" customFormat="1">
      <c r="A659" s="75" t="s">
        <v>391</v>
      </c>
      <c r="B659" s="76" t="s">
        <v>392</v>
      </c>
      <c r="C659" s="76" t="s">
        <v>393</v>
      </c>
      <c r="D659" s="76" t="s">
        <v>394</v>
      </c>
      <c r="E659" s="76" t="s">
        <v>395</v>
      </c>
      <c r="F659" s="76" t="s">
        <v>396</v>
      </c>
      <c r="G659" s="76" t="s">
        <v>397</v>
      </c>
      <c r="H659" s="108"/>
      <c r="I659" s="71"/>
    </row>
    <row r="660" spans="1:12" s="65" customFormat="1" ht="25.5">
      <c r="A660" s="135" t="s">
        <v>501</v>
      </c>
      <c r="B660" s="78" t="s">
        <v>464</v>
      </c>
      <c r="C660" s="127" t="s">
        <v>432</v>
      </c>
      <c r="D660" s="107">
        <f>+H247</f>
        <v>281819</v>
      </c>
      <c r="E660" s="79">
        <v>0.06</v>
      </c>
      <c r="F660" s="79">
        <v>5</v>
      </c>
      <c r="G660" s="107">
        <f>(D660*E660)+((D660*E660)*F660/100)</f>
        <v>17754.596999999998</v>
      </c>
      <c r="H660" s="108"/>
      <c r="I660" s="71"/>
      <c r="L660" s="65">
        <f>0.17*0.5*0.2</f>
        <v>1.7000000000000001E-2</v>
      </c>
    </row>
    <row r="661" spans="1:12" s="65" customFormat="1">
      <c r="A661" s="245" t="s">
        <v>501</v>
      </c>
      <c r="B661" s="78" t="s">
        <v>744</v>
      </c>
      <c r="C661" s="127" t="s">
        <v>6</v>
      </c>
      <c r="D661" s="107">
        <f>+H340</f>
        <v>3201</v>
      </c>
      <c r="E661" s="79">
        <f>+E660*100</f>
        <v>6</v>
      </c>
      <c r="F661" s="79">
        <v>10</v>
      </c>
      <c r="G661" s="107">
        <f>(D661*E661)+((D661*E661)*F661/100)</f>
        <v>21126.6</v>
      </c>
      <c r="H661" s="108"/>
      <c r="I661" s="71"/>
    </row>
    <row r="662" spans="1:12" s="65" customFormat="1">
      <c r="A662" s="139">
        <v>5000</v>
      </c>
      <c r="B662" s="78" t="s">
        <v>484</v>
      </c>
      <c r="C662" s="127" t="s">
        <v>73</v>
      </c>
      <c r="D662" s="107">
        <v>150000</v>
      </c>
      <c r="E662" s="79">
        <v>0.09</v>
      </c>
      <c r="F662" s="79">
        <v>0</v>
      </c>
      <c r="G662" s="107">
        <f>(D662*E662)+((D662*E662)*F662/100)</f>
        <v>13500</v>
      </c>
      <c r="H662" s="108"/>
      <c r="I662" s="71"/>
      <c r="L662" s="65">
        <f>287069*L660</f>
        <v>4880.1730000000007</v>
      </c>
    </row>
    <row r="663" spans="1:12" s="65" customFormat="1">
      <c r="A663" s="90"/>
      <c r="B663" s="91"/>
      <c r="C663" s="91"/>
      <c r="D663" s="91"/>
      <c r="E663" s="91"/>
      <c r="F663"/>
      <c r="G663" s="85" t="s">
        <v>407</v>
      </c>
      <c r="H663" s="107">
        <f>SUM(G660:G662)</f>
        <v>52381.197</v>
      </c>
      <c r="I663" s="71"/>
    </row>
    <row r="664" spans="1:12" s="65" customFormat="1">
      <c r="A664" s="72" t="s">
        <v>410</v>
      </c>
      <c r="B664" s="73"/>
      <c r="C664" s="73"/>
      <c r="D664" s="73"/>
      <c r="E664" s="73"/>
      <c r="F664"/>
      <c r="G664" s="74"/>
      <c r="H664" s="108"/>
      <c r="I664" s="71"/>
    </row>
    <row r="665" spans="1:12" s="65" customFormat="1">
      <c r="A665" s="75" t="s">
        <v>391</v>
      </c>
      <c r="B665" s="76" t="s">
        <v>392</v>
      </c>
      <c r="C665" s="76" t="s">
        <v>393</v>
      </c>
      <c r="D665" s="76" t="s">
        <v>394</v>
      </c>
      <c r="E665" s="76" t="s">
        <v>395</v>
      </c>
      <c r="F665" s="76" t="s">
        <v>396</v>
      </c>
      <c r="G665" s="76" t="s">
        <v>397</v>
      </c>
      <c r="H665" s="108"/>
      <c r="I665" s="71"/>
    </row>
    <row r="666" spans="1:12" s="65" customFormat="1">
      <c r="A666" s="77" t="s">
        <v>494</v>
      </c>
      <c r="B666" s="78" t="s">
        <v>495</v>
      </c>
      <c r="C666" s="79" t="s">
        <v>426</v>
      </c>
      <c r="D666" s="107">
        <v>15927</v>
      </c>
      <c r="E666" s="79">
        <v>3.5</v>
      </c>
      <c r="F666" s="79">
        <v>0</v>
      </c>
      <c r="G666" s="107">
        <f>(D666*E666)+((D666*E666)*F666/100)</f>
        <v>55744.5</v>
      </c>
      <c r="H666" s="108"/>
      <c r="I666" s="149"/>
    </row>
    <row r="667" spans="1:12" s="65" customFormat="1">
      <c r="A667" s="90"/>
      <c r="B667" s="91"/>
      <c r="C667" s="91"/>
      <c r="D667" s="91"/>
      <c r="E667" s="91"/>
      <c r="F667"/>
      <c r="G667" s="93" t="s">
        <v>407</v>
      </c>
      <c r="H667" s="107">
        <f>SUM(G666:G666)</f>
        <v>55744.5</v>
      </c>
      <c r="I667" s="71"/>
    </row>
    <row r="668" spans="1:12" s="65" customFormat="1">
      <c r="A668" s="72" t="s">
        <v>411</v>
      </c>
      <c r="B668" s="73"/>
      <c r="C668" s="73"/>
      <c r="D668" s="73"/>
      <c r="E668" s="73"/>
      <c r="F668"/>
      <c r="G668" s="74"/>
      <c r="H668" s="108"/>
      <c r="I668" s="71"/>
    </row>
    <row r="669" spans="1:12" s="65" customFormat="1">
      <c r="A669" s="75" t="s">
        <v>391</v>
      </c>
      <c r="B669" s="76" t="s">
        <v>392</v>
      </c>
      <c r="C669" s="76" t="s">
        <v>393</v>
      </c>
      <c r="D669" s="76" t="s">
        <v>394</v>
      </c>
      <c r="E669" s="76" t="s">
        <v>395</v>
      </c>
      <c r="F669" s="76" t="s">
        <v>396</v>
      </c>
      <c r="G669" s="76" t="s">
        <v>397</v>
      </c>
      <c r="H669" s="108"/>
      <c r="I669" s="71"/>
    </row>
    <row r="670" spans="1:12" s="65" customFormat="1">
      <c r="A670" s="87" t="s">
        <v>409</v>
      </c>
      <c r="B670" s="114" t="s">
        <v>409</v>
      </c>
      <c r="C670" s="114" t="s">
        <v>409</v>
      </c>
      <c r="D670" s="114" t="s">
        <v>409</v>
      </c>
      <c r="E670" s="114" t="s">
        <v>409</v>
      </c>
      <c r="F670" s="79" t="s">
        <v>409</v>
      </c>
      <c r="G670" s="89" t="s">
        <v>409</v>
      </c>
      <c r="H670" s="108"/>
      <c r="I670" s="71"/>
    </row>
    <row r="671" spans="1:12" s="65" customFormat="1">
      <c r="A671" s="94"/>
      <c r="B671" s="95"/>
      <c r="C671" s="95"/>
      <c r="D671" s="95"/>
      <c r="E671" s="95"/>
      <c r="F671"/>
      <c r="G671" s="93" t="s">
        <v>407</v>
      </c>
      <c r="H671" s="107">
        <f>SUM(G669:G670)</f>
        <v>0</v>
      </c>
      <c r="I671" s="71"/>
    </row>
    <row r="672" spans="1:12" s="65" customFormat="1">
      <c r="A672" s="94"/>
      <c r="B672" s="95"/>
      <c r="C672" s="95"/>
      <c r="D672" s="95"/>
      <c r="E672" s="95"/>
      <c r="F672"/>
      <c r="G672" s="74"/>
      <c r="H672" s="74"/>
      <c r="I672" s="71"/>
    </row>
    <row r="673" spans="1:12" s="65" customFormat="1">
      <c r="A673" s="96"/>
      <c r="B673" s="97"/>
      <c r="C673" s="98"/>
      <c r="D673" s="98"/>
      <c r="E673" s="98"/>
      <c r="F673"/>
      <c r="G673" s="99" t="s">
        <v>412</v>
      </c>
      <c r="H673" s="115">
        <f>SUM(H657:H671)</f>
        <v>108750.697</v>
      </c>
      <c r="I673" s="71"/>
    </row>
    <row r="674" spans="1:12" s="65" customFormat="1">
      <c r="A674" s="96"/>
      <c r="B674" s="97"/>
      <c r="C674" s="98"/>
      <c r="D674" s="98"/>
      <c r="E674" s="98"/>
      <c r="F674" s="101"/>
      <c r="G674" s="116"/>
      <c r="H674" s="70"/>
      <c r="I674" s="71"/>
    </row>
    <row r="675" spans="1:12" s="65" customFormat="1" ht="15.75" thickBot="1">
      <c r="A675" s="624" t="s">
        <v>502</v>
      </c>
      <c r="B675" s="625"/>
      <c r="C675" s="625"/>
      <c r="D675" s="625"/>
      <c r="E675" s="625"/>
      <c r="F675" s="625"/>
      <c r="G675" s="626"/>
      <c r="H675" s="117">
        <f>+ROUND(H673,0)</f>
        <v>108751</v>
      </c>
      <c r="I675" s="103"/>
    </row>
    <row r="676" spans="1:12" s="65" customFormat="1">
      <c r="A676" s="84"/>
      <c r="B676" s="83"/>
      <c r="C676" s="84"/>
      <c r="D676" s="84"/>
      <c r="E676" s="84"/>
      <c r="G676" s="104"/>
      <c r="H676" s="140"/>
    </row>
    <row r="677" spans="1:12" s="65" customFormat="1" ht="15.75" thickBot="1">
      <c r="A677" s="120"/>
      <c r="B677" s="73"/>
      <c r="C677" s="73"/>
      <c r="D677" s="73"/>
      <c r="E677" s="73"/>
      <c r="G677" s="121"/>
      <c r="H677" s="140"/>
      <c r="L677" s="65" t="s">
        <v>205</v>
      </c>
    </row>
    <row r="678" spans="1:12" s="65" customFormat="1">
      <c r="A678" s="627"/>
      <c r="B678" s="629" t="s">
        <v>205</v>
      </c>
      <c r="C678" s="630"/>
      <c r="D678" s="630"/>
      <c r="E678" s="630"/>
      <c r="F678" s="630"/>
      <c r="G678" s="630"/>
      <c r="H678" s="643"/>
      <c r="I678" s="66" t="s">
        <v>389</v>
      </c>
    </row>
    <row r="679" spans="1:12" s="65" customFormat="1">
      <c r="A679" s="628"/>
      <c r="B679" s="631"/>
      <c r="C679" s="632"/>
      <c r="D679" s="632"/>
      <c r="E679" s="632"/>
      <c r="F679" s="632"/>
      <c r="G679" s="632"/>
      <c r="H679" s="644"/>
      <c r="I679" s="67" t="s">
        <v>7</v>
      </c>
    </row>
    <row r="680" spans="1:12" s="65" customFormat="1">
      <c r="A680" s="68"/>
      <c r="B680" s="69"/>
      <c r="C680" s="69"/>
      <c r="D680" s="69"/>
      <c r="E680" s="69"/>
      <c r="F680" s="70"/>
      <c r="G680" s="70"/>
      <c r="H680" s="70"/>
      <c r="I680" s="71"/>
    </row>
    <row r="681" spans="1:12" s="65" customFormat="1">
      <c r="A681" s="72" t="s">
        <v>390</v>
      </c>
      <c r="B681" s="73"/>
      <c r="C681" s="73"/>
      <c r="D681" s="73"/>
      <c r="E681" s="73"/>
      <c r="F681" s="74"/>
      <c r="G681" s="74"/>
      <c r="H681" s="70"/>
      <c r="I681" s="71"/>
    </row>
    <row r="682" spans="1:12" s="65" customFormat="1">
      <c r="A682" s="75" t="s">
        <v>391</v>
      </c>
      <c r="B682" s="76" t="s">
        <v>392</v>
      </c>
      <c r="C682" s="76" t="s">
        <v>393</v>
      </c>
      <c r="D682" s="76" t="s">
        <v>394</v>
      </c>
      <c r="E682" s="76" t="s">
        <v>395</v>
      </c>
      <c r="F682" s="76" t="s">
        <v>396</v>
      </c>
      <c r="G682" s="76" t="s">
        <v>397</v>
      </c>
      <c r="H682" s="74"/>
      <c r="I682" s="71"/>
    </row>
    <row r="683" spans="1:12" s="65" customFormat="1">
      <c r="A683" s="77" t="s">
        <v>404</v>
      </c>
      <c r="B683" s="78" t="s">
        <v>405</v>
      </c>
      <c r="C683" s="79" t="s">
        <v>406</v>
      </c>
      <c r="D683" s="107">
        <v>1250</v>
      </c>
      <c r="E683" s="79">
        <v>0.5</v>
      </c>
      <c r="F683" s="79">
        <v>0</v>
      </c>
      <c r="G683" s="107">
        <f>(D683*E683)+((D683*E683)*F683/100)</f>
        <v>625</v>
      </c>
      <c r="H683" s="74"/>
      <c r="I683" s="71"/>
    </row>
    <row r="684" spans="1:12" s="65" customFormat="1">
      <c r="A684" s="82"/>
      <c r="B684" s="83"/>
      <c r="C684" s="84"/>
      <c r="D684" s="84"/>
      <c r="E684" s="84"/>
      <c r="F684"/>
      <c r="G684" s="93" t="s">
        <v>407</v>
      </c>
      <c r="H684" s="107">
        <f>SUM(G683:G683)</f>
        <v>625</v>
      </c>
      <c r="I684" s="71"/>
    </row>
    <row r="685" spans="1:12" s="65" customFormat="1">
      <c r="A685" s="72" t="s">
        <v>408</v>
      </c>
      <c r="B685" s="73"/>
      <c r="C685" s="73"/>
      <c r="D685" s="73"/>
      <c r="E685" s="73"/>
      <c r="F685"/>
      <c r="G685" s="74"/>
      <c r="H685" s="108"/>
      <c r="I685" s="71"/>
    </row>
    <row r="686" spans="1:12" s="65" customFormat="1">
      <c r="A686" s="75" t="s">
        <v>391</v>
      </c>
      <c r="B686" s="76" t="s">
        <v>392</v>
      </c>
      <c r="C686" s="76" t="s">
        <v>393</v>
      </c>
      <c r="D686" s="76" t="s">
        <v>394</v>
      </c>
      <c r="E686" s="76" t="s">
        <v>395</v>
      </c>
      <c r="F686" s="76" t="s">
        <v>396</v>
      </c>
      <c r="G686" s="76" t="s">
        <v>397</v>
      </c>
      <c r="H686" s="108"/>
      <c r="I686" s="71"/>
    </row>
    <row r="687" spans="1:12" s="65" customFormat="1" ht="25.5">
      <c r="A687" s="135" t="s">
        <v>501</v>
      </c>
      <c r="B687" s="78" t="s">
        <v>464</v>
      </c>
      <c r="C687" s="127" t="s">
        <v>432</v>
      </c>
      <c r="D687" s="107">
        <f>+H247</f>
        <v>281819</v>
      </c>
      <c r="E687" s="79">
        <f>1.22/2</f>
        <v>0.61</v>
      </c>
      <c r="F687" s="79">
        <v>5</v>
      </c>
      <c r="G687" s="107">
        <f>(D687*E687)+((D687*E687)*F687/100)</f>
        <v>180505.06949999998</v>
      </c>
      <c r="H687" s="108"/>
      <c r="I687" s="71"/>
      <c r="L687" s="65">
        <f>1.33*1.4*0.65</f>
        <v>1.2102999999999999</v>
      </c>
    </row>
    <row r="688" spans="1:12" s="65" customFormat="1">
      <c r="A688" s="245" t="s">
        <v>501</v>
      </c>
      <c r="B688" s="78" t="s">
        <v>744</v>
      </c>
      <c r="C688" s="127" t="s">
        <v>6</v>
      </c>
      <c r="D688" s="107">
        <f>+H340</f>
        <v>3201</v>
      </c>
      <c r="E688" s="79">
        <f>+E687*100</f>
        <v>61</v>
      </c>
      <c r="F688" s="79">
        <v>10</v>
      </c>
      <c r="G688" s="107">
        <f>(D688*E688)+((D688*E688)*F688/100)</f>
        <v>214787.1</v>
      </c>
      <c r="H688" s="108"/>
      <c r="I688" s="71"/>
    </row>
    <row r="689" spans="1:9" s="65" customFormat="1">
      <c r="A689" s="139">
        <v>5000</v>
      </c>
      <c r="B689" s="78" t="s">
        <v>484</v>
      </c>
      <c r="C689" s="127" t="s">
        <v>73</v>
      </c>
      <c r="D689" s="107">
        <v>150000</v>
      </c>
      <c r="E689" s="79">
        <v>0.2</v>
      </c>
      <c r="F689" s="79">
        <v>0</v>
      </c>
      <c r="G689" s="107">
        <f>(D689*E689)+((D689*E689)*F689/100)</f>
        <v>30000</v>
      </c>
      <c r="H689" s="108"/>
      <c r="I689" s="71"/>
    </row>
    <row r="690" spans="1:9" s="65" customFormat="1">
      <c r="A690" s="90"/>
      <c r="B690" s="91"/>
      <c r="C690" s="91"/>
      <c r="D690" s="91"/>
      <c r="E690" s="91"/>
      <c r="F690"/>
      <c r="G690" s="85" t="s">
        <v>407</v>
      </c>
      <c r="H690" s="107">
        <f>SUM(G687:G689)</f>
        <v>425292.16949999996</v>
      </c>
      <c r="I690" s="71"/>
    </row>
    <row r="691" spans="1:9" s="65" customFormat="1">
      <c r="A691" s="72" t="s">
        <v>410</v>
      </c>
      <c r="B691" s="73"/>
      <c r="C691" s="73"/>
      <c r="D691" s="73"/>
      <c r="E691" s="73"/>
      <c r="F691"/>
      <c r="G691" s="74"/>
      <c r="H691" s="108"/>
      <c r="I691" s="71"/>
    </row>
    <row r="692" spans="1:9" s="65" customFormat="1">
      <c r="A692" s="75" t="s">
        <v>391</v>
      </c>
      <c r="B692" s="76" t="s">
        <v>392</v>
      </c>
      <c r="C692" s="76" t="s">
        <v>393</v>
      </c>
      <c r="D692" s="76" t="s">
        <v>394</v>
      </c>
      <c r="E692" s="76" t="s">
        <v>395</v>
      </c>
      <c r="F692" s="76" t="s">
        <v>396</v>
      </c>
      <c r="G692" s="76" t="s">
        <v>397</v>
      </c>
      <c r="H692" s="108"/>
      <c r="I692" s="71"/>
    </row>
    <row r="693" spans="1:9" s="65" customFormat="1">
      <c r="A693" s="77" t="s">
        <v>494</v>
      </c>
      <c r="B693" s="78" t="s">
        <v>495</v>
      </c>
      <c r="C693" s="79" t="s">
        <v>426</v>
      </c>
      <c r="D693" s="107">
        <v>15927</v>
      </c>
      <c r="E693" s="79">
        <v>9</v>
      </c>
      <c r="F693" s="79">
        <v>0</v>
      </c>
      <c r="G693" s="107">
        <f>(D693*E693)+((D693*E693)*F693/100)</f>
        <v>143343</v>
      </c>
      <c r="H693" s="108"/>
      <c r="I693" s="149"/>
    </row>
    <row r="694" spans="1:9" s="65" customFormat="1">
      <c r="A694" s="90"/>
      <c r="B694" s="91"/>
      <c r="C694" s="91"/>
      <c r="D694" s="91"/>
      <c r="E694" s="91"/>
      <c r="F694"/>
      <c r="G694" s="93" t="s">
        <v>407</v>
      </c>
      <c r="H694" s="107">
        <f>SUM(G693:G693)</f>
        <v>143343</v>
      </c>
      <c r="I694" s="71"/>
    </row>
    <row r="695" spans="1:9" s="65" customFormat="1">
      <c r="A695" s="72" t="s">
        <v>411</v>
      </c>
      <c r="B695" s="73"/>
      <c r="C695" s="73"/>
      <c r="D695" s="73"/>
      <c r="E695" s="73"/>
      <c r="F695"/>
      <c r="G695" s="74"/>
      <c r="H695" s="108"/>
      <c r="I695" s="71"/>
    </row>
    <row r="696" spans="1:9" s="65" customFormat="1">
      <c r="A696" s="75" t="s">
        <v>391</v>
      </c>
      <c r="B696" s="76" t="s">
        <v>392</v>
      </c>
      <c r="C696" s="76" t="s">
        <v>393</v>
      </c>
      <c r="D696" s="76" t="s">
        <v>394</v>
      </c>
      <c r="E696" s="76" t="s">
        <v>395</v>
      </c>
      <c r="F696" s="76" t="s">
        <v>396</v>
      </c>
      <c r="G696" s="76" t="s">
        <v>397</v>
      </c>
      <c r="H696" s="108"/>
      <c r="I696" s="71"/>
    </row>
    <row r="697" spans="1:9" s="65" customFormat="1">
      <c r="A697" s="87" t="s">
        <v>409</v>
      </c>
      <c r="B697" s="114" t="s">
        <v>409</v>
      </c>
      <c r="C697" s="114" t="s">
        <v>409</v>
      </c>
      <c r="D697" s="114" t="s">
        <v>409</v>
      </c>
      <c r="E697" s="114" t="s">
        <v>409</v>
      </c>
      <c r="F697" s="79" t="s">
        <v>409</v>
      </c>
      <c r="G697" s="89" t="s">
        <v>409</v>
      </c>
      <c r="H697" s="108"/>
      <c r="I697" s="71"/>
    </row>
    <row r="698" spans="1:9" s="65" customFormat="1">
      <c r="A698" s="94"/>
      <c r="B698" s="95"/>
      <c r="C698" s="95"/>
      <c r="D698" s="95"/>
      <c r="E698" s="95"/>
      <c r="F698"/>
      <c r="G698" s="93" t="s">
        <v>407</v>
      </c>
      <c r="H698" s="107">
        <f>SUM(G696:G697)</f>
        <v>0</v>
      </c>
      <c r="I698" s="71"/>
    </row>
    <row r="699" spans="1:9" s="65" customFormat="1">
      <c r="A699" s="94"/>
      <c r="B699" s="95"/>
      <c r="C699" s="95"/>
      <c r="D699" s="95"/>
      <c r="E699" s="95"/>
      <c r="F699"/>
      <c r="G699" s="74"/>
      <c r="H699" s="74"/>
      <c r="I699" s="71"/>
    </row>
    <row r="700" spans="1:9" s="65" customFormat="1">
      <c r="A700" s="96"/>
      <c r="B700" s="97"/>
      <c r="C700" s="98"/>
      <c r="D700" s="98"/>
      <c r="E700" s="98"/>
      <c r="F700"/>
      <c r="G700" s="99" t="s">
        <v>412</v>
      </c>
      <c r="H700" s="115">
        <f>SUM(H684:H698)</f>
        <v>569260.16949999996</v>
      </c>
      <c r="I700" s="71"/>
    </row>
    <row r="701" spans="1:9" s="65" customFormat="1">
      <c r="A701" s="96"/>
      <c r="B701" s="97"/>
      <c r="C701" s="98"/>
      <c r="D701" s="98"/>
      <c r="E701" s="98"/>
      <c r="F701" s="101"/>
      <c r="G701" s="116"/>
      <c r="H701" s="70"/>
      <c r="I701" s="71"/>
    </row>
    <row r="702" spans="1:9" s="65" customFormat="1" ht="15.75" thickBot="1">
      <c r="A702" s="624" t="s">
        <v>502</v>
      </c>
      <c r="B702" s="625"/>
      <c r="C702" s="625"/>
      <c r="D702" s="625"/>
      <c r="E702" s="625"/>
      <c r="F702" s="625"/>
      <c r="G702" s="626"/>
      <c r="H702" s="117">
        <f>+ROUND(H700,0)</f>
        <v>569260</v>
      </c>
      <c r="I702" s="103"/>
    </row>
    <row r="703" spans="1:9" s="65" customFormat="1">
      <c r="A703" s="84"/>
      <c r="B703" s="83"/>
      <c r="C703" s="84"/>
      <c r="D703" s="84"/>
      <c r="E703" s="84"/>
      <c r="G703" s="104"/>
      <c r="H703" s="140"/>
    </row>
    <row r="704" spans="1:9" s="65" customFormat="1" ht="15.75" thickBot="1">
      <c r="A704" s="120"/>
      <c r="B704" s="73"/>
      <c r="C704" s="73"/>
      <c r="D704" s="73"/>
      <c r="E704" s="73"/>
      <c r="G704" s="121"/>
      <c r="H704" s="140"/>
    </row>
    <row r="705" spans="1:9" s="65" customFormat="1">
      <c r="A705" s="627"/>
      <c r="B705" s="629" t="s">
        <v>328</v>
      </c>
      <c r="C705" s="630"/>
      <c r="D705" s="630"/>
      <c r="E705" s="630"/>
      <c r="F705" s="630"/>
      <c r="G705" s="630"/>
      <c r="H705" s="643"/>
      <c r="I705" s="66" t="s">
        <v>389</v>
      </c>
    </row>
    <row r="706" spans="1:9" s="65" customFormat="1">
      <c r="A706" s="628"/>
      <c r="B706" s="631"/>
      <c r="C706" s="632"/>
      <c r="D706" s="632"/>
      <c r="E706" s="632"/>
      <c r="F706" s="632"/>
      <c r="G706" s="632"/>
      <c r="H706" s="644"/>
      <c r="I706" s="67" t="s">
        <v>7</v>
      </c>
    </row>
    <row r="707" spans="1:9" s="65" customFormat="1">
      <c r="A707" s="68"/>
      <c r="B707" s="69"/>
      <c r="C707" s="69"/>
      <c r="D707" s="69"/>
      <c r="E707" s="69"/>
      <c r="F707" s="70"/>
      <c r="G707" s="70"/>
      <c r="H707" s="70"/>
      <c r="I707" s="71"/>
    </row>
    <row r="708" spans="1:9" s="65" customFormat="1">
      <c r="A708" s="72" t="s">
        <v>390</v>
      </c>
      <c r="B708" s="73"/>
      <c r="C708" s="73"/>
      <c r="D708" s="73"/>
      <c r="E708" s="73"/>
      <c r="F708" s="74"/>
      <c r="G708" s="74"/>
      <c r="H708" s="70"/>
      <c r="I708" s="71"/>
    </row>
    <row r="709" spans="1:9" s="65" customFormat="1">
      <c r="A709" s="75" t="s">
        <v>391</v>
      </c>
      <c r="B709" s="76" t="s">
        <v>392</v>
      </c>
      <c r="C709" s="76" t="s">
        <v>393</v>
      </c>
      <c r="D709" s="76" t="s">
        <v>394</v>
      </c>
      <c r="E709" s="76" t="s">
        <v>395</v>
      </c>
      <c r="F709" s="76" t="s">
        <v>396</v>
      </c>
      <c r="G709" s="76" t="s">
        <v>397</v>
      </c>
      <c r="H709" s="74"/>
      <c r="I709" s="71"/>
    </row>
    <row r="710" spans="1:9" s="65" customFormat="1">
      <c r="A710" s="77" t="s">
        <v>404</v>
      </c>
      <c r="B710" s="78" t="s">
        <v>405</v>
      </c>
      <c r="C710" s="79" t="s">
        <v>406</v>
      </c>
      <c r="D710" s="107">
        <v>1250</v>
      </c>
      <c r="E710" s="79">
        <v>0.5</v>
      </c>
      <c r="F710" s="79">
        <v>0</v>
      </c>
      <c r="G710" s="107">
        <f>(D710*E710)+((D710*E710)*F710/100)</f>
        <v>625</v>
      </c>
      <c r="H710" s="74"/>
      <c r="I710" s="71"/>
    </row>
    <row r="711" spans="1:9" s="65" customFormat="1">
      <c r="A711" s="82"/>
      <c r="B711" s="83"/>
      <c r="C711" s="84"/>
      <c r="D711" s="84"/>
      <c r="E711" s="84"/>
      <c r="F711"/>
      <c r="G711" s="93" t="s">
        <v>407</v>
      </c>
      <c r="H711" s="107">
        <f>SUM(G710:G710)</f>
        <v>625</v>
      </c>
      <c r="I711" s="71"/>
    </row>
    <row r="712" spans="1:9" s="65" customFormat="1">
      <c r="A712" s="72" t="s">
        <v>408</v>
      </c>
      <c r="B712" s="73"/>
      <c r="C712" s="73"/>
      <c r="D712" s="73"/>
      <c r="E712" s="73"/>
      <c r="F712"/>
      <c r="G712" s="74"/>
      <c r="H712" s="108"/>
      <c r="I712" s="71"/>
    </row>
    <row r="713" spans="1:9" s="65" customFormat="1">
      <c r="A713" s="75" t="s">
        <v>391</v>
      </c>
      <c r="B713" s="76" t="s">
        <v>392</v>
      </c>
      <c r="C713" s="76" t="s">
        <v>393</v>
      </c>
      <c r="D713" s="76" t="s">
        <v>394</v>
      </c>
      <c r="E713" s="76" t="s">
        <v>395</v>
      </c>
      <c r="F713" s="76" t="s">
        <v>396</v>
      </c>
      <c r="G713" s="76" t="s">
        <v>397</v>
      </c>
      <c r="H713" s="108"/>
      <c r="I713" s="71"/>
    </row>
    <row r="714" spans="1:9" s="65" customFormat="1" ht="25.5">
      <c r="A714" s="135" t="s">
        <v>501</v>
      </c>
      <c r="B714" s="78" t="s">
        <v>464</v>
      </c>
      <c r="C714" s="127" t="s">
        <v>432</v>
      </c>
      <c r="D714" s="107">
        <f>+H247</f>
        <v>281819</v>
      </c>
      <c r="E714" s="79">
        <v>0.08</v>
      </c>
      <c r="F714" s="79">
        <v>5</v>
      </c>
      <c r="G714" s="107">
        <f>(D714*E714)+((D714*E714)*F714/100)</f>
        <v>23672.796000000002</v>
      </c>
      <c r="H714" s="108"/>
      <c r="I714" s="71"/>
    </row>
    <row r="715" spans="1:9" s="65" customFormat="1">
      <c r="A715" s="245" t="s">
        <v>501</v>
      </c>
      <c r="B715" s="78" t="s">
        <v>744</v>
      </c>
      <c r="C715" s="127" t="s">
        <v>6</v>
      </c>
      <c r="D715" s="107">
        <f>+H340</f>
        <v>3201</v>
      </c>
      <c r="E715" s="79">
        <f>+E714*100</f>
        <v>8</v>
      </c>
      <c r="F715" s="79">
        <v>10</v>
      </c>
      <c r="G715" s="107">
        <f>(D715*E715)+((D715*E715)*F715/100)</f>
        <v>28168.799999999999</v>
      </c>
      <c r="H715" s="108"/>
      <c r="I715" s="71"/>
    </row>
    <row r="716" spans="1:9" s="65" customFormat="1">
      <c r="A716" s="139">
        <v>5000</v>
      </c>
      <c r="B716" s="78" t="s">
        <v>484</v>
      </c>
      <c r="C716" s="127" t="s">
        <v>73</v>
      </c>
      <c r="D716" s="107">
        <v>150000</v>
      </c>
      <c r="E716" s="79">
        <v>0.09</v>
      </c>
      <c r="F716" s="79">
        <v>0</v>
      </c>
      <c r="G716" s="107">
        <f>(D716*E716)+((D716*E716)*F716/100)</f>
        <v>13500</v>
      </c>
      <c r="H716" s="108"/>
      <c r="I716" s="71"/>
    </row>
    <row r="717" spans="1:9" s="65" customFormat="1">
      <c r="A717" s="90"/>
      <c r="B717" s="91"/>
      <c r="C717" s="91"/>
      <c r="D717" s="91"/>
      <c r="E717" s="91"/>
      <c r="F717"/>
      <c r="G717" s="85" t="s">
        <v>407</v>
      </c>
      <c r="H717" s="107">
        <f>SUM(G714:G716)</f>
        <v>65341.596000000005</v>
      </c>
      <c r="I717" s="71"/>
    </row>
    <row r="718" spans="1:9" s="65" customFormat="1">
      <c r="A718" s="72" t="s">
        <v>410</v>
      </c>
      <c r="B718" s="73"/>
      <c r="C718" s="73"/>
      <c r="D718" s="73"/>
      <c r="E718" s="73"/>
      <c r="F718"/>
      <c r="G718" s="74"/>
      <c r="H718" s="108"/>
      <c r="I718" s="71"/>
    </row>
    <row r="719" spans="1:9" s="65" customFormat="1">
      <c r="A719" s="75" t="s">
        <v>391</v>
      </c>
      <c r="B719" s="76" t="s">
        <v>392</v>
      </c>
      <c r="C719" s="76" t="s">
        <v>393</v>
      </c>
      <c r="D719" s="76" t="s">
        <v>394</v>
      </c>
      <c r="E719" s="76" t="s">
        <v>395</v>
      </c>
      <c r="F719" s="76" t="s">
        <v>396</v>
      </c>
      <c r="G719" s="76" t="s">
        <v>397</v>
      </c>
      <c r="H719" s="108"/>
      <c r="I719" s="71"/>
    </row>
    <row r="720" spans="1:9" s="65" customFormat="1">
      <c r="A720" s="77" t="s">
        <v>494</v>
      </c>
      <c r="B720" s="78" t="s">
        <v>495</v>
      </c>
      <c r="C720" s="79" t="s">
        <v>426</v>
      </c>
      <c r="D720" s="107">
        <v>15927</v>
      </c>
      <c r="E720" s="79">
        <v>4</v>
      </c>
      <c r="F720" s="79">
        <v>0</v>
      </c>
      <c r="G720" s="107">
        <f>(D720*E720)+((D720*E720)*F720/100)</f>
        <v>63708</v>
      </c>
      <c r="H720" s="108"/>
      <c r="I720" s="149"/>
    </row>
    <row r="721" spans="1:9" s="65" customFormat="1">
      <c r="A721" s="90"/>
      <c r="B721" s="91"/>
      <c r="C721" s="91"/>
      <c r="D721" s="91"/>
      <c r="E721" s="91"/>
      <c r="F721"/>
      <c r="G721" s="93" t="s">
        <v>407</v>
      </c>
      <c r="H721" s="107">
        <f>SUM(G720:G720)</f>
        <v>63708</v>
      </c>
      <c r="I721" s="71"/>
    </row>
    <row r="722" spans="1:9" s="65" customFormat="1">
      <c r="A722" s="72" t="s">
        <v>411</v>
      </c>
      <c r="B722" s="73"/>
      <c r="C722" s="73"/>
      <c r="D722" s="73"/>
      <c r="E722" s="73"/>
      <c r="F722"/>
      <c r="G722" s="74"/>
      <c r="H722" s="108"/>
      <c r="I722" s="71"/>
    </row>
    <row r="723" spans="1:9" s="65" customFormat="1">
      <c r="A723" s="75" t="s">
        <v>391</v>
      </c>
      <c r="B723" s="76" t="s">
        <v>392</v>
      </c>
      <c r="C723" s="76" t="s">
        <v>393</v>
      </c>
      <c r="D723" s="76" t="s">
        <v>394</v>
      </c>
      <c r="E723" s="76" t="s">
        <v>395</v>
      </c>
      <c r="F723" s="76" t="s">
        <v>396</v>
      </c>
      <c r="G723" s="76" t="s">
        <v>397</v>
      </c>
      <c r="H723" s="108"/>
      <c r="I723" s="71"/>
    </row>
    <row r="724" spans="1:9" s="65" customFormat="1">
      <c r="A724" s="87" t="s">
        <v>409</v>
      </c>
      <c r="B724" s="114" t="s">
        <v>409</v>
      </c>
      <c r="C724" s="114" t="s">
        <v>409</v>
      </c>
      <c r="D724" s="114" t="s">
        <v>409</v>
      </c>
      <c r="E724" s="114" t="s">
        <v>409</v>
      </c>
      <c r="F724" s="79" t="s">
        <v>409</v>
      </c>
      <c r="G724" s="89" t="s">
        <v>409</v>
      </c>
      <c r="H724" s="108"/>
      <c r="I724" s="71"/>
    </row>
    <row r="725" spans="1:9" s="65" customFormat="1">
      <c r="A725" s="94"/>
      <c r="B725" s="95"/>
      <c r="C725" s="95"/>
      <c r="D725" s="95"/>
      <c r="E725" s="95"/>
      <c r="F725"/>
      <c r="G725" s="93" t="s">
        <v>407</v>
      </c>
      <c r="H725" s="107">
        <f>SUM(G723:G724)</f>
        <v>0</v>
      </c>
      <c r="I725" s="71"/>
    </row>
    <row r="726" spans="1:9" s="65" customFormat="1">
      <c r="A726" s="94"/>
      <c r="B726" s="95"/>
      <c r="C726" s="95"/>
      <c r="D726" s="95"/>
      <c r="E726" s="95"/>
      <c r="F726"/>
      <c r="G726" s="74"/>
      <c r="H726" s="74"/>
      <c r="I726" s="71"/>
    </row>
    <row r="727" spans="1:9" s="65" customFormat="1">
      <c r="A727" s="96"/>
      <c r="B727" s="97"/>
      <c r="C727" s="98"/>
      <c r="D727" s="98"/>
      <c r="E727" s="98"/>
      <c r="F727"/>
      <c r="G727" s="99" t="s">
        <v>412</v>
      </c>
      <c r="H727" s="115">
        <f>SUM(H711:H725)</f>
        <v>129674.59600000001</v>
      </c>
      <c r="I727" s="71"/>
    </row>
    <row r="728" spans="1:9" s="65" customFormat="1">
      <c r="A728" s="96"/>
      <c r="B728" s="97"/>
      <c r="C728" s="98"/>
      <c r="D728" s="98"/>
      <c r="E728" s="98"/>
      <c r="F728" s="101"/>
      <c r="G728" s="116"/>
      <c r="H728" s="70"/>
      <c r="I728" s="71"/>
    </row>
    <row r="729" spans="1:9" s="65" customFormat="1" ht="15.75" thickBot="1">
      <c r="A729" s="624" t="s">
        <v>502</v>
      </c>
      <c r="B729" s="625"/>
      <c r="C729" s="625"/>
      <c r="D729" s="625"/>
      <c r="E729" s="625"/>
      <c r="F729" s="625"/>
      <c r="G729" s="626"/>
      <c r="H729" s="117">
        <f>+ROUND(H727,0)</f>
        <v>129675</v>
      </c>
      <c r="I729" s="103"/>
    </row>
    <row r="730" spans="1:9" s="65" customFormat="1">
      <c r="A730" s="128"/>
      <c r="B730" s="141"/>
      <c r="C730" s="141"/>
      <c r="D730" s="141"/>
      <c r="E730" s="141"/>
      <c r="F730" s="141"/>
      <c r="G730" s="141"/>
      <c r="H730" s="121"/>
    </row>
    <row r="731" spans="1:9" s="65" customFormat="1" ht="15.75" thickBot="1">
      <c r="A731" s="84"/>
      <c r="B731" s="83"/>
      <c r="C731" s="84"/>
      <c r="D731" s="84"/>
      <c r="E731" s="84"/>
      <c r="F731" s="84"/>
      <c r="G731" s="144"/>
      <c r="H731" s="145"/>
    </row>
    <row r="732" spans="1:9" s="65" customFormat="1">
      <c r="A732" s="627"/>
      <c r="B732" s="629" t="s">
        <v>745</v>
      </c>
      <c r="C732" s="630"/>
      <c r="D732" s="630"/>
      <c r="E732" s="630"/>
      <c r="F732" s="630"/>
      <c r="G732" s="630"/>
      <c r="H732" s="643"/>
      <c r="I732" s="66" t="s">
        <v>389</v>
      </c>
    </row>
    <row r="733" spans="1:9" s="65" customFormat="1">
      <c r="A733" s="628"/>
      <c r="B733" s="631"/>
      <c r="C733" s="632"/>
      <c r="D733" s="632"/>
      <c r="E733" s="632"/>
      <c r="F733" s="632"/>
      <c r="G733" s="632"/>
      <c r="H733" s="644"/>
      <c r="I733" s="67" t="s">
        <v>7</v>
      </c>
    </row>
    <row r="734" spans="1:9" s="65" customFormat="1">
      <c r="A734" s="68"/>
      <c r="B734" s="69"/>
      <c r="C734" s="69"/>
      <c r="D734" s="69"/>
      <c r="E734" s="69"/>
      <c r="F734" s="70"/>
      <c r="G734" s="70"/>
      <c r="H734" s="70"/>
      <c r="I734" s="71"/>
    </row>
    <row r="735" spans="1:9" s="65" customFormat="1">
      <c r="A735" s="72" t="s">
        <v>390</v>
      </c>
      <c r="B735" s="73"/>
      <c r="C735" s="73"/>
      <c r="D735" s="73"/>
      <c r="E735" s="73"/>
      <c r="F735" s="74"/>
      <c r="G735" s="74"/>
      <c r="H735" s="70"/>
      <c r="I735" s="71"/>
    </row>
    <row r="736" spans="1:9" s="65" customFormat="1">
      <c r="A736" s="75" t="s">
        <v>391</v>
      </c>
      <c r="B736" s="76" t="s">
        <v>392</v>
      </c>
      <c r="C736" s="76" t="s">
        <v>393</v>
      </c>
      <c r="D736" s="76" t="s">
        <v>394</v>
      </c>
      <c r="E736" s="76" t="s">
        <v>395</v>
      </c>
      <c r="F736" s="76" t="s">
        <v>396</v>
      </c>
      <c r="G736" s="76" t="s">
        <v>397</v>
      </c>
      <c r="H736" s="74"/>
      <c r="I736" s="71"/>
    </row>
    <row r="737" spans="1:9" s="65" customFormat="1">
      <c r="A737" s="77" t="s">
        <v>404</v>
      </c>
      <c r="B737" s="78" t="s">
        <v>405</v>
      </c>
      <c r="C737" s="79" t="s">
        <v>406</v>
      </c>
      <c r="D737" s="107">
        <v>1250</v>
      </c>
      <c r="E737" s="79">
        <v>0.5</v>
      </c>
      <c r="F737" s="79">
        <v>0</v>
      </c>
      <c r="G737" s="107">
        <f>(D737*E737)+((D737*E737)*F737/100)</f>
        <v>625</v>
      </c>
      <c r="H737" s="74"/>
      <c r="I737" s="71"/>
    </row>
    <row r="738" spans="1:9" s="65" customFormat="1">
      <c r="A738" s="82"/>
      <c r="B738" s="83"/>
      <c r="C738" s="84"/>
      <c r="D738" s="84"/>
      <c r="E738" s="84"/>
      <c r="F738"/>
      <c r="G738" s="93" t="s">
        <v>407</v>
      </c>
      <c r="H738" s="107">
        <f>SUM(G737:G737)</f>
        <v>625</v>
      </c>
      <c r="I738" s="71"/>
    </row>
    <row r="739" spans="1:9" s="65" customFormat="1">
      <c r="A739" s="72" t="s">
        <v>408</v>
      </c>
      <c r="B739" s="73"/>
      <c r="C739" s="73"/>
      <c r="D739" s="73"/>
      <c r="E739" s="73"/>
      <c r="F739"/>
      <c r="G739" s="74"/>
      <c r="H739" s="108"/>
      <c r="I739" s="71"/>
    </row>
    <row r="740" spans="1:9" s="65" customFormat="1">
      <c r="A740" s="75" t="s">
        <v>391</v>
      </c>
      <c r="B740" s="76" t="s">
        <v>392</v>
      </c>
      <c r="C740" s="76" t="s">
        <v>393</v>
      </c>
      <c r="D740" s="76" t="s">
        <v>394</v>
      </c>
      <c r="E740" s="76" t="s">
        <v>395</v>
      </c>
      <c r="F740" s="76" t="s">
        <v>396</v>
      </c>
      <c r="G740" s="76" t="s">
        <v>397</v>
      </c>
      <c r="H740" s="108"/>
      <c r="I740" s="71"/>
    </row>
    <row r="741" spans="1:9" s="65" customFormat="1" ht="25.5">
      <c r="A741" s="135" t="s">
        <v>501</v>
      </c>
      <c r="B741" s="78" t="s">
        <v>464</v>
      </c>
      <c r="C741" s="127" t="s">
        <v>432</v>
      </c>
      <c r="D741" s="107">
        <f>+H247</f>
        <v>281819</v>
      </c>
      <c r="E741" s="79">
        <v>0.09</v>
      </c>
      <c r="F741" s="79">
        <v>5</v>
      </c>
      <c r="G741" s="107">
        <f>(D741*E741)+((D741*E741)*F741/100)</f>
        <v>26631.895499999999</v>
      </c>
      <c r="H741" s="108"/>
      <c r="I741" s="71"/>
    </row>
    <row r="742" spans="1:9" s="65" customFormat="1">
      <c r="A742" s="245" t="s">
        <v>501</v>
      </c>
      <c r="B742" s="78" t="s">
        <v>744</v>
      </c>
      <c r="C742" s="127" t="s">
        <v>6</v>
      </c>
      <c r="D742" s="107">
        <f>+H340</f>
        <v>3201</v>
      </c>
      <c r="E742" s="79">
        <f>+E741*100</f>
        <v>9</v>
      </c>
      <c r="F742" s="79">
        <v>10</v>
      </c>
      <c r="G742" s="107">
        <f>(D742*E742)+((D742*E742)*F742/100)</f>
        <v>31689.9</v>
      </c>
      <c r="H742" s="108"/>
      <c r="I742" s="71"/>
    </row>
    <row r="743" spans="1:9" s="65" customFormat="1">
      <c r="A743" s="139">
        <v>5000</v>
      </c>
      <c r="B743" s="78" t="s">
        <v>484</v>
      </c>
      <c r="C743" s="127" t="s">
        <v>73</v>
      </c>
      <c r="D743" s="107">
        <v>150000</v>
      </c>
      <c r="E743" s="79">
        <v>0.11</v>
      </c>
      <c r="F743" s="79">
        <v>0</v>
      </c>
      <c r="G743" s="107">
        <f>(D743*E743)+((D743*E743)*F743/100)</f>
        <v>16500</v>
      </c>
      <c r="H743" s="108"/>
      <c r="I743" s="71"/>
    </row>
    <row r="744" spans="1:9" s="65" customFormat="1">
      <c r="A744" s="90"/>
      <c r="B744" s="91"/>
      <c r="C744" s="91"/>
      <c r="D744" s="91"/>
      <c r="E744" s="91"/>
      <c r="F744"/>
      <c r="G744" s="85" t="s">
        <v>407</v>
      </c>
      <c r="H744" s="107">
        <f>SUM(G741:G743)</f>
        <v>74821.795500000007</v>
      </c>
      <c r="I744" s="71"/>
    </row>
    <row r="745" spans="1:9" s="65" customFormat="1">
      <c r="A745" s="72" t="s">
        <v>410</v>
      </c>
      <c r="B745" s="73"/>
      <c r="C745" s="73"/>
      <c r="D745" s="73"/>
      <c r="E745" s="73"/>
      <c r="F745"/>
      <c r="G745" s="74"/>
      <c r="H745" s="108"/>
      <c r="I745" s="71"/>
    </row>
    <row r="746" spans="1:9" s="65" customFormat="1">
      <c r="A746" s="75" t="s">
        <v>391</v>
      </c>
      <c r="B746" s="76" t="s">
        <v>392</v>
      </c>
      <c r="C746" s="76" t="s">
        <v>393</v>
      </c>
      <c r="D746" s="76" t="s">
        <v>394</v>
      </c>
      <c r="E746" s="76" t="s">
        <v>395</v>
      </c>
      <c r="F746" s="76" t="s">
        <v>396</v>
      </c>
      <c r="G746" s="76" t="s">
        <v>397</v>
      </c>
      <c r="H746" s="108"/>
      <c r="I746" s="71"/>
    </row>
    <row r="747" spans="1:9" s="65" customFormat="1">
      <c r="A747" s="77" t="s">
        <v>494</v>
      </c>
      <c r="B747" s="78" t="s">
        <v>495</v>
      </c>
      <c r="C747" s="79" t="s">
        <v>426</v>
      </c>
      <c r="D747" s="107">
        <v>15927</v>
      </c>
      <c r="E747" s="79">
        <v>5</v>
      </c>
      <c r="F747" s="79">
        <v>0</v>
      </c>
      <c r="G747" s="107">
        <f>(D747*E747)+((D747*E747)*F747/100)</f>
        <v>79635</v>
      </c>
      <c r="H747" s="108"/>
      <c r="I747" s="149"/>
    </row>
    <row r="748" spans="1:9" s="65" customFormat="1">
      <c r="A748" s="90"/>
      <c r="B748" s="91"/>
      <c r="C748" s="91"/>
      <c r="D748" s="91"/>
      <c r="E748" s="91"/>
      <c r="F748"/>
      <c r="G748" s="93" t="s">
        <v>407</v>
      </c>
      <c r="H748" s="107">
        <f>SUM(G747:G747)</f>
        <v>79635</v>
      </c>
      <c r="I748" s="71"/>
    </row>
    <row r="749" spans="1:9" s="65" customFormat="1">
      <c r="A749" s="72" t="s">
        <v>411</v>
      </c>
      <c r="B749" s="73"/>
      <c r="C749" s="73"/>
      <c r="D749" s="73"/>
      <c r="E749" s="73"/>
      <c r="F749"/>
      <c r="G749" s="74"/>
      <c r="H749" s="108"/>
      <c r="I749" s="71"/>
    </row>
    <row r="750" spans="1:9" s="65" customFormat="1">
      <c r="A750" s="75" t="s">
        <v>391</v>
      </c>
      <c r="B750" s="76" t="s">
        <v>392</v>
      </c>
      <c r="C750" s="76" t="s">
        <v>393</v>
      </c>
      <c r="D750" s="76" t="s">
        <v>394</v>
      </c>
      <c r="E750" s="76" t="s">
        <v>395</v>
      </c>
      <c r="F750" s="76" t="s">
        <v>396</v>
      </c>
      <c r="G750" s="76" t="s">
        <v>397</v>
      </c>
      <c r="H750" s="108"/>
      <c r="I750" s="71"/>
    </row>
    <row r="751" spans="1:9" s="65" customFormat="1">
      <c r="A751" s="87" t="s">
        <v>409</v>
      </c>
      <c r="B751" s="114" t="s">
        <v>409</v>
      </c>
      <c r="C751" s="114" t="s">
        <v>409</v>
      </c>
      <c r="D751" s="114" t="s">
        <v>409</v>
      </c>
      <c r="E751" s="114" t="s">
        <v>409</v>
      </c>
      <c r="F751" s="79" t="s">
        <v>409</v>
      </c>
      <c r="G751" s="89" t="s">
        <v>409</v>
      </c>
      <c r="H751" s="108"/>
      <c r="I751" s="71"/>
    </row>
    <row r="752" spans="1:9" s="65" customFormat="1">
      <c r="A752" s="94"/>
      <c r="B752" s="95"/>
      <c r="C752" s="95"/>
      <c r="D752" s="95"/>
      <c r="E752" s="95"/>
      <c r="F752"/>
      <c r="G752" s="93" t="s">
        <v>407</v>
      </c>
      <c r="H752" s="107">
        <f>SUM(G750:G751)</f>
        <v>0</v>
      </c>
      <c r="I752" s="71"/>
    </row>
    <row r="753" spans="1:9" s="65" customFormat="1">
      <c r="A753" s="94"/>
      <c r="B753" s="95"/>
      <c r="C753" s="95"/>
      <c r="D753" s="95"/>
      <c r="E753" s="95"/>
      <c r="F753"/>
      <c r="G753" s="74"/>
      <c r="H753" s="74"/>
      <c r="I753" s="71"/>
    </row>
    <row r="754" spans="1:9" s="65" customFormat="1">
      <c r="A754" s="96"/>
      <c r="B754" s="97"/>
      <c r="C754" s="98"/>
      <c r="D754" s="98"/>
      <c r="E754" s="98"/>
      <c r="F754"/>
      <c r="G754" s="99" t="s">
        <v>412</v>
      </c>
      <c r="H754" s="115">
        <f>SUM(H738:H752)</f>
        <v>155081.79550000001</v>
      </c>
      <c r="I754" s="71"/>
    </row>
    <row r="755" spans="1:9" s="65" customFormat="1">
      <c r="A755" s="96"/>
      <c r="B755" s="97"/>
      <c r="C755" s="98"/>
      <c r="D755" s="98"/>
      <c r="E755" s="98"/>
      <c r="F755" s="101"/>
      <c r="G755" s="116"/>
      <c r="H755" s="70"/>
      <c r="I755" s="71"/>
    </row>
    <row r="756" spans="1:9" s="65" customFormat="1" ht="15.75" thickBot="1">
      <c r="A756" s="624" t="s">
        <v>502</v>
      </c>
      <c r="B756" s="625"/>
      <c r="C756" s="625"/>
      <c r="D756" s="625"/>
      <c r="E756" s="625"/>
      <c r="F756" s="625"/>
      <c r="G756" s="626"/>
      <c r="H756" s="117">
        <f>+ROUND(H754,0)</f>
        <v>155082</v>
      </c>
      <c r="I756" s="103"/>
    </row>
    <row r="757" spans="1:9" s="65" customFormat="1">
      <c r="A757" s="120"/>
      <c r="B757" s="73"/>
      <c r="C757" s="73"/>
      <c r="D757" s="73"/>
      <c r="E757" s="73"/>
      <c r="G757" s="121"/>
      <c r="H757" s="140"/>
    </row>
    <row r="758" spans="1:9" s="65" customFormat="1">
      <c r="A758" s="128"/>
      <c r="B758" s="141"/>
      <c r="C758" s="141"/>
      <c r="D758" s="141"/>
      <c r="E758" s="141"/>
      <c r="F758" s="141"/>
      <c r="G758" s="141"/>
      <c r="H758" s="140"/>
    </row>
    <row r="759" spans="1:9" s="65" customFormat="1" ht="15.75" thickBot="1">
      <c r="A759" s="150"/>
      <c r="B759" s="83"/>
      <c r="C759" s="148"/>
      <c r="D759" s="84"/>
      <c r="E759" s="84"/>
      <c r="F759" s="84"/>
      <c r="G759" s="144"/>
      <c r="H759" s="140"/>
    </row>
    <row r="760" spans="1:9" s="65" customFormat="1">
      <c r="A760" s="627"/>
      <c r="B760" s="629" t="s">
        <v>1006</v>
      </c>
      <c r="C760" s="630"/>
      <c r="D760" s="630"/>
      <c r="E760" s="630"/>
      <c r="F760" s="630"/>
      <c r="G760" s="630"/>
      <c r="H760" s="643"/>
      <c r="I760" s="66" t="s">
        <v>389</v>
      </c>
    </row>
    <row r="761" spans="1:9" s="65" customFormat="1">
      <c r="A761" s="628"/>
      <c r="B761" s="631"/>
      <c r="C761" s="632"/>
      <c r="D761" s="632"/>
      <c r="E761" s="632"/>
      <c r="F761" s="632"/>
      <c r="G761" s="632"/>
      <c r="H761" s="644"/>
      <c r="I761" s="67" t="s">
        <v>432</v>
      </c>
    </row>
    <row r="762" spans="1:9" s="65" customFormat="1">
      <c r="A762" s="68"/>
      <c r="B762" s="69"/>
      <c r="C762" s="69"/>
      <c r="D762" s="69"/>
      <c r="E762" s="69"/>
      <c r="F762" s="70"/>
      <c r="G762" s="70"/>
      <c r="H762" s="70"/>
      <c r="I762" s="71"/>
    </row>
    <row r="763" spans="1:9" s="65" customFormat="1">
      <c r="A763" s="72" t="s">
        <v>390</v>
      </c>
      <c r="B763" s="73"/>
      <c r="C763" s="73"/>
      <c r="D763" s="73"/>
      <c r="E763" s="73"/>
      <c r="F763" s="74"/>
      <c r="G763" s="74"/>
      <c r="H763" s="70"/>
      <c r="I763" s="71"/>
    </row>
    <row r="764" spans="1:9" s="65" customFormat="1">
      <c r="A764" s="75" t="s">
        <v>391</v>
      </c>
      <c r="B764" s="76" t="s">
        <v>392</v>
      </c>
      <c r="C764" s="76" t="s">
        <v>393</v>
      </c>
      <c r="D764" s="76" t="s">
        <v>394</v>
      </c>
      <c r="E764" s="76" t="s">
        <v>395</v>
      </c>
      <c r="F764" s="76" t="s">
        <v>396</v>
      </c>
      <c r="G764" s="76" t="s">
        <v>397</v>
      </c>
      <c r="H764" s="74"/>
      <c r="I764" s="71"/>
    </row>
    <row r="765" spans="1:9" s="65" customFormat="1">
      <c r="A765" s="77" t="s">
        <v>404</v>
      </c>
      <c r="B765" s="78" t="s">
        <v>405</v>
      </c>
      <c r="C765" s="79" t="s">
        <v>406</v>
      </c>
      <c r="D765" s="107">
        <v>1250</v>
      </c>
      <c r="E765" s="79">
        <v>10</v>
      </c>
      <c r="F765" s="79">
        <v>0</v>
      </c>
      <c r="G765" s="107">
        <f>(D765*E765)+((D765*E765)*F765/100)</f>
        <v>12500</v>
      </c>
      <c r="H765" s="74"/>
      <c r="I765" s="71"/>
    </row>
    <row r="766" spans="1:9" s="65" customFormat="1">
      <c r="A766" s="82"/>
      <c r="B766" s="83"/>
      <c r="C766" s="84"/>
      <c r="D766" s="84"/>
      <c r="E766" s="84"/>
      <c r="F766"/>
      <c r="G766" s="93" t="s">
        <v>407</v>
      </c>
      <c r="H766" s="107">
        <f>SUM(G765:G765)</f>
        <v>12500</v>
      </c>
      <c r="I766" s="71"/>
    </row>
    <row r="767" spans="1:9" s="65" customFormat="1">
      <c r="A767" s="72" t="s">
        <v>408</v>
      </c>
      <c r="B767" s="73"/>
      <c r="C767" s="73"/>
      <c r="D767" s="73"/>
      <c r="E767" s="73"/>
      <c r="F767"/>
      <c r="G767" s="74"/>
      <c r="H767" s="108"/>
      <c r="I767" s="71"/>
    </row>
    <row r="768" spans="1:9" s="65" customFormat="1">
      <c r="A768" s="75" t="s">
        <v>391</v>
      </c>
      <c r="B768" s="76" t="s">
        <v>392</v>
      </c>
      <c r="C768" s="76" t="s">
        <v>393</v>
      </c>
      <c r="D768" s="76" t="s">
        <v>394</v>
      </c>
      <c r="E768" s="76" t="s">
        <v>395</v>
      </c>
      <c r="F768" s="76" t="s">
        <v>396</v>
      </c>
      <c r="G768" s="76" t="s">
        <v>397</v>
      </c>
      <c r="H768" s="108"/>
      <c r="I768" s="71"/>
    </row>
    <row r="769" spans="1:9" s="65" customFormat="1" ht="25.5">
      <c r="A769" s="135" t="s">
        <v>501</v>
      </c>
      <c r="B769" s="78" t="s">
        <v>464</v>
      </c>
      <c r="C769" s="127" t="s">
        <v>432</v>
      </c>
      <c r="D769" s="107">
        <f>+H247</f>
        <v>281819</v>
      </c>
      <c r="E769" s="79">
        <v>1</v>
      </c>
      <c r="F769" s="79">
        <v>5</v>
      </c>
      <c r="G769" s="107">
        <f>(D769*E769)+((D769*E769)*F769/100)</f>
        <v>295909.95</v>
      </c>
      <c r="H769" s="108"/>
      <c r="I769" s="71"/>
    </row>
    <row r="770" spans="1:9" s="65" customFormat="1">
      <c r="A770" s="139">
        <v>5000</v>
      </c>
      <c r="B770" s="78" t="s">
        <v>484</v>
      </c>
      <c r="C770" s="127" t="s">
        <v>73</v>
      </c>
      <c r="D770" s="107">
        <v>150000</v>
      </c>
      <c r="E770" s="79">
        <v>0.7</v>
      </c>
      <c r="F770" s="79">
        <v>0</v>
      </c>
      <c r="G770" s="107">
        <f>(D770*E770)+((D770*E770)*F770/100)</f>
        <v>105000</v>
      </c>
      <c r="H770" s="108"/>
      <c r="I770" s="71"/>
    </row>
    <row r="771" spans="1:9" s="65" customFormat="1">
      <c r="A771" s="90"/>
      <c r="B771" s="91"/>
      <c r="C771" s="91"/>
      <c r="D771" s="91"/>
      <c r="E771" s="91"/>
      <c r="F771"/>
      <c r="G771" s="85" t="s">
        <v>407</v>
      </c>
      <c r="H771" s="107">
        <f>SUM(G769:G770)</f>
        <v>400909.95</v>
      </c>
      <c r="I771" s="71"/>
    </row>
    <row r="772" spans="1:9" s="65" customFormat="1">
      <c r="A772" s="72" t="s">
        <v>410</v>
      </c>
      <c r="B772" s="73"/>
      <c r="C772" s="73"/>
      <c r="D772" s="73"/>
      <c r="E772" s="73"/>
      <c r="F772"/>
      <c r="G772" s="74"/>
      <c r="H772" s="108"/>
      <c r="I772" s="71"/>
    </row>
    <row r="773" spans="1:9" s="65" customFormat="1">
      <c r="A773" s="75" t="s">
        <v>391</v>
      </c>
      <c r="B773" s="76" t="s">
        <v>392</v>
      </c>
      <c r="C773" s="76" t="s">
        <v>393</v>
      </c>
      <c r="D773" s="76" t="s">
        <v>394</v>
      </c>
      <c r="E773" s="76" t="s">
        <v>395</v>
      </c>
      <c r="F773" s="76" t="s">
        <v>396</v>
      </c>
      <c r="G773" s="76" t="s">
        <v>397</v>
      </c>
      <c r="H773" s="108"/>
      <c r="I773" s="71"/>
    </row>
    <row r="774" spans="1:9" s="65" customFormat="1">
      <c r="A774" s="125" t="s">
        <v>478</v>
      </c>
      <c r="B774" s="126" t="s">
        <v>479</v>
      </c>
      <c r="C774" s="127" t="s">
        <v>426</v>
      </c>
      <c r="D774" s="107">
        <f>5627*6+10300+15000</f>
        <v>59062</v>
      </c>
      <c r="E774" s="79">
        <v>2</v>
      </c>
      <c r="F774" s="79">
        <v>0</v>
      </c>
      <c r="G774" s="107">
        <f>(D774*E774)+((D774*E774)*F774/100)</f>
        <v>118124</v>
      </c>
      <c r="H774" s="108"/>
      <c r="I774" s="149"/>
    </row>
    <row r="775" spans="1:9" s="65" customFormat="1">
      <c r="A775" s="90"/>
      <c r="B775" s="91"/>
      <c r="C775" s="91"/>
      <c r="D775" s="91"/>
      <c r="E775" s="91"/>
      <c r="F775"/>
      <c r="G775" s="93" t="s">
        <v>407</v>
      </c>
      <c r="H775" s="107">
        <f>SUM(G774:G774)</f>
        <v>118124</v>
      </c>
      <c r="I775" s="71"/>
    </row>
    <row r="776" spans="1:9" s="65" customFormat="1">
      <c r="A776" s="72" t="s">
        <v>411</v>
      </c>
      <c r="B776" s="73"/>
      <c r="C776" s="73"/>
      <c r="D776" s="73"/>
      <c r="E776" s="73"/>
      <c r="F776"/>
      <c r="G776" s="74"/>
      <c r="H776" s="108"/>
      <c r="I776" s="71"/>
    </row>
    <row r="777" spans="1:9" s="65" customFormat="1">
      <c r="A777" s="75" t="s">
        <v>391</v>
      </c>
      <c r="B777" s="76" t="s">
        <v>392</v>
      </c>
      <c r="C777" s="76" t="s">
        <v>393</v>
      </c>
      <c r="D777" s="76" t="s">
        <v>394</v>
      </c>
      <c r="E777" s="76" t="s">
        <v>395</v>
      </c>
      <c r="F777" s="76" t="s">
        <v>396</v>
      </c>
      <c r="G777" s="76" t="s">
        <v>397</v>
      </c>
      <c r="H777" s="108"/>
      <c r="I777" s="71"/>
    </row>
    <row r="778" spans="1:9" s="65" customFormat="1">
      <c r="A778" s="87" t="s">
        <v>409</v>
      </c>
      <c r="B778" s="114" t="s">
        <v>409</v>
      </c>
      <c r="C778" s="114" t="s">
        <v>409</v>
      </c>
      <c r="D778" s="114" t="s">
        <v>409</v>
      </c>
      <c r="E778" s="114" t="s">
        <v>409</v>
      </c>
      <c r="F778" s="79" t="s">
        <v>409</v>
      </c>
      <c r="G778" s="89" t="s">
        <v>409</v>
      </c>
      <c r="H778" s="108"/>
      <c r="I778" s="71"/>
    </row>
    <row r="779" spans="1:9" s="65" customFormat="1">
      <c r="A779" s="94"/>
      <c r="B779" s="95"/>
      <c r="C779" s="95"/>
      <c r="D779" s="95"/>
      <c r="E779" s="95"/>
      <c r="F779"/>
      <c r="G779" s="93" t="s">
        <v>407</v>
      </c>
      <c r="H779" s="107">
        <f>SUM(G777:G778)</f>
        <v>0</v>
      </c>
      <c r="I779" s="71"/>
    </row>
    <row r="780" spans="1:9" s="65" customFormat="1">
      <c r="A780" s="94"/>
      <c r="B780" s="95"/>
      <c r="C780" s="95"/>
      <c r="D780" s="95"/>
      <c r="E780" s="95"/>
      <c r="F780"/>
      <c r="G780" s="74"/>
      <c r="H780" s="74"/>
      <c r="I780" s="71"/>
    </row>
    <row r="781" spans="1:9" s="65" customFormat="1">
      <c r="A781" s="96"/>
      <c r="B781" s="97"/>
      <c r="C781" s="98"/>
      <c r="D781" s="98"/>
      <c r="E781" s="98"/>
      <c r="F781"/>
      <c r="G781" s="99" t="s">
        <v>412</v>
      </c>
      <c r="H781" s="115">
        <f>SUM(H766:H779)</f>
        <v>531533.94999999995</v>
      </c>
      <c r="I781" s="71"/>
    </row>
    <row r="782" spans="1:9" s="65" customFormat="1">
      <c r="A782" s="96"/>
      <c r="B782" s="97"/>
      <c r="C782" s="98"/>
      <c r="D782" s="98"/>
      <c r="E782" s="98"/>
      <c r="F782" s="101"/>
      <c r="G782" s="116"/>
      <c r="H782" s="70"/>
      <c r="I782" s="71"/>
    </row>
    <row r="783" spans="1:9" s="65" customFormat="1" ht="15.75" thickBot="1">
      <c r="A783" s="624" t="s">
        <v>441</v>
      </c>
      <c r="B783" s="625"/>
      <c r="C783" s="625"/>
      <c r="D783" s="625"/>
      <c r="E783" s="625"/>
      <c r="F783" s="625"/>
      <c r="G783" s="626"/>
      <c r="H783" s="117">
        <f>+ROUND(H781,0)</f>
        <v>531534</v>
      </c>
      <c r="I783" s="103"/>
    </row>
    <row r="784" spans="1:9" s="65" customFormat="1">
      <c r="A784" s="150"/>
      <c r="B784" s="83"/>
      <c r="C784" s="148"/>
      <c r="D784" s="84"/>
      <c r="E784" s="84"/>
      <c r="F784" s="84"/>
      <c r="G784" s="144"/>
      <c r="H784" s="145"/>
    </row>
    <row r="785" spans="1:9" s="65" customFormat="1" ht="15.75" thickBot="1">
      <c r="A785" s="91"/>
      <c r="B785" s="91"/>
      <c r="C785" s="91"/>
      <c r="D785" s="91"/>
      <c r="E785" s="91"/>
      <c r="G785" s="104"/>
      <c r="H785" s="140"/>
    </row>
    <row r="786" spans="1:9" s="65" customFormat="1">
      <c r="A786" s="627"/>
      <c r="B786" s="629" t="s">
        <v>1194</v>
      </c>
      <c r="C786" s="630"/>
      <c r="D786" s="630"/>
      <c r="E786" s="630"/>
      <c r="F786" s="630"/>
      <c r="G786" s="630"/>
      <c r="H786" s="643"/>
      <c r="I786" s="66" t="s">
        <v>389</v>
      </c>
    </row>
    <row r="787" spans="1:9" s="65" customFormat="1">
      <c r="A787" s="628"/>
      <c r="B787" s="631"/>
      <c r="C787" s="632"/>
      <c r="D787" s="632"/>
      <c r="E787" s="632"/>
      <c r="F787" s="632"/>
      <c r="G787" s="632"/>
      <c r="H787" s="644"/>
      <c r="I787" s="67" t="s">
        <v>432</v>
      </c>
    </row>
    <row r="788" spans="1:9" s="65" customFormat="1">
      <c r="A788" s="68"/>
      <c r="B788" s="69"/>
      <c r="C788" s="69"/>
      <c r="D788" s="69"/>
      <c r="E788" s="69"/>
      <c r="F788" s="70"/>
      <c r="G788" s="70"/>
      <c r="H788" s="70"/>
      <c r="I788" s="71"/>
    </row>
    <row r="789" spans="1:9" s="65" customFormat="1">
      <c r="A789" s="72" t="s">
        <v>390</v>
      </c>
      <c r="B789" s="73"/>
      <c r="C789" s="73"/>
      <c r="D789" s="73"/>
      <c r="E789" s="73"/>
      <c r="F789" s="74"/>
      <c r="G789" s="74"/>
      <c r="H789" s="70"/>
      <c r="I789" s="71"/>
    </row>
    <row r="790" spans="1:9" s="65" customFormat="1">
      <c r="A790" s="75" t="s">
        <v>391</v>
      </c>
      <c r="B790" s="76" t="s">
        <v>392</v>
      </c>
      <c r="C790" s="76" t="s">
        <v>393</v>
      </c>
      <c r="D790" s="76" t="s">
        <v>394</v>
      </c>
      <c r="E790" s="76" t="s">
        <v>395</v>
      </c>
      <c r="F790" s="76" t="s">
        <v>396</v>
      </c>
      <c r="G790" s="76" t="s">
        <v>397</v>
      </c>
      <c r="H790" s="74"/>
      <c r="I790" s="71"/>
    </row>
    <row r="791" spans="1:9" s="65" customFormat="1">
      <c r="A791" s="77" t="s">
        <v>404</v>
      </c>
      <c r="B791" s="78" t="s">
        <v>405</v>
      </c>
      <c r="C791" s="79" t="s">
        <v>406</v>
      </c>
      <c r="D791" s="107">
        <v>1250</v>
      </c>
      <c r="E791" s="79">
        <v>15</v>
      </c>
      <c r="F791" s="79">
        <v>0</v>
      </c>
      <c r="G791" s="107">
        <f>(D791*E791)+((D791*E791)*F791/100)</f>
        <v>18750</v>
      </c>
      <c r="H791" s="74"/>
      <c r="I791" s="71"/>
    </row>
    <row r="792" spans="1:9" s="65" customFormat="1">
      <c r="A792" s="82"/>
      <c r="B792" s="83"/>
      <c r="C792" s="84"/>
      <c r="D792" s="84"/>
      <c r="E792" s="84"/>
      <c r="F792"/>
      <c r="G792" s="93" t="s">
        <v>407</v>
      </c>
      <c r="H792" s="107">
        <f>SUM(G791:G791)</f>
        <v>18750</v>
      </c>
      <c r="I792" s="71"/>
    </row>
    <row r="793" spans="1:9" s="65" customFormat="1">
      <c r="A793" s="72" t="s">
        <v>408</v>
      </c>
      <c r="B793" s="73"/>
      <c r="C793" s="73"/>
      <c r="D793" s="73"/>
      <c r="E793" s="73"/>
      <c r="F793"/>
      <c r="G793" s="74"/>
      <c r="H793" s="108"/>
      <c r="I793" s="71"/>
    </row>
    <row r="794" spans="1:9" s="65" customFormat="1">
      <c r="A794" s="75" t="s">
        <v>391</v>
      </c>
      <c r="B794" s="76" t="s">
        <v>392</v>
      </c>
      <c r="C794" s="76" t="s">
        <v>393</v>
      </c>
      <c r="D794" s="76" t="s">
        <v>394</v>
      </c>
      <c r="E794" s="76" t="s">
        <v>395</v>
      </c>
      <c r="F794" s="76" t="s">
        <v>396</v>
      </c>
      <c r="G794" s="76" t="s">
        <v>397</v>
      </c>
      <c r="H794" s="108"/>
      <c r="I794" s="71"/>
    </row>
    <row r="795" spans="1:9" s="65" customFormat="1" ht="25.5">
      <c r="A795" s="135" t="s">
        <v>501</v>
      </c>
      <c r="B795" s="78" t="s">
        <v>464</v>
      </c>
      <c r="C795" s="127" t="s">
        <v>432</v>
      </c>
      <c r="D795" s="107">
        <f>+H247</f>
        <v>281819</v>
      </c>
      <c r="E795" s="79">
        <v>1</v>
      </c>
      <c r="F795" s="79">
        <v>5</v>
      </c>
      <c r="G795" s="107">
        <f>(D795*E795)+((D795*E795)*F795/100)</f>
        <v>295909.95</v>
      </c>
      <c r="H795" s="108"/>
      <c r="I795" s="71"/>
    </row>
    <row r="796" spans="1:9" s="65" customFormat="1">
      <c r="A796" s="139">
        <v>5000</v>
      </c>
      <c r="B796" s="78" t="s">
        <v>484</v>
      </c>
      <c r="C796" s="127" t="s">
        <v>73</v>
      </c>
      <c r="D796" s="107">
        <v>150000</v>
      </c>
      <c r="E796" s="79">
        <v>0.9</v>
      </c>
      <c r="F796" s="79">
        <v>0</v>
      </c>
      <c r="G796" s="107">
        <f>(D796*E796)+((D796*E796)*F796/100)</f>
        <v>135000</v>
      </c>
      <c r="H796" s="108"/>
      <c r="I796" s="71"/>
    </row>
    <row r="797" spans="1:9" s="65" customFormat="1">
      <c r="A797" s="90"/>
      <c r="B797" s="91"/>
      <c r="C797" s="91"/>
      <c r="D797" s="91"/>
      <c r="E797" s="91"/>
      <c r="F797"/>
      <c r="G797" s="85" t="s">
        <v>407</v>
      </c>
      <c r="H797" s="107">
        <f>SUM(G795:G796)</f>
        <v>430909.95</v>
      </c>
      <c r="I797" s="71"/>
    </row>
    <row r="798" spans="1:9" s="65" customFormat="1">
      <c r="A798" s="72" t="s">
        <v>410</v>
      </c>
      <c r="B798" s="73"/>
      <c r="C798" s="73"/>
      <c r="D798" s="73"/>
      <c r="E798" s="73"/>
      <c r="F798"/>
      <c r="G798" s="74"/>
      <c r="H798" s="108"/>
      <c r="I798" s="71"/>
    </row>
    <row r="799" spans="1:9" s="65" customFormat="1">
      <c r="A799" s="75" t="s">
        <v>391</v>
      </c>
      <c r="B799" s="76" t="s">
        <v>392</v>
      </c>
      <c r="C799" s="76" t="s">
        <v>393</v>
      </c>
      <c r="D799" s="76" t="s">
        <v>394</v>
      </c>
      <c r="E799" s="76" t="s">
        <v>395</v>
      </c>
      <c r="F799" s="76" t="s">
        <v>396</v>
      </c>
      <c r="G799" s="76" t="s">
        <v>397</v>
      </c>
      <c r="H799" s="108"/>
      <c r="I799" s="71"/>
    </row>
    <row r="800" spans="1:9" s="65" customFormat="1">
      <c r="A800" s="125" t="s">
        <v>478</v>
      </c>
      <c r="B800" s="126" t="s">
        <v>479</v>
      </c>
      <c r="C800" s="127" t="s">
        <v>426</v>
      </c>
      <c r="D800" s="107">
        <f>5627*6+10300+15000</f>
        <v>59062</v>
      </c>
      <c r="E800" s="79">
        <v>2.5</v>
      </c>
      <c r="F800" s="79">
        <v>0</v>
      </c>
      <c r="G800" s="107">
        <f>(D800*E800)+((D800*E800)*F800/100)</f>
        <v>147655</v>
      </c>
      <c r="H800" s="108"/>
      <c r="I800" s="149"/>
    </row>
    <row r="801" spans="1:9" s="65" customFormat="1">
      <c r="A801" s="90"/>
      <c r="B801" s="91"/>
      <c r="C801" s="91"/>
      <c r="D801" s="91"/>
      <c r="E801" s="91"/>
      <c r="F801"/>
      <c r="G801" s="93" t="s">
        <v>407</v>
      </c>
      <c r="H801" s="107">
        <f>SUM(G800:G800)</f>
        <v>147655</v>
      </c>
      <c r="I801" s="71"/>
    </row>
    <row r="802" spans="1:9" s="65" customFormat="1">
      <c r="A802" s="72" t="s">
        <v>411</v>
      </c>
      <c r="B802" s="73"/>
      <c r="C802" s="73"/>
      <c r="D802" s="73"/>
      <c r="E802" s="73"/>
      <c r="F802"/>
      <c r="G802" s="74"/>
      <c r="H802" s="108"/>
      <c r="I802" s="71"/>
    </row>
    <row r="803" spans="1:9" s="65" customFormat="1">
      <c r="A803" s="75" t="s">
        <v>391</v>
      </c>
      <c r="B803" s="76" t="s">
        <v>392</v>
      </c>
      <c r="C803" s="76" t="s">
        <v>393</v>
      </c>
      <c r="D803" s="76" t="s">
        <v>394</v>
      </c>
      <c r="E803" s="76" t="s">
        <v>395</v>
      </c>
      <c r="F803" s="76" t="s">
        <v>396</v>
      </c>
      <c r="G803" s="76" t="s">
        <v>397</v>
      </c>
      <c r="H803" s="108"/>
      <c r="I803" s="71"/>
    </row>
    <row r="804" spans="1:9" s="65" customFormat="1">
      <c r="A804" s="87" t="s">
        <v>409</v>
      </c>
      <c r="B804" s="114" t="s">
        <v>409</v>
      </c>
      <c r="C804" s="114" t="s">
        <v>409</v>
      </c>
      <c r="D804" s="114" t="s">
        <v>409</v>
      </c>
      <c r="E804" s="114" t="s">
        <v>409</v>
      </c>
      <c r="F804" s="79" t="s">
        <v>409</v>
      </c>
      <c r="G804" s="89" t="s">
        <v>409</v>
      </c>
      <c r="H804" s="108"/>
      <c r="I804" s="71"/>
    </row>
    <row r="805" spans="1:9" s="65" customFormat="1">
      <c r="A805" s="94"/>
      <c r="B805" s="95"/>
      <c r="C805" s="95"/>
      <c r="D805" s="95"/>
      <c r="E805" s="95"/>
      <c r="F805"/>
      <c r="G805" s="93" t="s">
        <v>407</v>
      </c>
      <c r="H805" s="107">
        <f>SUM(G803:G804)</f>
        <v>0</v>
      </c>
      <c r="I805" s="71"/>
    </row>
    <row r="806" spans="1:9" s="65" customFormat="1">
      <c r="A806" s="94"/>
      <c r="B806" s="95"/>
      <c r="C806" s="95"/>
      <c r="D806" s="95"/>
      <c r="E806" s="95"/>
      <c r="F806"/>
      <c r="G806" s="74"/>
      <c r="H806" s="74"/>
      <c r="I806" s="71"/>
    </row>
    <row r="807" spans="1:9" s="65" customFormat="1">
      <c r="A807" s="96"/>
      <c r="B807" s="97"/>
      <c r="C807" s="98"/>
      <c r="D807" s="98"/>
      <c r="E807" s="98"/>
      <c r="F807"/>
      <c r="G807" s="99" t="s">
        <v>412</v>
      </c>
      <c r="H807" s="115">
        <f>SUM(H792:H805)</f>
        <v>597314.94999999995</v>
      </c>
      <c r="I807" s="71"/>
    </row>
    <row r="808" spans="1:9" s="65" customFormat="1">
      <c r="A808" s="96"/>
      <c r="B808" s="97"/>
      <c r="C808" s="98"/>
      <c r="D808" s="98"/>
      <c r="E808" s="98"/>
      <c r="F808" s="101"/>
      <c r="G808" s="116"/>
      <c r="H808" s="70"/>
      <c r="I808" s="71"/>
    </row>
    <row r="809" spans="1:9" s="65" customFormat="1" ht="15.75" thickBot="1">
      <c r="A809" s="624" t="s">
        <v>441</v>
      </c>
      <c r="B809" s="625"/>
      <c r="C809" s="625"/>
      <c r="D809" s="625"/>
      <c r="E809" s="625"/>
      <c r="F809" s="625"/>
      <c r="G809" s="626"/>
      <c r="H809" s="117">
        <f>+ROUND(H807,0)</f>
        <v>597315</v>
      </c>
      <c r="I809" s="103"/>
    </row>
    <row r="810" spans="1:9" s="65" customFormat="1">
      <c r="A810" s="120"/>
      <c r="B810" s="73"/>
      <c r="C810" s="73"/>
      <c r="D810" s="73"/>
      <c r="E810" s="73"/>
      <c r="G810" s="121"/>
      <c r="H810" s="140"/>
    </row>
    <row r="811" spans="1:9" s="65" customFormat="1" ht="15.75" thickBot="1">
      <c r="A811" s="128"/>
      <c r="B811" s="141"/>
      <c r="C811" s="141"/>
      <c r="D811" s="141"/>
      <c r="E811" s="141"/>
      <c r="F811" s="141"/>
      <c r="G811" s="141"/>
      <c r="H811" s="140"/>
    </row>
    <row r="812" spans="1:9" s="65" customFormat="1">
      <c r="A812" s="627"/>
      <c r="B812" s="629" t="s">
        <v>999</v>
      </c>
      <c r="C812" s="630"/>
      <c r="D812" s="630"/>
      <c r="E812" s="630"/>
      <c r="F812" s="630"/>
      <c r="G812" s="630"/>
      <c r="H812" s="643"/>
      <c r="I812" s="66" t="s">
        <v>389</v>
      </c>
    </row>
    <row r="813" spans="1:9" s="65" customFormat="1">
      <c r="A813" s="628"/>
      <c r="B813" s="631"/>
      <c r="C813" s="632"/>
      <c r="D813" s="632"/>
      <c r="E813" s="632"/>
      <c r="F813" s="632"/>
      <c r="G813" s="632"/>
      <c r="H813" s="644"/>
      <c r="I813" s="67" t="s">
        <v>432</v>
      </c>
    </row>
    <row r="814" spans="1:9" s="65" customFormat="1">
      <c r="A814" s="68"/>
      <c r="B814" s="69"/>
      <c r="C814" s="69"/>
      <c r="D814" s="69"/>
      <c r="E814" s="69"/>
      <c r="F814" s="70"/>
      <c r="G814" s="70"/>
      <c r="H814" s="70"/>
      <c r="I814" s="71"/>
    </row>
    <row r="815" spans="1:9" s="65" customFormat="1">
      <c r="A815" s="72" t="s">
        <v>390</v>
      </c>
      <c r="B815" s="73"/>
      <c r="C815" s="73"/>
      <c r="D815" s="73"/>
      <c r="E815" s="73"/>
      <c r="F815" s="74"/>
      <c r="G815" s="74"/>
      <c r="H815" s="70"/>
      <c r="I815" s="71"/>
    </row>
    <row r="816" spans="1:9" s="65" customFormat="1">
      <c r="A816" s="75" t="s">
        <v>391</v>
      </c>
      <c r="B816" s="76" t="s">
        <v>392</v>
      </c>
      <c r="C816" s="76" t="s">
        <v>393</v>
      </c>
      <c r="D816" s="76" t="s">
        <v>394</v>
      </c>
      <c r="E816" s="76" t="s">
        <v>395</v>
      </c>
      <c r="F816" s="76" t="s">
        <v>396</v>
      </c>
      <c r="G816" s="76" t="s">
        <v>397</v>
      </c>
      <c r="H816" s="74"/>
      <c r="I816" s="71"/>
    </row>
    <row r="817" spans="1:9" s="65" customFormat="1">
      <c r="A817" s="77" t="s">
        <v>404</v>
      </c>
      <c r="B817" s="78" t="s">
        <v>405</v>
      </c>
      <c r="C817" s="79" t="s">
        <v>406</v>
      </c>
      <c r="D817" s="107">
        <v>1250</v>
      </c>
      <c r="E817" s="79">
        <v>25</v>
      </c>
      <c r="F817" s="79">
        <v>0</v>
      </c>
      <c r="G817" s="107">
        <f>(D817*E817)+((D817*E817)*F817/100)</f>
        <v>31250</v>
      </c>
      <c r="H817" s="74"/>
      <c r="I817" s="71"/>
    </row>
    <row r="818" spans="1:9" s="65" customFormat="1">
      <c r="A818" s="82"/>
      <c r="B818" s="83"/>
      <c r="C818" s="84"/>
      <c r="D818" s="84"/>
      <c r="E818" s="84"/>
      <c r="F818"/>
      <c r="G818" s="93" t="s">
        <v>407</v>
      </c>
      <c r="H818" s="107">
        <f>SUM(G817:G817)</f>
        <v>31250</v>
      </c>
      <c r="I818" s="71"/>
    </row>
    <row r="819" spans="1:9" s="65" customFormat="1">
      <c r="A819" s="72" t="s">
        <v>408</v>
      </c>
      <c r="B819" s="73"/>
      <c r="C819" s="73"/>
      <c r="D819" s="73"/>
      <c r="E819" s="73"/>
      <c r="F819"/>
      <c r="G819" s="74"/>
      <c r="H819" s="108"/>
      <c r="I819" s="71"/>
    </row>
    <row r="820" spans="1:9" s="65" customFormat="1">
      <c r="A820" s="75" t="s">
        <v>391</v>
      </c>
      <c r="B820" s="76" t="s">
        <v>392</v>
      </c>
      <c r="C820" s="76" t="s">
        <v>393</v>
      </c>
      <c r="D820" s="76" t="s">
        <v>394</v>
      </c>
      <c r="E820" s="76" t="s">
        <v>395</v>
      </c>
      <c r="F820" s="76" t="s">
        <v>396</v>
      </c>
      <c r="G820" s="76" t="s">
        <v>397</v>
      </c>
      <c r="H820" s="108"/>
      <c r="I820" s="71"/>
    </row>
    <row r="821" spans="1:9" s="65" customFormat="1" ht="25.5">
      <c r="A821" s="135" t="s">
        <v>501</v>
      </c>
      <c r="B821" s="78" t="s">
        <v>464</v>
      </c>
      <c r="C821" s="127" t="s">
        <v>432</v>
      </c>
      <c r="D821" s="107">
        <f>+H247</f>
        <v>281819</v>
      </c>
      <c r="E821" s="79">
        <v>1</v>
      </c>
      <c r="F821" s="79">
        <v>5</v>
      </c>
      <c r="G821" s="107">
        <f>(D821*E821)+((D821*E821)*F821/100)</f>
        <v>295909.95</v>
      </c>
      <c r="H821" s="108"/>
      <c r="I821" s="71"/>
    </row>
    <row r="822" spans="1:9" s="65" customFormat="1">
      <c r="A822" s="139">
        <v>5000</v>
      </c>
      <c r="B822" s="78" t="s">
        <v>484</v>
      </c>
      <c r="C822" s="127" t="s">
        <v>73</v>
      </c>
      <c r="D822" s="107">
        <v>150000</v>
      </c>
      <c r="E822" s="79">
        <v>0.7</v>
      </c>
      <c r="F822" s="79">
        <v>0</v>
      </c>
      <c r="G822" s="107">
        <f>(D822*E822)+((D822*E822)*F822/100)</f>
        <v>105000</v>
      </c>
      <c r="H822" s="108"/>
      <c r="I822" s="71"/>
    </row>
    <row r="823" spans="1:9" s="65" customFormat="1">
      <c r="A823" s="90"/>
      <c r="B823" s="91"/>
      <c r="C823" s="91"/>
      <c r="D823" s="91"/>
      <c r="E823" s="91"/>
      <c r="F823"/>
      <c r="G823" s="85" t="s">
        <v>407</v>
      </c>
      <c r="H823" s="107">
        <f>SUM(G821:G822)</f>
        <v>400909.95</v>
      </c>
      <c r="I823" s="71"/>
    </row>
    <row r="824" spans="1:9" s="65" customFormat="1">
      <c r="A824" s="72" t="s">
        <v>410</v>
      </c>
      <c r="B824" s="73"/>
      <c r="C824" s="73"/>
      <c r="D824" s="73"/>
      <c r="E824" s="73"/>
      <c r="F824"/>
      <c r="G824" s="74"/>
      <c r="H824" s="108"/>
      <c r="I824" s="71"/>
    </row>
    <row r="825" spans="1:9" s="65" customFormat="1">
      <c r="A825" s="75" t="s">
        <v>391</v>
      </c>
      <c r="B825" s="76" t="s">
        <v>392</v>
      </c>
      <c r="C825" s="76" t="s">
        <v>393</v>
      </c>
      <c r="D825" s="76" t="s">
        <v>394</v>
      </c>
      <c r="E825" s="76" t="s">
        <v>395</v>
      </c>
      <c r="F825" s="76" t="s">
        <v>396</v>
      </c>
      <c r="G825" s="76" t="s">
        <v>397</v>
      </c>
      <c r="H825" s="108"/>
      <c r="I825" s="71"/>
    </row>
    <row r="826" spans="1:9" s="65" customFormat="1">
      <c r="A826" s="125" t="s">
        <v>478</v>
      </c>
      <c r="B826" s="126" t="s">
        <v>479</v>
      </c>
      <c r="C826" s="127" t="s">
        <v>426</v>
      </c>
      <c r="D826" s="107">
        <f>5627*6+10300+15000</f>
        <v>59062</v>
      </c>
      <c r="E826" s="79">
        <v>2.5</v>
      </c>
      <c r="F826" s="79">
        <v>0</v>
      </c>
      <c r="G826" s="107">
        <f>(D826*E826)+((D826*E826)*F826/100)</f>
        <v>147655</v>
      </c>
      <c r="H826" s="108"/>
      <c r="I826" s="149"/>
    </row>
    <row r="827" spans="1:9" s="65" customFormat="1">
      <c r="A827" s="90"/>
      <c r="B827" s="91"/>
      <c r="C827" s="91"/>
      <c r="D827" s="91"/>
      <c r="E827" s="91"/>
      <c r="F827"/>
      <c r="G827" s="93" t="s">
        <v>407</v>
      </c>
      <c r="H827" s="107">
        <f>SUM(G826:G826)</f>
        <v>147655</v>
      </c>
      <c r="I827" s="71"/>
    </row>
    <row r="828" spans="1:9" s="65" customFormat="1">
      <c r="A828" s="72" t="s">
        <v>411</v>
      </c>
      <c r="B828" s="73"/>
      <c r="C828" s="73"/>
      <c r="D828" s="73"/>
      <c r="E828" s="73"/>
      <c r="F828"/>
      <c r="G828" s="74"/>
      <c r="H828" s="108"/>
      <c r="I828" s="71"/>
    </row>
    <row r="829" spans="1:9" s="65" customFormat="1">
      <c r="A829" s="75" t="s">
        <v>391</v>
      </c>
      <c r="B829" s="76" t="s">
        <v>392</v>
      </c>
      <c r="C829" s="76" t="s">
        <v>393</v>
      </c>
      <c r="D829" s="76" t="s">
        <v>394</v>
      </c>
      <c r="E829" s="76" t="s">
        <v>395</v>
      </c>
      <c r="F829" s="76" t="s">
        <v>396</v>
      </c>
      <c r="G829" s="76" t="s">
        <v>397</v>
      </c>
      <c r="H829" s="108"/>
      <c r="I829" s="71"/>
    </row>
    <row r="830" spans="1:9" s="65" customFormat="1">
      <c r="A830" s="87" t="s">
        <v>409</v>
      </c>
      <c r="B830" s="114" t="s">
        <v>409</v>
      </c>
      <c r="C830" s="114" t="s">
        <v>409</v>
      </c>
      <c r="D830" s="114" t="s">
        <v>409</v>
      </c>
      <c r="E830" s="114" t="s">
        <v>409</v>
      </c>
      <c r="F830" s="79" t="s">
        <v>409</v>
      </c>
      <c r="G830" s="89" t="s">
        <v>409</v>
      </c>
      <c r="H830" s="108"/>
      <c r="I830" s="71"/>
    </row>
    <row r="831" spans="1:9" s="65" customFormat="1">
      <c r="A831" s="94"/>
      <c r="B831" s="95"/>
      <c r="C831" s="95"/>
      <c r="D831" s="95"/>
      <c r="E831" s="95"/>
      <c r="F831"/>
      <c r="G831" s="93" t="s">
        <v>407</v>
      </c>
      <c r="H831" s="107">
        <f>SUM(G829:G830)</f>
        <v>0</v>
      </c>
      <c r="I831" s="71"/>
    </row>
    <row r="832" spans="1:9" s="65" customFormat="1">
      <c r="A832" s="94"/>
      <c r="B832" s="95"/>
      <c r="C832" s="95"/>
      <c r="D832" s="95"/>
      <c r="E832" s="95"/>
      <c r="F832"/>
      <c r="G832" s="74"/>
      <c r="H832" s="74"/>
      <c r="I832" s="71"/>
    </row>
    <row r="833" spans="1:11" s="65" customFormat="1">
      <c r="A833" s="96"/>
      <c r="B833" s="97"/>
      <c r="C833" s="98"/>
      <c r="D833" s="98"/>
      <c r="E833" s="98"/>
      <c r="F833"/>
      <c r="G833" s="99" t="s">
        <v>412</v>
      </c>
      <c r="H833" s="115">
        <f>SUM(H818:H831)</f>
        <v>579814.94999999995</v>
      </c>
      <c r="I833" s="71"/>
    </row>
    <row r="834" spans="1:11" s="65" customFormat="1">
      <c r="A834" s="96"/>
      <c r="B834" s="97"/>
      <c r="C834" s="98"/>
      <c r="D834" s="98"/>
      <c r="E834" s="98"/>
      <c r="F834" s="101"/>
      <c r="G834" s="116"/>
      <c r="H834" s="70"/>
      <c r="I834" s="71"/>
    </row>
    <row r="835" spans="1:11" s="65" customFormat="1" ht="15.75" thickBot="1">
      <c r="A835" s="624" t="s">
        <v>441</v>
      </c>
      <c r="B835" s="625"/>
      <c r="C835" s="625"/>
      <c r="D835" s="625"/>
      <c r="E835" s="625"/>
      <c r="F835" s="625"/>
      <c r="G835" s="626"/>
      <c r="H835" s="117">
        <f>+ROUND(H833,0)</f>
        <v>579815</v>
      </c>
      <c r="I835" s="103"/>
    </row>
    <row r="836" spans="1:11" s="65" customFormat="1">
      <c r="A836" s="84"/>
      <c r="B836" s="83"/>
      <c r="C836" s="84"/>
      <c r="D836" s="84"/>
      <c r="E836" s="84"/>
      <c r="F836" s="84"/>
      <c r="G836" s="144"/>
      <c r="H836" s="145"/>
    </row>
    <row r="837" spans="1:11" s="65" customFormat="1" ht="15.75" thickBot="1">
      <c r="A837" s="91"/>
      <c r="B837" s="91"/>
      <c r="C837" s="91"/>
      <c r="D837" s="91"/>
      <c r="E837" s="91"/>
      <c r="G837" s="104"/>
      <c r="H837" s="140"/>
    </row>
    <row r="838" spans="1:11" s="65" customFormat="1">
      <c r="A838" s="627"/>
      <c r="B838" s="629" t="s">
        <v>999</v>
      </c>
      <c r="C838" s="630"/>
      <c r="D838" s="630"/>
      <c r="E838" s="630"/>
      <c r="F838" s="630"/>
      <c r="G838" s="630"/>
      <c r="H838" s="643"/>
      <c r="I838" s="66" t="s">
        <v>389</v>
      </c>
    </row>
    <row r="839" spans="1:11" s="65" customFormat="1">
      <c r="A839" s="628"/>
      <c r="B839" s="631"/>
      <c r="C839" s="632"/>
      <c r="D839" s="632"/>
      <c r="E839" s="632"/>
      <c r="F839" s="632"/>
      <c r="G839" s="632"/>
      <c r="H839" s="644"/>
      <c r="I839" s="67" t="s">
        <v>432</v>
      </c>
    </row>
    <row r="840" spans="1:11" s="65" customFormat="1">
      <c r="A840" s="68"/>
      <c r="B840" s="69"/>
      <c r="C840" s="69"/>
      <c r="D840" s="69"/>
      <c r="E840" s="69"/>
      <c r="F840" s="70"/>
      <c r="G840" s="70"/>
      <c r="H840" s="70"/>
      <c r="I840" s="71"/>
      <c r="K840" s="155"/>
    </row>
    <row r="841" spans="1:11" s="65" customFormat="1">
      <c r="A841" s="72" t="s">
        <v>390</v>
      </c>
      <c r="B841" s="73"/>
      <c r="C841" s="73"/>
      <c r="D841" s="73"/>
      <c r="E841" s="73"/>
      <c r="F841" s="74"/>
      <c r="G841" s="74"/>
      <c r="H841" s="70"/>
      <c r="I841" s="71"/>
    </row>
    <row r="842" spans="1:11" s="65" customFormat="1">
      <c r="A842" s="75" t="s">
        <v>391</v>
      </c>
      <c r="B842" s="76" t="s">
        <v>392</v>
      </c>
      <c r="C842" s="76" t="s">
        <v>393</v>
      </c>
      <c r="D842" s="76" t="s">
        <v>394</v>
      </c>
      <c r="E842" s="76" t="s">
        <v>395</v>
      </c>
      <c r="F842" s="76" t="s">
        <v>396</v>
      </c>
      <c r="G842" s="76" t="s">
        <v>397</v>
      </c>
      <c r="H842" s="74"/>
      <c r="I842" s="71"/>
    </row>
    <row r="843" spans="1:11" s="65" customFormat="1">
      <c r="A843" s="77" t="s">
        <v>404</v>
      </c>
      <c r="B843" s="78" t="s">
        <v>405</v>
      </c>
      <c r="C843" s="79" t="s">
        <v>406</v>
      </c>
      <c r="D843" s="107">
        <v>1250</v>
      </c>
      <c r="E843" s="79">
        <v>25</v>
      </c>
      <c r="F843" s="79">
        <v>0</v>
      </c>
      <c r="G843" s="107">
        <f>(D843*E843)+((D843*E843)*F843/100)</f>
        <v>31250</v>
      </c>
      <c r="H843" s="74"/>
      <c r="I843" s="71"/>
      <c r="K843" s="155"/>
    </row>
    <row r="844" spans="1:11" s="65" customFormat="1">
      <c r="A844" s="82"/>
      <c r="B844" s="83"/>
      <c r="C844" s="84"/>
      <c r="D844" s="84"/>
      <c r="E844" s="84"/>
      <c r="F844"/>
      <c r="G844" s="93" t="s">
        <v>407</v>
      </c>
      <c r="H844" s="107">
        <f>SUM(G843:G843)</f>
        <v>31250</v>
      </c>
      <c r="I844" s="71"/>
    </row>
    <row r="845" spans="1:11" s="65" customFormat="1">
      <c r="A845" s="72" t="s">
        <v>408</v>
      </c>
      <c r="B845" s="73"/>
      <c r="C845" s="73"/>
      <c r="D845" s="73"/>
      <c r="E845" s="73"/>
      <c r="F845"/>
      <c r="G845" s="74"/>
      <c r="H845" s="108"/>
      <c r="I845" s="71"/>
    </row>
    <row r="846" spans="1:11" s="65" customFormat="1">
      <c r="A846" s="75" t="s">
        <v>391</v>
      </c>
      <c r="B846" s="76" t="s">
        <v>392</v>
      </c>
      <c r="C846" s="76" t="s">
        <v>393</v>
      </c>
      <c r="D846" s="76" t="s">
        <v>394</v>
      </c>
      <c r="E846" s="76" t="s">
        <v>395</v>
      </c>
      <c r="F846" s="76" t="s">
        <v>396</v>
      </c>
      <c r="G846" s="76" t="s">
        <v>397</v>
      </c>
      <c r="H846" s="108"/>
      <c r="I846" s="71"/>
    </row>
    <row r="847" spans="1:11" s="65" customFormat="1" ht="25.5">
      <c r="A847" s="135" t="s">
        <v>501</v>
      </c>
      <c r="B847" s="78" t="s">
        <v>464</v>
      </c>
      <c r="C847" s="127" t="s">
        <v>432</v>
      </c>
      <c r="D847" s="107">
        <f>+H273</f>
        <v>0</v>
      </c>
      <c r="E847" s="79">
        <v>1</v>
      </c>
      <c r="F847" s="79">
        <v>5</v>
      </c>
      <c r="G847" s="107">
        <f>(D847*E847)+((D847*E847)*F847/100)</f>
        <v>0</v>
      </c>
      <c r="H847" s="108"/>
      <c r="I847" s="71"/>
    </row>
    <row r="848" spans="1:11" s="65" customFormat="1">
      <c r="A848" s="139">
        <v>5000</v>
      </c>
      <c r="B848" s="78" t="s">
        <v>484</v>
      </c>
      <c r="C848" s="127" t="s">
        <v>73</v>
      </c>
      <c r="D848" s="107">
        <v>150000</v>
      </c>
      <c r="E848" s="79">
        <v>0.7</v>
      </c>
      <c r="F848" s="79">
        <v>0</v>
      </c>
      <c r="G848" s="107">
        <f>(D848*E848)+((D848*E848)*F848/100)</f>
        <v>105000</v>
      </c>
      <c r="H848" s="108"/>
      <c r="I848" s="71"/>
    </row>
    <row r="849" spans="1:9" s="65" customFormat="1">
      <c r="A849" s="90"/>
      <c r="B849" s="91"/>
      <c r="C849" s="91"/>
      <c r="D849" s="91"/>
      <c r="E849" s="91"/>
      <c r="F849"/>
      <c r="G849" s="85" t="s">
        <v>407</v>
      </c>
      <c r="H849" s="107">
        <f>SUM(G847:G848)</f>
        <v>105000</v>
      </c>
      <c r="I849" s="71"/>
    </row>
    <row r="850" spans="1:9" s="65" customFormat="1">
      <c r="A850" s="72" t="s">
        <v>410</v>
      </c>
      <c r="B850" s="73"/>
      <c r="C850" s="73"/>
      <c r="D850" s="73"/>
      <c r="E850" s="73"/>
      <c r="F850"/>
      <c r="G850" s="74"/>
      <c r="H850" s="108"/>
      <c r="I850" s="71"/>
    </row>
    <row r="851" spans="1:9" s="65" customFormat="1">
      <c r="A851" s="75" t="s">
        <v>391</v>
      </c>
      <c r="B851" s="76" t="s">
        <v>392</v>
      </c>
      <c r="C851" s="76" t="s">
        <v>393</v>
      </c>
      <c r="D851" s="76" t="s">
        <v>394</v>
      </c>
      <c r="E851" s="76" t="s">
        <v>395</v>
      </c>
      <c r="F851" s="76" t="s">
        <v>396</v>
      </c>
      <c r="G851" s="76" t="s">
        <v>397</v>
      </c>
      <c r="H851" s="108"/>
      <c r="I851" s="71"/>
    </row>
    <row r="852" spans="1:9" s="65" customFormat="1">
      <c r="A852" s="125" t="s">
        <v>478</v>
      </c>
      <c r="B852" s="126" t="s">
        <v>479</v>
      </c>
      <c r="C852" s="127" t="s">
        <v>426</v>
      </c>
      <c r="D852" s="107">
        <f>5627*6+10300+15000</f>
        <v>59062</v>
      </c>
      <c r="E852" s="79">
        <v>2.5</v>
      </c>
      <c r="F852" s="79">
        <v>0</v>
      </c>
      <c r="G852" s="107">
        <f>(D852*E852)+((D852*E852)*F852/100)</f>
        <v>147655</v>
      </c>
      <c r="H852" s="108"/>
      <c r="I852" s="149"/>
    </row>
    <row r="853" spans="1:9" s="65" customFormat="1">
      <c r="A853" s="90"/>
      <c r="B853" s="91"/>
      <c r="C853" s="91"/>
      <c r="D853" s="91"/>
      <c r="E853" s="91"/>
      <c r="F853"/>
      <c r="G853" s="93" t="s">
        <v>407</v>
      </c>
      <c r="H853" s="107">
        <f>SUM(G852:G852)</f>
        <v>147655</v>
      </c>
      <c r="I853" s="71"/>
    </row>
    <row r="854" spans="1:9" s="65" customFormat="1">
      <c r="A854" s="72" t="s">
        <v>411</v>
      </c>
      <c r="B854" s="73"/>
      <c r="C854" s="73"/>
      <c r="D854" s="73"/>
      <c r="E854" s="73"/>
      <c r="F854"/>
      <c r="G854" s="74"/>
      <c r="H854" s="108"/>
      <c r="I854" s="71"/>
    </row>
    <row r="855" spans="1:9" s="65" customFormat="1">
      <c r="A855" s="75" t="s">
        <v>391</v>
      </c>
      <c r="B855" s="76" t="s">
        <v>392</v>
      </c>
      <c r="C855" s="76" t="s">
        <v>393</v>
      </c>
      <c r="D855" s="76" t="s">
        <v>394</v>
      </c>
      <c r="E855" s="76" t="s">
        <v>395</v>
      </c>
      <c r="F855" s="76" t="s">
        <v>396</v>
      </c>
      <c r="G855" s="76" t="s">
        <v>397</v>
      </c>
      <c r="H855" s="108"/>
      <c r="I855" s="71"/>
    </row>
    <row r="856" spans="1:9" s="65" customFormat="1">
      <c r="A856" s="87" t="s">
        <v>409</v>
      </c>
      <c r="B856" s="114" t="s">
        <v>409</v>
      </c>
      <c r="C856" s="114" t="s">
        <v>409</v>
      </c>
      <c r="D856" s="114" t="s">
        <v>409</v>
      </c>
      <c r="E856" s="114" t="s">
        <v>409</v>
      </c>
      <c r="F856" s="79" t="s">
        <v>409</v>
      </c>
      <c r="G856" s="89" t="s">
        <v>409</v>
      </c>
      <c r="H856" s="108"/>
      <c r="I856" s="71"/>
    </row>
    <row r="857" spans="1:9" s="65" customFormat="1">
      <c r="A857" s="94"/>
      <c r="B857" s="95"/>
      <c r="C857" s="95"/>
      <c r="D857" s="95"/>
      <c r="E857" s="95"/>
      <c r="F857"/>
      <c r="G857" s="93" t="s">
        <v>407</v>
      </c>
      <c r="H857" s="107">
        <f>SUM(G855:G856)</f>
        <v>0</v>
      </c>
      <c r="I857" s="71"/>
    </row>
    <row r="858" spans="1:9" s="65" customFormat="1">
      <c r="A858" s="94"/>
      <c r="B858" s="95"/>
      <c r="C858" s="95"/>
      <c r="D858" s="95"/>
      <c r="E858" s="95"/>
      <c r="F858"/>
      <c r="G858" s="74"/>
      <c r="H858" s="74"/>
      <c r="I858" s="71"/>
    </row>
    <row r="859" spans="1:9" s="65" customFormat="1">
      <c r="A859" s="96"/>
      <c r="B859" s="97"/>
      <c r="C859" s="98"/>
      <c r="D859" s="98"/>
      <c r="E859" s="98"/>
      <c r="F859"/>
      <c r="G859" s="99" t="s">
        <v>412</v>
      </c>
      <c r="H859" s="115">
        <f>SUM(H844:H857)</f>
        <v>283905</v>
      </c>
      <c r="I859" s="71"/>
    </row>
    <row r="860" spans="1:9" s="65" customFormat="1">
      <c r="A860" s="96"/>
      <c r="B860" s="97"/>
      <c r="C860" s="98"/>
      <c r="D860" s="98"/>
      <c r="E860" s="98"/>
      <c r="F860" s="101"/>
      <c r="G860" s="116"/>
      <c r="H860" s="70"/>
      <c r="I860" s="71"/>
    </row>
    <row r="861" spans="1:9" s="65" customFormat="1" ht="15.75" thickBot="1">
      <c r="A861" s="624" t="s">
        <v>441</v>
      </c>
      <c r="B861" s="625"/>
      <c r="C861" s="625"/>
      <c r="D861" s="625"/>
      <c r="E861" s="625"/>
      <c r="F861" s="625"/>
      <c r="G861" s="626"/>
      <c r="H861" s="117">
        <f>+ROUND(H859,0)</f>
        <v>283905</v>
      </c>
      <c r="I861" s="103"/>
    </row>
    <row r="862" spans="1:9" s="65" customFormat="1">
      <c r="A862" s="120"/>
      <c r="B862" s="73"/>
      <c r="C862" s="73"/>
      <c r="D862" s="73"/>
      <c r="E862" s="73"/>
      <c r="G862" s="121"/>
      <c r="H862" s="140"/>
    </row>
    <row r="863" spans="1:9" s="65" customFormat="1" ht="15.75" thickBot="1">
      <c r="A863" s="128"/>
      <c r="B863" s="141"/>
      <c r="C863" s="141"/>
      <c r="D863" s="141"/>
      <c r="E863" s="141"/>
      <c r="F863" s="141"/>
      <c r="G863" s="141"/>
      <c r="H863" s="140"/>
    </row>
    <row r="864" spans="1:9" s="65" customFormat="1">
      <c r="A864" s="627"/>
      <c r="B864" s="629" t="s">
        <v>961</v>
      </c>
      <c r="C864" s="630"/>
      <c r="D864" s="630"/>
      <c r="E864" s="630"/>
      <c r="F864" s="630"/>
      <c r="G864" s="630"/>
      <c r="H864" s="643"/>
      <c r="I864" s="66" t="s">
        <v>389</v>
      </c>
    </row>
    <row r="865" spans="1:9" s="65" customFormat="1">
      <c r="A865" s="628"/>
      <c r="B865" s="631"/>
      <c r="C865" s="632"/>
      <c r="D865" s="632"/>
      <c r="E865" s="632"/>
      <c r="F865" s="632"/>
      <c r="G865" s="632"/>
      <c r="H865" s="644"/>
      <c r="I865" s="67" t="s">
        <v>7</v>
      </c>
    </row>
    <row r="866" spans="1:9" s="65" customFormat="1">
      <c r="A866" s="68"/>
      <c r="B866" s="69"/>
      <c r="C866" s="69"/>
      <c r="D866" s="69"/>
      <c r="E866" s="69"/>
      <c r="F866" s="70"/>
      <c r="G866" s="70"/>
      <c r="H866" s="70"/>
      <c r="I866" s="71"/>
    </row>
    <row r="867" spans="1:9" s="65" customFormat="1">
      <c r="A867" s="72" t="s">
        <v>390</v>
      </c>
      <c r="B867" s="73"/>
      <c r="C867" s="73"/>
      <c r="D867" s="73"/>
      <c r="E867" s="73"/>
      <c r="F867" s="74"/>
      <c r="G867" s="74"/>
      <c r="H867" s="70"/>
      <c r="I867" s="71"/>
    </row>
    <row r="868" spans="1:9" s="65" customFormat="1">
      <c r="A868" s="75" t="s">
        <v>391</v>
      </c>
      <c r="B868" s="76" t="s">
        <v>392</v>
      </c>
      <c r="C868" s="76" t="s">
        <v>393</v>
      </c>
      <c r="D868" s="76" t="s">
        <v>394</v>
      </c>
      <c r="E868" s="76" t="s">
        <v>395</v>
      </c>
      <c r="F868" s="76" t="s">
        <v>396</v>
      </c>
      <c r="G868" s="76" t="s">
        <v>397</v>
      </c>
      <c r="H868" s="74"/>
      <c r="I868" s="71"/>
    </row>
    <row r="869" spans="1:9" s="65" customFormat="1">
      <c r="A869" s="77" t="s">
        <v>404</v>
      </c>
      <c r="B869" s="78" t="s">
        <v>405</v>
      </c>
      <c r="C869" s="79" t="s">
        <v>406</v>
      </c>
      <c r="D869" s="107">
        <v>1250</v>
      </c>
      <c r="E869" s="79">
        <v>20</v>
      </c>
      <c r="F869" s="79">
        <v>0</v>
      </c>
      <c r="G869" s="107">
        <f>(D869*E869)+((D869*E869)*F869/100)</f>
        <v>25000</v>
      </c>
      <c r="H869" s="74"/>
      <c r="I869" s="71"/>
    </row>
    <row r="870" spans="1:9" s="65" customFormat="1">
      <c r="A870" s="82"/>
      <c r="B870" s="83"/>
      <c r="C870" s="84"/>
      <c r="D870" s="84"/>
      <c r="E870" s="84"/>
      <c r="F870"/>
      <c r="G870" s="93" t="s">
        <v>407</v>
      </c>
      <c r="H870" s="107">
        <f>SUM(G869:G869)</f>
        <v>25000</v>
      </c>
      <c r="I870" s="71"/>
    </row>
    <row r="871" spans="1:9" s="65" customFormat="1">
      <c r="A871" s="72" t="s">
        <v>408</v>
      </c>
      <c r="B871" s="73"/>
      <c r="C871" s="73"/>
      <c r="D871" s="73"/>
      <c r="E871" s="73"/>
      <c r="F871"/>
      <c r="G871" s="74"/>
      <c r="H871" s="108"/>
      <c r="I871" s="71"/>
    </row>
    <row r="872" spans="1:9" s="65" customFormat="1">
      <c r="A872" s="75" t="s">
        <v>391</v>
      </c>
      <c r="B872" s="76" t="s">
        <v>392</v>
      </c>
      <c r="C872" s="76" t="s">
        <v>393</v>
      </c>
      <c r="D872" s="76" t="s">
        <v>394</v>
      </c>
      <c r="E872" s="76" t="s">
        <v>395</v>
      </c>
      <c r="F872" s="76" t="s">
        <v>396</v>
      </c>
      <c r="G872" s="76" t="s">
        <v>397</v>
      </c>
      <c r="H872" s="108"/>
      <c r="I872" s="71"/>
    </row>
    <row r="873" spans="1:9" s="65" customFormat="1" ht="25.5">
      <c r="A873" s="135" t="s">
        <v>501</v>
      </c>
      <c r="B873" s="78" t="s">
        <v>464</v>
      </c>
      <c r="C873" s="127" t="s">
        <v>432</v>
      </c>
      <c r="D873" s="107">
        <f>+H247</f>
        <v>281819</v>
      </c>
      <c r="E873" s="79">
        <v>3.4</v>
      </c>
      <c r="F873" s="79">
        <v>5</v>
      </c>
      <c r="G873" s="107">
        <f>(D873*E873)+((D873*E873)*F873/100)</f>
        <v>1006093.83</v>
      </c>
      <c r="H873" s="108"/>
      <c r="I873" s="71"/>
    </row>
    <row r="874" spans="1:9" s="65" customFormat="1">
      <c r="A874" s="139">
        <v>5000</v>
      </c>
      <c r="B874" s="78" t="s">
        <v>484</v>
      </c>
      <c r="C874" s="127" t="s">
        <v>73</v>
      </c>
      <c r="D874" s="107">
        <v>150000</v>
      </c>
      <c r="E874" s="79">
        <v>0.7</v>
      </c>
      <c r="F874" s="79">
        <v>0</v>
      </c>
      <c r="G874" s="107">
        <f>(D874*E874)+((D874*E874)*F874/100)</f>
        <v>105000</v>
      </c>
      <c r="H874" s="108"/>
      <c r="I874" s="71"/>
    </row>
    <row r="875" spans="1:9" s="65" customFormat="1">
      <c r="A875" s="139"/>
      <c r="B875" s="78" t="s">
        <v>1144</v>
      </c>
      <c r="C875" s="127" t="s">
        <v>6</v>
      </c>
      <c r="D875" s="107">
        <v>3201</v>
      </c>
      <c r="E875" s="79">
        <f>+E873*100</f>
        <v>340</v>
      </c>
      <c r="F875" s="79"/>
      <c r="G875" s="107">
        <f>(D875*E875)+((D875*E875)*F875/100)</f>
        <v>1088340</v>
      </c>
      <c r="H875" s="108"/>
      <c r="I875" s="71"/>
    </row>
    <row r="876" spans="1:9" s="65" customFormat="1">
      <c r="A876" s="90"/>
      <c r="B876" s="91"/>
      <c r="C876" s="91"/>
      <c r="D876" s="91"/>
      <c r="E876" s="91"/>
      <c r="F876"/>
      <c r="G876" s="85" t="s">
        <v>407</v>
      </c>
      <c r="H876" s="107">
        <f>SUM(G873:G875)</f>
        <v>2199433.83</v>
      </c>
      <c r="I876" s="71"/>
    </row>
    <row r="877" spans="1:9" s="65" customFormat="1">
      <c r="A877" s="72" t="s">
        <v>410</v>
      </c>
      <c r="B877" s="73"/>
      <c r="C877" s="73"/>
      <c r="D877" s="73"/>
      <c r="E877" s="73"/>
      <c r="F877"/>
      <c r="G877" s="74"/>
      <c r="H877" s="108"/>
      <c r="I877" s="71"/>
    </row>
    <row r="878" spans="1:9" s="65" customFormat="1">
      <c r="A878" s="75" t="s">
        <v>391</v>
      </c>
      <c r="B878" s="76" t="s">
        <v>392</v>
      </c>
      <c r="C878" s="76" t="s">
        <v>393</v>
      </c>
      <c r="D878" s="76" t="s">
        <v>394</v>
      </c>
      <c r="E878" s="76" t="s">
        <v>395</v>
      </c>
      <c r="F878" s="76" t="s">
        <v>396</v>
      </c>
      <c r="G878" s="76" t="s">
        <v>397</v>
      </c>
      <c r="H878" s="108"/>
      <c r="I878" s="71"/>
    </row>
    <row r="879" spans="1:9" s="65" customFormat="1">
      <c r="A879" s="125" t="s">
        <v>478</v>
      </c>
      <c r="B879" s="126" t="s">
        <v>479</v>
      </c>
      <c r="C879" s="127" t="s">
        <v>426</v>
      </c>
      <c r="D879" s="107">
        <f>5627*6+10300+15000</f>
        <v>59062</v>
      </c>
      <c r="E879" s="79">
        <v>2.5</v>
      </c>
      <c r="F879" s="79">
        <v>0</v>
      </c>
      <c r="G879" s="107">
        <f>(D879*E879)+((D879*E879)*F879/100)</f>
        <v>147655</v>
      </c>
      <c r="H879" s="108"/>
      <c r="I879" s="149"/>
    </row>
    <row r="880" spans="1:9" s="65" customFormat="1">
      <c r="A880" s="90"/>
      <c r="B880" s="91"/>
      <c r="C880" s="91"/>
      <c r="D880" s="91"/>
      <c r="E880" s="91"/>
      <c r="F880"/>
      <c r="G880" s="93" t="s">
        <v>407</v>
      </c>
      <c r="H880" s="107">
        <f>SUM(G879:G879)</f>
        <v>147655</v>
      </c>
      <c r="I880" s="71"/>
    </row>
    <row r="881" spans="1:9" s="65" customFormat="1">
      <c r="A881" s="72" t="s">
        <v>411</v>
      </c>
      <c r="B881" s="73"/>
      <c r="C881" s="73"/>
      <c r="D881" s="73"/>
      <c r="E881" s="73"/>
      <c r="F881"/>
      <c r="G881" s="74"/>
      <c r="H881" s="108"/>
      <c r="I881" s="71"/>
    </row>
    <row r="882" spans="1:9" s="65" customFormat="1">
      <c r="A882" s="75" t="s">
        <v>391</v>
      </c>
      <c r="B882" s="76" t="s">
        <v>392</v>
      </c>
      <c r="C882" s="76" t="s">
        <v>393</v>
      </c>
      <c r="D882" s="76" t="s">
        <v>394</v>
      </c>
      <c r="E882" s="76" t="s">
        <v>395</v>
      </c>
      <c r="F882" s="76" t="s">
        <v>396</v>
      </c>
      <c r="G882" s="76" t="s">
        <v>397</v>
      </c>
      <c r="H882" s="108"/>
      <c r="I882" s="71"/>
    </row>
    <row r="883" spans="1:9" s="65" customFormat="1">
      <c r="A883" s="87" t="s">
        <v>409</v>
      </c>
      <c r="B883" s="114" t="s">
        <v>409</v>
      </c>
      <c r="C883" s="114" t="s">
        <v>409</v>
      </c>
      <c r="D883" s="114" t="s">
        <v>409</v>
      </c>
      <c r="E883" s="114" t="s">
        <v>409</v>
      </c>
      <c r="F883" s="79" t="s">
        <v>409</v>
      </c>
      <c r="G883" s="89" t="s">
        <v>409</v>
      </c>
      <c r="H883" s="108"/>
      <c r="I883" s="71"/>
    </row>
    <row r="884" spans="1:9" s="65" customFormat="1">
      <c r="A884" s="94"/>
      <c r="B884" s="95"/>
      <c r="C884" s="95"/>
      <c r="D884" s="95"/>
      <c r="E884" s="95"/>
      <c r="F884"/>
      <c r="G884" s="93" t="s">
        <v>407</v>
      </c>
      <c r="H884" s="107">
        <f>SUM(G882:G883)</f>
        <v>0</v>
      </c>
      <c r="I884" s="71"/>
    </row>
    <row r="885" spans="1:9" s="65" customFormat="1">
      <c r="A885" s="94"/>
      <c r="B885" s="95"/>
      <c r="C885" s="95"/>
      <c r="D885" s="95"/>
      <c r="E885" s="95"/>
      <c r="F885"/>
      <c r="G885" s="74"/>
      <c r="H885" s="74"/>
      <c r="I885" s="71"/>
    </row>
    <row r="886" spans="1:9" s="65" customFormat="1">
      <c r="A886" s="96"/>
      <c r="B886" s="97"/>
      <c r="C886" s="98"/>
      <c r="D886" s="98"/>
      <c r="E886" s="98"/>
      <c r="F886"/>
      <c r="G886" s="99" t="s">
        <v>412</v>
      </c>
      <c r="H886" s="115">
        <f>SUM(H870:H884)</f>
        <v>2372088.83</v>
      </c>
      <c r="I886" s="71"/>
    </row>
    <row r="887" spans="1:9" s="65" customFormat="1">
      <c r="A887" s="96"/>
      <c r="B887" s="97"/>
      <c r="C887" s="98"/>
      <c r="D887" s="98"/>
      <c r="E887" s="98"/>
      <c r="F887" s="101"/>
      <c r="G887" s="116"/>
      <c r="H887" s="70"/>
      <c r="I887" s="71"/>
    </row>
    <row r="888" spans="1:9" s="65" customFormat="1" ht="15.75" thickBot="1">
      <c r="A888" s="624" t="s">
        <v>502</v>
      </c>
      <c r="B888" s="625"/>
      <c r="C888" s="625"/>
      <c r="D888" s="625"/>
      <c r="E888" s="625"/>
      <c r="F888" s="625"/>
      <c r="G888" s="626"/>
      <c r="H888" s="117">
        <f>+ROUND(H886,0)</f>
        <v>2372089</v>
      </c>
      <c r="I888" s="103"/>
    </row>
    <row r="889" spans="1:9" s="65" customFormat="1">
      <c r="A889" s="142"/>
      <c r="B889" s="143"/>
      <c r="C889" s="143"/>
      <c r="D889" s="143"/>
      <c r="E889" s="143"/>
      <c r="F889" s="84"/>
      <c r="G889" s="144"/>
      <c r="H889" s="145"/>
    </row>
    <row r="890" spans="1:9" s="65" customFormat="1" ht="15.75" thickBot="1">
      <c r="A890" s="123"/>
      <c r="B890" s="95"/>
      <c r="C890" s="95"/>
      <c r="D890" s="95"/>
      <c r="E890" s="95"/>
      <c r="G890" s="104"/>
      <c r="H890" s="121"/>
    </row>
    <row r="891" spans="1:9" s="65" customFormat="1">
      <c r="A891" s="627"/>
      <c r="B891" s="629" t="s">
        <v>962</v>
      </c>
      <c r="C891" s="630"/>
      <c r="D891" s="630"/>
      <c r="E891" s="630"/>
      <c r="F891" s="630"/>
      <c r="G891" s="630"/>
      <c r="H891" s="643"/>
      <c r="I891" s="66" t="s">
        <v>389</v>
      </c>
    </row>
    <row r="892" spans="1:9" s="65" customFormat="1">
      <c r="A892" s="628"/>
      <c r="B892" s="631"/>
      <c r="C892" s="632"/>
      <c r="D892" s="632"/>
      <c r="E892" s="632"/>
      <c r="F892" s="632"/>
      <c r="G892" s="632"/>
      <c r="H892" s="644"/>
      <c r="I892" s="67" t="s">
        <v>7</v>
      </c>
    </row>
    <row r="893" spans="1:9" s="65" customFormat="1">
      <c r="A893" s="68"/>
      <c r="B893" s="69"/>
      <c r="C893" s="69"/>
      <c r="D893" s="69"/>
      <c r="E893" s="69"/>
      <c r="F893" s="70"/>
      <c r="G893" s="70"/>
      <c r="H893" s="70"/>
      <c r="I893" s="71"/>
    </row>
    <row r="894" spans="1:9" s="65" customFormat="1">
      <c r="A894" s="72" t="s">
        <v>390</v>
      </c>
      <c r="B894" s="73"/>
      <c r="C894" s="73"/>
      <c r="D894" s="73"/>
      <c r="E894" s="73"/>
      <c r="F894" s="74"/>
      <c r="G894" s="74"/>
      <c r="H894" s="70"/>
      <c r="I894" s="71"/>
    </row>
    <row r="895" spans="1:9" s="65" customFormat="1">
      <c r="A895" s="75" t="s">
        <v>391</v>
      </c>
      <c r="B895" s="76" t="s">
        <v>392</v>
      </c>
      <c r="C895" s="76" t="s">
        <v>393</v>
      </c>
      <c r="D895" s="76" t="s">
        <v>394</v>
      </c>
      <c r="E895" s="76" t="s">
        <v>395</v>
      </c>
      <c r="F895" s="76" t="s">
        <v>396</v>
      </c>
      <c r="G895" s="76" t="s">
        <v>397</v>
      </c>
      <c r="H895" s="74"/>
      <c r="I895" s="71"/>
    </row>
    <row r="896" spans="1:9" s="65" customFormat="1">
      <c r="A896" s="77" t="s">
        <v>404</v>
      </c>
      <c r="B896" s="78" t="s">
        <v>405</v>
      </c>
      <c r="C896" s="79" t="s">
        <v>406</v>
      </c>
      <c r="D896" s="107">
        <v>1250</v>
      </c>
      <c r="E896" s="79">
        <v>15</v>
      </c>
      <c r="F896" s="79">
        <v>0</v>
      </c>
      <c r="G896" s="107">
        <f>(D896*E896)+((D896*E896)*F896/100)</f>
        <v>18750</v>
      </c>
      <c r="H896" s="74"/>
      <c r="I896" s="71"/>
    </row>
    <row r="897" spans="1:9" s="65" customFormat="1">
      <c r="A897" s="82"/>
      <c r="B897" s="83"/>
      <c r="C897" s="84"/>
      <c r="D897" s="84"/>
      <c r="E897" s="84"/>
      <c r="F897"/>
      <c r="G897" s="93" t="s">
        <v>407</v>
      </c>
      <c r="H897" s="107">
        <f>SUM(G896:G896)</f>
        <v>18750</v>
      </c>
      <c r="I897" s="71"/>
    </row>
    <row r="898" spans="1:9" s="65" customFormat="1">
      <c r="A898" s="72" t="s">
        <v>408</v>
      </c>
      <c r="B898" s="73"/>
      <c r="C898" s="73"/>
      <c r="D898" s="73"/>
      <c r="E898" s="73"/>
      <c r="F898"/>
      <c r="G898" s="74"/>
      <c r="H898" s="108"/>
      <c r="I898" s="71"/>
    </row>
    <row r="899" spans="1:9" s="65" customFormat="1">
      <c r="A899" s="75" t="s">
        <v>391</v>
      </c>
      <c r="B899" s="76" t="s">
        <v>392</v>
      </c>
      <c r="C899" s="76" t="s">
        <v>393</v>
      </c>
      <c r="D899" s="76" t="s">
        <v>394</v>
      </c>
      <c r="E899" s="76" t="s">
        <v>395</v>
      </c>
      <c r="F899" s="76" t="s">
        <v>396</v>
      </c>
      <c r="G899" s="76" t="s">
        <v>397</v>
      </c>
      <c r="H899" s="108"/>
      <c r="I899" s="71"/>
    </row>
    <row r="900" spans="1:9" s="65" customFormat="1" ht="25.5">
      <c r="A900" s="135" t="s">
        <v>501</v>
      </c>
      <c r="B900" s="78" t="s">
        <v>464</v>
      </c>
      <c r="C900" s="127" t="s">
        <v>432</v>
      </c>
      <c r="D900" s="107">
        <f>+H247</f>
        <v>281819</v>
      </c>
      <c r="E900" s="79">
        <v>1</v>
      </c>
      <c r="F900" s="79">
        <v>5</v>
      </c>
      <c r="G900" s="107">
        <f>(D900*E900)+((D900*E900)*F900/100)</f>
        <v>295909.95</v>
      </c>
      <c r="H900" s="108"/>
      <c r="I900" s="71"/>
    </row>
    <row r="901" spans="1:9" s="65" customFormat="1">
      <c r="A901" s="139">
        <v>5000</v>
      </c>
      <c r="B901" s="78" t="s">
        <v>484</v>
      </c>
      <c r="C901" s="127" t="s">
        <v>73</v>
      </c>
      <c r="D901" s="107">
        <v>150000</v>
      </c>
      <c r="E901" s="79">
        <v>0.6</v>
      </c>
      <c r="F901" s="79">
        <v>0</v>
      </c>
      <c r="G901" s="107">
        <f>(D901*E901)+((D901*E901)*F901/100)</f>
        <v>90000</v>
      </c>
      <c r="H901" s="108"/>
      <c r="I901" s="71"/>
    </row>
    <row r="902" spans="1:9" s="65" customFormat="1">
      <c r="A902" s="139"/>
      <c r="B902" s="78" t="s">
        <v>1144</v>
      </c>
      <c r="C902" s="127" t="s">
        <v>6</v>
      </c>
      <c r="D902" s="107">
        <v>3201</v>
      </c>
      <c r="E902" s="79">
        <f>+E900*100</f>
        <v>100</v>
      </c>
      <c r="F902" s="79"/>
      <c r="G902" s="107">
        <f>(D902*E902)+((D902*E902)*F902/100)</f>
        <v>320100</v>
      </c>
      <c r="H902" s="108"/>
      <c r="I902" s="71"/>
    </row>
    <row r="903" spans="1:9" s="65" customFormat="1">
      <c r="A903" s="90"/>
      <c r="B903" s="91"/>
      <c r="C903" s="91"/>
      <c r="D903" s="91"/>
      <c r="E903" s="91"/>
      <c r="F903"/>
      <c r="G903" s="85" t="s">
        <v>407</v>
      </c>
      <c r="H903" s="107">
        <f>SUM(G900:G902)</f>
        <v>706009.95</v>
      </c>
      <c r="I903" s="71"/>
    </row>
    <row r="904" spans="1:9" s="65" customFormat="1">
      <c r="A904" s="72" t="s">
        <v>410</v>
      </c>
      <c r="B904" s="73"/>
      <c r="C904" s="73"/>
      <c r="D904" s="73"/>
      <c r="E904" s="73"/>
      <c r="F904"/>
      <c r="G904" s="74"/>
      <c r="H904" s="108"/>
      <c r="I904" s="71"/>
    </row>
    <row r="905" spans="1:9" s="65" customFormat="1">
      <c r="A905" s="75" t="s">
        <v>391</v>
      </c>
      <c r="B905" s="76" t="s">
        <v>392</v>
      </c>
      <c r="C905" s="76" t="s">
        <v>393</v>
      </c>
      <c r="D905" s="76" t="s">
        <v>394</v>
      </c>
      <c r="E905" s="76" t="s">
        <v>395</v>
      </c>
      <c r="F905" s="76" t="s">
        <v>396</v>
      </c>
      <c r="G905" s="76" t="s">
        <v>397</v>
      </c>
      <c r="H905" s="108"/>
      <c r="I905" s="71"/>
    </row>
    <row r="906" spans="1:9" s="65" customFormat="1">
      <c r="A906" s="125" t="s">
        <v>478</v>
      </c>
      <c r="B906" s="126" t="s">
        <v>479</v>
      </c>
      <c r="C906" s="127" t="s">
        <v>426</v>
      </c>
      <c r="D906" s="107">
        <f>5627*6+10300+15000</f>
        <v>59062</v>
      </c>
      <c r="E906" s="79">
        <v>2.2000000000000002</v>
      </c>
      <c r="F906" s="79">
        <v>0</v>
      </c>
      <c r="G906" s="107">
        <f>(D906*E906)+((D906*E906)*F906/100)</f>
        <v>129936.40000000001</v>
      </c>
      <c r="H906" s="108"/>
      <c r="I906" s="149"/>
    </row>
    <row r="907" spans="1:9" s="65" customFormat="1">
      <c r="A907" s="90"/>
      <c r="B907" s="91"/>
      <c r="C907" s="91"/>
      <c r="D907" s="91"/>
      <c r="E907" s="91"/>
      <c r="F907"/>
      <c r="G907" s="93" t="s">
        <v>407</v>
      </c>
      <c r="H907" s="107">
        <f>SUM(G906:G906)</f>
        <v>129936.40000000001</v>
      </c>
      <c r="I907" s="71"/>
    </row>
    <row r="908" spans="1:9" s="65" customFormat="1">
      <c r="A908" s="72" t="s">
        <v>411</v>
      </c>
      <c r="B908" s="73"/>
      <c r="C908" s="73"/>
      <c r="D908" s="73"/>
      <c r="E908" s="73"/>
      <c r="F908"/>
      <c r="G908" s="74"/>
      <c r="H908" s="108"/>
      <c r="I908" s="71"/>
    </row>
    <row r="909" spans="1:9" s="65" customFormat="1">
      <c r="A909" s="75" t="s">
        <v>391</v>
      </c>
      <c r="B909" s="76" t="s">
        <v>392</v>
      </c>
      <c r="C909" s="76" t="s">
        <v>393</v>
      </c>
      <c r="D909" s="76" t="s">
        <v>394</v>
      </c>
      <c r="E909" s="76" t="s">
        <v>395</v>
      </c>
      <c r="F909" s="76" t="s">
        <v>396</v>
      </c>
      <c r="G909" s="76" t="s">
        <v>397</v>
      </c>
      <c r="H909" s="108"/>
      <c r="I909" s="71"/>
    </row>
    <row r="910" spans="1:9" s="65" customFormat="1">
      <c r="A910" s="87" t="s">
        <v>409</v>
      </c>
      <c r="B910" s="114" t="s">
        <v>409</v>
      </c>
      <c r="C910" s="114" t="s">
        <v>409</v>
      </c>
      <c r="D910" s="114" t="s">
        <v>409</v>
      </c>
      <c r="E910" s="114" t="s">
        <v>409</v>
      </c>
      <c r="F910" s="79" t="s">
        <v>409</v>
      </c>
      <c r="G910" s="89" t="s">
        <v>409</v>
      </c>
      <c r="H910" s="108"/>
      <c r="I910" s="71"/>
    </row>
    <row r="911" spans="1:9" s="65" customFormat="1">
      <c r="A911" s="94"/>
      <c r="B911" s="95"/>
      <c r="C911" s="95"/>
      <c r="D911" s="95"/>
      <c r="E911" s="95"/>
      <c r="F911"/>
      <c r="G911" s="93" t="s">
        <v>407</v>
      </c>
      <c r="H911" s="107">
        <f>SUM(G909:G910)</f>
        <v>0</v>
      </c>
      <c r="I911" s="71"/>
    </row>
    <row r="912" spans="1:9" s="65" customFormat="1">
      <c r="A912" s="94"/>
      <c r="B912" s="95"/>
      <c r="C912" s="95"/>
      <c r="D912" s="95"/>
      <c r="E912" s="95"/>
      <c r="F912"/>
      <c r="G912" s="74"/>
      <c r="H912" s="74"/>
      <c r="I912" s="71"/>
    </row>
    <row r="913" spans="1:9" s="65" customFormat="1">
      <c r="A913" s="96"/>
      <c r="B913" s="97"/>
      <c r="C913" s="98"/>
      <c r="D913" s="98"/>
      <c r="E913" s="98"/>
      <c r="F913"/>
      <c r="G913" s="99" t="s">
        <v>412</v>
      </c>
      <c r="H913" s="115">
        <f>SUM(H897:H911)</f>
        <v>854696.35</v>
      </c>
      <c r="I913" s="71"/>
    </row>
    <row r="914" spans="1:9" s="65" customFormat="1">
      <c r="A914" s="96"/>
      <c r="B914" s="97"/>
      <c r="C914" s="98"/>
      <c r="D914" s="98"/>
      <c r="E914" s="98"/>
      <c r="F914" s="101"/>
      <c r="G914" s="116"/>
      <c r="H914" s="70"/>
      <c r="I914" s="71"/>
    </row>
    <row r="915" spans="1:9" s="65" customFormat="1" ht="15.75" thickBot="1">
      <c r="A915" s="624" t="s">
        <v>502</v>
      </c>
      <c r="B915" s="625"/>
      <c r="C915" s="625"/>
      <c r="D915" s="625"/>
      <c r="E915" s="625"/>
      <c r="F915" s="625"/>
      <c r="G915" s="626"/>
      <c r="H915" s="117">
        <f>+ROUND(H913,0)</f>
        <v>854696</v>
      </c>
      <c r="I915" s="103"/>
    </row>
    <row r="916" spans="1:9" s="65" customFormat="1" ht="15.75" thickBot="1">
      <c r="A916" s="128"/>
      <c r="B916" s="141"/>
      <c r="C916" s="141"/>
      <c r="D916" s="141"/>
      <c r="E916" s="141"/>
      <c r="F916" s="141"/>
      <c r="G916" s="141"/>
      <c r="H916" s="140"/>
    </row>
    <row r="917" spans="1:9" s="65" customFormat="1" ht="38.25" customHeight="1">
      <c r="A917" s="627"/>
      <c r="B917" s="634" t="s">
        <v>1007</v>
      </c>
      <c r="C917" s="635"/>
      <c r="D917" s="635"/>
      <c r="E917" s="635"/>
      <c r="F917" s="635"/>
      <c r="G917" s="635"/>
      <c r="H917" s="636"/>
      <c r="I917" s="66" t="s">
        <v>389</v>
      </c>
    </row>
    <row r="918" spans="1:9" s="65" customFormat="1">
      <c r="A918" s="628"/>
      <c r="B918" s="637"/>
      <c r="C918" s="638"/>
      <c r="D918" s="638"/>
      <c r="E918" s="638"/>
      <c r="F918" s="638"/>
      <c r="G918" s="638"/>
      <c r="H918" s="639"/>
      <c r="I918" s="67" t="s">
        <v>7</v>
      </c>
    </row>
    <row r="919" spans="1:9" s="65" customFormat="1">
      <c r="A919" s="68"/>
      <c r="B919" s="69"/>
      <c r="C919" s="69"/>
      <c r="D919" s="69"/>
      <c r="E919" s="69"/>
      <c r="F919" s="70"/>
      <c r="G919" s="70"/>
      <c r="H919" s="70"/>
      <c r="I919" s="71"/>
    </row>
    <row r="920" spans="1:9" s="65" customFormat="1">
      <c r="A920" s="72" t="s">
        <v>390</v>
      </c>
      <c r="B920" s="73"/>
      <c r="C920" s="73"/>
      <c r="D920" s="73"/>
      <c r="E920" s="73"/>
      <c r="F920" s="74"/>
      <c r="G920" s="74"/>
      <c r="H920" s="70"/>
      <c r="I920" s="71"/>
    </row>
    <row r="921" spans="1:9" s="65" customFormat="1">
      <c r="A921" s="75" t="s">
        <v>391</v>
      </c>
      <c r="B921" s="76" t="s">
        <v>392</v>
      </c>
      <c r="C921" s="76" t="s">
        <v>393</v>
      </c>
      <c r="D921" s="76" t="s">
        <v>394</v>
      </c>
      <c r="E921" s="76" t="s">
        <v>395</v>
      </c>
      <c r="F921" s="76" t="s">
        <v>396</v>
      </c>
      <c r="G921" s="76" t="s">
        <v>397</v>
      </c>
      <c r="H921" s="74"/>
      <c r="I921" s="71"/>
    </row>
    <row r="922" spans="1:9" s="65" customFormat="1">
      <c r="A922" s="77" t="s">
        <v>404</v>
      </c>
      <c r="B922" s="78" t="s">
        <v>405</v>
      </c>
      <c r="C922" s="79" t="s">
        <v>406</v>
      </c>
      <c r="D922" s="107">
        <v>1250</v>
      </c>
      <c r="E922" s="79">
        <v>12</v>
      </c>
      <c r="F922" s="79">
        <v>0</v>
      </c>
      <c r="G922" s="107">
        <f>(D922*E922)+((D922*E922)*F922/100)</f>
        <v>15000</v>
      </c>
      <c r="H922" s="74"/>
      <c r="I922" s="71"/>
    </row>
    <row r="923" spans="1:9" s="65" customFormat="1">
      <c r="A923" s="82"/>
      <c r="B923" s="83"/>
      <c r="C923" s="84"/>
      <c r="D923" s="84"/>
      <c r="E923" s="84"/>
      <c r="F923"/>
      <c r="G923" s="93" t="s">
        <v>407</v>
      </c>
      <c r="H923" s="107">
        <f>SUM(G922:G922)</f>
        <v>15000</v>
      </c>
      <c r="I923" s="71"/>
    </row>
    <row r="924" spans="1:9" s="65" customFormat="1">
      <c r="A924" s="72" t="s">
        <v>408</v>
      </c>
      <c r="B924" s="73"/>
      <c r="C924" s="73"/>
      <c r="D924" s="73"/>
      <c r="E924" s="73"/>
      <c r="F924"/>
      <c r="G924" s="74"/>
      <c r="H924" s="108"/>
      <c r="I924" s="71"/>
    </row>
    <row r="925" spans="1:9" s="65" customFormat="1">
      <c r="A925" s="75" t="s">
        <v>391</v>
      </c>
      <c r="B925" s="76" t="s">
        <v>392</v>
      </c>
      <c r="C925" s="76" t="s">
        <v>393</v>
      </c>
      <c r="D925" s="76" t="s">
        <v>394</v>
      </c>
      <c r="E925" s="76" t="s">
        <v>395</v>
      </c>
      <c r="F925" s="76" t="s">
        <v>396</v>
      </c>
      <c r="G925" s="76" t="s">
        <v>397</v>
      </c>
      <c r="H925" s="108"/>
      <c r="I925" s="71"/>
    </row>
    <row r="926" spans="1:9" s="65" customFormat="1" ht="25.5">
      <c r="A926" s="135" t="s">
        <v>501</v>
      </c>
      <c r="B926" s="78" t="s">
        <v>464</v>
      </c>
      <c r="C926" s="127" t="s">
        <v>432</v>
      </c>
      <c r="D926" s="107">
        <f>+H247</f>
        <v>281819</v>
      </c>
      <c r="E926" s="79">
        <v>0.9</v>
      </c>
      <c r="F926" s="79">
        <v>5</v>
      </c>
      <c r="G926" s="107">
        <f>(D926*E926)+((D926*E926)*F926/100)</f>
        <v>266318.95500000002</v>
      </c>
      <c r="H926" s="108"/>
      <c r="I926" s="71"/>
    </row>
    <row r="927" spans="1:9" s="65" customFormat="1">
      <c r="A927" s="139">
        <v>5000</v>
      </c>
      <c r="B927" s="78" t="s">
        <v>484</v>
      </c>
      <c r="C927" s="127" t="s">
        <v>73</v>
      </c>
      <c r="D927" s="107">
        <v>150000</v>
      </c>
      <c r="E927" s="79">
        <v>0.5</v>
      </c>
      <c r="F927" s="79">
        <v>0</v>
      </c>
      <c r="G927" s="107">
        <f>(D927*E927)+((D927*E927)*F927/100)</f>
        <v>75000</v>
      </c>
      <c r="H927" s="108"/>
      <c r="I927" s="71"/>
    </row>
    <row r="928" spans="1:9" s="65" customFormat="1">
      <c r="A928" s="139"/>
      <c r="B928" s="78" t="s">
        <v>1144</v>
      </c>
      <c r="C928" s="127" t="s">
        <v>6</v>
      </c>
      <c r="D928" s="107">
        <v>3201</v>
      </c>
      <c r="E928" s="79">
        <f>+E926*100</f>
        <v>90</v>
      </c>
      <c r="F928" s="79">
        <v>0</v>
      </c>
      <c r="G928" s="107">
        <f>(D928*E928)+((D928*E928)*F928/100)</f>
        <v>288090</v>
      </c>
      <c r="H928" s="108"/>
      <c r="I928" s="71"/>
    </row>
    <row r="929" spans="1:19" s="65" customFormat="1">
      <c r="A929" s="90"/>
      <c r="B929" s="91"/>
      <c r="C929" s="91"/>
      <c r="D929" s="91"/>
      <c r="E929" s="91"/>
      <c r="F929"/>
      <c r="G929" s="85" t="s">
        <v>407</v>
      </c>
      <c r="H929" s="107">
        <f>SUM(G926:G928)</f>
        <v>629408.95500000007</v>
      </c>
      <c r="I929" s="71"/>
      <c r="K929" s="645"/>
      <c r="L929" s="646"/>
      <c r="M929" s="646"/>
      <c r="N929" s="646"/>
      <c r="O929" s="646"/>
      <c r="P929" s="646"/>
      <c r="Q929" s="646"/>
      <c r="R929" s="646"/>
      <c r="S929" s="151"/>
    </row>
    <row r="930" spans="1:19" s="65" customFormat="1">
      <c r="A930" s="72" t="s">
        <v>410</v>
      </c>
      <c r="B930" s="73"/>
      <c r="C930" s="73"/>
      <c r="D930" s="73"/>
      <c r="E930" s="73"/>
      <c r="F930"/>
      <c r="G930" s="74"/>
      <c r="H930" s="108"/>
      <c r="I930" s="71"/>
      <c r="K930" s="645"/>
      <c r="L930" s="646"/>
      <c r="M930" s="646"/>
      <c r="N930" s="646"/>
      <c r="O930" s="646"/>
      <c r="P930" s="646"/>
      <c r="Q930" s="646"/>
      <c r="R930" s="646"/>
      <c r="S930" s="152"/>
    </row>
    <row r="931" spans="1:19" s="65" customFormat="1">
      <c r="A931" s="75" t="s">
        <v>391</v>
      </c>
      <c r="B931" s="76" t="s">
        <v>392</v>
      </c>
      <c r="C931" s="76" t="s">
        <v>393</v>
      </c>
      <c r="D931" s="76" t="s">
        <v>394</v>
      </c>
      <c r="E931" s="76" t="s">
        <v>395</v>
      </c>
      <c r="F931" s="76" t="s">
        <v>396</v>
      </c>
      <c r="G931" s="76" t="s">
        <v>397</v>
      </c>
      <c r="H931" s="108"/>
      <c r="I931" s="71"/>
      <c r="K931" s="69"/>
      <c r="L931" s="69"/>
      <c r="M931" s="69"/>
      <c r="N931" s="69"/>
      <c r="O931" s="69"/>
    </row>
    <row r="932" spans="1:19" s="65" customFormat="1">
      <c r="A932" s="125" t="s">
        <v>478</v>
      </c>
      <c r="B932" s="126" t="s">
        <v>479</v>
      </c>
      <c r="C932" s="127" t="s">
        <v>426</v>
      </c>
      <c r="D932" s="107">
        <f>5627*6+10300+15000</f>
        <v>59062</v>
      </c>
      <c r="E932" s="79">
        <v>2</v>
      </c>
      <c r="F932" s="79">
        <v>0</v>
      </c>
      <c r="G932" s="107">
        <f>(D932*E932)+((D932*E932)*F932/100)</f>
        <v>118124</v>
      </c>
      <c r="H932" s="108"/>
      <c r="I932" s="149"/>
      <c r="K932" s="120"/>
      <c r="L932" s="73"/>
      <c r="M932" s="73"/>
      <c r="N932" s="73"/>
      <c r="O932" s="73"/>
      <c r="P932" s="121"/>
      <c r="Q932" s="121"/>
    </row>
    <row r="933" spans="1:19" s="65" customFormat="1">
      <c r="A933" s="90"/>
      <c r="B933" s="91"/>
      <c r="C933" s="91"/>
      <c r="D933" s="91"/>
      <c r="E933" s="91"/>
      <c r="F933"/>
      <c r="G933" s="93" t="s">
        <v>407</v>
      </c>
      <c r="H933" s="107">
        <f>SUM(G932:G932)</f>
        <v>118124</v>
      </c>
      <c r="I933" s="71"/>
      <c r="K933" s="128"/>
      <c r="L933" s="141"/>
      <c r="M933" s="141"/>
      <c r="N933" s="141"/>
      <c r="O933" s="141"/>
      <c r="P933" s="141"/>
      <c r="Q933" s="141"/>
      <c r="R933" s="121"/>
    </row>
    <row r="934" spans="1:19" s="65" customFormat="1">
      <c r="A934" s="72" t="s">
        <v>411</v>
      </c>
      <c r="B934" s="73"/>
      <c r="C934" s="73"/>
      <c r="D934" s="73"/>
      <c r="E934" s="73"/>
      <c r="F934"/>
      <c r="G934" s="74"/>
      <c r="H934" s="108"/>
      <c r="I934" s="71"/>
      <c r="K934" s="150"/>
      <c r="L934" s="83"/>
      <c r="M934" s="148"/>
      <c r="N934" s="84"/>
      <c r="O934" s="84"/>
      <c r="P934" s="84"/>
      <c r="Q934" s="154"/>
      <c r="R934" s="121"/>
    </row>
    <row r="935" spans="1:19" s="65" customFormat="1">
      <c r="A935" s="75" t="s">
        <v>391</v>
      </c>
      <c r="B935" s="76" t="s">
        <v>392</v>
      </c>
      <c r="C935" s="76" t="s">
        <v>393</v>
      </c>
      <c r="D935" s="76" t="s">
        <v>394</v>
      </c>
      <c r="E935" s="76" t="s">
        <v>395</v>
      </c>
      <c r="F935" s="76" t="s">
        <v>396</v>
      </c>
      <c r="G935" s="76" t="s">
        <v>397</v>
      </c>
      <c r="H935" s="108"/>
      <c r="I935" s="71"/>
      <c r="K935" s="84"/>
      <c r="L935" s="83"/>
      <c r="M935" s="84"/>
      <c r="N935" s="84"/>
      <c r="O935" s="84"/>
      <c r="Q935" s="104"/>
      <c r="R935" s="145"/>
    </row>
    <row r="936" spans="1:19" s="65" customFormat="1">
      <c r="A936" s="87" t="s">
        <v>409</v>
      </c>
      <c r="B936" s="114" t="s">
        <v>409</v>
      </c>
      <c r="C936" s="114" t="s">
        <v>409</v>
      </c>
      <c r="D936" s="114" t="s">
        <v>409</v>
      </c>
      <c r="E936" s="114" t="s">
        <v>409</v>
      </c>
      <c r="F936" s="79" t="s">
        <v>409</v>
      </c>
      <c r="G936" s="89" t="s">
        <v>409</v>
      </c>
      <c r="H936" s="108"/>
      <c r="I936" s="71"/>
      <c r="K936" s="120"/>
      <c r="L936" s="73"/>
      <c r="M936" s="73"/>
      <c r="N936" s="73"/>
      <c r="O936" s="73"/>
      <c r="Q936" s="121"/>
      <c r="R936" s="140"/>
    </row>
    <row r="937" spans="1:19" s="65" customFormat="1">
      <c r="A937" s="94"/>
      <c r="B937" s="95"/>
      <c r="C937" s="95"/>
      <c r="D937" s="95"/>
      <c r="E937" s="95"/>
      <c r="F937"/>
      <c r="G937" s="93" t="s">
        <v>407</v>
      </c>
      <c r="H937" s="107">
        <f>SUM(G935:G936)</f>
        <v>0</v>
      </c>
      <c r="I937" s="71"/>
      <c r="K937" s="128"/>
      <c r="L937" s="141"/>
      <c r="M937" s="141"/>
      <c r="N937" s="141"/>
      <c r="O937" s="141"/>
      <c r="P937" s="141"/>
      <c r="Q937" s="141"/>
      <c r="R937" s="140"/>
    </row>
    <row r="938" spans="1:19" s="65" customFormat="1">
      <c r="A938" s="94"/>
      <c r="B938" s="95"/>
      <c r="C938" s="95"/>
      <c r="D938" s="95"/>
      <c r="E938" s="95"/>
      <c r="F938"/>
      <c r="G938" s="74"/>
      <c r="H938" s="74"/>
      <c r="I938" s="71"/>
      <c r="K938" s="150"/>
      <c r="L938" s="83"/>
      <c r="M938" s="148"/>
      <c r="N938" s="84"/>
      <c r="O938" s="84"/>
      <c r="P938" s="84"/>
      <c r="Q938" s="154"/>
      <c r="R938" s="140"/>
    </row>
    <row r="939" spans="1:19" s="65" customFormat="1">
      <c r="A939" s="96"/>
      <c r="B939" s="97"/>
      <c r="C939" s="98"/>
      <c r="D939" s="98"/>
      <c r="E939" s="98"/>
      <c r="F939"/>
      <c r="G939" s="99" t="s">
        <v>412</v>
      </c>
      <c r="H939" s="115">
        <f>SUM(H923:H937)</f>
        <v>762532.95500000007</v>
      </c>
      <c r="I939" s="71"/>
      <c r="K939" s="91"/>
      <c r="L939" s="91"/>
      <c r="M939" s="91"/>
      <c r="N939" s="91"/>
      <c r="O939" s="91"/>
      <c r="Q939" s="104"/>
      <c r="R939" s="145"/>
    </row>
    <row r="940" spans="1:19" s="65" customFormat="1">
      <c r="A940" s="96"/>
      <c r="B940" s="97"/>
      <c r="C940" s="98"/>
      <c r="D940" s="98"/>
      <c r="E940" s="98"/>
      <c r="F940" s="101"/>
      <c r="G940" s="116"/>
      <c r="H940" s="70"/>
      <c r="I940" s="71"/>
      <c r="K940" s="120"/>
      <c r="L940" s="73"/>
      <c r="M940" s="73"/>
      <c r="N940" s="73"/>
      <c r="O940" s="73"/>
      <c r="Q940" s="121"/>
      <c r="R940" s="140"/>
    </row>
    <row r="941" spans="1:19" s="65" customFormat="1" ht="15.75" thickBot="1">
      <c r="A941" s="624" t="s">
        <v>502</v>
      </c>
      <c r="B941" s="625"/>
      <c r="C941" s="625"/>
      <c r="D941" s="625"/>
      <c r="E941" s="625"/>
      <c r="F941" s="625"/>
      <c r="G941" s="626"/>
      <c r="H941" s="117">
        <f>+ROUND(H939,0)</f>
        <v>762533</v>
      </c>
      <c r="I941" s="103"/>
      <c r="K941" s="128"/>
      <c r="L941" s="141"/>
      <c r="M941" s="141"/>
      <c r="N941" s="141"/>
      <c r="O941" s="141"/>
      <c r="P941" s="141"/>
      <c r="Q941" s="141"/>
      <c r="R941" s="140"/>
    </row>
    <row r="942" spans="1:19" s="65" customFormat="1">
      <c r="A942" s="120"/>
      <c r="B942" s="73"/>
      <c r="C942" s="73"/>
      <c r="D942" s="73"/>
      <c r="E942" s="73"/>
      <c r="G942" s="121"/>
      <c r="H942" s="140"/>
      <c r="K942" s="146"/>
      <c r="L942" s="83"/>
      <c r="M942" s="148"/>
      <c r="N942" s="84"/>
      <c r="O942" s="84"/>
      <c r="P942" s="84"/>
      <c r="Q942" s="154"/>
      <c r="R942" s="140"/>
    </row>
    <row r="943" spans="1:19" s="65" customFormat="1" ht="15.75" thickBot="1">
      <c r="A943" s="128"/>
      <c r="B943" s="141"/>
      <c r="C943" s="141"/>
      <c r="D943" s="141"/>
      <c r="E943" s="141"/>
      <c r="F943" s="141"/>
      <c r="G943" s="141"/>
      <c r="H943" s="140"/>
      <c r="K943" s="91"/>
      <c r="L943" s="91"/>
      <c r="M943" s="91"/>
      <c r="N943" s="91"/>
      <c r="O943" s="91"/>
      <c r="Q943" s="104"/>
      <c r="R943" s="145"/>
    </row>
    <row r="944" spans="1:19" s="65" customFormat="1">
      <c r="A944" s="627"/>
      <c r="B944" s="634" t="s">
        <v>1017</v>
      </c>
      <c r="C944" s="635"/>
      <c r="D944" s="635"/>
      <c r="E944" s="635"/>
      <c r="F944" s="635"/>
      <c r="G944" s="635"/>
      <c r="H944" s="636"/>
      <c r="I944" s="66" t="s">
        <v>389</v>
      </c>
      <c r="K944" s="120"/>
      <c r="L944" s="73"/>
      <c r="M944" s="73"/>
      <c r="N944" s="73"/>
      <c r="O944" s="73"/>
      <c r="Q944" s="121"/>
      <c r="R944" s="140"/>
    </row>
    <row r="945" spans="1:18" s="65" customFormat="1">
      <c r="A945" s="628"/>
      <c r="B945" s="637"/>
      <c r="C945" s="638"/>
      <c r="D945" s="638"/>
      <c r="E945" s="638"/>
      <c r="F945" s="638"/>
      <c r="G945" s="638"/>
      <c r="H945" s="639"/>
      <c r="I945" s="67" t="s">
        <v>8</v>
      </c>
      <c r="K945" s="128"/>
      <c r="L945" s="141"/>
      <c r="M945" s="141"/>
      <c r="N945" s="141"/>
      <c r="O945" s="141"/>
      <c r="P945" s="141"/>
      <c r="Q945" s="141"/>
      <c r="R945" s="140"/>
    </row>
    <row r="946" spans="1:18" s="65" customFormat="1">
      <c r="A946" s="68"/>
      <c r="B946" s="69"/>
      <c r="C946" s="69"/>
      <c r="D946" s="69"/>
      <c r="E946" s="69"/>
      <c r="F946" s="70"/>
      <c r="G946" s="70"/>
      <c r="H946" s="70"/>
      <c r="I946" s="71"/>
      <c r="K946" s="142"/>
      <c r="L946" s="143"/>
      <c r="M946" s="143"/>
      <c r="N946" s="143"/>
      <c r="O946" s="143"/>
      <c r="P946" s="84"/>
      <c r="Q946" s="144"/>
      <c r="R946" s="140"/>
    </row>
    <row r="947" spans="1:18" s="65" customFormat="1">
      <c r="A947" s="72" t="s">
        <v>390</v>
      </c>
      <c r="B947" s="73"/>
      <c r="C947" s="73"/>
      <c r="D947" s="73"/>
      <c r="E947" s="73"/>
      <c r="F947" s="74"/>
      <c r="G947" s="74"/>
      <c r="H947" s="70"/>
      <c r="I947" s="71"/>
      <c r="K947" s="123"/>
      <c r="L947" s="95"/>
      <c r="M947" s="95"/>
      <c r="N947" s="95"/>
      <c r="O947" s="95"/>
      <c r="Q947" s="104"/>
      <c r="R947" s="145"/>
    </row>
    <row r="948" spans="1:18" s="65" customFormat="1">
      <c r="A948" s="75" t="s">
        <v>391</v>
      </c>
      <c r="B948" s="76" t="s">
        <v>392</v>
      </c>
      <c r="C948" s="76" t="s">
        <v>393</v>
      </c>
      <c r="D948" s="76" t="s">
        <v>394</v>
      </c>
      <c r="E948" s="76" t="s">
        <v>395</v>
      </c>
      <c r="F948" s="76" t="s">
        <v>396</v>
      </c>
      <c r="G948" s="76" t="s">
        <v>397</v>
      </c>
      <c r="H948" s="74"/>
      <c r="I948" s="71"/>
      <c r="K948" s="123"/>
      <c r="L948" s="95"/>
      <c r="M948" s="95"/>
      <c r="N948" s="95"/>
      <c r="O948" s="95"/>
      <c r="Q948" s="121"/>
      <c r="R948" s="121"/>
    </row>
    <row r="949" spans="1:18" s="65" customFormat="1">
      <c r="A949" s="77" t="s">
        <v>404</v>
      </c>
      <c r="B949" s="78" t="s">
        <v>405</v>
      </c>
      <c r="C949" s="79" t="s">
        <v>406</v>
      </c>
      <c r="D949" s="107">
        <v>1250</v>
      </c>
      <c r="E949" s="79">
        <v>0.05</v>
      </c>
      <c r="F949" s="79">
        <v>0</v>
      </c>
      <c r="G949" s="107">
        <f>(D949*E949)+((D949*E949)*F949/100)</f>
        <v>62.5</v>
      </c>
      <c r="H949" s="74"/>
      <c r="I949" s="71"/>
      <c r="L949" s="97"/>
      <c r="M949" s="98"/>
      <c r="N949" s="98"/>
      <c r="O949" s="98"/>
      <c r="Q949" s="128"/>
      <c r="R949" s="133"/>
    </row>
    <row r="950" spans="1:18" s="65" customFormat="1">
      <c r="A950" s="82"/>
      <c r="B950" s="83"/>
      <c r="C950" s="84"/>
      <c r="D950" s="84"/>
      <c r="E950" s="84"/>
      <c r="F950"/>
      <c r="G950" s="93" t="s">
        <v>407</v>
      </c>
      <c r="H950" s="107">
        <f>SUM(G949:G949)</f>
        <v>62.5</v>
      </c>
      <c r="I950" s="71"/>
      <c r="L950" s="97"/>
      <c r="M950" s="98"/>
      <c r="N950" s="98"/>
      <c r="O950" s="98"/>
      <c r="P950" s="128"/>
      <c r="Q950" s="133"/>
    </row>
    <row r="951" spans="1:18" s="65" customFormat="1">
      <c r="A951" s="72" t="s">
        <v>408</v>
      </c>
      <c r="B951" s="73"/>
      <c r="C951" s="73"/>
      <c r="D951" s="73"/>
      <c r="E951" s="73"/>
      <c r="F951"/>
      <c r="G951" s="74"/>
      <c r="H951" s="108"/>
      <c r="I951" s="71"/>
      <c r="K951" s="633"/>
      <c r="L951" s="633"/>
      <c r="M951" s="633"/>
      <c r="N951" s="633"/>
      <c r="O951" s="633"/>
      <c r="P951" s="633"/>
      <c r="Q951" s="633"/>
      <c r="R951" s="134"/>
    </row>
    <row r="952" spans="1:18" s="65" customFormat="1">
      <c r="A952" s="75" t="s">
        <v>391</v>
      </c>
      <c r="B952" s="76" t="s">
        <v>392</v>
      </c>
      <c r="C952" s="76" t="s">
        <v>393</v>
      </c>
      <c r="D952" s="76" t="s">
        <v>394</v>
      </c>
      <c r="E952" s="76" t="s">
        <v>395</v>
      </c>
      <c r="F952" s="76" t="s">
        <v>396</v>
      </c>
      <c r="G952" s="76" t="s">
        <v>397</v>
      </c>
      <c r="H952" s="108"/>
      <c r="I952" s="71"/>
    </row>
    <row r="953" spans="1:18" s="65" customFormat="1">
      <c r="A953" s="135"/>
      <c r="B953" s="281" t="s">
        <v>1018</v>
      </c>
      <c r="C953" s="127" t="s">
        <v>669</v>
      </c>
      <c r="D953" s="107">
        <v>2500</v>
      </c>
      <c r="E953" s="79">
        <v>0.02</v>
      </c>
      <c r="F953" s="79">
        <v>5</v>
      </c>
      <c r="G953" s="107">
        <f>(D953*E953)+((D953*E953)*F953/100)</f>
        <v>52.5</v>
      </c>
      <c r="H953" s="108"/>
      <c r="I953" s="71"/>
    </row>
    <row r="954" spans="1:18" s="65" customFormat="1">
      <c r="A954" s="139"/>
      <c r="B954" s="281" t="s">
        <v>1019</v>
      </c>
      <c r="C954" s="127" t="s">
        <v>1021</v>
      </c>
      <c r="D954" s="107">
        <v>5500</v>
      </c>
      <c r="E954" s="79">
        <v>0.05</v>
      </c>
      <c r="F954" s="79">
        <v>0</v>
      </c>
      <c r="G954" s="107">
        <f>(D954*E954)+((D954*E954)*F954/100)</f>
        <v>275</v>
      </c>
      <c r="H954" s="108"/>
      <c r="I954" s="71"/>
    </row>
    <row r="955" spans="1:18" s="65" customFormat="1">
      <c r="A955" s="139"/>
      <c r="B955" s="281" t="s">
        <v>1020</v>
      </c>
      <c r="C955" s="127" t="s">
        <v>1022</v>
      </c>
      <c r="D955" s="107">
        <v>2800</v>
      </c>
      <c r="E955" s="79">
        <v>0.05</v>
      </c>
      <c r="F955" s="79">
        <v>0</v>
      </c>
      <c r="G955" s="107">
        <f>(D955*E955)+((D955*E955)*F955/100)</f>
        <v>140</v>
      </c>
      <c r="H955" s="108"/>
      <c r="I955" s="71"/>
    </row>
    <row r="956" spans="1:18" s="65" customFormat="1">
      <c r="A956" s="90"/>
      <c r="B956" s="91"/>
      <c r="C956" s="91"/>
      <c r="D956" s="91"/>
      <c r="E956" s="91"/>
      <c r="F956"/>
      <c r="G956" s="85" t="s">
        <v>407</v>
      </c>
      <c r="H956" s="107">
        <f>SUM(G953:G954)</f>
        <v>327.5</v>
      </c>
      <c r="I956" s="71"/>
    </row>
    <row r="957" spans="1:18" s="65" customFormat="1">
      <c r="A957" s="72" t="s">
        <v>410</v>
      </c>
      <c r="B957" s="73"/>
      <c r="C957" s="73"/>
      <c r="D957" s="73"/>
      <c r="E957" s="73"/>
      <c r="F957"/>
      <c r="G957" s="74"/>
      <c r="H957" s="108"/>
      <c r="I957" s="71"/>
    </row>
    <row r="958" spans="1:18" s="65" customFormat="1">
      <c r="A958" s="75" t="s">
        <v>391</v>
      </c>
      <c r="B958" s="76" t="s">
        <v>392</v>
      </c>
      <c r="C958" s="76" t="s">
        <v>393</v>
      </c>
      <c r="D958" s="76" t="s">
        <v>394</v>
      </c>
      <c r="E958" s="76" t="s">
        <v>395</v>
      </c>
      <c r="F958" s="76" t="s">
        <v>396</v>
      </c>
      <c r="G958" s="76" t="s">
        <v>397</v>
      </c>
      <c r="H958" s="108"/>
      <c r="I958" s="71"/>
    </row>
    <row r="959" spans="1:18" s="65" customFormat="1">
      <c r="A959" s="125" t="s">
        <v>478</v>
      </c>
      <c r="B959" s="126" t="s">
        <v>1023</v>
      </c>
      <c r="C959" s="127" t="s">
        <v>426</v>
      </c>
      <c r="D959" s="107">
        <v>10300</v>
      </c>
      <c r="E959" s="79">
        <v>0.05</v>
      </c>
      <c r="F959" s="79">
        <v>0</v>
      </c>
      <c r="G959" s="107">
        <f>(D959*E959)+((D959*E959)*F959/100)</f>
        <v>515</v>
      </c>
      <c r="H959" s="108"/>
      <c r="I959" s="149"/>
    </row>
    <row r="960" spans="1:18" s="65" customFormat="1">
      <c r="A960" s="90"/>
      <c r="B960" s="91"/>
      <c r="C960" s="91"/>
      <c r="D960" s="91"/>
      <c r="E960" s="91"/>
      <c r="F960"/>
      <c r="G960" s="93" t="s">
        <v>407</v>
      </c>
      <c r="H960" s="107">
        <f>SUM(G959:G959)</f>
        <v>515</v>
      </c>
      <c r="I960" s="71"/>
    </row>
    <row r="961" spans="1:9" s="65" customFormat="1">
      <c r="A961" s="72" t="s">
        <v>411</v>
      </c>
      <c r="B961" s="73"/>
      <c r="C961" s="73"/>
      <c r="D961" s="73"/>
      <c r="E961" s="73"/>
      <c r="F961"/>
      <c r="G961" s="74"/>
      <c r="H961" s="108"/>
      <c r="I961" s="71"/>
    </row>
    <row r="962" spans="1:9" s="65" customFormat="1">
      <c r="A962" s="75" t="s">
        <v>391</v>
      </c>
      <c r="B962" s="76" t="s">
        <v>392</v>
      </c>
      <c r="C962" s="76" t="s">
        <v>393</v>
      </c>
      <c r="D962" s="76" t="s">
        <v>394</v>
      </c>
      <c r="E962" s="76" t="s">
        <v>395</v>
      </c>
      <c r="F962" s="76" t="s">
        <v>396</v>
      </c>
      <c r="G962" s="76" t="s">
        <v>397</v>
      </c>
      <c r="H962" s="108"/>
      <c r="I962" s="71"/>
    </row>
    <row r="963" spans="1:9" s="65" customFormat="1">
      <c r="A963" s="87" t="s">
        <v>409</v>
      </c>
      <c r="B963" s="114" t="s">
        <v>409</v>
      </c>
      <c r="C963" s="114" t="s">
        <v>409</v>
      </c>
      <c r="D963" s="114" t="s">
        <v>409</v>
      </c>
      <c r="E963" s="114" t="s">
        <v>409</v>
      </c>
      <c r="F963" s="79" t="s">
        <v>409</v>
      </c>
      <c r="G963" s="89" t="s">
        <v>409</v>
      </c>
      <c r="H963" s="108"/>
      <c r="I963" s="71"/>
    </row>
    <row r="964" spans="1:9" s="65" customFormat="1">
      <c r="A964" s="94"/>
      <c r="B964" s="95"/>
      <c r="C964" s="95"/>
      <c r="D964" s="95"/>
      <c r="E964" s="95"/>
      <c r="F964"/>
      <c r="G964" s="93" t="s">
        <v>407</v>
      </c>
      <c r="H964" s="107">
        <f>SUM(G962:G963)</f>
        <v>0</v>
      </c>
      <c r="I964" s="71"/>
    </row>
    <row r="965" spans="1:9" s="65" customFormat="1">
      <c r="A965" s="94"/>
      <c r="B965" s="95"/>
      <c r="C965" s="95"/>
      <c r="D965" s="95"/>
      <c r="E965" s="95"/>
      <c r="F965"/>
      <c r="G965" s="74"/>
      <c r="H965" s="74"/>
      <c r="I965" s="71"/>
    </row>
    <row r="966" spans="1:9" s="65" customFormat="1">
      <c r="A966" s="96"/>
      <c r="B966" s="97"/>
      <c r="C966" s="98"/>
      <c r="D966" s="98"/>
      <c r="E966" s="98"/>
      <c r="F966"/>
      <c r="G966" s="99" t="s">
        <v>412</v>
      </c>
      <c r="H966" s="115">
        <f>SUM(H950:H964)</f>
        <v>905</v>
      </c>
      <c r="I966" s="71"/>
    </row>
    <row r="967" spans="1:9" s="65" customFormat="1">
      <c r="A967" s="96"/>
      <c r="B967" s="97"/>
      <c r="C967" s="98"/>
      <c r="D967" s="98"/>
      <c r="E967" s="98"/>
      <c r="F967" s="101"/>
      <c r="G967" s="116"/>
      <c r="H967" s="70"/>
      <c r="I967" s="71"/>
    </row>
    <row r="968" spans="1:9" s="65" customFormat="1" ht="15.75" thickBot="1">
      <c r="A968" s="624" t="s">
        <v>430</v>
      </c>
      <c r="B968" s="625"/>
      <c r="C968" s="625"/>
      <c r="D968" s="625"/>
      <c r="E968" s="625"/>
      <c r="F968" s="625"/>
      <c r="G968" s="626"/>
      <c r="H968" s="117">
        <f>+ROUND(H966,0)</f>
        <v>905</v>
      </c>
      <c r="I968" s="103"/>
    </row>
    <row r="969" spans="1:9" s="65" customFormat="1">
      <c r="A969" s="91"/>
      <c r="B969" s="91"/>
      <c r="C969" s="91"/>
      <c r="D969" s="91"/>
      <c r="E969" s="91"/>
      <c r="G969" s="104"/>
      <c r="H969" s="140"/>
    </row>
    <row r="970" spans="1:9" s="65" customFormat="1" ht="15.75" thickBot="1">
      <c r="A970" s="120"/>
      <c r="B970" s="73"/>
      <c r="C970" s="73"/>
      <c r="D970" s="73"/>
      <c r="E970" s="73"/>
      <c r="G970" s="121"/>
      <c r="H970" s="140"/>
    </row>
    <row r="971" spans="1:9" s="65" customFormat="1">
      <c r="A971" s="627"/>
      <c r="B971" s="634" t="s">
        <v>1024</v>
      </c>
      <c r="C971" s="635"/>
      <c r="D971" s="635"/>
      <c r="E971" s="635"/>
      <c r="F971" s="635"/>
      <c r="G971" s="635"/>
      <c r="H971" s="636"/>
      <c r="I971" s="66" t="s">
        <v>389</v>
      </c>
    </row>
    <row r="972" spans="1:9" s="65" customFormat="1">
      <c r="A972" s="628"/>
      <c r="B972" s="637"/>
      <c r="C972" s="638"/>
      <c r="D972" s="638"/>
      <c r="E972" s="638"/>
      <c r="F972" s="638"/>
      <c r="G972" s="638"/>
      <c r="H972" s="639"/>
      <c r="I972" s="67" t="s">
        <v>291</v>
      </c>
    </row>
    <row r="973" spans="1:9" s="65" customFormat="1">
      <c r="A973" s="68"/>
      <c r="B973" s="69"/>
      <c r="C973" s="69"/>
      <c r="D973" s="69"/>
      <c r="E973" s="69"/>
      <c r="F973" s="70"/>
      <c r="G973" s="70"/>
      <c r="H973" s="70"/>
      <c r="I973" s="71"/>
    </row>
    <row r="974" spans="1:9" s="65" customFormat="1">
      <c r="A974" s="72" t="s">
        <v>390</v>
      </c>
      <c r="B974" s="73"/>
      <c r="C974" s="73"/>
      <c r="D974" s="73"/>
      <c r="E974" s="73"/>
      <c r="F974" s="74"/>
      <c r="G974" s="74"/>
      <c r="H974" s="70"/>
      <c r="I974" s="71"/>
    </row>
    <row r="975" spans="1:9" s="65" customFormat="1">
      <c r="A975" s="75" t="s">
        <v>391</v>
      </c>
      <c r="B975" s="76" t="s">
        <v>392</v>
      </c>
      <c r="C975" s="76" t="s">
        <v>393</v>
      </c>
      <c r="D975" s="76" t="s">
        <v>394</v>
      </c>
      <c r="E975" s="76" t="s">
        <v>395</v>
      </c>
      <c r="F975" s="76" t="s">
        <v>396</v>
      </c>
      <c r="G975" s="76" t="s">
        <v>397</v>
      </c>
      <c r="H975" s="74"/>
      <c r="I975" s="71"/>
    </row>
    <row r="976" spans="1:9" s="65" customFormat="1">
      <c r="A976" s="77" t="s">
        <v>404</v>
      </c>
      <c r="B976" s="78" t="s">
        <v>405</v>
      </c>
      <c r="C976" s="79" t="s">
        <v>406</v>
      </c>
      <c r="D976" s="107">
        <v>1250</v>
      </c>
      <c r="E976" s="79">
        <v>2</v>
      </c>
      <c r="F976" s="79">
        <v>0</v>
      </c>
      <c r="G976" s="107">
        <f>(D976*E976)+((D976*E976)*F976/100)</f>
        <v>2500</v>
      </c>
      <c r="H976" s="74"/>
      <c r="I976" s="71"/>
    </row>
    <row r="977" spans="1:11" s="65" customFormat="1">
      <c r="A977" s="82"/>
      <c r="B977" s="83"/>
      <c r="C977" s="84"/>
      <c r="D977" s="84"/>
      <c r="E977" s="84"/>
      <c r="F977"/>
      <c r="G977" s="93" t="s">
        <v>407</v>
      </c>
      <c r="H977" s="107">
        <f>SUM(G976:G976)</f>
        <v>2500</v>
      </c>
      <c r="I977" s="71"/>
    </row>
    <row r="978" spans="1:11" s="65" customFormat="1">
      <c r="A978" s="72" t="s">
        <v>408</v>
      </c>
      <c r="B978" s="73"/>
      <c r="C978" s="73"/>
      <c r="D978" s="73"/>
      <c r="E978" s="73"/>
      <c r="F978"/>
      <c r="G978" s="74"/>
      <c r="H978" s="108"/>
      <c r="I978" s="71"/>
    </row>
    <row r="979" spans="1:11" s="65" customFormat="1">
      <c r="A979" s="75" t="s">
        <v>391</v>
      </c>
      <c r="B979" s="76" t="s">
        <v>392</v>
      </c>
      <c r="C979" s="76" t="s">
        <v>393</v>
      </c>
      <c r="D979" s="76" t="s">
        <v>394</v>
      </c>
      <c r="E979" s="76" t="s">
        <v>395</v>
      </c>
      <c r="F979" s="76" t="s">
        <v>396</v>
      </c>
      <c r="G979" s="76" t="s">
        <v>397</v>
      </c>
      <c r="H979" s="108"/>
      <c r="I979" s="71"/>
    </row>
    <row r="980" spans="1:11" s="65" customFormat="1">
      <c r="A980" s="135"/>
      <c r="B980" s="281" t="s">
        <v>1025</v>
      </c>
      <c r="C980" s="127" t="s">
        <v>7</v>
      </c>
      <c r="D980" s="107">
        <v>350</v>
      </c>
      <c r="E980" s="79">
        <v>60</v>
      </c>
      <c r="F980" s="79">
        <v>0</v>
      </c>
      <c r="G980" s="107">
        <f>(D980*E980)+((D980*E980)*F980/100)</f>
        <v>21000</v>
      </c>
      <c r="H980" s="108"/>
      <c r="I980" s="71"/>
      <c r="K980" s="65">
        <f>0.19*0.1*50</f>
        <v>0.95000000000000018</v>
      </c>
    </row>
    <row r="981" spans="1:11" s="65" customFormat="1" ht="29.25">
      <c r="A981" s="139"/>
      <c r="B981" s="282" t="s">
        <v>1026</v>
      </c>
      <c r="C981" s="127" t="s">
        <v>1028</v>
      </c>
      <c r="D981" s="107">
        <v>25000</v>
      </c>
      <c r="E981" s="79">
        <v>0.5</v>
      </c>
      <c r="F981" s="79">
        <v>0</v>
      </c>
      <c r="G981" s="107">
        <f>(D981*E981)+((D981*E981)*F981/100)</f>
        <v>12500</v>
      </c>
      <c r="H981" s="108"/>
      <c r="I981" s="71"/>
    </row>
    <row r="982" spans="1:11" s="65" customFormat="1">
      <c r="A982" s="139"/>
      <c r="B982" s="281" t="s">
        <v>1027</v>
      </c>
      <c r="C982" s="127" t="s">
        <v>432</v>
      </c>
      <c r="D982" s="107">
        <v>40000</v>
      </c>
      <c r="E982" s="79">
        <v>7.0000000000000007E-2</v>
      </c>
      <c r="F982" s="79">
        <v>0</v>
      </c>
      <c r="G982" s="107">
        <f>(D982*E982)+((D982*E982)*F982/100)</f>
        <v>2800.0000000000005</v>
      </c>
      <c r="H982" s="108"/>
      <c r="I982" s="71"/>
    </row>
    <row r="983" spans="1:11" s="65" customFormat="1">
      <c r="A983" s="90"/>
      <c r="B983" s="91"/>
      <c r="C983" s="91"/>
      <c r="D983" s="91"/>
      <c r="E983" s="91"/>
      <c r="F983"/>
      <c r="G983" s="85" t="s">
        <v>407</v>
      </c>
      <c r="H983" s="107">
        <f>SUM(G980:G982)</f>
        <v>36300</v>
      </c>
      <c r="I983" s="71"/>
    </row>
    <row r="984" spans="1:11" s="65" customFormat="1">
      <c r="A984" s="72" t="s">
        <v>410</v>
      </c>
      <c r="B984" s="73"/>
      <c r="C984" s="73"/>
      <c r="D984" s="73"/>
      <c r="E984" s="73"/>
      <c r="F984"/>
      <c r="G984" s="74"/>
      <c r="H984" s="108"/>
      <c r="I984" s="71"/>
    </row>
    <row r="985" spans="1:11" s="65" customFormat="1">
      <c r="A985" s="75" t="s">
        <v>391</v>
      </c>
      <c r="B985" s="76" t="s">
        <v>392</v>
      </c>
      <c r="C985" s="76" t="s">
        <v>393</v>
      </c>
      <c r="D985" s="76" t="s">
        <v>394</v>
      </c>
      <c r="E985" s="76" t="s">
        <v>395</v>
      </c>
      <c r="F985" s="76" t="s">
        <v>396</v>
      </c>
      <c r="G985" s="76" t="s">
        <v>397</v>
      </c>
      <c r="H985" s="108"/>
      <c r="I985" s="71"/>
    </row>
    <row r="986" spans="1:11" s="65" customFormat="1">
      <c r="A986" s="125" t="s">
        <v>478</v>
      </c>
      <c r="B986" s="126" t="s">
        <v>1029</v>
      </c>
      <c r="C986" s="127" t="s">
        <v>426</v>
      </c>
      <c r="D986" s="107">
        <f>10300+5927*2</f>
        <v>22154</v>
      </c>
      <c r="E986" s="79">
        <v>1</v>
      </c>
      <c r="F986" s="79">
        <v>0</v>
      </c>
      <c r="G986" s="107">
        <f>(D986*E986)+((D986*E986)*F986/100)</f>
        <v>22154</v>
      </c>
      <c r="H986" s="108"/>
      <c r="I986" s="149"/>
    </row>
    <row r="987" spans="1:11" s="65" customFormat="1">
      <c r="A987" s="90"/>
      <c r="B987" s="91"/>
      <c r="C987" s="91"/>
      <c r="D987" s="91"/>
      <c r="E987" s="91"/>
      <c r="F987"/>
      <c r="G987" s="93" t="s">
        <v>407</v>
      </c>
      <c r="H987" s="107">
        <f>SUM(G986:G986)</f>
        <v>22154</v>
      </c>
      <c r="I987" s="71"/>
    </row>
    <row r="988" spans="1:11" s="65" customFormat="1">
      <c r="A988" s="72" t="s">
        <v>411</v>
      </c>
      <c r="B988" s="73"/>
      <c r="C988" s="73"/>
      <c r="D988" s="73"/>
      <c r="E988" s="73"/>
      <c r="F988"/>
      <c r="G988" s="74"/>
      <c r="H988" s="108"/>
      <c r="I988" s="71"/>
    </row>
    <row r="989" spans="1:11" s="65" customFormat="1">
      <c r="A989" s="75" t="s">
        <v>391</v>
      </c>
      <c r="B989" s="76" t="s">
        <v>392</v>
      </c>
      <c r="C989" s="76" t="s">
        <v>393</v>
      </c>
      <c r="D989" s="76" t="s">
        <v>394</v>
      </c>
      <c r="E989" s="76" t="s">
        <v>395</v>
      </c>
      <c r="F989" s="76" t="s">
        <v>396</v>
      </c>
      <c r="G989" s="76" t="s">
        <v>397</v>
      </c>
      <c r="H989" s="108"/>
      <c r="I989" s="71"/>
    </row>
    <row r="990" spans="1:11" s="65" customFormat="1">
      <c r="A990" s="87" t="s">
        <v>409</v>
      </c>
      <c r="B990" s="114" t="s">
        <v>409</v>
      </c>
      <c r="C990" s="114" t="s">
        <v>409</v>
      </c>
      <c r="D990" s="114" t="s">
        <v>409</v>
      </c>
      <c r="E990" s="114" t="s">
        <v>409</v>
      </c>
      <c r="F990" s="79" t="s">
        <v>409</v>
      </c>
      <c r="G990" s="89" t="s">
        <v>409</v>
      </c>
      <c r="H990" s="108"/>
      <c r="I990" s="71"/>
    </row>
    <row r="991" spans="1:11" s="65" customFormat="1">
      <c r="A991" s="94"/>
      <c r="B991" s="95"/>
      <c r="C991" s="95"/>
      <c r="D991" s="95"/>
      <c r="E991" s="95"/>
      <c r="F991"/>
      <c r="G991" s="93" t="s">
        <v>407</v>
      </c>
      <c r="H991" s="107">
        <f>SUM(G989:G990)</f>
        <v>0</v>
      </c>
      <c r="I991" s="71"/>
    </row>
    <row r="992" spans="1:11" s="65" customFormat="1">
      <c r="A992" s="94"/>
      <c r="B992" s="95"/>
      <c r="C992" s="95"/>
      <c r="D992" s="95"/>
      <c r="E992" s="95"/>
      <c r="F992"/>
      <c r="G992" s="74"/>
      <c r="H992" s="74"/>
      <c r="I992" s="71"/>
    </row>
    <row r="993" spans="1:9" s="65" customFormat="1">
      <c r="A993" s="96"/>
      <c r="B993" s="97"/>
      <c r="C993" s="98"/>
      <c r="D993" s="98"/>
      <c r="E993" s="98"/>
      <c r="F993"/>
      <c r="G993" s="99" t="s">
        <v>412</v>
      </c>
      <c r="H993" s="115">
        <f>SUM(H977:H991)</f>
        <v>60954</v>
      </c>
      <c r="I993" s="71"/>
    </row>
    <row r="994" spans="1:9" s="65" customFormat="1">
      <c r="A994" s="96"/>
      <c r="B994" s="97"/>
      <c r="C994" s="98"/>
      <c r="D994" s="98"/>
      <c r="E994" s="98"/>
      <c r="F994" s="101"/>
      <c r="G994" s="116"/>
      <c r="H994" s="70"/>
      <c r="I994" s="71"/>
    </row>
    <row r="995" spans="1:9" s="65" customFormat="1" ht="15.75" thickBot="1">
      <c r="A995" s="624" t="s">
        <v>414</v>
      </c>
      <c r="B995" s="625"/>
      <c r="C995" s="625"/>
      <c r="D995" s="625"/>
      <c r="E995" s="625"/>
      <c r="F995" s="625"/>
      <c r="G995" s="626"/>
      <c r="H995" s="117">
        <f>+ROUND(H993,0)</f>
        <v>60954</v>
      </c>
      <c r="I995" s="103"/>
    </row>
    <row r="996" spans="1:9" s="65" customFormat="1">
      <c r="A996" s="146"/>
      <c r="B996" s="83"/>
      <c r="C996" s="148"/>
      <c r="D996" s="84"/>
      <c r="E996" s="84"/>
      <c r="F996" s="84"/>
      <c r="G996" s="154"/>
      <c r="H996" s="145"/>
    </row>
    <row r="997" spans="1:9" s="65" customFormat="1" ht="15.75" thickBot="1">
      <c r="A997" s="91"/>
      <c r="B997" s="91"/>
      <c r="C997" s="91"/>
      <c r="D997" s="91"/>
      <c r="E997" s="91"/>
      <c r="G997" s="104"/>
      <c r="H997" s="140"/>
    </row>
    <row r="998" spans="1:9" s="65" customFormat="1">
      <c r="A998" s="627"/>
      <c r="B998" s="634" t="s">
        <v>179</v>
      </c>
      <c r="C998" s="635"/>
      <c r="D998" s="635"/>
      <c r="E998" s="635"/>
      <c r="F998" s="635"/>
      <c r="G998" s="635"/>
      <c r="H998" s="636"/>
      <c r="I998" s="66" t="s">
        <v>389</v>
      </c>
    </row>
    <row r="999" spans="1:9" s="65" customFormat="1">
      <c r="A999" s="628"/>
      <c r="B999" s="637"/>
      <c r="C999" s="638"/>
      <c r="D999" s="638"/>
      <c r="E999" s="638"/>
      <c r="F999" s="638"/>
      <c r="G999" s="638"/>
      <c r="H999" s="639"/>
      <c r="I999" s="67" t="s">
        <v>291</v>
      </c>
    </row>
    <row r="1000" spans="1:9" s="65" customFormat="1">
      <c r="A1000" s="68"/>
      <c r="B1000" s="69"/>
      <c r="C1000" s="69"/>
      <c r="D1000" s="69"/>
      <c r="E1000" s="69"/>
      <c r="F1000" s="70"/>
      <c r="G1000" s="70"/>
      <c r="H1000" s="70"/>
      <c r="I1000" s="71"/>
    </row>
    <row r="1001" spans="1:9" s="65" customFormat="1">
      <c r="A1001" s="72" t="s">
        <v>390</v>
      </c>
      <c r="B1001" s="73"/>
      <c r="C1001" s="73"/>
      <c r="D1001" s="73"/>
      <c r="E1001" s="73"/>
      <c r="F1001" s="74"/>
      <c r="G1001" s="74"/>
      <c r="H1001" s="70"/>
      <c r="I1001" s="71"/>
    </row>
    <row r="1002" spans="1:9" s="65" customFormat="1">
      <c r="A1002" s="75" t="s">
        <v>391</v>
      </c>
      <c r="B1002" s="76" t="s">
        <v>392</v>
      </c>
      <c r="C1002" s="76" t="s">
        <v>393</v>
      </c>
      <c r="D1002" s="76" t="s">
        <v>394</v>
      </c>
      <c r="E1002" s="76" t="s">
        <v>395</v>
      </c>
      <c r="F1002" s="76" t="s">
        <v>396</v>
      </c>
      <c r="G1002" s="76" t="s">
        <v>397</v>
      </c>
      <c r="H1002" s="74"/>
      <c r="I1002" s="71"/>
    </row>
    <row r="1003" spans="1:9" s="65" customFormat="1">
      <c r="A1003" s="77" t="s">
        <v>404</v>
      </c>
      <c r="B1003" s="78" t="s">
        <v>405</v>
      </c>
      <c r="C1003" s="79" t="s">
        <v>406</v>
      </c>
      <c r="D1003" s="107">
        <v>1250</v>
      </c>
      <c r="E1003" s="79">
        <v>2</v>
      </c>
      <c r="F1003" s="79">
        <v>0</v>
      </c>
      <c r="G1003" s="107">
        <f>(D1003*E1003)+((D1003*E1003)*F1003/100)</f>
        <v>2500</v>
      </c>
      <c r="H1003" s="74"/>
      <c r="I1003" s="71"/>
    </row>
    <row r="1004" spans="1:9" s="65" customFormat="1">
      <c r="A1004" s="82"/>
      <c r="B1004" s="83"/>
      <c r="C1004" s="84"/>
      <c r="D1004" s="84"/>
      <c r="E1004" s="84"/>
      <c r="F1004"/>
      <c r="G1004" s="93" t="s">
        <v>407</v>
      </c>
      <c r="H1004" s="107">
        <f>SUM(G1003:G1003)</f>
        <v>2500</v>
      </c>
      <c r="I1004" s="71"/>
    </row>
    <row r="1005" spans="1:9" s="65" customFormat="1">
      <c r="A1005" s="72" t="s">
        <v>408</v>
      </c>
      <c r="B1005" s="73"/>
      <c r="C1005" s="73"/>
      <c r="D1005" s="73"/>
      <c r="E1005" s="73"/>
      <c r="F1005"/>
      <c r="G1005" s="74"/>
      <c r="H1005" s="108"/>
      <c r="I1005" s="71"/>
    </row>
    <row r="1006" spans="1:9" s="65" customFormat="1">
      <c r="A1006" s="75" t="s">
        <v>391</v>
      </c>
      <c r="B1006" s="76" t="s">
        <v>392</v>
      </c>
      <c r="C1006" s="76" t="s">
        <v>393</v>
      </c>
      <c r="D1006" s="76" t="s">
        <v>394</v>
      </c>
      <c r="E1006" s="76" t="s">
        <v>395</v>
      </c>
      <c r="F1006" s="76" t="s">
        <v>396</v>
      </c>
      <c r="G1006" s="76" t="s">
        <v>397</v>
      </c>
      <c r="H1006" s="108"/>
      <c r="I1006" s="71"/>
    </row>
    <row r="1007" spans="1:9" s="65" customFormat="1">
      <c r="A1007" s="135"/>
      <c r="B1007" s="281" t="s">
        <v>1032</v>
      </c>
      <c r="C1007" s="127" t="s">
        <v>7</v>
      </c>
      <c r="D1007" s="107">
        <v>1120</v>
      </c>
      <c r="E1007" s="79">
        <v>35</v>
      </c>
      <c r="F1007" s="79">
        <v>0</v>
      </c>
      <c r="G1007" s="107">
        <f>(D1007*E1007)+((D1007*E1007)*F1007/100)</f>
        <v>39200</v>
      </c>
      <c r="H1007" s="108"/>
      <c r="I1007" s="71"/>
    </row>
    <row r="1008" spans="1:9" s="65" customFormat="1" ht="29.25">
      <c r="A1008" s="139"/>
      <c r="B1008" s="282" t="s">
        <v>1026</v>
      </c>
      <c r="C1008" s="127" t="s">
        <v>1028</v>
      </c>
      <c r="D1008" s="107">
        <v>25000</v>
      </c>
      <c r="E1008" s="79">
        <v>0.5</v>
      </c>
      <c r="F1008" s="79">
        <v>0</v>
      </c>
      <c r="G1008" s="107">
        <f>(D1008*E1008)+((D1008*E1008)*F1008/100)</f>
        <v>12500</v>
      </c>
      <c r="H1008" s="108"/>
      <c r="I1008" s="71"/>
    </row>
    <row r="1009" spans="1:9" s="65" customFormat="1">
      <c r="A1009" s="139"/>
      <c r="B1009" s="281" t="s">
        <v>1027</v>
      </c>
      <c r="C1009" s="127" t="s">
        <v>432</v>
      </c>
      <c r="D1009" s="107">
        <v>40000</v>
      </c>
      <c r="E1009" s="79">
        <v>0.08</v>
      </c>
      <c r="F1009" s="79">
        <v>0</v>
      </c>
      <c r="G1009" s="107">
        <f>(D1009*E1009)+((D1009*E1009)*F1009/100)</f>
        <v>3200</v>
      </c>
      <c r="H1009" s="108"/>
      <c r="I1009" s="71"/>
    </row>
    <row r="1010" spans="1:9" s="65" customFormat="1">
      <c r="A1010" s="139"/>
      <c r="B1010" s="281" t="s">
        <v>1030</v>
      </c>
      <c r="C1010" s="127" t="s">
        <v>1031</v>
      </c>
      <c r="D1010" s="107">
        <v>12</v>
      </c>
      <c r="E1010" s="79">
        <v>5</v>
      </c>
      <c r="F1010" s="79">
        <v>1</v>
      </c>
      <c r="G1010" s="107">
        <f>(D1010*E1010)+((D1010*E1010)*F1010/100)</f>
        <v>60.6</v>
      </c>
      <c r="H1010" s="108"/>
      <c r="I1010" s="71"/>
    </row>
    <row r="1011" spans="1:9" s="65" customFormat="1">
      <c r="A1011" s="90"/>
      <c r="B1011" s="91"/>
      <c r="C1011" s="91"/>
      <c r="D1011" s="91"/>
      <c r="E1011" s="91"/>
      <c r="F1011"/>
      <c r="G1011" s="85" t="s">
        <v>407</v>
      </c>
      <c r="H1011" s="107">
        <f>SUM(G1007:G1010)</f>
        <v>54960.6</v>
      </c>
      <c r="I1011" s="71"/>
    </row>
    <row r="1012" spans="1:9" s="65" customFormat="1">
      <c r="A1012" s="72" t="s">
        <v>410</v>
      </c>
      <c r="B1012" s="73"/>
      <c r="C1012" s="73"/>
      <c r="D1012" s="73"/>
      <c r="E1012" s="73"/>
      <c r="F1012"/>
      <c r="G1012" s="74"/>
      <c r="H1012" s="108"/>
      <c r="I1012" s="71"/>
    </row>
    <row r="1013" spans="1:9" s="65" customFormat="1">
      <c r="A1013" s="75" t="s">
        <v>391</v>
      </c>
      <c r="B1013" s="76" t="s">
        <v>392</v>
      </c>
      <c r="C1013" s="76" t="s">
        <v>393</v>
      </c>
      <c r="D1013" s="76" t="s">
        <v>394</v>
      </c>
      <c r="E1013" s="76" t="s">
        <v>395</v>
      </c>
      <c r="F1013" s="76" t="s">
        <v>396</v>
      </c>
      <c r="G1013" s="76" t="s">
        <v>397</v>
      </c>
      <c r="H1013" s="108"/>
      <c r="I1013" s="71"/>
    </row>
    <row r="1014" spans="1:9" s="65" customFormat="1">
      <c r="A1014" s="125" t="s">
        <v>478</v>
      </c>
      <c r="B1014" s="126" t="s">
        <v>1029</v>
      </c>
      <c r="C1014" s="127" t="s">
        <v>426</v>
      </c>
      <c r="D1014" s="107">
        <f>10300+5927*2</f>
        <v>22154</v>
      </c>
      <c r="E1014" s="79">
        <v>0.8</v>
      </c>
      <c r="F1014" s="79">
        <v>0</v>
      </c>
      <c r="G1014" s="107">
        <f>(D1014*E1014)+((D1014*E1014)*F1014/100)</f>
        <v>17723.2</v>
      </c>
      <c r="H1014" s="108"/>
      <c r="I1014" s="149"/>
    </row>
    <row r="1015" spans="1:9" s="65" customFormat="1">
      <c r="A1015" s="90"/>
      <c r="B1015" s="91"/>
      <c r="C1015" s="91"/>
      <c r="D1015" s="91"/>
      <c r="E1015" s="91"/>
      <c r="F1015"/>
      <c r="G1015" s="93" t="s">
        <v>407</v>
      </c>
      <c r="H1015" s="107">
        <f>SUM(G1014:G1014)</f>
        <v>17723.2</v>
      </c>
      <c r="I1015" s="71"/>
    </row>
    <row r="1016" spans="1:9" s="65" customFormat="1">
      <c r="A1016" s="72" t="s">
        <v>411</v>
      </c>
      <c r="B1016" s="73"/>
      <c r="C1016" s="73"/>
      <c r="D1016" s="73"/>
      <c r="E1016" s="73"/>
      <c r="F1016"/>
      <c r="G1016" s="74"/>
      <c r="H1016" s="108"/>
      <c r="I1016" s="71"/>
    </row>
    <row r="1017" spans="1:9" s="65" customFormat="1">
      <c r="A1017" s="75" t="s">
        <v>391</v>
      </c>
      <c r="B1017" s="76" t="s">
        <v>392</v>
      </c>
      <c r="C1017" s="76" t="s">
        <v>393</v>
      </c>
      <c r="D1017" s="76" t="s">
        <v>394</v>
      </c>
      <c r="E1017" s="76" t="s">
        <v>395</v>
      </c>
      <c r="F1017" s="76" t="s">
        <v>396</v>
      </c>
      <c r="G1017" s="76" t="s">
        <v>397</v>
      </c>
      <c r="H1017" s="108"/>
      <c r="I1017" s="71"/>
    </row>
    <row r="1018" spans="1:9" s="65" customFormat="1">
      <c r="A1018" s="87" t="s">
        <v>409</v>
      </c>
      <c r="B1018" s="114" t="s">
        <v>409</v>
      </c>
      <c r="C1018" s="114" t="s">
        <v>409</v>
      </c>
      <c r="D1018" s="114" t="s">
        <v>409</v>
      </c>
      <c r="E1018" s="114" t="s">
        <v>409</v>
      </c>
      <c r="F1018" s="79" t="s">
        <v>409</v>
      </c>
      <c r="G1018" s="89" t="s">
        <v>409</v>
      </c>
      <c r="H1018" s="108"/>
      <c r="I1018" s="71"/>
    </row>
    <row r="1019" spans="1:9" s="65" customFormat="1">
      <c r="A1019" s="94"/>
      <c r="B1019" s="95"/>
      <c r="C1019" s="95"/>
      <c r="D1019" s="95"/>
      <c r="E1019" s="95"/>
      <c r="F1019"/>
      <c r="G1019" s="93" t="s">
        <v>407</v>
      </c>
      <c r="H1019" s="107">
        <f>SUM(G1017:G1018)</f>
        <v>0</v>
      </c>
      <c r="I1019" s="71"/>
    </row>
    <row r="1020" spans="1:9" s="65" customFormat="1">
      <c r="A1020" s="94"/>
      <c r="B1020" s="95"/>
      <c r="C1020" s="95"/>
      <c r="D1020" s="95"/>
      <c r="E1020" s="95"/>
      <c r="F1020"/>
      <c r="G1020" s="74"/>
      <c r="H1020" s="74"/>
      <c r="I1020" s="71"/>
    </row>
    <row r="1021" spans="1:9" s="65" customFormat="1">
      <c r="A1021" s="96"/>
      <c r="B1021" s="97"/>
      <c r="C1021" s="98"/>
      <c r="D1021" s="98"/>
      <c r="E1021" s="98"/>
      <c r="F1021"/>
      <c r="G1021" s="99" t="s">
        <v>412</v>
      </c>
      <c r="H1021" s="115">
        <f>SUM(H1004:H1019)</f>
        <v>75183.8</v>
      </c>
      <c r="I1021" s="71"/>
    </row>
    <row r="1022" spans="1:9" s="65" customFormat="1">
      <c r="A1022" s="96"/>
      <c r="B1022" s="97"/>
      <c r="C1022" s="98"/>
      <c r="D1022" s="98"/>
      <c r="E1022" s="98"/>
      <c r="F1022" s="101"/>
      <c r="G1022" s="116"/>
      <c r="H1022" s="70"/>
      <c r="I1022" s="71"/>
    </row>
    <row r="1023" spans="1:9" s="65" customFormat="1" ht="15.75" thickBot="1">
      <c r="A1023" s="624" t="s">
        <v>414</v>
      </c>
      <c r="B1023" s="625"/>
      <c r="C1023" s="625"/>
      <c r="D1023" s="625"/>
      <c r="E1023" s="625"/>
      <c r="F1023" s="625"/>
      <c r="G1023" s="626"/>
      <c r="H1023" s="117">
        <f>+ROUND(H1021,0)</f>
        <v>75184</v>
      </c>
      <c r="I1023" s="103"/>
    </row>
    <row r="1024" spans="1:9" s="65" customFormat="1">
      <c r="A1024" s="128"/>
      <c r="B1024" s="141"/>
      <c r="C1024" s="141"/>
      <c r="D1024" s="141"/>
      <c r="E1024" s="141"/>
      <c r="F1024" s="141"/>
      <c r="G1024" s="141"/>
      <c r="H1024" s="140"/>
    </row>
    <row r="1025" spans="1:9" s="65" customFormat="1" ht="15.75" thickBot="1">
      <c r="A1025" s="142"/>
      <c r="B1025" s="143"/>
      <c r="C1025" s="143"/>
      <c r="D1025" s="143"/>
      <c r="E1025" s="143"/>
      <c r="F1025" s="84"/>
      <c r="G1025" s="144"/>
      <c r="H1025" s="145"/>
    </row>
    <row r="1026" spans="1:9" s="65" customFormat="1">
      <c r="A1026" s="627"/>
      <c r="B1026" s="634" t="s">
        <v>182</v>
      </c>
      <c r="C1026" s="635"/>
      <c r="D1026" s="635"/>
      <c r="E1026" s="635"/>
      <c r="F1026" s="635"/>
      <c r="G1026" s="635"/>
      <c r="H1026" s="636"/>
      <c r="I1026" s="66" t="s">
        <v>389</v>
      </c>
    </row>
    <row r="1027" spans="1:9" s="65" customFormat="1">
      <c r="A1027" s="628"/>
      <c r="B1027" s="637"/>
      <c r="C1027" s="638"/>
      <c r="D1027" s="638"/>
      <c r="E1027" s="638"/>
      <c r="F1027" s="638"/>
      <c r="G1027" s="638"/>
      <c r="H1027" s="639"/>
      <c r="I1027" s="67" t="s">
        <v>291</v>
      </c>
    </row>
    <row r="1028" spans="1:9" s="65" customFormat="1">
      <c r="A1028" s="68"/>
      <c r="B1028" s="69"/>
      <c r="C1028" s="69"/>
      <c r="D1028" s="69"/>
      <c r="E1028" s="69"/>
      <c r="F1028" s="70"/>
      <c r="G1028" s="70"/>
      <c r="H1028" s="70"/>
      <c r="I1028" s="71"/>
    </row>
    <row r="1029" spans="1:9" s="65" customFormat="1">
      <c r="A1029" s="72" t="s">
        <v>390</v>
      </c>
      <c r="B1029" s="73"/>
      <c r="C1029" s="73"/>
      <c r="D1029" s="73"/>
      <c r="E1029" s="73"/>
      <c r="F1029" s="74"/>
      <c r="G1029" s="74"/>
      <c r="H1029" s="70"/>
      <c r="I1029" s="71"/>
    </row>
    <row r="1030" spans="1:9" s="65" customFormat="1">
      <c r="A1030" s="75" t="s">
        <v>391</v>
      </c>
      <c r="B1030" s="76" t="s">
        <v>392</v>
      </c>
      <c r="C1030" s="76" t="s">
        <v>393</v>
      </c>
      <c r="D1030" s="76" t="s">
        <v>394</v>
      </c>
      <c r="E1030" s="76" t="s">
        <v>395</v>
      </c>
      <c r="F1030" s="76" t="s">
        <v>396</v>
      </c>
      <c r="G1030" s="76" t="s">
        <v>397</v>
      </c>
      <c r="H1030" s="74"/>
      <c r="I1030" s="71"/>
    </row>
    <row r="1031" spans="1:9" s="65" customFormat="1">
      <c r="A1031" s="77" t="s">
        <v>404</v>
      </c>
      <c r="B1031" s="78" t="s">
        <v>405</v>
      </c>
      <c r="C1031" s="79" t="s">
        <v>406</v>
      </c>
      <c r="D1031" s="107">
        <v>1250</v>
      </c>
      <c r="E1031" s="79">
        <v>2</v>
      </c>
      <c r="F1031" s="79">
        <v>0</v>
      </c>
      <c r="G1031" s="107">
        <f>(D1031*E1031)+((D1031*E1031)*F1031/100)</f>
        <v>2500</v>
      </c>
      <c r="H1031" s="74"/>
      <c r="I1031" s="71"/>
    </row>
    <row r="1032" spans="1:9" s="65" customFormat="1">
      <c r="A1032" s="79" t="s">
        <v>467</v>
      </c>
      <c r="B1032" s="78" t="s">
        <v>468</v>
      </c>
      <c r="C1032" s="79" t="s">
        <v>437</v>
      </c>
      <c r="D1032" s="107">
        <v>35000</v>
      </c>
      <c r="E1032" s="79">
        <v>0.15</v>
      </c>
      <c r="F1032" s="79">
        <v>0</v>
      </c>
      <c r="G1032" s="107">
        <f>(D1032*E1032)+((D1032*E1032)*F1032/100)</f>
        <v>5250</v>
      </c>
      <c r="H1032" s="74"/>
      <c r="I1032" s="71"/>
    </row>
    <row r="1033" spans="1:9" s="65" customFormat="1">
      <c r="A1033" s="82"/>
      <c r="B1033" s="83"/>
      <c r="C1033" s="84"/>
      <c r="D1033" s="84"/>
      <c r="E1033" s="84"/>
      <c r="F1033"/>
      <c r="G1033" s="85" t="s">
        <v>407</v>
      </c>
      <c r="H1033" s="107">
        <f>SUM(G1031:G1031)</f>
        <v>2500</v>
      </c>
      <c r="I1033" s="71"/>
    </row>
    <row r="1034" spans="1:9" s="65" customFormat="1">
      <c r="A1034" s="72" t="s">
        <v>408</v>
      </c>
      <c r="B1034" s="73"/>
      <c r="C1034" s="73"/>
      <c r="D1034" s="73"/>
      <c r="E1034" s="73"/>
      <c r="F1034"/>
      <c r="G1034" s="74"/>
      <c r="H1034" s="108"/>
      <c r="I1034" s="71"/>
    </row>
    <row r="1035" spans="1:9" s="65" customFormat="1">
      <c r="A1035" s="75" t="s">
        <v>391</v>
      </c>
      <c r="B1035" s="76" t="s">
        <v>392</v>
      </c>
      <c r="C1035" s="76" t="s">
        <v>393</v>
      </c>
      <c r="D1035" s="76" t="s">
        <v>394</v>
      </c>
      <c r="E1035" s="76" t="s">
        <v>395</v>
      </c>
      <c r="F1035" s="76" t="s">
        <v>396</v>
      </c>
      <c r="G1035" s="76" t="s">
        <v>397</v>
      </c>
      <c r="H1035" s="108"/>
      <c r="I1035" s="71"/>
    </row>
    <row r="1036" spans="1:9" s="65" customFormat="1">
      <c r="A1036" s="135"/>
      <c r="B1036" s="281" t="s">
        <v>1033</v>
      </c>
      <c r="C1036" s="127" t="s">
        <v>454</v>
      </c>
      <c r="D1036" s="107">
        <f>+H247</f>
        <v>281819</v>
      </c>
      <c r="E1036" s="79">
        <v>0.09</v>
      </c>
      <c r="F1036" s="79">
        <v>5</v>
      </c>
      <c r="G1036" s="107">
        <f>(D1036*E1036)+((D1036*E1036)*F1036/100)</f>
        <v>26631.895499999999</v>
      </c>
      <c r="H1036" s="108"/>
      <c r="I1036" s="71"/>
    </row>
    <row r="1037" spans="1:9" s="65" customFormat="1">
      <c r="A1037" s="139"/>
      <c r="B1037" s="282" t="s">
        <v>1034</v>
      </c>
      <c r="C1037" s="127" t="s">
        <v>406</v>
      </c>
      <c r="D1037" s="107">
        <v>150000</v>
      </c>
      <c r="E1037" s="79">
        <v>0.01</v>
      </c>
      <c r="F1037" s="79">
        <v>0</v>
      </c>
      <c r="G1037" s="107">
        <f>(D1037*E1037)+((D1037*E1037)*F1037/100)</f>
        <v>1500</v>
      </c>
      <c r="H1037" s="108"/>
      <c r="I1037" s="71"/>
    </row>
    <row r="1038" spans="1:9" s="65" customFormat="1">
      <c r="A1038" s="90"/>
      <c r="B1038" s="91"/>
      <c r="C1038" s="91"/>
      <c r="D1038" s="91"/>
      <c r="E1038" s="91"/>
      <c r="F1038"/>
      <c r="G1038" s="85" t="s">
        <v>407</v>
      </c>
      <c r="H1038" s="107">
        <f>SUM(G1036:G1037)</f>
        <v>28131.895499999999</v>
      </c>
      <c r="I1038" s="71"/>
    </row>
    <row r="1039" spans="1:9" s="65" customFormat="1">
      <c r="A1039" s="72" t="s">
        <v>410</v>
      </c>
      <c r="B1039" s="73"/>
      <c r="C1039" s="73"/>
      <c r="D1039" s="73"/>
      <c r="E1039" s="73"/>
      <c r="F1039"/>
      <c r="G1039" s="74"/>
      <c r="H1039" s="108"/>
      <c r="I1039" s="71"/>
    </row>
    <row r="1040" spans="1:9" s="65" customFormat="1">
      <c r="A1040" s="75" t="s">
        <v>391</v>
      </c>
      <c r="B1040" s="76" t="s">
        <v>392</v>
      </c>
      <c r="C1040" s="76" t="s">
        <v>393</v>
      </c>
      <c r="D1040" s="76" t="s">
        <v>394</v>
      </c>
      <c r="E1040" s="76" t="s">
        <v>395</v>
      </c>
      <c r="F1040" s="76" t="s">
        <v>396</v>
      </c>
      <c r="G1040" s="76" t="s">
        <v>397</v>
      </c>
      <c r="H1040" s="108"/>
      <c r="I1040" s="71"/>
    </row>
    <row r="1041" spans="1:9" s="65" customFormat="1">
      <c r="A1041" s="125" t="s">
        <v>478</v>
      </c>
      <c r="B1041" s="126" t="s">
        <v>479</v>
      </c>
      <c r="C1041" s="127" t="s">
        <v>426</v>
      </c>
      <c r="D1041" s="107">
        <f>5627*6+10300+15000</f>
        <v>59062</v>
      </c>
      <c r="E1041" s="79">
        <v>0.15</v>
      </c>
      <c r="F1041" s="79">
        <v>0</v>
      </c>
      <c r="G1041" s="107">
        <f>(D1041*E1041)+((D1041*E1041)*F1041/100)</f>
        <v>8859.2999999999993</v>
      </c>
      <c r="H1041" s="108"/>
      <c r="I1041" s="149"/>
    </row>
    <row r="1042" spans="1:9" s="65" customFormat="1">
      <c r="A1042" s="90"/>
      <c r="B1042" s="91"/>
      <c r="C1042" s="91"/>
      <c r="D1042" s="91"/>
      <c r="E1042" s="91"/>
      <c r="F1042"/>
      <c r="G1042" s="93" t="s">
        <v>407</v>
      </c>
      <c r="H1042" s="107">
        <f>SUM(G1041:G1041)</f>
        <v>8859.2999999999993</v>
      </c>
      <c r="I1042" s="71"/>
    </row>
    <row r="1043" spans="1:9" s="65" customFormat="1">
      <c r="A1043" s="72" t="s">
        <v>411</v>
      </c>
      <c r="B1043" s="73"/>
      <c r="C1043" s="73"/>
      <c r="D1043" s="73"/>
      <c r="E1043" s="73"/>
      <c r="F1043"/>
      <c r="G1043" s="74"/>
      <c r="H1043" s="108"/>
      <c r="I1043" s="71"/>
    </row>
    <row r="1044" spans="1:9" s="65" customFormat="1">
      <c r="A1044" s="75" t="s">
        <v>391</v>
      </c>
      <c r="B1044" s="76" t="s">
        <v>392</v>
      </c>
      <c r="C1044" s="76" t="s">
        <v>393</v>
      </c>
      <c r="D1044" s="76" t="s">
        <v>394</v>
      </c>
      <c r="E1044" s="76" t="s">
        <v>395</v>
      </c>
      <c r="F1044" s="76" t="s">
        <v>396</v>
      </c>
      <c r="G1044" s="76" t="s">
        <v>397</v>
      </c>
      <c r="H1044" s="108"/>
      <c r="I1044" s="71"/>
    </row>
    <row r="1045" spans="1:9" s="65" customFormat="1">
      <c r="A1045" s="87" t="s">
        <v>409</v>
      </c>
      <c r="B1045" s="114" t="s">
        <v>409</v>
      </c>
      <c r="C1045" s="114" t="s">
        <v>409</v>
      </c>
      <c r="D1045" s="114" t="s">
        <v>409</v>
      </c>
      <c r="E1045" s="114" t="s">
        <v>409</v>
      </c>
      <c r="F1045" s="79" t="s">
        <v>409</v>
      </c>
      <c r="G1045" s="89" t="s">
        <v>409</v>
      </c>
      <c r="H1045" s="108"/>
      <c r="I1045" s="71"/>
    </row>
    <row r="1046" spans="1:9" s="65" customFormat="1">
      <c r="A1046" s="94"/>
      <c r="B1046" s="95"/>
      <c r="C1046" s="95"/>
      <c r="D1046" s="95"/>
      <c r="E1046" s="95"/>
      <c r="F1046"/>
      <c r="G1046" s="93" t="s">
        <v>407</v>
      </c>
      <c r="H1046" s="107">
        <f>SUM(G1044:G1045)</f>
        <v>0</v>
      </c>
      <c r="I1046" s="71"/>
    </row>
    <row r="1047" spans="1:9" s="65" customFormat="1">
      <c r="A1047" s="94"/>
      <c r="B1047" s="95"/>
      <c r="C1047" s="95"/>
      <c r="D1047" s="95"/>
      <c r="E1047" s="95"/>
      <c r="F1047"/>
      <c r="G1047" s="74"/>
      <c r="H1047" s="74"/>
      <c r="I1047" s="71"/>
    </row>
    <row r="1048" spans="1:9" s="65" customFormat="1">
      <c r="A1048" s="96"/>
      <c r="B1048" s="97"/>
      <c r="C1048" s="98"/>
      <c r="D1048" s="98"/>
      <c r="E1048" s="98"/>
      <c r="F1048"/>
      <c r="G1048" s="99" t="s">
        <v>412</v>
      </c>
      <c r="H1048" s="115">
        <f>SUM(H1033:H1046)</f>
        <v>39491.195500000002</v>
      </c>
      <c r="I1048" s="71"/>
    </row>
    <row r="1049" spans="1:9" s="65" customFormat="1">
      <c r="A1049" s="96"/>
      <c r="B1049" s="97"/>
      <c r="C1049" s="98"/>
      <c r="D1049" s="98"/>
      <c r="E1049" s="98"/>
      <c r="F1049" s="101"/>
      <c r="G1049" s="116"/>
      <c r="H1049" s="70"/>
      <c r="I1049" s="71"/>
    </row>
    <row r="1050" spans="1:9" s="65" customFormat="1" ht="15.75" thickBot="1">
      <c r="A1050" s="624" t="s">
        <v>414</v>
      </c>
      <c r="B1050" s="625"/>
      <c r="C1050" s="625"/>
      <c r="D1050" s="625"/>
      <c r="E1050" s="625"/>
      <c r="F1050" s="625"/>
      <c r="G1050" s="626"/>
      <c r="H1050" s="117">
        <f>+ROUND(H1048,0)</f>
        <v>39491</v>
      </c>
      <c r="I1050" s="103"/>
    </row>
    <row r="1051" spans="1:9" s="65" customFormat="1">
      <c r="B1051" s="97"/>
      <c r="C1051" s="98"/>
      <c r="D1051" s="98"/>
      <c r="E1051" s="98"/>
      <c r="G1051" s="128"/>
    </row>
    <row r="1052" spans="1:9" s="65" customFormat="1" ht="15.75" thickBot="1">
      <c r="B1052" s="97"/>
      <c r="C1052" s="98"/>
      <c r="D1052" s="98"/>
      <c r="E1052" s="98"/>
      <c r="F1052" s="128"/>
      <c r="G1052" s="133"/>
      <c r="H1052" s="134"/>
    </row>
    <row r="1053" spans="1:9" s="65" customFormat="1">
      <c r="A1053" s="627"/>
      <c r="B1053" s="634" t="s">
        <v>1035</v>
      </c>
      <c r="C1053" s="635"/>
      <c r="D1053" s="635"/>
      <c r="E1053" s="635"/>
      <c r="F1053" s="635"/>
      <c r="G1053" s="635"/>
      <c r="H1053" s="636"/>
      <c r="I1053" s="66" t="s">
        <v>389</v>
      </c>
    </row>
    <row r="1054" spans="1:9" s="65" customFormat="1">
      <c r="A1054" s="628"/>
      <c r="B1054" s="637"/>
      <c r="C1054" s="638"/>
      <c r="D1054" s="638"/>
      <c r="E1054" s="638"/>
      <c r="F1054" s="638"/>
      <c r="G1054" s="638"/>
      <c r="H1054" s="639"/>
      <c r="I1054" s="67" t="s">
        <v>8</v>
      </c>
    </row>
    <row r="1055" spans="1:9" s="65" customFormat="1">
      <c r="A1055" s="68"/>
      <c r="B1055" s="69"/>
      <c r="C1055" s="69"/>
      <c r="D1055" s="69"/>
      <c r="E1055" s="69"/>
      <c r="F1055" s="70"/>
      <c r="G1055" s="70"/>
      <c r="H1055" s="70"/>
      <c r="I1055" s="71"/>
    </row>
    <row r="1056" spans="1:9" s="65" customFormat="1">
      <c r="A1056" s="72" t="s">
        <v>390</v>
      </c>
      <c r="B1056" s="73"/>
      <c r="C1056" s="73"/>
      <c r="D1056" s="73"/>
      <c r="E1056" s="73"/>
      <c r="F1056" s="74"/>
      <c r="G1056" s="74"/>
      <c r="H1056" s="70"/>
      <c r="I1056" s="71"/>
    </row>
    <row r="1057" spans="1:9" s="65" customFormat="1">
      <c r="A1057" s="75" t="s">
        <v>391</v>
      </c>
      <c r="B1057" s="76" t="s">
        <v>392</v>
      </c>
      <c r="C1057" s="76" t="s">
        <v>393</v>
      </c>
      <c r="D1057" s="76" t="s">
        <v>394</v>
      </c>
      <c r="E1057" s="76" t="s">
        <v>395</v>
      </c>
      <c r="F1057" s="76" t="s">
        <v>396</v>
      </c>
      <c r="G1057" s="76" t="s">
        <v>397</v>
      </c>
      <c r="H1057" s="74"/>
      <c r="I1057" s="71"/>
    </row>
    <row r="1058" spans="1:9" s="65" customFormat="1">
      <c r="A1058" s="77" t="s">
        <v>404</v>
      </c>
      <c r="B1058" s="78" t="s">
        <v>405</v>
      </c>
      <c r="C1058" s="79" t="s">
        <v>406</v>
      </c>
      <c r="D1058" s="107">
        <v>1250</v>
      </c>
      <c r="E1058" s="79">
        <v>2</v>
      </c>
      <c r="F1058" s="79">
        <v>0</v>
      </c>
      <c r="G1058" s="107">
        <f>(D1058*E1058)+((D1058*E1058)*F1058/100)</f>
        <v>2500</v>
      </c>
      <c r="H1058" s="74"/>
      <c r="I1058" s="71"/>
    </row>
    <row r="1059" spans="1:9" s="65" customFormat="1">
      <c r="A1059" s="82"/>
      <c r="B1059" s="83"/>
      <c r="C1059" s="84"/>
      <c r="D1059" s="84"/>
      <c r="E1059" s="84"/>
      <c r="F1059"/>
      <c r="G1059" s="85" t="s">
        <v>407</v>
      </c>
      <c r="H1059" s="107">
        <f>SUM(G1058:G1058)</f>
        <v>2500</v>
      </c>
      <c r="I1059" s="71"/>
    </row>
    <row r="1060" spans="1:9" s="65" customFormat="1">
      <c r="A1060" s="72" t="s">
        <v>408</v>
      </c>
      <c r="B1060" s="73"/>
      <c r="C1060" s="73"/>
      <c r="D1060" s="73"/>
      <c r="E1060" s="73"/>
      <c r="F1060"/>
      <c r="G1060" s="74"/>
      <c r="H1060" s="108"/>
      <c r="I1060" s="71"/>
    </row>
    <row r="1061" spans="1:9" s="65" customFormat="1">
      <c r="A1061" s="75" t="s">
        <v>391</v>
      </c>
      <c r="B1061" s="76" t="s">
        <v>392</v>
      </c>
      <c r="C1061" s="76" t="s">
        <v>393</v>
      </c>
      <c r="D1061" s="76" t="s">
        <v>394</v>
      </c>
      <c r="E1061" s="76" t="s">
        <v>395</v>
      </c>
      <c r="F1061" s="76" t="s">
        <v>396</v>
      </c>
      <c r="G1061" s="76" t="s">
        <v>397</v>
      </c>
      <c r="H1061" s="108"/>
      <c r="I1061" s="71"/>
    </row>
    <row r="1062" spans="1:9" s="65" customFormat="1" ht="29.25">
      <c r="A1062" s="135"/>
      <c r="B1062" s="282" t="s">
        <v>1036</v>
      </c>
      <c r="C1062" s="127" t="s">
        <v>7</v>
      </c>
      <c r="D1062" s="107">
        <v>500</v>
      </c>
      <c r="E1062" s="79">
        <v>17</v>
      </c>
      <c r="F1062" s="79">
        <v>0</v>
      </c>
      <c r="G1062" s="107">
        <f>(D1062*E1062)+((D1062*E1062)*F1062/100)</f>
        <v>8500</v>
      </c>
      <c r="H1062" s="108"/>
      <c r="I1062" s="71"/>
    </row>
    <row r="1063" spans="1:9" s="65" customFormat="1" ht="29.25">
      <c r="A1063" s="139"/>
      <c r="B1063" s="282" t="s">
        <v>1026</v>
      </c>
      <c r="C1063" s="127" t="s">
        <v>1028</v>
      </c>
      <c r="D1063" s="107">
        <v>25000</v>
      </c>
      <c r="E1063" s="79">
        <v>6.5000000000000002E-2</v>
      </c>
      <c r="F1063" s="79">
        <v>0</v>
      </c>
      <c r="G1063" s="107">
        <f>(D1063*E1063)+((D1063*E1063)*F1063/100)</f>
        <v>1625</v>
      </c>
      <c r="H1063" s="108"/>
      <c r="I1063" s="71"/>
    </row>
    <row r="1064" spans="1:9" s="65" customFormat="1">
      <c r="A1064" s="139"/>
      <c r="B1064" s="282" t="s">
        <v>1037</v>
      </c>
      <c r="C1064" s="127" t="s">
        <v>432</v>
      </c>
      <c r="D1064" s="107">
        <v>40000</v>
      </c>
      <c r="E1064" s="79">
        <v>0.01</v>
      </c>
      <c r="F1064" s="79">
        <v>0</v>
      </c>
      <c r="G1064" s="107">
        <f>(D1064*E1064)+((D1064*E1064)*F1064/100)</f>
        <v>400</v>
      </c>
      <c r="H1064" s="108"/>
      <c r="I1064" s="71"/>
    </row>
    <row r="1065" spans="1:9" s="65" customFormat="1">
      <c r="A1065" s="90"/>
      <c r="B1065" s="91"/>
      <c r="C1065" s="91"/>
      <c r="D1065" s="91"/>
      <c r="E1065" s="91"/>
      <c r="F1065"/>
      <c r="G1065" s="85" t="s">
        <v>407</v>
      </c>
      <c r="H1065" s="107">
        <f>SUM(G1062:G1064)</f>
        <v>10525</v>
      </c>
      <c r="I1065" s="71"/>
    </row>
    <row r="1066" spans="1:9" s="65" customFormat="1">
      <c r="A1066" s="72" t="s">
        <v>410</v>
      </c>
      <c r="B1066" s="73"/>
      <c r="C1066" s="73"/>
      <c r="D1066" s="73"/>
      <c r="E1066" s="73"/>
      <c r="F1066"/>
      <c r="G1066" s="74"/>
      <c r="H1066" s="108"/>
      <c r="I1066" s="71"/>
    </row>
    <row r="1067" spans="1:9" s="65" customFormat="1">
      <c r="A1067" s="75" t="s">
        <v>391</v>
      </c>
      <c r="B1067" s="76" t="s">
        <v>392</v>
      </c>
      <c r="C1067" s="76" t="s">
        <v>393</v>
      </c>
      <c r="D1067" s="76" t="s">
        <v>394</v>
      </c>
      <c r="E1067" s="76" t="s">
        <v>395</v>
      </c>
      <c r="F1067" s="76" t="s">
        <v>396</v>
      </c>
      <c r="G1067" s="76" t="s">
        <v>397</v>
      </c>
      <c r="H1067" s="108"/>
      <c r="I1067" s="71"/>
    </row>
    <row r="1068" spans="1:9" s="65" customFormat="1">
      <c r="A1068" s="125" t="s">
        <v>478</v>
      </c>
      <c r="B1068" s="126" t="s">
        <v>1029</v>
      </c>
      <c r="C1068" s="127" t="s">
        <v>426</v>
      </c>
      <c r="D1068" s="107">
        <f>10300+5927*2</f>
        <v>22154</v>
      </c>
      <c r="E1068" s="79">
        <v>0.8</v>
      </c>
      <c r="F1068" s="79">
        <v>0</v>
      </c>
      <c r="G1068" s="107">
        <f>(D1068*E1068)+((D1068*E1068)*F1068/100)</f>
        <v>17723.2</v>
      </c>
      <c r="H1068" s="108"/>
      <c r="I1068" s="149"/>
    </row>
    <row r="1069" spans="1:9" s="65" customFormat="1">
      <c r="A1069" s="90"/>
      <c r="B1069" s="91"/>
      <c r="C1069" s="91"/>
      <c r="D1069" s="91"/>
      <c r="E1069" s="91"/>
      <c r="F1069"/>
      <c r="G1069" s="93" t="s">
        <v>407</v>
      </c>
      <c r="H1069" s="107">
        <f>SUM(G1068:G1068)</f>
        <v>17723.2</v>
      </c>
      <c r="I1069" s="71"/>
    </row>
    <row r="1070" spans="1:9" s="65" customFormat="1">
      <c r="A1070" s="72" t="s">
        <v>411</v>
      </c>
      <c r="B1070" s="73"/>
      <c r="C1070" s="73"/>
      <c r="D1070" s="73"/>
      <c r="E1070" s="73"/>
      <c r="F1070"/>
      <c r="G1070" s="74"/>
      <c r="H1070" s="108"/>
      <c r="I1070" s="71"/>
    </row>
    <row r="1071" spans="1:9" s="65" customFormat="1">
      <c r="A1071" s="75" t="s">
        <v>391</v>
      </c>
      <c r="B1071" s="76" t="s">
        <v>392</v>
      </c>
      <c r="C1071" s="76" t="s">
        <v>393</v>
      </c>
      <c r="D1071" s="76" t="s">
        <v>394</v>
      </c>
      <c r="E1071" s="76" t="s">
        <v>395</v>
      </c>
      <c r="F1071" s="76" t="s">
        <v>396</v>
      </c>
      <c r="G1071" s="76" t="s">
        <v>397</v>
      </c>
      <c r="H1071" s="108"/>
      <c r="I1071" s="71"/>
    </row>
    <row r="1072" spans="1:9" s="65" customFormat="1">
      <c r="A1072" s="87" t="s">
        <v>409</v>
      </c>
      <c r="B1072" s="114" t="s">
        <v>409</v>
      </c>
      <c r="C1072" s="114" t="s">
        <v>409</v>
      </c>
      <c r="D1072" s="114" t="s">
        <v>409</v>
      </c>
      <c r="E1072" s="114" t="s">
        <v>409</v>
      </c>
      <c r="F1072" s="79" t="s">
        <v>409</v>
      </c>
      <c r="G1072" s="89" t="s">
        <v>409</v>
      </c>
      <c r="H1072" s="108"/>
      <c r="I1072" s="71"/>
    </row>
    <row r="1073" spans="1:9" s="65" customFormat="1">
      <c r="A1073" s="94"/>
      <c r="B1073" s="95"/>
      <c r="C1073" s="95"/>
      <c r="D1073" s="95"/>
      <c r="E1073" s="95"/>
      <c r="F1073"/>
      <c r="G1073" s="93" t="s">
        <v>407</v>
      </c>
      <c r="H1073" s="107">
        <f>SUM(G1071:G1072)</f>
        <v>0</v>
      </c>
      <c r="I1073" s="71"/>
    </row>
    <row r="1074" spans="1:9" s="65" customFormat="1">
      <c r="A1074" s="94"/>
      <c r="B1074" s="95"/>
      <c r="C1074" s="95"/>
      <c r="D1074" s="95"/>
      <c r="E1074" s="95"/>
      <c r="F1074"/>
      <c r="G1074" s="74"/>
      <c r="H1074" s="74"/>
      <c r="I1074" s="71"/>
    </row>
    <row r="1075" spans="1:9" s="65" customFormat="1">
      <c r="A1075" s="96"/>
      <c r="B1075" s="97"/>
      <c r="C1075" s="98"/>
      <c r="D1075" s="98"/>
      <c r="E1075" s="98"/>
      <c r="F1075"/>
      <c r="G1075" s="99" t="s">
        <v>412</v>
      </c>
      <c r="H1075" s="115">
        <f>SUM(H1059:H1073)</f>
        <v>30748.2</v>
      </c>
      <c r="I1075" s="71"/>
    </row>
    <row r="1076" spans="1:9" s="65" customFormat="1">
      <c r="A1076" s="96"/>
      <c r="B1076" s="97"/>
      <c r="C1076" s="98"/>
      <c r="D1076" s="98"/>
      <c r="E1076" s="98"/>
      <c r="F1076" s="101"/>
      <c r="G1076" s="116"/>
      <c r="H1076" s="70"/>
      <c r="I1076" s="71"/>
    </row>
    <row r="1077" spans="1:9" s="65" customFormat="1" ht="15.75" thickBot="1">
      <c r="A1077" s="624" t="s">
        <v>430</v>
      </c>
      <c r="B1077" s="625"/>
      <c r="C1077" s="625"/>
      <c r="D1077" s="625"/>
      <c r="E1077" s="625"/>
      <c r="F1077" s="625"/>
      <c r="G1077" s="626"/>
      <c r="H1077" s="117">
        <f>+ROUND(H1075,0)</f>
        <v>30748</v>
      </c>
      <c r="I1077" s="103"/>
    </row>
    <row r="1078" spans="1:9" s="65" customFormat="1">
      <c r="B1078" s="97"/>
      <c r="C1078" s="98"/>
      <c r="D1078" s="98"/>
      <c r="E1078" s="98"/>
      <c r="F1078" s="128"/>
      <c r="G1078" s="133"/>
      <c r="H1078" s="134"/>
    </row>
    <row r="1079" spans="1:9" s="65" customFormat="1" ht="15.75" thickBot="1">
      <c r="A1079" s="633"/>
      <c r="B1079" s="633"/>
      <c r="C1079" s="633"/>
      <c r="D1079" s="633"/>
      <c r="E1079" s="633"/>
      <c r="F1079" s="633"/>
      <c r="G1079" s="633"/>
      <c r="H1079" s="134"/>
    </row>
    <row r="1080" spans="1:9" s="65" customFormat="1">
      <c r="A1080" s="627"/>
      <c r="B1080" s="634" t="s">
        <v>181</v>
      </c>
      <c r="C1080" s="635"/>
      <c r="D1080" s="635"/>
      <c r="E1080" s="635"/>
      <c r="F1080" s="635"/>
      <c r="G1080" s="635"/>
      <c r="H1080" s="636"/>
      <c r="I1080" s="66" t="s">
        <v>389</v>
      </c>
    </row>
    <row r="1081" spans="1:9" s="65" customFormat="1">
      <c r="A1081" s="628"/>
      <c r="B1081" s="637"/>
      <c r="C1081" s="638"/>
      <c r="D1081" s="638"/>
      <c r="E1081" s="638"/>
      <c r="F1081" s="638"/>
      <c r="G1081" s="638"/>
      <c r="H1081" s="639"/>
      <c r="I1081" s="67" t="s">
        <v>291</v>
      </c>
    </row>
    <row r="1082" spans="1:9" s="65" customFormat="1">
      <c r="A1082" s="68"/>
      <c r="B1082" s="69"/>
      <c r="C1082" s="69"/>
      <c r="D1082" s="69"/>
      <c r="E1082" s="69"/>
      <c r="F1082" s="70"/>
      <c r="G1082" s="70"/>
      <c r="H1082" s="70"/>
      <c r="I1082" s="71"/>
    </row>
    <row r="1083" spans="1:9" s="65" customFormat="1">
      <c r="A1083" s="72" t="s">
        <v>390</v>
      </c>
      <c r="B1083" s="73"/>
      <c r="C1083" s="73"/>
      <c r="D1083" s="73"/>
      <c r="E1083" s="73"/>
      <c r="F1083" s="74"/>
      <c r="G1083" s="74"/>
      <c r="H1083" s="70"/>
      <c r="I1083" s="71"/>
    </row>
    <row r="1084" spans="1:9" s="65" customFormat="1">
      <c r="A1084" s="75" t="s">
        <v>391</v>
      </c>
      <c r="B1084" s="76" t="s">
        <v>392</v>
      </c>
      <c r="C1084" s="76" t="s">
        <v>393</v>
      </c>
      <c r="D1084" s="76" t="s">
        <v>394</v>
      </c>
      <c r="E1084" s="76" t="s">
        <v>395</v>
      </c>
      <c r="F1084" s="76" t="s">
        <v>396</v>
      </c>
      <c r="G1084" s="76" t="s">
        <v>397</v>
      </c>
      <c r="H1084" s="74"/>
      <c r="I1084" s="71"/>
    </row>
    <row r="1085" spans="1:9" s="65" customFormat="1">
      <c r="A1085" s="77" t="s">
        <v>404</v>
      </c>
      <c r="B1085" s="78" t="s">
        <v>405</v>
      </c>
      <c r="C1085" s="79" t="s">
        <v>406</v>
      </c>
      <c r="D1085" s="107">
        <v>1250</v>
      </c>
      <c r="E1085" s="79">
        <v>3</v>
      </c>
      <c r="F1085" s="79">
        <v>0</v>
      </c>
      <c r="G1085" s="107">
        <f>(D1085*E1085)+((D1085*E1085)*F1085/100)</f>
        <v>3750</v>
      </c>
      <c r="H1085" s="74"/>
      <c r="I1085" s="71"/>
    </row>
    <row r="1086" spans="1:9" s="65" customFormat="1">
      <c r="A1086" s="82"/>
      <c r="B1086" s="83"/>
      <c r="C1086" s="84"/>
      <c r="D1086" s="84"/>
      <c r="E1086" s="84"/>
      <c r="F1086"/>
      <c r="G1086" s="85" t="s">
        <v>407</v>
      </c>
      <c r="H1086" s="107">
        <f>SUM(G1085:G1085)</f>
        <v>3750</v>
      </c>
      <c r="I1086" s="71"/>
    </row>
    <row r="1087" spans="1:9" s="65" customFormat="1">
      <c r="A1087" s="72" t="s">
        <v>408</v>
      </c>
      <c r="B1087" s="73"/>
      <c r="C1087" s="73"/>
      <c r="D1087" s="73"/>
      <c r="E1087" s="73"/>
      <c r="F1087"/>
      <c r="G1087" s="74"/>
      <c r="H1087" s="108"/>
      <c r="I1087" s="71"/>
    </row>
    <row r="1088" spans="1:9" s="65" customFormat="1">
      <c r="A1088" s="75" t="s">
        <v>391</v>
      </c>
      <c r="B1088" s="76" t="s">
        <v>392</v>
      </c>
      <c r="C1088" s="76" t="s">
        <v>393</v>
      </c>
      <c r="D1088" s="76" t="s">
        <v>394</v>
      </c>
      <c r="E1088" s="76" t="s">
        <v>395</v>
      </c>
      <c r="F1088" s="76" t="s">
        <v>396</v>
      </c>
      <c r="G1088" s="76" t="s">
        <v>397</v>
      </c>
      <c r="H1088" s="108"/>
      <c r="I1088" s="71"/>
    </row>
    <row r="1089" spans="1:9" s="65" customFormat="1" ht="29.25">
      <c r="A1089" s="135"/>
      <c r="B1089" s="282" t="s">
        <v>1038</v>
      </c>
      <c r="C1089" s="127" t="s">
        <v>493</v>
      </c>
      <c r="D1089" s="107">
        <v>10000</v>
      </c>
      <c r="E1089" s="281">
        <v>2</v>
      </c>
      <c r="F1089" s="79">
        <v>0</v>
      </c>
      <c r="G1089" s="107">
        <f>(D1089*E1089)+((D1089*E1089)*F1089/100)</f>
        <v>20000</v>
      </c>
      <c r="H1089" s="108"/>
      <c r="I1089" s="71"/>
    </row>
    <row r="1090" spans="1:9" s="65" customFormat="1" ht="29.25">
      <c r="A1090" s="139"/>
      <c r="B1090" s="282" t="s">
        <v>1039</v>
      </c>
      <c r="C1090" s="127" t="s">
        <v>493</v>
      </c>
      <c r="D1090" s="107">
        <v>30000</v>
      </c>
      <c r="E1090" s="281">
        <v>0.8</v>
      </c>
      <c r="F1090" s="79">
        <v>0</v>
      </c>
      <c r="G1090" s="107">
        <f>(D1090*E1090)+((D1090*E1090)*F1090/100)</f>
        <v>24000</v>
      </c>
      <c r="H1090" s="108"/>
      <c r="I1090" s="71"/>
    </row>
    <row r="1091" spans="1:9" s="65" customFormat="1" ht="29.25">
      <c r="A1091" s="139"/>
      <c r="B1091" s="282" t="s">
        <v>1040</v>
      </c>
      <c r="C1091" s="127" t="s">
        <v>493</v>
      </c>
      <c r="D1091" s="107">
        <v>500</v>
      </c>
      <c r="E1091" s="281">
        <v>24</v>
      </c>
      <c r="F1091" s="79">
        <v>0</v>
      </c>
      <c r="G1091" s="107">
        <f t="shared" ref="G1091:G1093" si="3">(D1091*E1091)+((D1091*E1091)*F1091/100)</f>
        <v>12000</v>
      </c>
      <c r="H1091" s="108"/>
      <c r="I1091" s="71"/>
    </row>
    <row r="1092" spans="1:9" s="65" customFormat="1">
      <c r="A1092" s="139"/>
      <c r="B1092" s="282" t="s">
        <v>1041</v>
      </c>
      <c r="C1092" s="127" t="s">
        <v>455</v>
      </c>
      <c r="D1092" s="107">
        <v>6200</v>
      </c>
      <c r="E1092" s="281">
        <v>1.3</v>
      </c>
      <c r="F1092" s="79">
        <v>0</v>
      </c>
      <c r="G1092" s="107">
        <f t="shared" si="3"/>
        <v>8060</v>
      </c>
      <c r="H1092" s="108"/>
      <c r="I1092" s="71"/>
    </row>
    <row r="1093" spans="1:9" s="65" customFormat="1">
      <c r="A1093" s="139"/>
      <c r="B1093" s="282" t="s">
        <v>1042</v>
      </c>
      <c r="C1093" s="127" t="s">
        <v>1022</v>
      </c>
      <c r="D1093" s="107">
        <v>3500</v>
      </c>
      <c r="E1093" s="281">
        <v>0.3</v>
      </c>
      <c r="F1093" s="79">
        <v>0</v>
      </c>
      <c r="G1093" s="107">
        <f t="shared" si="3"/>
        <v>1050</v>
      </c>
      <c r="H1093" s="108"/>
      <c r="I1093" s="71"/>
    </row>
    <row r="1094" spans="1:9" s="65" customFormat="1">
      <c r="A1094" s="90"/>
      <c r="B1094" s="91"/>
      <c r="C1094" s="91"/>
      <c r="D1094" s="91"/>
      <c r="E1094" s="91"/>
      <c r="F1094"/>
      <c r="G1094" s="85" t="s">
        <v>407</v>
      </c>
      <c r="H1094" s="107">
        <f>SUM(G1089:G1093)</f>
        <v>65110</v>
      </c>
      <c r="I1094" s="71"/>
    </row>
    <row r="1095" spans="1:9" s="65" customFormat="1">
      <c r="A1095" s="72" t="s">
        <v>410</v>
      </c>
      <c r="B1095" s="73"/>
      <c r="C1095" s="73"/>
      <c r="D1095" s="73"/>
      <c r="E1095" s="73"/>
      <c r="F1095"/>
      <c r="G1095" s="74"/>
      <c r="H1095" s="108"/>
      <c r="I1095" s="71"/>
    </row>
    <row r="1096" spans="1:9" s="65" customFormat="1">
      <c r="A1096" s="75" t="s">
        <v>391</v>
      </c>
      <c r="B1096" s="76" t="s">
        <v>392</v>
      </c>
      <c r="C1096" s="76" t="s">
        <v>393</v>
      </c>
      <c r="D1096" s="76" t="s">
        <v>394</v>
      </c>
      <c r="E1096" s="76" t="s">
        <v>395</v>
      </c>
      <c r="F1096" s="76" t="s">
        <v>396</v>
      </c>
      <c r="G1096" s="76" t="s">
        <v>397</v>
      </c>
      <c r="H1096" s="108"/>
      <c r="I1096" s="71"/>
    </row>
    <row r="1097" spans="1:9" s="65" customFormat="1">
      <c r="A1097" s="125" t="s">
        <v>478</v>
      </c>
      <c r="B1097" s="126" t="s">
        <v>1029</v>
      </c>
      <c r="C1097" s="127" t="s">
        <v>426</v>
      </c>
      <c r="D1097" s="107">
        <f>10300+5927*2</f>
        <v>22154</v>
      </c>
      <c r="E1097" s="79">
        <v>0.8</v>
      </c>
      <c r="F1097" s="79">
        <v>0</v>
      </c>
      <c r="G1097" s="107">
        <f>(D1097*E1097)+((D1097*E1097)*F1097/100)</f>
        <v>17723.2</v>
      </c>
      <c r="H1097" s="108"/>
      <c r="I1097" s="149"/>
    </row>
    <row r="1098" spans="1:9" s="65" customFormat="1">
      <c r="A1098" s="90"/>
      <c r="B1098" s="91"/>
      <c r="C1098" s="91"/>
      <c r="D1098" s="91"/>
      <c r="E1098" s="91"/>
      <c r="F1098"/>
      <c r="G1098" s="93" t="s">
        <v>407</v>
      </c>
      <c r="H1098" s="107">
        <f>SUM(G1097:G1097)</f>
        <v>17723.2</v>
      </c>
      <c r="I1098" s="71"/>
    </row>
    <row r="1099" spans="1:9" s="65" customFormat="1">
      <c r="A1099" s="72" t="s">
        <v>411</v>
      </c>
      <c r="B1099" s="73"/>
      <c r="C1099" s="73"/>
      <c r="D1099" s="73"/>
      <c r="E1099" s="73"/>
      <c r="F1099"/>
      <c r="G1099" s="74"/>
      <c r="H1099" s="108"/>
      <c r="I1099" s="71"/>
    </row>
    <row r="1100" spans="1:9" s="65" customFormat="1">
      <c r="A1100" s="75" t="s">
        <v>391</v>
      </c>
      <c r="B1100" s="76" t="s">
        <v>392</v>
      </c>
      <c r="C1100" s="76" t="s">
        <v>393</v>
      </c>
      <c r="D1100" s="76" t="s">
        <v>394</v>
      </c>
      <c r="E1100" s="76" t="s">
        <v>395</v>
      </c>
      <c r="F1100" s="76" t="s">
        <v>396</v>
      </c>
      <c r="G1100" s="76" t="s">
        <v>397</v>
      </c>
      <c r="H1100" s="108"/>
      <c r="I1100" s="71"/>
    </row>
    <row r="1101" spans="1:9" s="65" customFormat="1">
      <c r="A1101" s="87" t="s">
        <v>409</v>
      </c>
      <c r="B1101" s="114" t="s">
        <v>409</v>
      </c>
      <c r="C1101" s="114" t="s">
        <v>409</v>
      </c>
      <c r="D1101" s="114" t="s">
        <v>409</v>
      </c>
      <c r="E1101" s="114" t="s">
        <v>409</v>
      </c>
      <c r="F1101" s="79" t="s">
        <v>409</v>
      </c>
      <c r="G1101" s="89" t="s">
        <v>409</v>
      </c>
      <c r="H1101" s="108"/>
      <c r="I1101" s="71"/>
    </row>
    <row r="1102" spans="1:9" s="65" customFormat="1">
      <c r="A1102" s="94"/>
      <c r="B1102" s="95"/>
      <c r="C1102" s="95"/>
      <c r="D1102" s="95"/>
      <c r="E1102" s="95"/>
      <c r="F1102"/>
      <c r="G1102" s="93" t="s">
        <v>407</v>
      </c>
      <c r="H1102" s="107">
        <f>SUM(G1100:G1101)</f>
        <v>0</v>
      </c>
      <c r="I1102" s="71"/>
    </row>
    <row r="1103" spans="1:9" s="65" customFormat="1">
      <c r="A1103" s="94"/>
      <c r="B1103" s="95"/>
      <c r="C1103" s="95"/>
      <c r="D1103" s="95"/>
      <c r="E1103" s="95"/>
      <c r="F1103"/>
      <c r="G1103" s="74"/>
      <c r="H1103" s="74"/>
      <c r="I1103" s="71"/>
    </row>
    <row r="1104" spans="1:9" s="65" customFormat="1">
      <c r="A1104" s="96"/>
      <c r="B1104" s="97"/>
      <c r="C1104" s="98"/>
      <c r="D1104" s="98"/>
      <c r="E1104" s="98"/>
      <c r="F1104"/>
      <c r="G1104" s="99" t="s">
        <v>412</v>
      </c>
      <c r="H1104" s="115">
        <f>SUM(H1086:H1102)</f>
        <v>86583.2</v>
      </c>
      <c r="I1104" s="71"/>
    </row>
    <row r="1105" spans="1:9" s="65" customFormat="1">
      <c r="A1105" s="96"/>
      <c r="B1105" s="97"/>
      <c r="C1105" s="98"/>
      <c r="D1105" s="98"/>
      <c r="E1105" s="98"/>
      <c r="F1105" s="101"/>
      <c r="G1105" s="116"/>
      <c r="H1105" s="70"/>
      <c r="I1105" s="71"/>
    </row>
    <row r="1106" spans="1:9" s="65" customFormat="1" ht="15.75" thickBot="1">
      <c r="A1106" s="624" t="s">
        <v>414</v>
      </c>
      <c r="B1106" s="625"/>
      <c r="C1106" s="625"/>
      <c r="D1106" s="625"/>
      <c r="E1106" s="625"/>
      <c r="F1106" s="625"/>
      <c r="G1106" s="626"/>
      <c r="H1106" s="117">
        <f>+ROUND(H1104,0)</f>
        <v>86583</v>
      </c>
      <c r="I1106" s="103"/>
    </row>
    <row r="1107" spans="1:9" s="65" customFormat="1">
      <c r="A1107" s="645"/>
      <c r="B1107" s="138"/>
      <c r="C1107" s="138"/>
      <c r="D1107" s="138"/>
      <c r="E1107" s="138"/>
      <c r="F1107" s="138"/>
      <c r="G1107" s="138"/>
      <c r="H1107" s="138"/>
      <c r="I1107" s="152"/>
    </row>
    <row r="1108" spans="1:9" s="65" customFormat="1" ht="15.75" thickBot="1">
      <c r="A1108" s="645"/>
      <c r="B1108" s="138"/>
      <c r="C1108" s="138"/>
      <c r="D1108" s="138"/>
      <c r="E1108" s="138"/>
      <c r="F1108" s="138"/>
      <c r="G1108" s="138"/>
    </row>
    <row r="1109" spans="1:9" s="65" customFormat="1">
      <c r="A1109" s="627"/>
      <c r="B1109" s="634" t="s">
        <v>183</v>
      </c>
      <c r="C1109" s="635"/>
      <c r="D1109" s="635"/>
      <c r="E1109" s="635"/>
      <c r="F1109" s="635"/>
      <c r="G1109" s="635"/>
      <c r="H1109" s="636"/>
      <c r="I1109" s="66" t="s">
        <v>389</v>
      </c>
    </row>
    <row r="1110" spans="1:9" s="65" customFormat="1">
      <c r="A1110" s="628"/>
      <c r="B1110" s="637"/>
      <c r="C1110" s="638"/>
      <c r="D1110" s="638"/>
      <c r="E1110" s="638"/>
      <c r="F1110" s="638"/>
      <c r="G1110" s="638"/>
      <c r="H1110" s="639"/>
      <c r="I1110" s="67" t="s">
        <v>291</v>
      </c>
    </row>
    <row r="1111" spans="1:9" s="65" customFormat="1">
      <c r="A1111" s="68"/>
      <c r="B1111" s="69"/>
      <c r="C1111" s="69"/>
      <c r="D1111" s="69"/>
      <c r="E1111" s="69"/>
      <c r="F1111" s="70"/>
      <c r="G1111" s="70"/>
      <c r="H1111" s="70"/>
      <c r="I1111" s="71"/>
    </row>
    <row r="1112" spans="1:9" s="65" customFormat="1">
      <c r="A1112" s="72" t="s">
        <v>390</v>
      </c>
      <c r="B1112" s="73"/>
      <c r="C1112" s="73"/>
      <c r="D1112" s="73"/>
      <c r="E1112" s="73"/>
      <c r="F1112" s="74"/>
      <c r="G1112" s="74"/>
      <c r="H1112" s="70"/>
      <c r="I1112" s="71"/>
    </row>
    <row r="1113" spans="1:9" s="65" customFormat="1">
      <c r="A1113" s="75" t="s">
        <v>391</v>
      </c>
      <c r="B1113" s="76" t="s">
        <v>392</v>
      </c>
      <c r="C1113" s="76" t="s">
        <v>393</v>
      </c>
      <c r="D1113" s="76" t="s">
        <v>394</v>
      </c>
      <c r="E1113" s="76" t="s">
        <v>395</v>
      </c>
      <c r="F1113" s="76" t="s">
        <v>396</v>
      </c>
      <c r="G1113" s="76" t="s">
        <v>397</v>
      </c>
      <c r="H1113" s="74"/>
      <c r="I1113" s="71"/>
    </row>
    <row r="1114" spans="1:9" s="65" customFormat="1">
      <c r="A1114" s="77" t="s">
        <v>404</v>
      </c>
      <c r="B1114" s="78" t="s">
        <v>405</v>
      </c>
      <c r="C1114" s="79" t="s">
        <v>406</v>
      </c>
      <c r="D1114" s="107">
        <v>1250</v>
      </c>
      <c r="E1114" s="79">
        <v>1.5</v>
      </c>
      <c r="F1114" s="79">
        <v>0</v>
      </c>
      <c r="G1114" s="107">
        <f>(D1114*E1114)+((D1114*E1114)*F1114/100)</f>
        <v>1875</v>
      </c>
      <c r="H1114" s="74"/>
      <c r="I1114" s="71"/>
    </row>
    <row r="1115" spans="1:9" s="65" customFormat="1">
      <c r="A1115" s="82"/>
      <c r="B1115" s="83"/>
      <c r="C1115" s="84"/>
      <c r="D1115" s="84"/>
      <c r="E1115" s="84"/>
      <c r="F1115"/>
      <c r="G1115" s="85" t="s">
        <v>407</v>
      </c>
      <c r="H1115" s="107">
        <f>SUM(G1114:G1114)</f>
        <v>1875</v>
      </c>
      <c r="I1115" s="71"/>
    </row>
    <row r="1116" spans="1:9" s="65" customFormat="1">
      <c r="A1116" s="72" t="s">
        <v>408</v>
      </c>
      <c r="B1116" s="73"/>
      <c r="C1116" s="73"/>
      <c r="D1116" s="73"/>
      <c r="E1116" s="73"/>
      <c r="F1116"/>
      <c r="G1116" s="74"/>
      <c r="H1116" s="108"/>
      <c r="I1116" s="71"/>
    </row>
    <row r="1117" spans="1:9" s="65" customFormat="1">
      <c r="A1117" s="75" t="s">
        <v>391</v>
      </c>
      <c r="B1117" s="76" t="s">
        <v>392</v>
      </c>
      <c r="C1117" s="76" t="s">
        <v>393</v>
      </c>
      <c r="D1117" s="76" t="s">
        <v>394</v>
      </c>
      <c r="E1117" s="76" t="s">
        <v>395</v>
      </c>
      <c r="F1117" s="76" t="s">
        <v>396</v>
      </c>
      <c r="G1117" s="76" t="s">
        <v>397</v>
      </c>
      <c r="H1117" s="108"/>
      <c r="I1117" s="71"/>
    </row>
    <row r="1118" spans="1:9" s="65" customFormat="1">
      <c r="A1118" s="135"/>
      <c r="B1118" s="282" t="s">
        <v>1046</v>
      </c>
      <c r="C1118" s="127" t="s">
        <v>1021</v>
      </c>
      <c r="D1118" s="107">
        <v>600</v>
      </c>
      <c r="E1118" s="281">
        <v>35</v>
      </c>
      <c r="F1118" s="79">
        <v>0</v>
      </c>
      <c r="G1118" s="107">
        <f>(D1118*E1118)+((D1118*E1118)*F1118/100)</f>
        <v>21000</v>
      </c>
      <c r="H1118" s="108"/>
      <c r="I1118" s="71"/>
    </row>
    <row r="1119" spans="1:9" s="65" customFormat="1" ht="29.25">
      <c r="A1119" s="139"/>
      <c r="B1119" s="282" t="s">
        <v>1026</v>
      </c>
      <c r="C1119" s="127" t="s">
        <v>1044</v>
      </c>
      <c r="D1119" s="107">
        <v>18000</v>
      </c>
      <c r="E1119" s="281">
        <v>0.2</v>
      </c>
      <c r="F1119" s="79">
        <v>0</v>
      </c>
      <c r="G1119" s="107">
        <f>(D1119*E1119)+((D1119*E1119)*F1119/100)</f>
        <v>3600</v>
      </c>
      <c r="H1119" s="108"/>
      <c r="I1119" s="71"/>
    </row>
    <row r="1120" spans="1:9" s="65" customFormat="1">
      <c r="A1120" s="139"/>
      <c r="B1120" s="282" t="s">
        <v>1027</v>
      </c>
      <c r="C1120" s="127" t="s">
        <v>454</v>
      </c>
      <c r="D1120" s="107">
        <v>40000</v>
      </c>
      <c r="E1120" s="281">
        <v>0.05</v>
      </c>
      <c r="F1120" s="79">
        <v>0</v>
      </c>
      <c r="G1120" s="107">
        <f>(D1120*E1120)+((D1120*E1120)*F1120/100)</f>
        <v>2000</v>
      </c>
      <c r="H1120" s="108"/>
      <c r="I1120" s="71"/>
    </row>
    <row r="1121" spans="1:9" s="65" customFormat="1">
      <c r="A1121" s="139"/>
      <c r="B1121" s="282" t="s">
        <v>1043</v>
      </c>
      <c r="C1121" s="127" t="s">
        <v>1045</v>
      </c>
      <c r="D1121" s="107">
        <v>4500</v>
      </c>
      <c r="E1121" s="281">
        <v>0.2</v>
      </c>
      <c r="F1121" s="79">
        <v>0</v>
      </c>
      <c r="G1121" s="107">
        <f t="shared" ref="G1121" si="4">(D1121*E1121)+((D1121*E1121)*F1121/100)</f>
        <v>900</v>
      </c>
      <c r="H1121" s="108"/>
      <c r="I1121" s="71"/>
    </row>
    <row r="1122" spans="1:9" s="65" customFormat="1">
      <c r="A1122" s="90"/>
      <c r="B1122" s="91"/>
      <c r="C1122" s="91"/>
      <c r="D1122" s="91"/>
      <c r="E1122" s="91"/>
      <c r="F1122"/>
      <c r="G1122" s="85" t="s">
        <v>407</v>
      </c>
      <c r="H1122" s="107">
        <f>SUM(G1118:G1121)</f>
        <v>27500</v>
      </c>
      <c r="I1122" s="71"/>
    </row>
    <row r="1123" spans="1:9" s="65" customFormat="1">
      <c r="A1123" s="72" t="s">
        <v>410</v>
      </c>
      <c r="B1123" s="73"/>
      <c r="C1123" s="73"/>
      <c r="D1123" s="73"/>
      <c r="E1123" s="73"/>
      <c r="F1123"/>
      <c r="G1123" s="74"/>
      <c r="H1123" s="108"/>
      <c r="I1123" s="71"/>
    </row>
    <row r="1124" spans="1:9" s="65" customFormat="1">
      <c r="A1124" s="75" t="s">
        <v>391</v>
      </c>
      <c r="B1124" s="76" t="s">
        <v>392</v>
      </c>
      <c r="C1124" s="76" t="s">
        <v>393</v>
      </c>
      <c r="D1124" s="76" t="s">
        <v>394</v>
      </c>
      <c r="E1124" s="76" t="s">
        <v>395</v>
      </c>
      <c r="F1124" s="76" t="s">
        <v>396</v>
      </c>
      <c r="G1124" s="76" t="s">
        <v>397</v>
      </c>
      <c r="H1124" s="108"/>
      <c r="I1124" s="71"/>
    </row>
    <row r="1125" spans="1:9" s="65" customFormat="1">
      <c r="A1125" s="125" t="s">
        <v>478</v>
      </c>
      <c r="B1125" s="126" t="s">
        <v>1029</v>
      </c>
      <c r="C1125" s="127" t="s">
        <v>426</v>
      </c>
      <c r="D1125" s="107">
        <f>10300+5927*2</f>
        <v>22154</v>
      </c>
      <c r="E1125" s="79">
        <v>0.8</v>
      </c>
      <c r="F1125" s="79">
        <v>0</v>
      </c>
      <c r="G1125" s="107">
        <f>(D1125*E1125)+((D1125*E1125)*F1125/100)</f>
        <v>17723.2</v>
      </c>
      <c r="H1125" s="108"/>
      <c r="I1125" s="149"/>
    </row>
    <row r="1126" spans="1:9" s="65" customFormat="1">
      <c r="A1126" s="90"/>
      <c r="B1126" s="91"/>
      <c r="C1126" s="91"/>
      <c r="D1126" s="91"/>
      <c r="E1126" s="91"/>
      <c r="F1126"/>
      <c r="G1126" s="93" t="s">
        <v>407</v>
      </c>
      <c r="H1126" s="107">
        <f>SUM(G1125:G1125)</f>
        <v>17723.2</v>
      </c>
      <c r="I1126" s="71"/>
    </row>
    <row r="1127" spans="1:9" s="65" customFormat="1">
      <c r="A1127" s="72" t="s">
        <v>411</v>
      </c>
      <c r="B1127" s="73"/>
      <c r="C1127" s="73"/>
      <c r="D1127" s="73"/>
      <c r="E1127" s="73"/>
      <c r="F1127"/>
      <c r="G1127" s="74"/>
      <c r="H1127" s="108"/>
      <c r="I1127" s="71"/>
    </row>
    <row r="1128" spans="1:9" s="65" customFormat="1">
      <c r="A1128" s="75" t="s">
        <v>391</v>
      </c>
      <c r="B1128" s="76" t="s">
        <v>392</v>
      </c>
      <c r="C1128" s="76" t="s">
        <v>393</v>
      </c>
      <c r="D1128" s="76" t="s">
        <v>394</v>
      </c>
      <c r="E1128" s="76" t="s">
        <v>395</v>
      </c>
      <c r="F1128" s="76" t="s">
        <v>396</v>
      </c>
      <c r="G1128" s="76" t="s">
        <v>397</v>
      </c>
      <c r="H1128" s="108"/>
      <c r="I1128" s="71"/>
    </row>
    <row r="1129" spans="1:9" s="65" customFormat="1">
      <c r="A1129" s="87" t="s">
        <v>409</v>
      </c>
      <c r="B1129" s="114" t="s">
        <v>409</v>
      </c>
      <c r="C1129" s="114" t="s">
        <v>409</v>
      </c>
      <c r="D1129" s="114" t="s">
        <v>409</v>
      </c>
      <c r="E1129" s="114" t="s">
        <v>409</v>
      </c>
      <c r="F1129" s="79" t="s">
        <v>409</v>
      </c>
      <c r="G1129" s="89" t="s">
        <v>409</v>
      </c>
      <c r="H1129" s="108"/>
      <c r="I1129" s="71"/>
    </row>
    <row r="1130" spans="1:9" s="65" customFormat="1">
      <c r="A1130" s="94"/>
      <c r="B1130" s="95"/>
      <c r="C1130" s="95"/>
      <c r="D1130" s="95"/>
      <c r="E1130" s="95"/>
      <c r="F1130"/>
      <c r="G1130" s="93" t="s">
        <v>407</v>
      </c>
      <c r="H1130" s="107">
        <f>SUM(G1128:G1129)</f>
        <v>0</v>
      </c>
      <c r="I1130" s="71"/>
    </row>
    <row r="1131" spans="1:9" s="65" customFormat="1">
      <c r="A1131" s="94"/>
      <c r="B1131" s="95"/>
      <c r="C1131" s="95"/>
      <c r="D1131" s="95"/>
      <c r="E1131" s="95"/>
      <c r="F1131"/>
      <c r="G1131" s="74"/>
      <c r="H1131" s="74"/>
      <c r="I1131" s="71"/>
    </row>
    <row r="1132" spans="1:9" s="65" customFormat="1">
      <c r="A1132" s="96"/>
      <c r="B1132" s="97"/>
      <c r="C1132" s="98"/>
      <c r="D1132" s="98"/>
      <c r="E1132" s="98"/>
      <c r="F1132"/>
      <c r="G1132" s="99" t="s">
        <v>412</v>
      </c>
      <c r="H1132" s="115">
        <f>SUM(H1115:H1130)</f>
        <v>47098.2</v>
      </c>
      <c r="I1132" s="71"/>
    </row>
    <row r="1133" spans="1:9" s="65" customFormat="1">
      <c r="A1133" s="96"/>
      <c r="B1133" s="97"/>
      <c r="C1133" s="98"/>
      <c r="D1133" s="98"/>
      <c r="E1133" s="98"/>
      <c r="F1133" s="101"/>
      <c r="G1133" s="116"/>
      <c r="H1133" s="70"/>
      <c r="I1133" s="71"/>
    </row>
    <row r="1134" spans="1:9" s="65" customFormat="1" ht="15.75" thickBot="1">
      <c r="A1134" s="624" t="s">
        <v>414</v>
      </c>
      <c r="B1134" s="625"/>
      <c r="C1134" s="625"/>
      <c r="D1134" s="625"/>
      <c r="E1134" s="625"/>
      <c r="F1134" s="625"/>
      <c r="G1134" s="626"/>
      <c r="H1134" s="117">
        <f>+ROUND(H1132,0)</f>
        <v>47098</v>
      </c>
      <c r="I1134" s="103"/>
    </row>
    <row r="1135" spans="1:9" s="65" customFormat="1">
      <c r="A1135" s="84"/>
      <c r="B1135" s="83"/>
      <c r="C1135" s="84"/>
      <c r="D1135" s="84"/>
      <c r="E1135" s="84"/>
      <c r="G1135" s="104"/>
      <c r="H1135" s="140"/>
    </row>
    <row r="1136" spans="1:9" s="65" customFormat="1" ht="15.75" thickBot="1">
      <c r="A1136" s="120"/>
      <c r="B1136" s="73"/>
      <c r="C1136" s="73"/>
      <c r="D1136" s="73"/>
      <c r="E1136" s="73"/>
      <c r="G1136" s="121"/>
      <c r="H1136" s="140"/>
    </row>
    <row r="1137" spans="1:9" s="65" customFormat="1">
      <c r="A1137" s="627"/>
      <c r="B1137" s="634" t="s">
        <v>184</v>
      </c>
      <c r="C1137" s="635"/>
      <c r="D1137" s="635"/>
      <c r="E1137" s="635"/>
      <c r="F1137" s="635"/>
      <c r="G1137" s="635"/>
      <c r="H1137" s="636"/>
      <c r="I1137" s="66" t="s">
        <v>389</v>
      </c>
    </row>
    <row r="1138" spans="1:9" s="65" customFormat="1">
      <c r="A1138" s="628"/>
      <c r="B1138" s="637"/>
      <c r="C1138" s="638"/>
      <c r="D1138" s="638"/>
      <c r="E1138" s="638"/>
      <c r="F1138" s="638"/>
      <c r="G1138" s="638"/>
      <c r="H1138" s="639"/>
      <c r="I1138" s="67" t="s">
        <v>291</v>
      </c>
    </row>
    <row r="1139" spans="1:9" s="65" customFormat="1">
      <c r="A1139" s="68"/>
      <c r="B1139" s="69"/>
      <c r="C1139" s="69"/>
      <c r="D1139" s="69"/>
      <c r="E1139" s="69"/>
      <c r="F1139" s="70"/>
      <c r="G1139" s="70"/>
      <c r="H1139" s="70"/>
      <c r="I1139" s="71"/>
    </row>
    <row r="1140" spans="1:9" s="65" customFormat="1">
      <c r="A1140" s="72" t="s">
        <v>390</v>
      </c>
      <c r="B1140" s="73"/>
      <c r="C1140" s="73"/>
      <c r="D1140" s="73"/>
      <c r="E1140" s="73"/>
      <c r="F1140" s="74"/>
      <c r="G1140" s="74"/>
      <c r="H1140" s="70"/>
      <c r="I1140" s="71"/>
    </row>
    <row r="1141" spans="1:9" s="65" customFormat="1">
      <c r="A1141" s="75" t="s">
        <v>391</v>
      </c>
      <c r="B1141" s="76" t="s">
        <v>392</v>
      </c>
      <c r="C1141" s="76" t="s">
        <v>393</v>
      </c>
      <c r="D1141" s="76" t="s">
        <v>394</v>
      </c>
      <c r="E1141" s="76" t="s">
        <v>395</v>
      </c>
      <c r="F1141" s="76" t="s">
        <v>396</v>
      </c>
      <c r="G1141" s="76" t="s">
        <v>397</v>
      </c>
      <c r="H1141" s="74"/>
      <c r="I1141" s="71"/>
    </row>
    <row r="1142" spans="1:9" s="65" customFormat="1">
      <c r="A1142" s="77" t="s">
        <v>404</v>
      </c>
      <c r="B1142" s="78" t="s">
        <v>405</v>
      </c>
      <c r="C1142" s="79" t="s">
        <v>406</v>
      </c>
      <c r="D1142" s="107">
        <v>1250</v>
      </c>
      <c r="E1142" s="79">
        <v>1.5</v>
      </c>
      <c r="F1142" s="79">
        <v>0</v>
      </c>
      <c r="G1142" s="107">
        <f>(D1142*E1142)+((D1142*E1142)*F1142/100)</f>
        <v>1875</v>
      </c>
      <c r="H1142" s="74"/>
      <c r="I1142" s="71"/>
    </row>
    <row r="1143" spans="1:9" s="65" customFormat="1">
      <c r="A1143" s="82"/>
      <c r="B1143" s="83"/>
      <c r="C1143" s="84"/>
      <c r="D1143" s="84"/>
      <c r="E1143" s="84"/>
      <c r="F1143"/>
      <c r="G1143" s="85" t="s">
        <v>407</v>
      </c>
      <c r="H1143" s="107">
        <f>SUM(G1142:G1142)</f>
        <v>1875</v>
      </c>
      <c r="I1143" s="71"/>
    </row>
    <row r="1144" spans="1:9" s="65" customFormat="1">
      <c r="A1144" s="72" t="s">
        <v>408</v>
      </c>
      <c r="B1144" s="73"/>
      <c r="C1144" s="73"/>
      <c r="D1144" s="73"/>
      <c r="E1144" s="73"/>
      <c r="F1144"/>
      <c r="G1144" s="74"/>
      <c r="H1144" s="108"/>
      <c r="I1144" s="71"/>
    </row>
    <row r="1145" spans="1:9" s="65" customFormat="1">
      <c r="A1145" s="75" t="s">
        <v>391</v>
      </c>
      <c r="B1145" s="76" t="s">
        <v>392</v>
      </c>
      <c r="C1145" s="76" t="s">
        <v>393</v>
      </c>
      <c r="D1145" s="76" t="s">
        <v>394</v>
      </c>
      <c r="E1145" s="76" t="s">
        <v>395</v>
      </c>
      <c r="F1145" s="76" t="s">
        <v>396</v>
      </c>
      <c r="G1145" s="76" t="s">
        <v>397</v>
      </c>
      <c r="H1145" s="108"/>
      <c r="I1145" s="71"/>
    </row>
    <row r="1146" spans="1:9" s="65" customFormat="1" ht="29.25">
      <c r="A1146" s="135"/>
      <c r="B1146" s="282" t="s">
        <v>1026</v>
      </c>
      <c r="C1146" s="107" t="s">
        <v>1044</v>
      </c>
      <c r="D1146" s="107">
        <v>25000</v>
      </c>
      <c r="E1146" s="281">
        <v>2E-3</v>
      </c>
      <c r="F1146" s="79">
        <v>0</v>
      </c>
      <c r="G1146" s="107">
        <f>(D1146*E1146)+((D1146*E1146)*F1146/100)</f>
        <v>50</v>
      </c>
      <c r="H1146" s="108"/>
      <c r="I1146" s="71"/>
    </row>
    <row r="1147" spans="1:9" s="65" customFormat="1">
      <c r="A1147" s="245"/>
      <c r="B1147" s="282" t="s">
        <v>1047</v>
      </c>
      <c r="C1147" s="107" t="s">
        <v>1044</v>
      </c>
      <c r="D1147" s="107">
        <v>11900</v>
      </c>
      <c r="E1147" s="281">
        <v>0.08</v>
      </c>
      <c r="F1147" s="79"/>
      <c r="G1147" s="107">
        <f t="shared" ref="G1147:G1149" si="5">(D1147*E1147)+((D1147*E1147)*F1147/100)</f>
        <v>952</v>
      </c>
      <c r="H1147" s="108"/>
      <c r="I1147" s="71"/>
    </row>
    <row r="1148" spans="1:9" s="65" customFormat="1" ht="29.25">
      <c r="A1148" s="245"/>
      <c r="B1148" s="282" t="s">
        <v>1048</v>
      </c>
      <c r="C1148" s="107" t="s">
        <v>523</v>
      </c>
      <c r="D1148" s="107">
        <v>8550</v>
      </c>
      <c r="E1148" s="281">
        <v>0.02</v>
      </c>
      <c r="F1148" s="79"/>
      <c r="G1148" s="107">
        <f t="shared" si="5"/>
        <v>171</v>
      </c>
      <c r="H1148" s="108"/>
      <c r="I1148" s="71"/>
    </row>
    <row r="1149" spans="1:9" s="65" customFormat="1">
      <c r="A1149" s="245"/>
      <c r="B1149" s="282" t="s">
        <v>1030</v>
      </c>
      <c r="C1149" s="107" t="s">
        <v>1052</v>
      </c>
      <c r="D1149" s="107">
        <v>25</v>
      </c>
      <c r="E1149" s="281">
        <v>2</v>
      </c>
      <c r="F1149" s="79"/>
      <c r="G1149" s="107">
        <f t="shared" si="5"/>
        <v>50</v>
      </c>
      <c r="H1149" s="108"/>
      <c r="I1149" s="71"/>
    </row>
    <row r="1150" spans="1:9" s="65" customFormat="1">
      <c r="A1150" s="139"/>
      <c r="B1150" s="282" t="s">
        <v>1049</v>
      </c>
      <c r="C1150" s="107" t="s">
        <v>1044</v>
      </c>
      <c r="D1150" s="107">
        <v>18000</v>
      </c>
      <c r="E1150" s="281">
        <v>0.01</v>
      </c>
      <c r="F1150" s="79">
        <v>0</v>
      </c>
      <c r="G1150" s="107">
        <f>(D1150*E1150)+((D1150*E1150)*F1150/100)</f>
        <v>180</v>
      </c>
      <c r="H1150" s="108"/>
      <c r="I1150" s="71"/>
    </row>
    <row r="1151" spans="1:9" s="65" customFormat="1">
      <c r="A1151" s="139"/>
      <c r="B1151" s="282" t="s">
        <v>1050</v>
      </c>
      <c r="C1151" s="107" t="s">
        <v>1021</v>
      </c>
      <c r="D1151" s="107">
        <v>990</v>
      </c>
      <c r="E1151" s="281">
        <v>0.05</v>
      </c>
      <c r="F1151" s="79">
        <v>0</v>
      </c>
      <c r="G1151" s="107">
        <f>(D1151*E1151)+((D1151*E1151)*F1151/100)</f>
        <v>49.5</v>
      </c>
      <c r="H1151" s="108"/>
      <c r="I1151" s="71"/>
    </row>
    <row r="1152" spans="1:9" s="65" customFormat="1">
      <c r="A1152" s="139"/>
      <c r="B1152" s="282" t="s">
        <v>1051</v>
      </c>
      <c r="C1152" s="107" t="s">
        <v>1053</v>
      </c>
      <c r="D1152" s="107">
        <v>210000</v>
      </c>
      <c r="E1152" s="281">
        <v>2.5000000000000001E-2</v>
      </c>
      <c r="F1152" s="79">
        <v>0</v>
      </c>
      <c r="G1152" s="107">
        <f t="shared" ref="G1152:G1153" si="6">(D1152*E1152)+((D1152*E1152)*F1152/100)</f>
        <v>5250</v>
      </c>
      <c r="H1152" s="108"/>
      <c r="I1152" s="71"/>
    </row>
    <row r="1153" spans="1:9" s="65" customFormat="1">
      <c r="A1153" s="139"/>
      <c r="B1153" s="282" t="s">
        <v>1054</v>
      </c>
      <c r="C1153" s="127" t="s">
        <v>1021</v>
      </c>
      <c r="D1153" s="107">
        <v>15000</v>
      </c>
      <c r="E1153" s="281">
        <v>1E-3</v>
      </c>
      <c r="F1153" s="79"/>
      <c r="G1153" s="107">
        <f t="shared" si="6"/>
        <v>15</v>
      </c>
      <c r="H1153" s="108"/>
      <c r="I1153" s="71"/>
    </row>
    <row r="1154" spans="1:9" s="65" customFormat="1">
      <c r="A1154" s="90"/>
      <c r="B1154" s="91"/>
      <c r="C1154" s="91"/>
      <c r="D1154" s="91"/>
      <c r="E1154" s="91"/>
      <c r="F1154"/>
      <c r="G1154" s="85" t="s">
        <v>407</v>
      </c>
      <c r="H1154" s="107">
        <f>SUM(G1146:G1153)</f>
        <v>6717.5</v>
      </c>
      <c r="I1154" s="71"/>
    </row>
    <row r="1155" spans="1:9" s="65" customFormat="1">
      <c r="A1155" s="72" t="s">
        <v>410</v>
      </c>
      <c r="B1155" s="73"/>
      <c r="C1155" s="73"/>
      <c r="D1155" s="73"/>
      <c r="E1155" s="73"/>
      <c r="F1155"/>
      <c r="G1155" s="74"/>
      <c r="H1155" s="108"/>
      <c r="I1155" s="71"/>
    </row>
    <row r="1156" spans="1:9" s="65" customFormat="1">
      <c r="A1156" s="75" t="s">
        <v>391</v>
      </c>
      <c r="B1156" s="76" t="s">
        <v>392</v>
      </c>
      <c r="C1156" s="76" t="s">
        <v>393</v>
      </c>
      <c r="D1156" s="76" t="s">
        <v>394</v>
      </c>
      <c r="E1156" s="76" t="s">
        <v>395</v>
      </c>
      <c r="F1156" s="76" t="s">
        <v>396</v>
      </c>
      <c r="G1156" s="76" t="s">
        <v>397</v>
      </c>
      <c r="H1156" s="108"/>
      <c r="I1156" s="71"/>
    </row>
    <row r="1157" spans="1:9" s="65" customFormat="1">
      <c r="A1157" s="125" t="s">
        <v>478</v>
      </c>
      <c r="B1157" s="126" t="s">
        <v>1029</v>
      </c>
      <c r="C1157" s="127" t="s">
        <v>426</v>
      </c>
      <c r="D1157" s="107">
        <f>10300+5927*2</f>
        <v>22154</v>
      </c>
      <c r="E1157" s="79">
        <v>0.5</v>
      </c>
      <c r="F1157" s="79">
        <v>0</v>
      </c>
      <c r="G1157" s="107">
        <f>(D1157*E1157)+((D1157*E1157)*F1157/100)</f>
        <v>11077</v>
      </c>
      <c r="H1157" s="108"/>
      <c r="I1157" s="149"/>
    </row>
    <row r="1158" spans="1:9" s="65" customFormat="1">
      <c r="A1158" s="90"/>
      <c r="B1158" s="91"/>
      <c r="C1158" s="91"/>
      <c r="D1158" s="91"/>
      <c r="E1158" s="91"/>
      <c r="F1158"/>
      <c r="G1158" s="93" t="s">
        <v>407</v>
      </c>
      <c r="H1158" s="107">
        <f>SUM(G1157:G1157)</f>
        <v>11077</v>
      </c>
      <c r="I1158" s="71"/>
    </row>
    <row r="1159" spans="1:9" s="65" customFormat="1">
      <c r="A1159" s="72" t="s">
        <v>411</v>
      </c>
      <c r="B1159" s="73"/>
      <c r="C1159" s="73"/>
      <c r="D1159" s="73"/>
      <c r="E1159" s="73"/>
      <c r="F1159"/>
      <c r="G1159" s="74"/>
      <c r="H1159" s="108"/>
      <c r="I1159" s="71"/>
    </row>
    <row r="1160" spans="1:9" s="65" customFormat="1">
      <c r="A1160" s="75" t="s">
        <v>391</v>
      </c>
      <c r="B1160" s="76" t="s">
        <v>392</v>
      </c>
      <c r="C1160" s="76" t="s">
        <v>393</v>
      </c>
      <c r="D1160" s="76" t="s">
        <v>394</v>
      </c>
      <c r="E1160" s="76" t="s">
        <v>395</v>
      </c>
      <c r="F1160" s="76" t="s">
        <v>396</v>
      </c>
      <c r="G1160" s="76" t="s">
        <v>397</v>
      </c>
      <c r="H1160" s="108"/>
      <c r="I1160" s="71"/>
    </row>
    <row r="1161" spans="1:9" s="65" customFormat="1">
      <c r="A1161" s="87" t="s">
        <v>409</v>
      </c>
      <c r="B1161" s="114" t="s">
        <v>409</v>
      </c>
      <c r="C1161" s="114" t="s">
        <v>409</v>
      </c>
      <c r="D1161" s="114" t="s">
        <v>409</v>
      </c>
      <c r="E1161" s="114" t="s">
        <v>409</v>
      </c>
      <c r="F1161" s="79" t="s">
        <v>409</v>
      </c>
      <c r="G1161" s="89" t="s">
        <v>409</v>
      </c>
      <c r="H1161" s="108"/>
      <c r="I1161" s="71"/>
    </row>
    <row r="1162" spans="1:9" s="65" customFormat="1">
      <c r="A1162" s="94"/>
      <c r="B1162" s="95"/>
      <c r="C1162" s="95"/>
      <c r="D1162" s="95"/>
      <c r="E1162" s="95"/>
      <c r="F1162"/>
      <c r="G1162" s="93" t="s">
        <v>407</v>
      </c>
      <c r="H1162" s="107">
        <f>SUM(G1160:G1161)</f>
        <v>0</v>
      </c>
      <c r="I1162" s="71"/>
    </row>
    <row r="1163" spans="1:9" s="65" customFormat="1">
      <c r="A1163" s="94"/>
      <c r="B1163" s="95"/>
      <c r="C1163" s="95"/>
      <c r="D1163" s="95"/>
      <c r="E1163" s="95"/>
      <c r="F1163"/>
      <c r="G1163" s="74"/>
      <c r="H1163" s="74"/>
      <c r="I1163" s="71"/>
    </row>
    <row r="1164" spans="1:9" s="65" customFormat="1">
      <c r="A1164" s="96"/>
      <c r="B1164" s="97"/>
      <c r="C1164" s="98"/>
      <c r="D1164" s="98"/>
      <c r="E1164" s="98"/>
      <c r="F1164"/>
      <c r="G1164" s="99" t="s">
        <v>412</v>
      </c>
      <c r="H1164" s="115">
        <f>SUM(H1143:H1162)</f>
        <v>19669.5</v>
      </c>
      <c r="I1164" s="71"/>
    </row>
    <row r="1165" spans="1:9" s="65" customFormat="1">
      <c r="A1165" s="96"/>
      <c r="B1165" s="97"/>
      <c r="C1165" s="98"/>
      <c r="D1165" s="98"/>
      <c r="E1165" s="98"/>
      <c r="F1165" s="101"/>
      <c r="G1165" s="116"/>
      <c r="H1165" s="70"/>
      <c r="I1165" s="71"/>
    </row>
    <row r="1166" spans="1:9" s="65" customFormat="1" ht="15.75" thickBot="1">
      <c r="A1166" s="624" t="s">
        <v>414</v>
      </c>
      <c r="B1166" s="625"/>
      <c r="C1166" s="625"/>
      <c r="D1166" s="625"/>
      <c r="E1166" s="625"/>
      <c r="F1166" s="625"/>
      <c r="G1166" s="626"/>
      <c r="H1166" s="117">
        <f>+ROUND(H1164,0)</f>
        <v>19670</v>
      </c>
      <c r="I1166" s="103"/>
    </row>
    <row r="1167" spans="1:9" s="65" customFormat="1">
      <c r="A1167" s="91"/>
      <c r="B1167" s="91"/>
      <c r="C1167" s="91"/>
      <c r="D1167" s="91"/>
      <c r="E1167" s="91"/>
      <c r="G1167" s="104"/>
      <c r="H1167" s="140"/>
    </row>
    <row r="1168" spans="1:9" s="65" customFormat="1" ht="15.75" thickBot="1">
      <c r="A1168" s="120"/>
      <c r="B1168" s="73"/>
      <c r="C1168" s="73"/>
      <c r="D1168" s="73"/>
      <c r="E1168" s="73"/>
      <c r="G1168" s="121"/>
      <c r="H1168" s="140"/>
    </row>
    <row r="1169" spans="1:9" s="65" customFormat="1">
      <c r="A1169" s="627"/>
      <c r="B1169" s="634" t="s">
        <v>1055</v>
      </c>
      <c r="C1169" s="635"/>
      <c r="D1169" s="635"/>
      <c r="E1169" s="635"/>
      <c r="F1169" s="635"/>
      <c r="G1169" s="635"/>
      <c r="H1169" s="636"/>
      <c r="I1169" s="66" t="s">
        <v>389</v>
      </c>
    </row>
    <row r="1170" spans="1:9" s="65" customFormat="1">
      <c r="A1170" s="628"/>
      <c r="B1170" s="637"/>
      <c r="C1170" s="638"/>
      <c r="D1170" s="638"/>
      <c r="E1170" s="638"/>
      <c r="F1170" s="638"/>
      <c r="G1170" s="638"/>
      <c r="H1170" s="639"/>
      <c r="I1170" s="67" t="s">
        <v>455</v>
      </c>
    </row>
    <row r="1171" spans="1:9" s="65" customFormat="1">
      <c r="A1171" s="68"/>
      <c r="B1171" s="69"/>
      <c r="C1171" s="69"/>
      <c r="D1171" s="69"/>
      <c r="E1171" s="69"/>
      <c r="F1171" s="70"/>
      <c r="G1171" s="70"/>
      <c r="H1171" s="70"/>
      <c r="I1171" s="71"/>
    </row>
    <row r="1172" spans="1:9" s="65" customFormat="1">
      <c r="A1172" s="72" t="s">
        <v>390</v>
      </c>
      <c r="B1172" s="73"/>
      <c r="C1172" s="73"/>
      <c r="D1172" s="73"/>
      <c r="E1172" s="73"/>
      <c r="F1172" s="74"/>
      <c r="G1172" s="74"/>
      <c r="H1172" s="70"/>
      <c r="I1172" s="71"/>
    </row>
    <row r="1173" spans="1:9" s="65" customFormat="1">
      <c r="A1173" s="75" t="s">
        <v>391</v>
      </c>
      <c r="B1173" s="76" t="s">
        <v>392</v>
      </c>
      <c r="C1173" s="76" t="s">
        <v>393</v>
      </c>
      <c r="D1173" s="76" t="s">
        <v>394</v>
      </c>
      <c r="E1173" s="76" t="s">
        <v>395</v>
      </c>
      <c r="F1173" s="76" t="s">
        <v>396</v>
      </c>
      <c r="G1173" s="76" t="s">
        <v>397</v>
      </c>
      <c r="H1173" s="74"/>
      <c r="I1173" s="71"/>
    </row>
    <row r="1174" spans="1:9" s="65" customFormat="1">
      <c r="A1174" s="77" t="s">
        <v>404</v>
      </c>
      <c r="B1174" s="78" t="s">
        <v>405</v>
      </c>
      <c r="C1174" s="79" t="s">
        <v>406</v>
      </c>
      <c r="D1174" s="107">
        <v>1250</v>
      </c>
      <c r="E1174" s="79">
        <v>0.5</v>
      </c>
      <c r="F1174" s="79">
        <v>0</v>
      </c>
      <c r="G1174" s="107">
        <f>(D1174*E1174)+((D1174*E1174)*F1174/100)</f>
        <v>625</v>
      </c>
      <c r="H1174" s="74"/>
      <c r="I1174" s="71"/>
    </row>
    <row r="1175" spans="1:9" s="65" customFormat="1">
      <c r="A1175" s="82"/>
      <c r="B1175" s="83"/>
      <c r="C1175" s="84"/>
      <c r="D1175" s="84"/>
      <c r="E1175" s="84"/>
      <c r="F1175"/>
      <c r="G1175" s="85" t="s">
        <v>407</v>
      </c>
      <c r="H1175" s="107">
        <f>SUM(G1174:G1174)</f>
        <v>625</v>
      </c>
      <c r="I1175" s="71"/>
    </row>
    <row r="1176" spans="1:9" s="65" customFormat="1">
      <c r="A1176" s="72" t="s">
        <v>408</v>
      </c>
      <c r="B1176" s="73"/>
      <c r="C1176" s="73"/>
      <c r="D1176" s="73"/>
      <c r="E1176" s="73"/>
      <c r="F1176"/>
      <c r="G1176" s="74"/>
      <c r="H1176" s="108"/>
      <c r="I1176" s="71"/>
    </row>
    <row r="1177" spans="1:9" s="65" customFormat="1">
      <c r="A1177" s="75" t="s">
        <v>391</v>
      </c>
      <c r="B1177" s="76" t="s">
        <v>392</v>
      </c>
      <c r="C1177" s="76" t="s">
        <v>393</v>
      </c>
      <c r="D1177" s="76" t="s">
        <v>394</v>
      </c>
      <c r="E1177" s="76" t="s">
        <v>395</v>
      </c>
      <c r="F1177" s="76" t="s">
        <v>396</v>
      </c>
      <c r="G1177" s="76" t="s">
        <v>397</v>
      </c>
      <c r="H1177" s="108"/>
      <c r="I1177" s="71"/>
    </row>
    <row r="1178" spans="1:9" s="65" customFormat="1">
      <c r="A1178" s="135"/>
      <c r="B1178" s="282"/>
      <c r="C1178" s="127"/>
      <c r="D1178" s="107"/>
      <c r="E1178" s="281"/>
      <c r="F1178" s="79"/>
      <c r="G1178" s="107"/>
      <c r="H1178" s="108"/>
      <c r="I1178" s="71"/>
    </row>
    <row r="1179" spans="1:9" s="65" customFormat="1">
      <c r="A1179" s="139"/>
      <c r="B1179" s="282"/>
      <c r="C1179" s="127"/>
      <c r="D1179" s="107"/>
      <c r="E1179" s="281"/>
      <c r="F1179" s="79"/>
      <c r="G1179" s="107"/>
      <c r="H1179" s="108"/>
      <c r="I1179" s="71"/>
    </row>
    <row r="1180" spans="1:9" s="65" customFormat="1">
      <c r="A1180" s="139"/>
      <c r="B1180" s="282"/>
      <c r="C1180" s="127"/>
      <c r="D1180" s="107"/>
      <c r="E1180" s="281"/>
      <c r="F1180" s="79"/>
      <c r="G1180" s="107"/>
      <c r="H1180" s="108"/>
      <c r="I1180" s="71"/>
    </row>
    <row r="1181" spans="1:9" s="65" customFormat="1">
      <c r="A1181" s="139"/>
      <c r="B1181" s="282"/>
      <c r="C1181" s="127"/>
      <c r="D1181" s="107"/>
      <c r="E1181" s="281"/>
      <c r="F1181" s="79"/>
      <c r="G1181" s="107"/>
      <c r="H1181" s="108"/>
      <c r="I1181" s="71"/>
    </row>
    <row r="1182" spans="1:9" s="65" customFormat="1">
      <c r="A1182" s="90"/>
      <c r="B1182" s="91"/>
      <c r="C1182" s="91"/>
      <c r="D1182" s="91"/>
      <c r="E1182" s="91"/>
      <c r="F1182"/>
      <c r="G1182" s="85" t="s">
        <v>407</v>
      </c>
      <c r="H1182" s="107">
        <f>SUM(G1178:G1181)</f>
        <v>0</v>
      </c>
      <c r="I1182" s="71"/>
    </row>
    <row r="1183" spans="1:9" s="65" customFormat="1">
      <c r="A1183" s="72" t="s">
        <v>410</v>
      </c>
      <c r="B1183" s="73"/>
      <c r="C1183" s="73"/>
      <c r="D1183" s="73"/>
      <c r="E1183" s="73"/>
      <c r="F1183"/>
      <c r="G1183" s="74"/>
      <c r="H1183" s="108"/>
      <c r="I1183" s="71"/>
    </row>
    <row r="1184" spans="1:9" s="65" customFormat="1">
      <c r="A1184" s="75" t="s">
        <v>391</v>
      </c>
      <c r="B1184" s="76" t="s">
        <v>392</v>
      </c>
      <c r="C1184" s="76" t="s">
        <v>393</v>
      </c>
      <c r="D1184" s="76" t="s">
        <v>394</v>
      </c>
      <c r="E1184" s="76" t="s">
        <v>395</v>
      </c>
      <c r="F1184" s="76" t="s">
        <v>396</v>
      </c>
      <c r="G1184" s="76" t="s">
        <v>397</v>
      </c>
      <c r="H1184" s="108"/>
      <c r="I1184" s="71"/>
    </row>
    <row r="1185" spans="1:9" s="65" customFormat="1">
      <c r="A1185" s="125" t="s">
        <v>478</v>
      </c>
      <c r="B1185" s="126" t="s">
        <v>1029</v>
      </c>
      <c r="C1185" s="127" t="s">
        <v>426</v>
      </c>
      <c r="D1185" s="107">
        <f>10300+5927*2</f>
        <v>22154</v>
      </c>
      <c r="E1185" s="79">
        <v>0.05</v>
      </c>
      <c r="F1185" s="79">
        <v>0</v>
      </c>
      <c r="G1185" s="107">
        <f>(D1185*E1185)+((D1185*E1185)*F1185/100)</f>
        <v>1107.7</v>
      </c>
      <c r="H1185" s="108"/>
      <c r="I1185" s="149"/>
    </row>
    <row r="1186" spans="1:9" s="65" customFormat="1">
      <c r="A1186" s="90"/>
      <c r="B1186" s="91"/>
      <c r="C1186" s="91"/>
      <c r="D1186" s="91"/>
      <c r="E1186" s="91"/>
      <c r="F1186"/>
      <c r="G1186" s="93" t="s">
        <v>407</v>
      </c>
      <c r="H1186" s="107">
        <f>SUM(G1185:G1185)</f>
        <v>1107.7</v>
      </c>
      <c r="I1186" s="71"/>
    </row>
    <row r="1187" spans="1:9" s="65" customFormat="1">
      <c r="A1187" s="72" t="s">
        <v>411</v>
      </c>
      <c r="B1187" s="73"/>
      <c r="C1187" s="73"/>
      <c r="D1187" s="73"/>
      <c r="E1187" s="73"/>
      <c r="F1187"/>
      <c r="G1187" s="74"/>
      <c r="H1187" s="108"/>
      <c r="I1187" s="71"/>
    </row>
    <row r="1188" spans="1:9" s="65" customFormat="1">
      <c r="A1188" s="75" t="s">
        <v>391</v>
      </c>
      <c r="B1188" s="76" t="s">
        <v>392</v>
      </c>
      <c r="C1188" s="76" t="s">
        <v>393</v>
      </c>
      <c r="D1188" s="76" t="s">
        <v>394</v>
      </c>
      <c r="E1188" s="76" t="s">
        <v>395</v>
      </c>
      <c r="F1188" s="76" t="s">
        <v>396</v>
      </c>
      <c r="G1188" s="76" t="s">
        <v>397</v>
      </c>
      <c r="H1188" s="108"/>
      <c r="I1188" s="71"/>
    </row>
    <row r="1189" spans="1:9" s="65" customFormat="1">
      <c r="A1189" s="87" t="s">
        <v>409</v>
      </c>
      <c r="B1189" s="114" t="s">
        <v>409</v>
      </c>
      <c r="C1189" s="114" t="s">
        <v>409</v>
      </c>
      <c r="D1189" s="114" t="s">
        <v>409</v>
      </c>
      <c r="E1189" s="114" t="s">
        <v>409</v>
      </c>
      <c r="F1189" s="79" t="s">
        <v>409</v>
      </c>
      <c r="G1189" s="89" t="s">
        <v>409</v>
      </c>
      <c r="H1189" s="108"/>
      <c r="I1189" s="71"/>
    </row>
    <row r="1190" spans="1:9" s="65" customFormat="1">
      <c r="A1190" s="94"/>
      <c r="B1190" s="95"/>
      <c r="C1190" s="95"/>
      <c r="D1190" s="95"/>
      <c r="E1190" s="95"/>
      <c r="F1190"/>
      <c r="G1190" s="93" t="s">
        <v>407</v>
      </c>
      <c r="H1190" s="107">
        <f>SUM(G1188:G1189)</f>
        <v>0</v>
      </c>
      <c r="I1190" s="71"/>
    </row>
    <row r="1191" spans="1:9" s="65" customFormat="1">
      <c r="A1191" s="94"/>
      <c r="B1191" s="95"/>
      <c r="C1191" s="95"/>
      <c r="D1191" s="95"/>
      <c r="E1191" s="95"/>
      <c r="F1191"/>
      <c r="G1191" s="74"/>
      <c r="H1191" s="74"/>
      <c r="I1191" s="71"/>
    </row>
    <row r="1192" spans="1:9" s="65" customFormat="1">
      <c r="A1192" s="96"/>
      <c r="B1192" s="97"/>
      <c r="C1192" s="98"/>
      <c r="D1192" s="98"/>
      <c r="E1192" s="98"/>
      <c r="F1192"/>
      <c r="G1192" s="99" t="s">
        <v>412</v>
      </c>
      <c r="H1192" s="115">
        <f>SUM(H1175:H1190)</f>
        <v>1732.7</v>
      </c>
      <c r="I1192" s="71"/>
    </row>
    <row r="1193" spans="1:9" s="65" customFormat="1">
      <c r="A1193" s="96"/>
      <c r="B1193" s="97"/>
      <c r="C1193" s="98"/>
      <c r="D1193" s="98"/>
      <c r="E1193" s="98"/>
      <c r="F1193" s="101"/>
      <c r="G1193" s="116"/>
      <c r="H1193" s="70"/>
      <c r="I1193" s="71"/>
    </row>
    <row r="1194" spans="1:9" s="65" customFormat="1" ht="15.75" thickBot="1">
      <c r="A1194" s="624" t="s">
        <v>458</v>
      </c>
      <c r="B1194" s="625"/>
      <c r="C1194" s="625"/>
      <c r="D1194" s="625"/>
      <c r="E1194" s="625"/>
      <c r="F1194" s="625"/>
      <c r="G1194" s="626"/>
      <c r="H1194" s="117">
        <f>+ROUND(H1192,0)</f>
        <v>1733</v>
      </c>
      <c r="I1194" s="103"/>
    </row>
    <row r="1195" spans="1:9" s="65" customFormat="1">
      <c r="A1195" s="91"/>
      <c r="B1195" s="91"/>
      <c r="C1195" s="91"/>
      <c r="D1195" s="91"/>
      <c r="E1195" s="91"/>
      <c r="G1195" s="104"/>
      <c r="H1195" s="140"/>
    </row>
    <row r="1196" spans="1:9" s="65" customFormat="1" ht="15.75" thickBot="1">
      <c r="A1196" s="120"/>
      <c r="B1196" s="73"/>
      <c r="C1196" s="73"/>
      <c r="D1196" s="73"/>
      <c r="E1196" s="73"/>
      <c r="G1196" s="121"/>
      <c r="H1196" s="140"/>
    </row>
    <row r="1197" spans="1:9" s="65" customFormat="1">
      <c r="A1197" s="627"/>
      <c r="B1197" s="634" t="s">
        <v>186</v>
      </c>
      <c r="C1197" s="635"/>
      <c r="D1197" s="635"/>
      <c r="E1197" s="635"/>
      <c r="F1197" s="635"/>
      <c r="G1197" s="635"/>
      <c r="H1197" s="636"/>
      <c r="I1197" s="66" t="s">
        <v>389</v>
      </c>
    </row>
    <row r="1198" spans="1:9" s="65" customFormat="1">
      <c r="A1198" s="628"/>
      <c r="B1198" s="637"/>
      <c r="C1198" s="638"/>
      <c r="D1198" s="638"/>
      <c r="E1198" s="638"/>
      <c r="F1198" s="638"/>
      <c r="G1198" s="638"/>
      <c r="H1198" s="639"/>
      <c r="I1198" s="67" t="s">
        <v>157</v>
      </c>
    </row>
    <row r="1199" spans="1:9" s="65" customFormat="1">
      <c r="A1199" s="68"/>
      <c r="B1199" s="69"/>
      <c r="C1199" s="69"/>
      <c r="D1199" s="69"/>
      <c r="E1199" s="69"/>
      <c r="F1199" s="70"/>
      <c r="G1199" s="70"/>
      <c r="H1199" s="70"/>
      <c r="I1199" s="71"/>
    </row>
    <row r="1200" spans="1:9" s="65" customFormat="1">
      <c r="A1200" s="72" t="s">
        <v>390</v>
      </c>
      <c r="B1200" s="73"/>
      <c r="C1200" s="73"/>
      <c r="D1200" s="73"/>
      <c r="E1200" s="73"/>
      <c r="F1200" s="74"/>
      <c r="G1200" s="74"/>
      <c r="H1200" s="70"/>
      <c r="I1200" s="71"/>
    </row>
    <row r="1201" spans="1:9" s="65" customFormat="1">
      <c r="A1201" s="75" t="s">
        <v>391</v>
      </c>
      <c r="B1201" s="76" t="s">
        <v>392</v>
      </c>
      <c r="C1201" s="76" t="s">
        <v>393</v>
      </c>
      <c r="D1201" s="76" t="s">
        <v>394</v>
      </c>
      <c r="E1201" s="76" t="s">
        <v>395</v>
      </c>
      <c r="F1201" s="76" t="s">
        <v>396</v>
      </c>
      <c r="G1201" s="76" t="s">
        <v>397</v>
      </c>
      <c r="H1201" s="74"/>
      <c r="I1201" s="71"/>
    </row>
    <row r="1202" spans="1:9" s="65" customFormat="1">
      <c r="A1202" s="77" t="s">
        <v>404</v>
      </c>
      <c r="B1202" s="78" t="s">
        <v>405</v>
      </c>
      <c r="C1202" s="79" t="s">
        <v>406</v>
      </c>
      <c r="D1202" s="107">
        <v>1250</v>
      </c>
      <c r="E1202" s="79">
        <v>0.5</v>
      </c>
      <c r="F1202" s="79">
        <v>0</v>
      </c>
      <c r="G1202" s="107">
        <f>(D1202*E1202)+((D1202*E1202)*F1202/100)</f>
        <v>625</v>
      </c>
      <c r="H1202" s="74"/>
      <c r="I1202" s="71"/>
    </row>
    <row r="1203" spans="1:9" s="65" customFormat="1">
      <c r="A1203" s="82"/>
      <c r="B1203" s="83"/>
      <c r="C1203" s="84"/>
      <c r="D1203" s="84"/>
      <c r="E1203" s="84"/>
      <c r="F1203"/>
      <c r="G1203" s="85" t="s">
        <v>407</v>
      </c>
      <c r="H1203" s="107">
        <f>SUM(G1202:G1202)</f>
        <v>625</v>
      </c>
      <c r="I1203" s="71"/>
    </row>
    <row r="1204" spans="1:9" s="65" customFormat="1">
      <c r="A1204" s="72" t="s">
        <v>408</v>
      </c>
      <c r="B1204" s="73"/>
      <c r="C1204" s="73"/>
      <c r="D1204" s="73"/>
      <c r="E1204" s="73"/>
      <c r="F1204"/>
      <c r="G1204" s="74"/>
      <c r="H1204" s="108"/>
      <c r="I1204" s="71"/>
    </row>
    <row r="1205" spans="1:9" s="65" customFormat="1">
      <c r="A1205" s="75" t="s">
        <v>391</v>
      </c>
      <c r="B1205" s="76" t="s">
        <v>392</v>
      </c>
      <c r="C1205" s="76" t="s">
        <v>393</v>
      </c>
      <c r="D1205" s="76" t="s">
        <v>394</v>
      </c>
      <c r="E1205" s="76" t="s">
        <v>395</v>
      </c>
      <c r="F1205" s="76" t="s">
        <v>396</v>
      </c>
      <c r="G1205" s="76" t="s">
        <v>397</v>
      </c>
      <c r="H1205" s="108"/>
      <c r="I1205" s="71"/>
    </row>
    <row r="1206" spans="1:9" s="65" customFormat="1" ht="29.25">
      <c r="A1206" s="135"/>
      <c r="B1206" s="282" t="s">
        <v>1056</v>
      </c>
      <c r="C1206" s="127" t="s">
        <v>455</v>
      </c>
      <c r="D1206" s="107">
        <v>300000</v>
      </c>
      <c r="E1206" s="281">
        <v>5.5</v>
      </c>
      <c r="F1206" s="79">
        <v>0</v>
      </c>
      <c r="G1206" s="107">
        <f>(D1206*E1206)+((D1206*E1206)*F1206/100)</f>
        <v>1650000</v>
      </c>
      <c r="H1206" s="108"/>
      <c r="I1206" s="71"/>
    </row>
    <row r="1207" spans="1:9" s="65" customFormat="1" ht="29.25">
      <c r="A1207" s="139"/>
      <c r="B1207" s="282" t="s">
        <v>1057</v>
      </c>
      <c r="C1207" s="127" t="s">
        <v>1021</v>
      </c>
      <c r="D1207" s="107">
        <v>35000</v>
      </c>
      <c r="E1207" s="281">
        <v>1</v>
      </c>
      <c r="F1207" s="79">
        <v>0</v>
      </c>
      <c r="G1207" s="107">
        <f>(D1207*E1207)+((D1207*E1207)*F1207/100)</f>
        <v>35000</v>
      </c>
      <c r="H1207" s="108"/>
      <c r="I1207" s="71"/>
    </row>
    <row r="1208" spans="1:9" s="65" customFormat="1">
      <c r="A1208" s="139"/>
      <c r="B1208" s="282"/>
      <c r="C1208" s="127"/>
      <c r="D1208" s="107"/>
      <c r="E1208" s="281"/>
      <c r="F1208" s="79"/>
      <c r="G1208" s="107"/>
      <c r="H1208" s="108"/>
      <c r="I1208" s="71"/>
    </row>
    <row r="1209" spans="1:9" s="65" customFormat="1">
      <c r="A1209" s="90"/>
      <c r="B1209" s="91"/>
      <c r="C1209" s="91"/>
      <c r="D1209" s="91"/>
      <c r="E1209" s="91"/>
      <c r="F1209"/>
      <c r="G1209" s="85" t="s">
        <v>407</v>
      </c>
      <c r="H1209" s="107">
        <f>SUM(G1206:G1208)</f>
        <v>1685000</v>
      </c>
      <c r="I1209" s="71"/>
    </row>
    <row r="1210" spans="1:9" s="65" customFormat="1">
      <c r="A1210" s="72" t="s">
        <v>410</v>
      </c>
      <c r="B1210" s="73"/>
      <c r="C1210" s="73"/>
      <c r="D1210" s="73"/>
      <c r="E1210" s="73"/>
      <c r="F1210"/>
      <c r="G1210" s="74"/>
      <c r="H1210" s="108"/>
      <c r="I1210" s="71"/>
    </row>
    <row r="1211" spans="1:9" s="65" customFormat="1">
      <c r="A1211" s="75" t="s">
        <v>391</v>
      </c>
      <c r="B1211" s="76" t="s">
        <v>392</v>
      </c>
      <c r="C1211" s="76" t="s">
        <v>393</v>
      </c>
      <c r="D1211" s="76" t="s">
        <v>394</v>
      </c>
      <c r="E1211" s="76" t="s">
        <v>395</v>
      </c>
      <c r="F1211" s="76" t="s">
        <v>396</v>
      </c>
      <c r="G1211" s="76" t="s">
        <v>397</v>
      </c>
      <c r="H1211" s="108"/>
      <c r="I1211" s="71"/>
    </row>
    <row r="1212" spans="1:9" s="65" customFormat="1">
      <c r="A1212" s="125" t="s">
        <v>478</v>
      </c>
      <c r="B1212" s="126" t="s">
        <v>1029</v>
      </c>
      <c r="C1212" s="127" t="s">
        <v>426</v>
      </c>
      <c r="D1212" s="107">
        <f>10300+5927*2</f>
        <v>22154</v>
      </c>
      <c r="E1212" s="79">
        <v>9</v>
      </c>
      <c r="F1212" s="79">
        <v>0</v>
      </c>
      <c r="G1212" s="107">
        <f>(D1212*E1212)+((D1212*E1212)*F1212/100)</f>
        <v>199386</v>
      </c>
      <c r="H1212" s="108"/>
      <c r="I1212" s="149"/>
    </row>
    <row r="1213" spans="1:9" s="65" customFormat="1">
      <c r="A1213" s="90"/>
      <c r="B1213" s="91"/>
      <c r="C1213" s="91"/>
      <c r="D1213" s="91"/>
      <c r="E1213" s="91"/>
      <c r="F1213"/>
      <c r="G1213" s="93" t="s">
        <v>407</v>
      </c>
      <c r="H1213" s="107">
        <f>SUM(G1212:G1212)</f>
        <v>199386</v>
      </c>
      <c r="I1213" s="71"/>
    </row>
    <row r="1214" spans="1:9" s="65" customFormat="1">
      <c r="A1214" s="72" t="s">
        <v>411</v>
      </c>
      <c r="B1214" s="73"/>
      <c r="C1214" s="73"/>
      <c r="D1214" s="73"/>
      <c r="E1214" s="73"/>
      <c r="F1214"/>
      <c r="G1214" s="74"/>
      <c r="H1214" s="108"/>
      <c r="I1214" s="71"/>
    </row>
    <row r="1215" spans="1:9" s="65" customFormat="1">
      <c r="A1215" s="75" t="s">
        <v>391</v>
      </c>
      <c r="B1215" s="76" t="s">
        <v>392</v>
      </c>
      <c r="C1215" s="76" t="s">
        <v>393</v>
      </c>
      <c r="D1215" s="76" t="s">
        <v>394</v>
      </c>
      <c r="E1215" s="76" t="s">
        <v>395</v>
      </c>
      <c r="F1215" s="76" t="s">
        <v>396</v>
      </c>
      <c r="G1215" s="76" t="s">
        <v>397</v>
      </c>
      <c r="H1215" s="108"/>
      <c r="I1215" s="71"/>
    </row>
    <row r="1216" spans="1:9" s="65" customFormat="1">
      <c r="A1216" s="87" t="s">
        <v>409</v>
      </c>
      <c r="B1216" s="114" t="s">
        <v>409</v>
      </c>
      <c r="C1216" s="114" t="s">
        <v>409</v>
      </c>
      <c r="D1216" s="114" t="s">
        <v>409</v>
      </c>
      <c r="E1216" s="114" t="s">
        <v>409</v>
      </c>
      <c r="F1216" s="79" t="s">
        <v>409</v>
      </c>
      <c r="G1216" s="89" t="s">
        <v>409</v>
      </c>
      <c r="H1216" s="108"/>
      <c r="I1216" s="71"/>
    </row>
    <row r="1217" spans="1:9" s="65" customFormat="1">
      <c r="A1217" s="94"/>
      <c r="B1217" s="95"/>
      <c r="C1217" s="95"/>
      <c r="D1217" s="95"/>
      <c r="E1217" s="95"/>
      <c r="F1217"/>
      <c r="G1217" s="93" t="s">
        <v>407</v>
      </c>
      <c r="H1217" s="107">
        <f>SUM(G1215:G1216)</f>
        <v>0</v>
      </c>
      <c r="I1217" s="71"/>
    </row>
    <row r="1218" spans="1:9" s="65" customFormat="1">
      <c r="A1218" s="94"/>
      <c r="B1218" s="95"/>
      <c r="C1218" s="95"/>
      <c r="D1218" s="95"/>
      <c r="E1218" s="95"/>
      <c r="F1218"/>
      <c r="G1218" s="74"/>
      <c r="H1218" s="74"/>
      <c r="I1218" s="71"/>
    </row>
    <row r="1219" spans="1:9" s="65" customFormat="1">
      <c r="A1219" s="96"/>
      <c r="B1219" s="97"/>
      <c r="C1219" s="98"/>
      <c r="D1219" s="98"/>
      <c r="E1219" s="98"/>
      <c r="F1219"/>
      <c r="G1219" s="99" t="s">
        <v>412</v>
      </c>
      <c r="H1219" s="115">
        <f>SUM(H1203:H1217)</f>
        <v>1885011</v>
      </c>
      <c r="I1219" s="71"/>
    </row>
    <row r="1220" spans="1:9" s="65" customFormat="1">
      <c r="A1220" s="96"/>
      <c r="B1220" s="97"/>
      <c r="C1220" s="98"/>
      <c r="D1220" s="98"/>
      <c r="E1220" s="98"/>
      <c r="F1220" s="101"/>
      <c r="G1220" s="116"/>
      <c r="H1220" s="70"/>
      <c r="I1220" s="71"/>
    </row>
    <row r="1221" spans="1:9" s="65" customFormat="1" ht="15.75" thickBot="1">
      <c r="A1221" s="624" t="s">
        <v>761</v>
      </c>
      <c r="B1221" s="625"/>
      <c r="C1221" s="625"/>
      <c r="D1221" s="625"/>
      <c r="E1221" s="625"/>
      <c r="F1221" s="625"/>
      <c r="G1221" s="626"/>
      <c r="H1221" s="117">
        <f>+ROUND(H1219,0)</f>
        <v>1885011</v>
      </c>
      <c r="I1221" s="103"/>
    </row>
    <row r="1222" spans="1:9" s="65" customFormat="1">
      <c r="A1222" s="123"/>
      <c r="B1222" s="95"/>
      <c r="C1222" s="95"/>
      <c r="D1222" s="95"/>
      <c r="E1222" s="95"/>
      <c r="G1222" s="104"/>
      <c r="H1222" s="121"/>
    </row>
    <row r="1223" spans="1:9" s="65" customFormat="1" ht="15.75" thickBot="1">
      <c r="A1223" s="123"/>
      <c r="B1223" s="95"/>
      <c r="C1223" s="95"/>
      <c r="D1223" s="95"/>
      <c r="E1223" s="95"/>
      <c r="G1223" s="121"/>
      <c r="H1223" s="133"/>
    </row>
    <row r="1224" spans="1:9" s="65" customFormat="1">
      <c r="A1224" s="627"/>
      <c r="B1224" s="634" t="s">
        <v>1058</v>
      </c>
      <c r="C1224" s="635"/>
      <c r="D1224" s="635"/>
      <c r="E1224" s="635"/>
      <c r="F1224" s="635"/>
      <c r="G1224" s="635"/>
      <c r="H1224" s="636"/>
      <c r="I1224" s="66" t="s">
        <v>389</v>
      </c>
    </row>
    <row r="1225" spans="1:9" s="65" customFormat="1">
      <c r="A1225" s="628"/>
      <c r="B1225" s="637"/>
      <c r="C1225" s="638"/>
      <c r="D1225" s="638"/>
      <c r="E1225" s="638"/>
      <c r="F1225" s="638"/>
      <c r="G1225" s="638"/>
      <c r="H1225" s="639"/>
      <c r="I1225" s="67" t="s">
        <v>157</v>
      </c>
    </row>
    <row r="1226" spans="1:9" s="65" customFormat="1">
      <c r="A1226" s="68"/>
      <c r="B1226" s="69"/>
      <c r="C1226" s="69"/>
      <c r="D1226" s="69"/>
      <c r="E1226" s="69"/>
      <c r="F1226" s="70"/>
      <c r="G1226" s="70"/>
      <c r="H1226" s="70"/>
      <c r="I1226" s="71"/>
    </row>
    <row r="1227" spans="1:9" s="65" customFormat="1">
      <c r="A1227" s="72" t="s">
        <v>390</v>
      </c>
      <c r="B1227" s="73"/>
      <c r="C1227" s="73"/>
      <c r="D1227" s="73"/>
      <c r="E1227" s="73"/>
      <c r="F1227" s="74"/>
      <c r="G1227" s="74"/>
      <c r="H1227" s="70"/>
      <c r="I1227" s="71"/>
    </row>
    <row r="1228" spans="1:9" s="65" customFormat="1">
      <c r="A1228" s="75" t="s">
        <v>391</v>
      </c>
      <c r="B1228" s="76" t="s">
        <v>392</v>
      </c>
      <c r="C1228" s="76" t="s">
        <v>393</v>
      </c>
      <c r="D1228" s="76" t="s">
        <v>394</v>
      </c>
      <c r="E1228" s="76" t="s">
        <v>395</v>
      </c>
      <c r="F1228" s="76" t="s">
        <v>396</v>
      </c>
      <c r="G1228" s="76" t="s">
        <v>397</v>
      </c>
      <c r="H1228" s="74"/>
      <c r="I1228" s="71"/>
    </row>
    <row r="1229" spans="1:9" s="65" customFormat="1">
      <c r="A1229" s="77" t="s">
        <v>404</v>
      </c>
      <c r="B1229" s="78" t="s">
        <v>405</v>
      </c>
      <c r="C1229" s="79" t="s">
        <v>406</v>
      </c>
      <c r="D1229" s="107">
        <v>1250</v>
      </c>
      <c r="E1229" s="79">
        <v>5</v>
      </c>
      <c r="F1229" s="79">
        <v>0</v>
      </c>
      <c r="G1229" s="107">
        <f>(D1229*E1229)+((D1229*E1229)*F1229/100)</f>
        <v>6250</v>
      </c>
      <c r="H1229" s="74"/>
      <c r="I1229" s="71"/>
    </row>
    <row r="1230" spans="1:9" s="65" customFormat="1">
      <c r="A1230" s="82"/>
      <c r="B1230" s="83"/>
      <c r="C1230" s="84"/>
      <c r="D1230" s="84"/>
      <c r="E1230" s="84"/>
      <c r="F1230"/>
      <c r="G1230" s="85" t="s">
        <v>407</v>
      </c>
      <c r="H1230" s="107">
        <f>SUM(G1229:G1229)</f>
        <v>6250</v>
      </c>
      <c r="I1230" s="71"/>
    </row>
    <row r="1231" spans="1:9" s="65" customFormat="1">
      <c r="A1231" s="72" t="s">
        <v>408</v>
      </c>
      <c r="B1231" s="73"/>
      <c r="C1231" s="73"/>
      <c r="D1231" s="73"/>
      <c r="E1231" s="73"/>
      <c r="F1231"/>
      <c r="G1231" s="74"/>
      <c r="H1231" s="108"/>
      <c r="I1231" s="71"/>
    </row>
    <row r="1232" spans="1:9" s="65" customFormat="1">
      <c r="A1232" s="75" t="s">
        <v>391</v>
      </c>
      <c r="B1232" s="76" t="s">
        <v>392</v>
      </c>
      <c r="C1232" s="76" t="s">
        <v>393</v>
      </c>
      <c r="D1232" s="76" t="s">
        <v>394</v>
      </c>
      <c r="E1232" s="76" t="s">
        <v>395</v>
      </c>
      <c r="F1232" s="76" t="s">
        <v>396</v>
      </c>
      <c r="G1232" s="76" t="s">
        <v>397</v>
      </c>
      <c r="H1232" s="108"/>
      <c r="I1232" s="71"/>
    </row>
    <row r="1233" spans="1:9" s="65" customFormat="1">
      <c r="A1233" s="135"/>
      <c r="B1233" s="282" t="s">
        <v>207</v>
      </c>
      <c r="C1233" s="127" t="s">
        <v>6</v>
      </c>
      <c r="D1233" s="107">
        <v>6800</v>
      </c>
      <c r="E1233" s="281">
        <v>1242</v>
      </c>
      <c r="F1233" s="79">
        <v>0</v>
      </c>
      <c r="G1233" s="107">
        <f>(D1233*E1233)+((D1233*E1233)*F1233/100)</f>
        <v>8445600</v>
      </c>
      <c r="H1233" s="108"/>
      <c r="I1233" s="71"/>
    </row>
    <row r="1234" spans="1:9" s="65" customFormat="1">
      <c r="A1234" s="139"/>
      <c r="B1234" s="282" t="s">
        <v>1059</v>
      </c>
      <c r="C1234" s="127" t="s">
        <v>8</v>
      </c>
      <c r="D1234" s="107">
        <v>70000</v>
      </c>
      <c r="E1234" s="281">
        <v>38</v>
      </c>
      <c r="F1234" s="79">
        <v>0</v>
      </c>
      <c r="G1234" s="107">
        <f>(D1234*E1234)+((D1234*E1234)*F1234/100)</f>
        <v>2660000</v>
      </c>
      <c r="H1234" s="108"/>
      <c r="I1234" s="71"/>
    </row>
    <row r="1235" spans="1:9" s="65" customFormat="1">
      <c r="A1235" s="139"/>
      <c r="B1235" s="282"/>
      <c r="C1235" s="127"/>
      <c r="D1235" s="107"/>
      <c r="E1235" s="281"/>
      <c r="F1235" s="79"/>
      <c r="G1235" s="107"/>
      <c r="H1235" s="108"/>
      <c r="I1235" s="71"/>
    </row>
    <row r="1236" spans="1:9" s="65" customFormat="1">
      <c r="A1236" s="90"/>
      <c r="B1236" s="91"/>
      <c r="C1236" s="91"/>
      <c r="D1236" s="91"/>
      <c r="E1236" s="91"/>
      <c r="F1236"/>
      <c r="G1236" s="85" t="s">
        <v>407</v>
      </c>
      <c r="H1236" s="107">
        <f>SUM(G1233:G1235)</f>
        <v>11105600</v>
      </c>
      <c r="I1236" s="71"/>
    </row>
    <row r="1237" spans="1:9" s="65" customFormat="1">
      <c r="A1237" s="72" t="s">
        <v>410</v>
      </c>
      <c r="B1237" s="73"/>
      <c r="C1237" s="73"/>
      <c r="D1237" s="73"/>
      <c r="E1237" s="73"/>
      <c r="F1237"/>
      <c r="G1237" s="74"/>
      <c r="H1237" s="108"/>
      <c r="I1237" s="71"/>
    </row>
    <row r="1238" spans="1:9" s="65" customFormat="1">
      <c r="A1238" s="75" t="s">
        <v>391</v>
      </c>
      <c r="B1238" s="76" t="s">
        <v>392</v>
      </c>
      <c r="C1238" s="76" t="s">
        <v>393</v>
      </c>
      <c r="D1238" s="76" t="s">
        <v>394</v>
      </c>
      <c r="E1238" s="76" t="s">
        <v>395</v>
      </c>
      <c r="F1238" s="76" t="s">
        <v>396</v>
      </c>
      <c r="G1238" s="76" t="s">
        <v>397</v>
      </c>
      <c r="H1238" s="108"/>
      <c r="I1238" s="71"/>
    </row>
    <row r="1239" spans="1:9" s="65" customFormat="1">
      <c r="A1239" s="125" t="s">
        <v>478</v>
      </c>
      <c r="B1239" s="126" t="s">
        <v>1029</v>
      </c>
      <c r="C1239" s="127" t="s">
        <v>426</v>
      </c>
      <c r="D1239" s="107">
        <f>10300+5927*2</f>
        <v>22154</v>
      </c>
      <c r="E1239" s="79">
        <v>10</v>
      </c>
      <c r="F1239" s="79">
        <v>0</v>
      </c>
      <c r="G1239" s="107">
        <f>(D1239*E1239)+((D1239*E1239)*F1239/100)</f>
        <v>221540</v>
      </c>
      <c r="H1239" s="108"/>
      <c r="I1239" s="149"/>
    </row>
    <row r="1240" spans="1:9" s="65" customFormat="1">
      <c r="A1240" s="90"/>
      <c r="B1240" s="91"/>
      <c r="C1240" s="91"/>
      <c r="D1240" s="91"/>
      <c r="E1240" s="91"/>
      <c r="F1240"/>
      <c r="G1240" s="93" t="s">
        <v>407</v>
      </c>
      <c r="H1240" s="107">
        <f>SUM(G1239:G1239)</f>
        <v>221540</v>
      </c>
      <c r="I1240" s="71"/>
    </row>
    <row r="1241" spans="1:9" s="65" customFormat="1">
      <c r="A1241" s="72" t="s">
        <v>411</v>
      </c>
      <c r="B1241" s="73"/>
      <c r="C1241" s="73"/>
      <c r="D1241" s="73"/>
      <c r="E1241" s="73"/>
      <c r="F1241"/>
      <c r="G1241" s="74"/>
      <c r="H1241" s="108"/>
      <c r="I1241" s="71"/>
    </row>
    <row r="1242" spans="1:9" s="65" customFormat="1">
      <c r="A1242" s="75" t="s">
        <v>391</v>
      </c>
      <c r="B1242" s="76" t="s">
        <v>392</v>
      </c>
      <c r="C1242" s="76" t="s">
        <v>393</v>
      </c>
      <c r="D1242" s="76" t="s">
        <v>394</v>
      </c>
      <c r="E1242" s="76" t="s">
        <v>395</v>
      </c>
      <c r="F1242" s="76" t="s">
        <v>396</v>
      </c>
      <c r="G1242" s="76" t="s">
        <v>397</v>
      </c>
      <c r="H1242" s="108"/>
      <c r="I1242" s="71"/>
    </row>
    <row r="1243" spans="1:9" s="65" customFormat="1">
      <c r="A1243" s="87" t="s">
        <v>409</v>
      </c>
      <c r="B1243" s="114" t="s">
        <v>409</v>
      </c>
      <c r="C1243" s="114" t="s">
        <v>409</v>
      </c>
      <c r="D1243" s="114" t="s">
        <v>409</v>
      </c>
      <c r="E1243" s="114" t="s">
        <v>409</v>
      </c>
      <c r="F1243" s="79" t="s">
        <v>409</v>
      </c>
      <c r="G1243" s="89" t="s">
        <v>409</v>
      </c>
      <c r="H1243" s="108"/>
      <c r="I1243" s="71"/>
    </row>
    <row r="1244" spans="1:9" s="65" customFormat="1">
      <c r="A1244" s="94"/>
      <c r="B1244" s="95"/>
      <c r="C1244" s="95"/>
      <c r="D1244" s="95"/>
      <c r="E1244" s="95"/>
      <c r="F1244"/>
      <c r="G1244" s="93" t="s">
        <v>407</v>
      </c>
      <c r="H1244" s="107">
        <f>SUM(G1242:G1243)</f>
        <v>0</v>
      </c>
      <c r="I1244" s="71"/>
    </row>
    <row r="1245" spans="1:9" s="65" customFormat="1">
      <c r="A1245" s="94"/>
      <c r="B1245" s="95"/>
      <c r="C1245" s="95"/>
      <c r="D1245" s="95"/>
      <c r="E1245" s="95"/>
      <c r="F1245"/>
      <c r="G1245" s="74"/>
      <c r="H1245" s="74"/>
      <c r="I1245" s="71"/>
    </row>
    <row r="1246" spans="1:9" s="65" customFormat="1">
      <c r="A1246" s="96"/>
      <c r="B1246" s="97"/>
      <c r="C1246" s="98"/>
      <c r="D1246" s="98"/>
      <c r="E1246" s="98"/>
      <c r="F1246"/>
      <c r="G1246" s="99" t="s">
        <v>412</v>
      </c>
      <c r="H1246" s="115">
        <f>SUM(H1230:H1244)</f>
        <v>11333390</v>
      </c>
      <c r="I1246" s="71"/>
    </row>
    <row r="1247" spans="1:9" s="65" customFormat="1">
      <c r="A1247" s="96"/>
      <c r="B1247" s="97"/>
      <c r="C1247" s="98"/>
      <c r="D1247" s="98"/>
      <c r="E1247" s="98"/>
      <c r="F1247" s="101"/>
      <c r="G1247" s="116"/>
      <c r="H1247" s="70"/>
      <c r="I1247" s="71"/>
    </row>
    <row r="1248" spans="1:9" s="65" customFormat="1" ht="15.75" thickBot="1">
      <c r="A1248" s="624" t="s">
        <v>761</v>
      </c>
      <c r="B1248" s="625"/>
      <c r="C1248" s="625"/>
      <c r="D1248" s="625"/>
      <c r="E1248" s="625"/>
      <c r="F1248" s="625"/>
      <c r="G1248" s="626"/>
      <c r="H1248" s="117">
        <f>+ROUND(H1246,0)</f>
        <v>11333390</v>
      </c>
      <c r="I1248" s="103"/>
    </row>
    <row r="1249" spans="1:9" s="65" customFormat="1">
      <c r="B1249" s="97"/>
      <c r="C1249" s="98"/>
      <c r="D1249" s="98"/>
      <c r="E1249" s="98"/>
      <c r="F1249" s="128"/>
      <c r="G1249" s="133"/>
      <c r="H1249" s="134"/>
    </row>
    <row r="1250" spans="1:9" s="65" customFormat="1" ht="15.75" thickBot="1">
      <c r="A1250" s="633"/>
      <c r="B1250" s="633"/>
      <c r="C1250" s="633"/>
      <c r="D1250" s="633"/>
      <c r="E1250" s="633"/>
      <c r="F1250" s="633"/>
      <c r="G1250" s="633"/>
    </row>
    <row r="1251" spans="1:9" s="65" customFormat="1">
      <c r="A1251" s="627"/>
      <c r="B1251" s="634" t="s">
        <v>1060</v>
      </c>
      <c r="C1251" s="635"/>
      <c r="D1251" s="635"/>
      <c r="E1251" s="635"/>
      <c r="F1251" s="635"/>
      <c r="G1251" s="635"/>
      <c r="H1251" s="636"/>
      <c r="I1251" s="66" t="s">
        <v>389</v>
      </c>
    </row>
    <row r="1252" spans="1:9" s="65" customFormat="1">
      <c r="A1252" s="628"/>
      <c r="B1252" s="637"/>
      <c r="C1252" s="638"/>
      <c r="D1252" s="638"/>
      <c r="E1252" s="638"/>
      <c r="F1252" s="638"/>
      <c r="G1252" s="638"/>
      <c r="H1252" s="639"/>
      <c r="I1252" s="67" t="s">
        <v>157</v>
      </c>
    </row>
    <row r="1253" spans="1:9" s="65" customFormat="1">
      <c r="A1253" s="68"/>
      <c r="B1253" s="69"/>
      <c r="C1253" s="69"/>
      <c r="D1253" s="69"/>
      <c r="E1253" s="69"/>
      <c r="F1253" s="70"/>
      <c r="G1253" s="70"/>
      <c r="H1253" s="70"/>
      <c r="I1253" s="71"/>
    </row>
    <row r="1254" spans="1:9" s="65" customFormat="1">
      <c r="A1254" s="72" t="s">
        <v>390</v>
      </c>
      <c r="B1254" s="73"/>
      <c r="C1254" s="73"/>
      <c r="D1254" s="73"/>
      <c r="E1254" s="73"/>
      <c r="F1254" s="74"/>
      <c r="G1254" s="74"/>
      <c r="H1254" s="70"/>
      <c r="I1254" s="71"/>
    </row>
    <row r="1255" spans="1:9" s="65" customFormat="1">
      <c r="A1255" s="75" t="s">
        <v>391</v>
      </c>
      <c r="B1255" s="76" t="s">
        <v>392</v>
      </c>
      <c r="C1255" s="76" t="s">
        <v>393</v>
      </c>
      <c r="D1255" s="76" t="s">
        <v>394</v>
      </c>
      <c r="E1255" s="76" t="s">
        <v>395</v>
      </c>
      <c r="F1255" s="76" t="s">
        <v>396</v>
      </c>
      <c r="G1255" s="76" t="s">
        <v>397</v>
      </c>
      <c r="H1255" s="74"/>
      <c r="I1255" s="71"/>
    </row>
    <row r="1256" spans="1:9" s="65" customFormat="1">
      <c r="A1256" s="77" t="s">
        <v>404</v>
      </c>
      <c r="B1256" s="78" t="s">
        <v>405</v>
      </c>
      <c r="C1256" s="79" t="s">
        <v>406</v>
      </c>
      <c r="D1256" s="107">
        <v>1250</v>
      </c>
      <c r="E1256" s="79">
        <v>2</v>
      </c>
      <c r="F1256" s="79">
        <v>0</v>
      </c>
      <c r="G1256" s="107">
        <f>(D1256*E1256)+((D1256*E1256)*F1256/100)</f>
        <v>2500</v>
      </c>
      <c r="H1256" s="74"/>
      <c r="I1256" s="71"/>
    </row>
    <row r="1257" spans="1:9" s="65" customFormat="1">
      <c r="A1257" s="82"/>
      <c r="B1257" s="83"/>
      <c r="C1257" s="84"/>
      <c r="D1257" s="84"/>
      <c r="E1257" s="84"/>
      <c r="F1257"/>
      <c r="G1257" s="85" t="s">
        <v>407</v>
      </c>
      <c r="H1257" s="107">
        <f>SUM(G1256:G1256)</f>
        <v>2500</v>
      </c>
      <c r="I1257" s="71"/>
    </row>
    <row r="1258" spans="1:9" s="65" customFormat="1">
      <c r="A1258" s="72" t="s">
        <v>408</v>
      </c>
      <c r="B1258" s="73"/>
      <c r="C1258" s="73"/>
      <c r="D1258" s="73"/>
      <c r="E1258" s="73"/>
      <c r="F1258"/>
      <c r="G1258" s="74"/>
      <c r="H1258" s="108"/>
      <c r="I1258" s="71"/>
    </row>
    <row r="1259" spans="1:9" s="65" customFormat="1">
      <c r="A1259" s="75" t="s">
        <v>391</v>
      </c>
      <c r="B1259" s="76" t="s">
        <v>392</v>
      </c>
      <c r="C1259" s="76" t="s">
        <v>393</v>
      </c>
      <c r="D1259" s="76" t="s">
        <v>394</v>
      </c>
      <c r="E1259" s="76" t="s">
        <v>395</v>
      </c>
      <c r="F1259" s="76" t="s">
        <v>396</v>
      </c>
      <c r="G1259" s="76" t="s">
        <v>397</v>
      </c>
      <c r="H1259" s="108"/>
      <c r="I1259" s="71"/>
    </row>
    <row r="1260" spans="1:9" s="65" customFormat="1" ht="29.25">
      <c r="A1260" s="135"/>
      <c r="B1260" s="282" t="s">
        <v>173</v>
      </c>
      <c r="C1260" s="127" t="s">
        <v>8</v>
      </c>
      <c r="D1260" s="107">
        <v>3000</v>
      </c>
      <c r="E1260" s="281">
        <v>10</v>
      </c>
      <c r="F1260" s="79">
        <v>0</v>
      </c>
      <c r="G1260" s="107">
        <f>(D1260*E1260)+((D1260*E1260)*F1260/100)</f>
        <v>30000</v>
      </c>
      <c r="H1260" s="108"/>
      <c r="I1260" s="71"/>
    </row>
    <row r="1261" spans="1:9" s="65" customFormat="1">
      <c r="A1261" s="139"/>
      <c r="B1261" s="282"/>
      <c r="C1261" s="127"/>
      <c r="D1261" s="107"/>
      <c r="E1261" s="281"/>
      <c r="F1261" s="79"/>
      <c r="G1261" s="107"/>
      <c r="H1261" s="108"/>
      <c r="I1261" s="71"/>
    </row>
    <row r="1262" spans="1:9" s="65" customFormat="1">
      <c r="A1262" s="90"/>
      <c r="B1262" s="91"/>
      <c r="C1262" s="91"/>
      <c r="D1262" s="91"/>
      <c r="E1262" s="91"/>
      <c r="F1262"/>
      <c r="G1262" s="85" t="s">
        <v>407</v>
      </c>
      <c r="H1262" s="107">
        <f>SUM(G1260:G1261)</f>
        <v>30000</v>
      </c>
      <c r="I1262" s="71"/>
    </row>
    <row r="1263" spans="1:9" s="65" customFormat="1">
      <c r="A1263" s="72" t="s">
        <v>410</v>
      </c>
      <c r="B1263" s="73"/>
      <c r="C1263" s="73"/>
      <c r="D1263" s="73"/>
      <c r="E1263" s="73"/>
      <c r="F1263"/>
      <c r="G1263" s="74"/>
      <c r="H1263" s="108"/>
      <c r="I1263" s="71"/>
    </row>
    <row r="1264" spans="1:9" s="65" customFormat="1">
      <c r="A1264" s="75" t="s">
        <v>391</v>
      </c>
      <c r="B1264" s="76" t="s">
        <v>392</v>
      </c>
      <c r="C1264" s="76" t="s">
        <v>393</v>
      </c>
      <c r="D1264" s="76" t="s">
        <v>394</v>
      </c>
      <c r="E1264" s="76" t="s">
        <v>395</v>
      </c>
      <c r="F1264" s="76" t="s">
        <v>396</v>
      </c>
      <c r="G1264" s="76" t="s">
        <v>397</v>
      </c>
      <c r="H1264" s="108"/>
      <c r="I1264" s="71"/>
    </row>
    <row r="1265" spans="1:9" s="65" customFormat="1">
      <c r="A1265" s="125" t="s">
        <v>478</v>
      </c>
      <c r="B1265" s="126" t="s">
        <v>1029</v>
      </c>
      <c r="C1265" s="127" t="s">
        <v>426</v>
      </c>
      <c r="D1265" s="107">
        <f>10300+5927*2</f>
        <v>22154</v>
      </c>
      <c r="E1265" s="79">
        <v>0.05</v>
      </c>
      <c r="F1265" s="79">
        <v>0</v>
      </c>
      <c r="G1265" s="107">
        <f>(D1265*E1265)+((D1265*E1265)*F1265/100)</f>
        <v>1107.7</v>
      </c>
      <c r="H1265" s="108"/>
      <c r="I1265" s="149"/>
    </row>
    <row r="1266" spans="1:9" s="65" customFormat="1">
      <c r="A1266" s="90"/>
      <c r="B1266" s="91"/>
      <c r="C1266" s="91"/>
      <c r="D1266" s="91"/>
      <c r="E1266" s="91"/>
      <c r="F1266"/>
      <c r="G1266" s="93" t="s">
        <v>407</v>
      </c>
      <c r="H1266" s="107">
        <f>SUM(G1265:G1265)</f>
        <v>1107.7</v>
      </c>
      <c r="I1266" s="71"/>
    </row>
    <row r="1267" spans="1:9" s="65" customFormat="1">
      <c r="A1267" s="72" t="s">
        <v>411</v>
      </c>
      <c r="B1267" s="73"/>
      <c r="C1267" s="73"/>
      <c r="D1267" s="73"/>
      <c r="E1267" s="73"/>
      <c r="F1267"/>
      <c r="G1267" s="74"/>
      <c r="H1267" s="108"/>
      <c r="I1267" s="71"/>
    </row>
    <row r="1268" spans="1:9" s="65" customFormat="1">
      <c r="A1268" s="75" t="s">
        <v>391</v>
      </c>
      <c r="B1268" s="76" t="s">
        <v>392</v>
      </c>
      <c r="C1268" s="76" t="s">
        <v>393</v>
      </c>
      <c r="D1268" s="76" t="s">
        <v>394</v>
      </c>
      <c r="E1268" s="76" t="s">
        <v>395</v>
      </c>
      <c r="F1268" s="76" t="s">
        <v>396</v>
      </c>
      <c r="G1268" s="76" t="s">
        <v>397</v>
      </c>
      <c r="H1268" s="108"/>
      <c r="I1268" s="71"/>
    </row>
    <row r="1269" spans="1:9" s="65" customFormat="1">
      <c r="A1269" s="87" t="s">
        <v>409</v>
      </c>
      <c r="B1269" s="114" t="s">
        <v>409</v>
      </c>
      <c r="C1269" s="114" t="s">
        <v>409</v>
      </c>
      <c r="D1269" s="114" t="s">
        <v>409</v>
      </c>
      <c r="E1269" s="114" t="s">
        <v>409</v>
      </c>
      <c r="F1269" s="79" t="s">
        <v>409</v>
      </c>
      <c r="G1269" s="89" t="s">
        <v>409</v>
      </c>
      <c r="H1269" s="108"/>
      <c r="I1269" s="71"/>
    </row>
    <row r="1270" spans="1:9" s="65" customFormat="1">
      <c r="A1270" s="94"/>
      <c r="B1270" s="95"/>
      <c r="C1270" s="95"/>
      <c r="D1270" s="95"/>
      <c r="E1270" s="95"/>
      <c r="F1270"/>
      <c r="G1270" s="93" t="s">
        <v>407</v>
      </c>
      <c r="H1270" s="107">
        <f>SUM(G1268:G1269)</f>
        <v>0</v>
      </c>
      <c r="I1270" s="71"/>
    </row>
    <row r="1271" spans="1:9" s="65" customFormat="1">
      <c r="A1271" s="94"/>
      <c r="B1271" s="95"/>
      <c r="C1271" s="95"/>
      <c r="D1271" s="95"/>
      <c r="E1271" s="95"/>
      <c r="F1271"/>
      <c r="G1271" s="74"/>
      <c r="H1271" s="74"/>
      <c r="I1271" s="71"/>
    </row>
    <row r="1272" spans="1:9" s="65" customFormat="1">
      <c r="A1272" s="96"/>
      <c r="B1272" s="97"/>
      <c r="C1272" s="98"/>
      <c r="D1272" s="98"/>
      <c r="E1272" s="98"/>
      <c r="F1272"/>
      <c r="G1272" s="99" t="s">
        <v>412</v>
      </c>
      <c r="H1272" s="115">
        <f>SUM(H1257:H1270)</f>
        <v>33607.699999999997</v>
      </c>
      <c r="I1272" s="71"/>
    </row>
    <row r="1273" spans="1:9" s="65" customFormat="1">
      <c r="A1273" s="96"/>
      <c r="B1273" s="97"/>
      <c r="C1273" s="98"/>
      <c r="D1273" s="98"/>
      <c r="E1273" s="98"/>
      <c r="F1273" s="101"/>
      <c r="G1273" s="116"/>
      <c r="H1273" s="70"/>
      <c r="I1273" s="71"/>
    </row>
    <row r="1274" spans="1:9" s="65" customFormat="1" ht="15.75" thickBot="1">
      <c r="A1274" s="624" t="s">
        <v>761</v>
      </c>
      <c r="B1274" s="625"/>
      <c r="C1274" s="625"/>
      <c r="D1274" s="625"/>
      <c r="E1274" s="625"/>
      <c r="F1274" s="625"/>
      <c r="G1274" s="626"/>
      <c r="H1274" s="117">
        <f>+ROUND(H1272,0)</f>
        <v>33608</v>
      </c>
      <c r="I1274" s="103"/>
    </row>
    <row r="1275" spans="1:9" s="65" customFormat="1">
      <c r="A1275" s="645"/>
      <c r="B1275" s="138"/>
      <c r="C1275" s="138"/>
      <c r="D1275" s="138"/>
      <c r="E1275" s="138"/>
      <c r="F1275" s="138"/>
      <c r="G1275" s="138"/>
      <c r="H1275" s="138"/>
      <c r="I1275" s="152"/>
    </row>
    <row r="1276" spans="1:9" s="65" customFormat="1" ht="15.75" thickBot="1">
      <c r="A1276" s="645"/>
      <c r="B1276" s="138"/>
      <c r="C1276" s="138"/>
      <c r="D1276" s="138"/>
      <c r="E1276" s="138"/>
      <c r="F1276" s="138"/>
      <c r="G1276" s="138"/>
    </row>
    <row r="1277" spans="1:9" s="65" customFormat="1">
      <c r="A1277" s="627"/>
      <c r="B1277" s="634" t="s">
        <v>1061</v>
      </c>
      <c r="C1277" s="635"/>
      <c r="D1277" s="635"/>
      <c r="E1277" s="635"/>
      <c r="F1277" s="635"/>
      <c r="G1277" s="635"/>
      <c r="H1277" s="636"/>
      <c r="I1277" s="66" t="s">
        <v>389</v>
      </c>
    </row>
    <row r="1278" spans="1:9" s="65" customFormat="1">
      <c r="A1278" s="628"/>
      <c r="B1278" s="637"/>
      <c r="C1278" s="638"/>
      <c r="D1278" s="638"/>
      <c r="E1278" s="638"/>
      <c r="F1278" s="638"/>
      <c r="G1278" s="638"/>
      <c r="H1278" s="639"/>
      <c r="I1278" s="67" t="s">
        <v>157</v>
      </c>
    </row>
    <row r="1279" spans="1:9" s="65" customFormat="1">
      <c r="A1279" s="68"/>
      <c r="B1279" s="69"/>
      <c r="C1279" s="69"/>
      <c r="D1279" s="69"/>
      <c r="E1279" s="69"/>
      <c r="F1279" s="70"/>
      <c r="G1279" s="70"/>
      <c r="H1279" s="70"/>
      <c r="I1279" s="71"/>
    </row>
    <row r="1280" spans="1:9" s="65" customFormat="1">
      <c r="A1280" s="72" t="s">
        <v>390</v>
      </c>
      <c r="B1280" s="73"/>
      <c r="C1280" s="73"/>
      <c r="D1280" s="73"/>
      <c r="E1280" s="73"/>
      <c r="F1280" s="74"/>
      <c r="G1280" s="74"/>
      <c r="H1280" s="70"/>
      <c r="I1280" s="71"/>
    </row>
    <row r="1281" spans="1:9" s="65" customFormat="1">
      <c r="A1281" s="75" t="s">
        <v>391</v>
      </c>
      <c r="B1281" s="76" t="s">
        <v>392</v>
      </c>
      <c r="C1281" s="76" t="s">
        <v>393</v>
      </c>
      <c r="D1281" s="76" t="s">
        <v>394</v>
      </c>
      <c r="E1281" s="76" t="s">
        <v>395</v>
      </c>
      <c r="F1281" s="76" t="s">
        <v>396</v>
      </c>
      <c r="G1281" s="76" t="s">
        <v>397</v>
      </c>
      <c r="H1281" s="74"/>
      <c r="I1281" s="71"/>
    </row>
    <row r="1282" spans="1:9" s="65" customFormat="1">
      <c r="A1282" s="77" t="s">
        <v>404</v>
      </c>
      <c r="B1282" s="78" t="s">
        <v>405</v>
      </c>
      <c r="C1282" s="79" t="s">
        <v>406</v>
      </c>
      <c r="D1282" s="107">
        <v>1250</v>
      </c>
      <c r="E1282" s="79">
        <v>0.5</v>
      </c>
      <c r="F1282" s="79">
        <v>0</v>
      </c>
      <c r="G1282" s="107">
        <f>(D1282*E1282)+((D1282*E1282)*F1282/100)</f>
        <v>625</v>
      </c>
      <c r="H1282" s="74"/>
      <c r="I1282" s="71"/>
    </row>
    <row r="1283" spans="1:9" s="65" customFormat="1">
      <c r="A1283" s="82"/>
      <c r="B1283" s="83"/>
      <c r="C1283" s="84"/>
      <c r="D1283" s="84"/>
      <c r="E1283" s="84"/>
      <c r="F1283"/>
      <c r="G1283" s="85" t="s">
        <v>407</v>
      </c>
      <c r="H1283" s="107">
        <f>SUM(G1282:G1282)</f>
        <v>625</v>
      </c>
      <c r="I1283" s="71"/>
    </row>
    <row r="1284" spans="1:9" s="65" customFormat="1">
      <c r="A1284" s="72" t="s">
        <v>408</v>
      </c>
      <c r="B1284" s="73"/>
      <c r="C1284" s="73"/>
      <c r="D1284" s="73"/>
      <c r="E1284" s="73"/>
      <c r="F1284"/>
      <c r="G1284" s="74"/>
      <c r="H1284" s="108"/>
      <c r="I1284" s="71"/>
    </row>
    <row r="1285" spans="1:9" s="65" customFormat="1">
      <c r="A1285" s="75" t="s">
        <v>391</v>
      </c>
      <c r="B1285" s="76" t="s">
        <v>392</v>
      </c>
      <c r="C1285" s="76" t="s">
        <v>393</v>
      </c>
      <c r="D1285" s="76" t="s">
        <v>394</v>
      </c>
      <c r="E1285" s="76" t="s">
        <v>395</v>
      </c>
      <c r="F1285" s="76" t="s">
        <v>396</v>
      </c>
      <c r="G1285" s="76" t="s">
        <v>397</v>
      </c>
      <c r="H1285" s="108"/>
      <c r="I1285" s="71"/>
    </row>
    <row r="1286" spans="1:9" s="65" customFormat="1">
      <c r="A1286" s="135"/>
      <c r="B1286" s="282" t="s">
        <v>1061</v>
      </c>
      <c r="C1286" s="127" t="s">
        <v>7</v>
      </c>
      <c r="D1286" s="107">
        <v>98500</v>
      </c>
      <c r="E1286" s="281">
        <v>1</v>
      </c>
      <c r="F1286" s="79">
        <v>0</v>
      </c>
      <c r="G1286" s="107">
        <f>(D1286*E1286)+((D1286*E1286)*F1286/100)</f>
        <v>98500</v>
      </c>
      <c r="H1286" s="108"/>
      <c r="I1286" s="71"/>
    </row>
    <row r="1287" spans="1:9" s="65" customFormat="1">
      <c r="A1287" s="139"/>
      <c r="B1287" s="282"/>
      <c r="C1287" s="127"/>
      <c r="D1287" s="107"/>
      <c r="E1287" s="281"/>
      <c r="F1287" s="79"/>
      <c r="G1287" s="107"/>
      <c r="H1287" s="108"/>
      <c r="I1287" s="71"/>
    </row>
    <row r="1288" spans="1:9" s="65" customFormat="1">
      <c r="A1288" s="90"/>
      <c r="B1288" s="91"/>
      <c r="C1288" s="91"/>
      <c r="D1288" s="91"/>
      <c r="E1288" s="91"/>
      <c r="F1288"/>
      <c r="G1288" s="85" t="s">
        <v>407</v>
      </c>
      <c r="H1288" s="107">
        <f>SUM(G1286:G1287)</f>
        <v>98500</v>
      </c>
      <c r="I1288" s="71"/>
    </row>
    <row r="1289" spans="1:9" s="65" customFormat="1">
      <c r="A1289" s="72" t="s">
        <v>410</v>
      </c>
      <c r="B1289" s="73"/>
      <c r="C1289" s="73"/>
      <c r="D1289" s="73"/>
      <c r="E1289" s="73"/>
      <c r="F1289"/>
      <c r="G1289" s="74"/>
      <c r="H1289" s="108"/>
      <c r="I1289" s="71"/>
    </row>
    <row r="1290" spans="1:9" s="65" customFormat="1">
      <c r="A1290" s="75" t="s">
        <v>391</v>
      </c>
      <c r="B1290" s="76" t="s">
        <v>392</v>
      </c>
      <c r="C1290" s="76" t="s">
        <v>393</v>
      </c>
      <c r="D1290" s="76" t="s">
        <v>394</v>
      </c>
      <c r="E1290" s="76" t="s">
        <v>395</v>
      </c>
      <c r="F1290" s="76" t="s">
        <v>396</v>
      </c>
      <c r="G1290" s="76" t="s">
        <v>397</v>
      </c>
      <c r="H1290" s="108"/>
      <c r="I1290" s="71"/>
    </row>
    <row r="1291" spans="1:9" s="65" customFormat="1">
      <c r="A1291" s="125" t="s">
        <v>478</v>
      </c>
      <c r="B1291" s="126" t="s">
        <v>1029</v>
      </c>
      <c r="C1291" s="127" t="s">
        <v>426</v>
      </c>
      <c r="D1291" s="107">
        <f>10300+5927*2</f>
        <v>22154</v>
      </c>
      <c r="E1291" s="79">
        <v>1</v>
      </c>
      <c r="F1291" s="79">
        <v>0</v>
      </c>
      <c r="G1291" s="107">
        <f>(D1291*E1291)+((D1291*E1291)*F1291/100)</f>
        <v>22154</v>
      </c>
      <c r="H1291" s="108"/>
      <c r="I1291" s="149"/>
    </row>
    <row r="1292" spans="1:9" s="65" customFormat="1">
      <c r="A1292" s="90"/>
      <c r="B1292" s="91"/>
      <c r="C1292" s="91"/>
      <c r="D1292" s="91"/>
      <c r="E1292" s="91"/>
      <c r="F1292"/>
      <c r="G1292" s="93" t="s">
        <v>407</v>
      </c>
      <c r="H1292" s="107">
        <f>SUM(G1291:G1291)</f>
        <v>22154</v>
      </c>
      <c r="I1292" s="71"/>
    </row>
    <row r="1293" spans="1:9" s="65" customFormat="1">
      <c r="A1293" s="72" t="s">
        <v>411</v>
      </c>
      <c r="B1293" s="73"/>
      <c r="C1293" s="73"/>
      <c r="D1293" s="73"/>
      <c r="E1293" s="73"/>
      <c r="F1293"/>
      <c r="G1293" s="74"/>
      <c r="H1293" s="108"/>
      <c r="I1293" s="71"/>
    </row>
    <row r="1294" spans="1:9" s="65" customFormat="1">
      <c r="A1294" s="75" t="s">
        <v>391</v>
      </c>
      <c r="B1294" s="76" t="s">
        <v>392</v>
      </c>
      <c r="C1294" s="76" t="s">
        <v>393</v>
      </c>
      <c r="D1294" s="76" t="s">
        <v>394</v>
      </c>
      <c r="E1294" s="76" t="s">
        <v>395</v>
      </c>
      <c r="F1294" s="76" t="s">
        <v>396</v>
      </c>
      <c r="G1294" s="76" t="s">
        <v>397</v>
      </c>
      <c r="H1294" s="108"/>
      <c r="I1294" s="71"/>
    </row>
    <row r="1295" spans="1:9" s="65" customFormat="1">
      <c r="A1295" s="87" t="s">
        <v>409</v>
      </c>
      <c r="B1295" s="114" t="s">
        <v>409</v>
      </c>
      <c r="C1295" s="114" t="s">
        <v>409</v>
      </c>
      <c r="D1295" s="114" t="s">
        <v>409</v>
      </c>
      <c r="E1295" s="114" t="s">
        <v>409</v>
      </c>
      <c r="F1295" s="79" t="s">
        <v>409</v>
      </c>
      <c r="G1295" s="89" t="s">
        <v>409</v>
      </c>
      <c r="H1295" s="108"/>
      <c r="I1295" s="71"/>
    </row>
    <row r="1296" spans="1:9" s="65" customFormat="1">
      <c r="A1296" s="94"/>
      <c r="B1296" s="95"/>
      <c r="C1296" s="95"/>
      <c r="D1296" s="95"/>
      <c r="E1296" s="95"/>
      <c r="F1296"/>
      <c r="G1296" s="93" t="s">
        <v>407</v>
      </c>
      <c r="H1296" s="107">
        <f>SUM(G1294:G1295)</f>
        <v>0</v>
      </c>
      <c r="I1296" s="71"/>
    </row>
    <row r="1297" spans="1:9" s="65" customFormat="1">
      <c r="A1297" s="94"/>
      <c r="B1297" s="95"/>
      <c r="C1297" s="95"/>
      <c r="D1297" s="95"/>
      <c r="E1297" s="95"/>
      <c r="F1297"/>
      <c r="G1297" s="74"/>
      <c r="H1297" s="74"/>
      <c r="I1297" s="71"/>
    </row>
    <row r="1298" spans="1:9" s="65" customFormat="1">
      <c r="A1298" s="96"/>
      <c r="B1298" s="97"/>
      <c r="C1298" s="98"/>
      <c r="D1298" s="98"/>
      <c r="E1298" s="98"/>
      <c r="F1298"/>
      <c r="G1298" s="99" t="s">
        <v>412</v>
      </c>
      <c r="H1298" s="115">
        <f>SUM(H1283:H1296)</f>
        <v>121279</v>
      </c>
      <c r="I1298" s="71"/>
    </row>
    <row r="1299" spans="1:9" s="65" customFormat="1">
      <c r="A1299" s="96"/>
      <c r="B1299" s="97"/>
      <c r="C1299" s="98"/>
      <c r="D1299" s="98"/>
      <c r="E1299" s="98"/>
      <c r="F1299" s="101"/>
      <c r="G1299" s="116"/>
      <c r="H1299" s="70"/>
      <c r="I1299" s="71"/>
    </row>
    <row r="1300" spans="1:9" s="65" customFormat="1" ht="15.75" thickBot="1">
      <c r="A1300" s="624" t="s">
        <v>761</v>
      </c>
      <c r="B1300" s="625"/>
      <c r="C1300" s="625"/>
      <c r="D1300" s="625"/>
      <c r="E1300" s="625"/>
      <c r="F1300" s="625"/>
      <c r="G1300" s="626"/>
      <c r="H1300" s="117">
        <f>+ROUND(H1298,0)</f>
        <v>121279</v>
      </c>
      <c r="I1300" s="103"/>
    </row>
    <row r="1301" spans="1:9" s="65" customFormat="1">
      <c r="A1301" s="69"/>
      <c r="B1301" s="69"/>
      <c r="C1301" s="69"/>
      <c r="D1301" s="69"/>
      <c r="E1301" s="69"/>
    </row>
    <row r="1302" spans="1:9" s="65" customFormat="1" ht="15.75" thickBot="1">
      <c r="A1302" s="120"/>
      <c r="B1302" s="73"/>
      <c r="C1302" s="73"/>
      <c r="D1302" s="73"/>
      <c r="E1302" s="73"/>
      <c r="F1302" s="121"/>
      <c r="G1302" s="121"/>
      <c r="H1302" s="121"/>
    </row>
    <row r="1303" spans="1:9" s="65" customFormat="1">
      <c r="A1303" s="627"/>
      <c r="B1303" s="634" t="s">
        <v>1120</v>
      </c>
      <c r="C1303" s="635"/>
      <c r="D1303" s="635"/>
      <c r="E1303" s="635"/>
      <c r="F1303" s="635"/>
      <c r="G1303" s="635"/>
      <c r="H1303" s="636"/>
      <c r="I1303" s="66" t="s">
        <v>389</v>
      </c>
    </row>
    <row r="1304" spans="1:9" s="65" customFormat="1">
      <c r="A1304" s="628"/>
      <c r="B1304" s="637"/>
      <c r="C1304" s="638"/>
      <c r="D1304" s="638"/>
      <c r="E1304" s="638"/>
      <c r="F1304" s="638"/>
      <c r="G1304" s="638"/>
      <c r="H1304" s="639"/>
      <c r="I1304" s="67" t="s">
        <v>7</v>
      </c>
    </row>
    <row r="1305" spans="1:9" s="65" customFormat="1">
      <c r="A1305" s="68"/>
      <c r="B1305" s="69"/>
      <c r="C1305" s="69"/>
      <c r="D1305" s="69"/>
      <c r="E1305" s="69"/>
      <c r="F1305" s="70"/>
      <c r="G1305" s="70"/>
      <c r="H1305" s="70"/>
      <c r="I1305" s="71"/>
    </row>
    <row r="1306" spans="1:9" s="65" customFormat="1">
      <c r="A1306" s="72" t="s">
        <v>390</v>
      </c>
      <c r="B1306" s="73"/>
      <c r="C1306" s="73"/>
      <c r="D1306" s="73"/>
      <c r="E1306" s="73"/>
      <c r="F1306" s="74"/>
      <c r="G1306" s="74"/>
      <c r="H1306" s="70"/>
      <c r="I1306" s="71"/>
    </row>
    <row r="1307" spans="1:9" s="65" customFormat="1">
      <c r="A1307" s="75" t="s">
        <v>391</v>
      </c>
      <c r="B1307" s="76" t="s">
        <v>392</v>
      </c>
      <c r="C1307" s="76" t="s">
        <v>393</v>
      </c>
      <c r="D1307" s="76" t="s">
        <v>394</v>
      </c>
      <c r="E1307" s="76" t="s">
        <v>395</v>
      </c>
      <c r="F1307" s="76" t="s">
        <v>396</v>
      </c>
      <c r="G1307" s="76" t="s">
        <v>397</v>
      </c>
      <c r="H1307" s="74"/>
      <c r="I1307" s="71"/>
    </row>
    <row r="1308" spans="1:9" s="65" customFormat="1">
      <c r="A1308" s="77" t="s">
        <v>404</v>
      </c>
      <c r="B1308" s="78" t="s">
        <v>405</v>
      </c>
      <c r="C1308" s="79" t="s">
        <v>406</v>
      </c>
      <c r="D1308" s="107">
        <v>1250</v>
      </c>
      <c r="E1308" s="79">
        <v>10</v>
      </c>
      <c r="F1308" s="79">
        <v>0</v>
      </c>
      <c r="G1308" s="107">
        <f>(D1308*E1308)+((D1308*E1308)*F1308/100)</f>
        <v>12500</v>
      </c>
      <c r="H1308" s="74"/>
      <c r="I1308" s="71"/>
    </row>
    <row r="1309" spans="1:9" s="65" customFormat="1">
      <c r="A1309" s="82"/>
      <c r="B1309" s="83"/>
      <c r="C1309" s="84"/>
      <c r="D1309" s="84"/>
      <c r="E1309" s="84"/>
      <c r="F1309"/>
      <c r="G1309" s="93" t="s">
        <v>407</v>
      </c>
      <c r="H1309" s="107">
        <f>SUM(G1308:G1308)</f>
        <v>12500</v>
      </c>
      <c r="I1309" s="71"/>
    </row>
    <row r="1310" spans="1:9" s="65" customFormat="1">
      <c r="A1310" s="72" t="s">
        <v>408</v>
      </c>
      <c r="B1310" s="73"/>
      <c r="C1310" s="73"/>
      <c r="D1310" s="73"/>
      <c r="E1310" s="73"/>
      <c r="F1310"/>
      <c r="G1310" s="74"/>
      <c r="H1310" s="108"/>
      <c r="I1310" s="71"/>
    </row>
    <row r="1311" spans="1:9" s="65" customFormat="1">
      <c r="A1311" s="75" t="s">
        <v>391</v>
      </c>
      <c r="B1311" s="76" t="s">
        <v>392</v>
      </c>
      <c r="C1311" s="76" t="s">
        <v>393</v>
      </c>
      <c r="D1311" s="76" t="s">
        <v>394</v>
      </c>
      <c r="E1311" s="76" t="s">
        <v>395</v>
      </c>
      <c r="F1311" s="76" t="s">
        <v>396</v>
      </c>
      <c r="G1311" s="76" t="s">
        <v>397</v>
      </c>
      <c r="H1311" s="108"/>
      <c r="I1311" s="71"/>
    </row>
    <row r="1312" spans="1:9" s="65" customFormat="1" ht="25.5">
      <c r="A1312" s="135" t="s">
        <v>501</v>
      </c>
      <c r="B1312" s="78" t="s">
        <v>464</v>
      </c>
      <c r="C1312" s="127" t="s">
        <v>432</v>
      </c>
      <c r="D1312" s="107">
        <f>+H247</f>
        <v>281819</v>
      </c>
      <c r="E1312" s="309">
        <f>+(1.2+1.5)*2*1.2*0.2+1.2*1.5*0.08</f>
        <v>1.4400000000000002</v>
      </c>
      <c r="F1312" s="79">
        <v>5</v>
      </c>
      <c r="G1312" s="107">
        <f>(D1312*E1312)+((D1312*E1312)*F1312/100)</f>
        <v>426110.32800000004</v>
      </c>
      <c r="H1312" s="108"/>
      <c r="I1312" s="71"/>
    </row>
    <row r="1313" spans="1:9" s="65" customFormat="1">
      <c r="A1313" s="139">
        <v>5000</v>
      </c>
      <c r="B1313" s="78" t="s">
        <v>484</v>
      </c>
      <c r="C1313" s="127" t="s">
        <v>73</v>
      </c>
      <c r="D1313" s="107">
        <v>150000</v>
      </c>
      <c r="E1313" s="79">
        <v>0.5</v>
      </c>
      <c r="F1313" s="79">
        <v>0</v>
      </c>
      <c r="G1313" s="107">
        <f>(D1313*E1313)+((D1313*E1313)*F1313/100)</f>
        <v>75000</v>
      </c>
      <c r="H1313" s="108"/>
      <c r="I1313" s="71"/>
    </row>
    <row r="1314" spans="1:9" s="65" customFormat="1">
      <c r="A1314" s="75"/>
      <c r="B1314" s="78" t="s">
        <v>1144</v>
      </c>
      <c r="C1314" s="79" t="s">
        <v>6</v>
      </c>
      <c r="D1314" s="107">
        <v>3201</v>
      </c>
      <c r="E1314" s="79">
        <f>+E1312*100</f>
        <v>144.00000000000003</v>
      </c>
      <c r="F1314" s="79">
        <v>0</v>
      </c>
      <c r="G1314" s="107">
        <f>(D1314*E1314)+((D1314*E1314)*F1314/100)</f>
        <v>460944.00000000012</v>
      </c>
      <c r="H1314" s="108"/>
      <c r="I1314" s="71"/>
    </row>
    <row r="1315" spans="1:9" s="65" customFormat="1">
      <c r="A1315" s="90"/>
      <c r="B1315" s="91"/>
      <c r="C1315" s="91"/>
      <c r="D1315" s="91"/>
      <c r="E1315" s="91"/>
      <c r="F1315"/>
      <c r="G1315" s="85" t="s">
        <v>407</v>
      </c>
      <c r="H1315" s="107">
        <f>SUM(G1312:G1314)</f>
        <v>962054.32800000021</v>
      </c>
      <c r="I1315" s="71"/>
    </row>
    <row r="1316" spans="1:9" s="65" customFormat="1">
      <c r="A1316" s="72" t="s">
        <v>410</v>
      </c>
      <c r="B1316" s="73"/>
      <c r="C1316" s="73"/>
      <c r="D1316" s="73"/>
      <c r="E1316" s="73"/>
      <c r="F1316"/>
      <c r="G1316" s="74"/>
      <c r="H1316" s="108"/>
      <c r="I1316" s="71"/>
    </row>
    <row r="1317" spans="1:9" s="65" customFormat="1">
      <c r="A1317" s="75" t="s">
        <v>391</v>
      </c>
      <c r="B1317" s="76" t="s">
        <v>392</v>
      </c>
      <c r="C1317" s="76" t="s">
        <v>393</v>
      </c>
      <c r="D1317" s="76" t="s">
        <v>394</v>
      </c>
      <c r="E1317" s="76" t="s">
        <v>395</v>
      </c>
      <c r="F1317" s="76" t="s">
        <v>396</v>
      </c>
      <c r="G1317" s="76" t="s">
        <v>397</v>
      </c>
      <c r="H1317" s="108"/>
      <c r="I1317" s="71"/>
    </row>
    <row r="1318" spans="1:9" s="65" customFormat="1">
      <c r="A1318" s="125" t="s">
        <v>478</v>
      </c>
      <c r="B1318" s="126" t="s">
        <v>479</v>
      </c>
      <c r="C1318" s="127" t="s">
        <v>426</v>
      </c>
      <c r="D1318" s="107">
        <f>5627*6+10300+15000</f>
        <v>59062</v>
      </c>
      <c r="E1318" s="79">
        <v>3</v>
      </c>
      <c r="F1318" s="79">
        <v>0</v>
      </c>
      <c r="G1318" s="107">
        <f>(D1318*E1318)+((D1318*E1318)*F1318/100)</f>
        <v>177186</v>
      </c>
      <c r="H1318" s="108"/>
      <c r="I1318" s="149"/>
    </row>
    <row r="1319" spans="1:9" s="65" customFormat="1">
      <c r="A1319" s="90"/>
      <c r="B1319" s="91"/>
      <c r="C1319" s="91"/>
      <c r="D1319" s="91"/>
      <c r="E1319" s="91"/>
      <c r="F1319"/>
      <c r="G1319" s="93" t="s">
        <v>407</v>
      </c>
      <c r="H1319" s="107">
        <f>SUM(G1318:G1318)</f>
        <v>177186</v>
      </c>
      <c r="I1319" s="71"/>
    </row>
    <row r="1320" spans="1:9" s="65" customFormat="1">
      <c r="A1320" s="72" t="s">
        <v>411</v>
      </c>
      <c r="B1320" s="73"/>
      <c r="C1320" s="73"/>
      <c r="D1320" s="73"/>
      <c r="E1320" s="73"/>
      <c r="F1320"/>
      <c r="G1320" s="74"/>
      <c r="H1320" s="108"/>
      <c r="I1320" s="71"/>
    </row>
    <row r="1321" spans="1:9" s="65" customFormat="1">
      <c r="A1321" s="75" t="s">
        <v>391</v>
      </c>
      <c r="B1321" s="76" t="s">
        <v>392</v>
      </c>
      <c r="C1321" s="76" t="s">
        <v>393</v>
      </c>
      <c r="D1321" s="76" t="s">
        <v>394</v>
      </c>
      <c r="E1321" s="76" t="s">
        <v>395</v>
      </c>
      <c r="F1321" s="76" t="s">
        <v>396</v>
      </c>
      <c r="G1321" s="76" t="s">
        <v>397</v>
      </c>
      <c r="H1321" s="108"/>
      <c r="I1321" s="71"/>
    </row>
    <row r="1322" spans="1:9" s="65" customFormat="1">
      <c r="A1322" s="87" t="s">
        <v>409</v>
      </c>
      <c r="B1322" s="114" t="s">
        <v>409</v>
      </c>
      <c r="C1322" s="114" t="s">
        <v>409</v>
      </c>
      <c r="D1322" s="114" t="s">
        <v>409</v>
      </c>
      <c r="E1322" s="114" t="s">
        <v>409</v>
      </c>
      <c r="F1322" s="79" t="s">
        <v>409</v>
      </c>
      <c r="G1322" s="89" t="s">
        <v>409</v>
      </c>
      <c r="H1322" s="108"/>
      <c r="I1322" s="71"/>
    </row>
    <row r="1323" spans="1:9" s="65" customFormat="1">
      <c r="A1323" s="94"/>
      <c r="B1323" s="95"/>
      <c r="C1323" s="95"/>
      <c r="D1323" s="95"/>
      <c r="E1323" s="95"/>
      <c r="F1323"/>
      <c r="G1323" s="93" t="s">
        <v>407</v>
      </c>
      <c r="H1323" s="107">
        <f>SUM(G1321:G1322)</f>
        <v>0</v>
      </c>
      <c r="I1323" s="71"/>
    </row>
    <row r="1324" spans="1:9" s="65" customFormat="1">
      <c r="A1324" s="94"/>
      <c r="B1324" s="95"/>
      <c r="C1324" s="95"/>
      <c r="D1324" s="95"/>
      <c r="E1324" s="95"/>
      <c r="F1324"/>
      <c r="G1324" s="74"/>
      <c r="H1324" s="74"/>
      <c r="I1324" s="71"/>
    </row>
    <row r="1325" spans="1:9" s="65" customFormat="1">
      <c r="A1325" s="96"/>
      <c r="B1325" s="97"/>
      <c r="C1325" s="98"/>
      <c r="D1325" s="98"/>
      <c r="E1325" s="98"/>
      <c r="F1325"/>
      <c r="G1325" s="99" t="s">
        <v>412</v>
      </c>
      <c r="H1325" s="115">
        <f>SUM(H1309:H1323)</f>
        <v>1151740.3280000002</v>
      </c>
      <c r="I1325" s="71"/>
    </row>
    <row r="1326" spans="1:9" s="65" customFormat="1">
      <c r="A1326" s="96"/>
      <c r="B1326" s="97"/>
      <c r="C1326" s="98"/>
      <c r="D1326" s="98"/>
      <c r="E1326" s="98"/>
      <c r="F1326" s="101"/>
      <c r="G1326" s="116"/>
      <c r="H1326" s="70"/>
      <c r="I1326" s="71"/>
    </row>
    <row r="1327" spans="1:9" s="65" customFormat="1" ht="15.75" thickBot="1">
      <c r="A1327" s="624" t="s">
        <v>502</v>
      </c>
      <c r="B1327" s="625"/>
      <c r="C1327" s="625"/>
      <c r="D1327" s="625"/>
      <c r="E1327" s="625"/>
      <c r="F1327" s="625"/>
      <c r="G1327" s="626"/>
      <c r="H1327" s="117">
        <f>+ROUND(H1325,0)</f>
        <v>1151740</v>
      </c>
      <c r="I1327" s="103"/>
    </row>
    <row r="1328" spans="1:9" s="65" customFormat="1" ht="40.5" customHeight="1" thickBot="1">
      <c r="A1328" s="128"/>
      <c r="B1328" s="141"/>
      <c r="C1328" s="141"/>
      <c r="D1328" s="141"/>
      <c r="E1328" s="141"/>
      <c r="F1328" s="141"/>
      <c r="G1328" s="141"/>
      <c r="H1328" s="121"/>
    </row>
    <row r="1329" spans="1:9" s="65" customFormat="1">
      <c r="A1329" s="627"/>
      <c r="B1329" s="634" t="s">
        <v>796</v>
      </c>
      <c r="C1329" s="635"/>
      <c r="D1329" s="635"/>
      <c r="E1329" s="635"/>
      <c r="F1329" s="635"/>
      <c r="G1329" s="635"/>
      <c r="H1329" s="636"/>
      <c r="I1329" s="66" t="s">
        <v>389</v>
      </c>
    </row>
    <row r="1330" spans="1:9" s="65" customFormat="1">
      <c r="A1330" s="628"/>
      <c r="B1330" s="637"/>
      <c r="C1330" s="638"/>
      <c r="D1330" s="638"/>
      <c r="E1330" s="638"/>
      <c r="F1330" s="638"/>
      <c r="G1330" s="638"/>
      <c r="H1330" s="639"/>
      <c r="I1330" s="67" t="s">
        <v>7</v>
      </c>
    </row>
    <row r="1331" spans="1:9" s="65" customFormat="1">
      <c r="A1331" s="68"/>
      <c r="B1331" s="69"/>
      <c r="C1331" s="69"/>
      <c r="D1331" s="69"/>
      <c r="E1331" s="69"/>
      <c r="F1331" s="70"/>
      <c r="G1331" s="70"/>
      <c r="H1331" s="70"/>
      <c r="I1331" s="71"/>
    </row>
    <row r="1332" spans="1:9" s="65" customFormat="1">
      <c r="A1332" s="72" t="s">
        <v>390</v>
      </c>
      <c r="B1332" s="73"/>
      <c r="C1332" s="73"/>
      <c r="D1332" s="73"/>
      <c r="E1332" s="73"/>
      <c r="F1332" s="74"/>
      <c r="G1332" s="74"/>
      <c r="H1332" s="70"/>
      <c r="I1332" s="71"/>
    </row>
    <row r="1333" spans="1:9" s="65" customFormat="1">
      <c r="A1333" s="75" t="s">
        <v>391</v>
      </c>
      <c r="B1333" s="76" t="s">
        <v>392</v>
      </c>
      <c r="C1333" s="76" t="s">
        <v>393</v>
      </c>
      <c r="D1333" s="76" t="s">
        <v>394</v>
      </c>
      <c r="E1333" s="76" t="s">
        <v>395</v>
      </c>
      <c r="F1333" s="76" t="s">
        <v>396</v>
      </c>
      <c r="G1333" s="76" t="s">
        <v>397</v>
      </c>
      <c r="H1333" s="74"/>
      <c r="I1333" s="71"/>
    </row>
    <row r="1334" spans="1:9" s="65" customFormat="1">
      <c r="A1334" s="77" t="s">
        <v>404</v>
      </c>
      <c r="B1334" s="78" t="s">
        <v>405</v>
      </c>
      <c r="C1334" s="79" t="s">
        <v>406</v>
      </c>
      <c r="D1334" s="107">
        <v>1250</v>
      </c>
      <c r="E1334" s="79">
        <v>1</v>
      </c>
      <c r="F1334" s="79">
        <v>0</v>
      </c>
      <c r="G1334" s="107">
        <f>(D1334*E1334)+((D1334*E1334)*F1334/100)</f>
        <v>1250</v>
      </c>
      <c r="H1334" s="74"/>
      <c r="I1334" s="71"/>
    </row>
    <row r="1335" spans="1:9" s="65" customFormat="1">
      <c r="A1335" s="82"/>
      <c r="B1335" s="83"/>
      <c r="C1335" s="84"/>
      <c r="D1335" s="84"/>
      <c r="E1335" s="84"/>
      <c r="F1335"/>
      <c r="G1335" s="93" t="s">
        <v>407</v>
      </c>
      <c r="H1335" s="107">
        <f>SUM(G1334:G1334)</f>
        <v>1250</v>
      </c>
      <c r="I1335" s="71"/>
    </row>
    <row r="1336" spans="1:9" s="65" customFormat="1">
      <c r="A1336" s="72" t="s">
        <v>408</v>
      </c>
      <c r="B1336" s="73"/>
      <c r="C1336" s="73"/>
      <c r="D1336" s="73"/>
      <c r="E1336" s="73"/>
      <c r="F1336"/>
      <c r="G1336" s="74"/>
      <c r="H1336" s="108"/>
      <c r="I1336" s="71"/>
    </row>
    <row r="1337" spans="1:9" s="65" customFormat="1">
      <c r="A1337" s="75" t="s">
        <v>391</v>
      </c>
      <c r="B1337" s="76" t="s">
        <v>392</v>
      </c>
      <c r="C1337" s="76" t="s">
        <v>393</v>
      </c>
      <c r="D1337" s="76" t="s">
        <v>394</v>
      </c>
      <c r="E1337" s="76" t="s">
        <v>395</v>
      </c>
      <c r="F1337" s="76" t="s">
        <v>396</v>
      </c>
      <c r="G1337" s="76" t="s">
        <v>397</v>
      </c>
      <c r="H1337" s="108"/>
      <c r="I1337" s="71"/>
    </row>
    <row r="1338" spans="1:9" s="65" customFormat="1" ht="25.5">
      <c r="A1338" s="135" t="s">
        <v>501</v>
      </c>
      <c r="B1338" s="78" t="s">
        <v>464</v>
      </c>
      <c r="C1338" s="127" t="s">
        <v>432</v>
      </c>
      <c r="D1338" s="107">
        <f>+H247</f>
        <v>281819</v>
      </c>
      <c r="E1338" s="309">
        <f>0.6*0.9*0.1</f>
        <v>5.4000000000000006E-2</v>
      </c>
      <c r="F1338" s="79">
        <v>3</v>
      </c>
      <c r="G1338" s="107">
        <f>(D1338*E1338)+((D1338*E1338)*F1338/100)</f>
        <v>15674.772780000003</v>
      </c>
      <c r="H1338" s="108"/>
      <c r="I1338" s="71"/>
    </row>
    <row r="1339" spans="1:9" s="65" customFormat="1">
      <c r="A1339" s="139">
        <v>5000</v>
      </c>
      <c r="B1339" s="78" t="s">
        <v>484</v>
      </c>
      <c r="C1339" s="127" t="s">
        <v>73</v>
      </c>
      <c r="D1339" s="107">
        <v>150000</v>
      </c>
      <c r="E1339" s="79">
        <v>0.02</v>
      </c>
      <c r="F1339" s="79">
        <v>0</v>
      </c>
      <c r="G1339" s="107">
        <f>(D1339*E1339)+((D1339*E1339)*F1339/100)</f>
        <v>3000</v>
      </c>
      <c r="H1339" s="108"/>
      <c r="I1339" s="71"/>
    </row>
    <row r="1340" spans="1:9" s="65" customFormat="1">
      <c r="A1340" s="150"/>
      <c r="B1340" s="83"/>
      <c r="C1340" s="148"/>
      <c r="D1340" s="202"/>
      <c r="E1340" s="84"/>
      <c r="F1340" s="84"/>
      <c r="G1340" s="280"/>
      <c r="H1340" s="108"/>
      <c r="I1340" s="71"/>
    </row>
    <row r="1341" spans="1:9" s="65" customFormat="1">
      <c r="A1341" s="90"/>
      <c r="B1341" s="91"/>
      <c r="C1341" s="91"/>
      <c r="D1341" s="91"/>
      <c r="E1341" s="91"/>
      <c r="F1341"/>
      <c r="G1341" s="85" t="s">
        <v>407</v>
      </c>
      <c r="H1341" s="107">
        <f>SUM(G1338:G1339)</f>
        <v>18674.772780000003</v>
      </c>
      <c r="I1341" s="71"/>
    </row>
    <row r="1342" spans="1:9" s="65" customFormat="1">
      <c r="A1342" s="72" t="s">
        <v>410</v>
      </c>
      <c r="B1342" s="73"/>
      <c r="C1342" s="73"/>
      <c r="D1342" s="73"/>
      <c r="E1342" s="73"/>
      <c r="F1342"/>
      <c r="G1342" s="74"/>
      <c r="H1342" s="108"/>
      <c r="I1342" s="71"/>
    </row>
    <row r="1343" spans="1:9" s="65" customFormat="1">
      <c r="A1343" s="75" t="s">
        <v>391</v>
      </c>
      <c r="B1343" s="76" t="s">
        <v>392</v>
      </c>
      <c r="C1343" s="76" t="s">
        <v>393</v>
      </c>
      <c r="D1343" s="76" t="s">
        <v>394</v>
      </c>
      <c r="E1343" s="76" t="s">
        <v>395</v>
      </c>
      <c r="F1343" s="76" t="s">
        <v>396</v>
      </c>
      <c r="G1343" s="76" t="s">
        <v>397</v>
      </c>
      <c r="H1343" s="108"/>
      <c r="I1343" s="71"/>
    </row>
    <row r="1344" spans="1:9" s="65" customFormat="1">
      <c r="A1344" s="125" t="s">
        <v>478</v>
      </c>
      <c r="B1344" s="126" t="s">
        <v>479</v>
      </c>
      <c r="C1344" s="127" t="s">
        <v>426</v>
      </c>
      <c r="D1344" s="107">
        <f>5627*6+10300+15000</f>
        <v>59062</v>
      </c>
      <c r="E1344" s="79">
        <v>1</v>
      </c>
      <c r="F1344" s="79">
        <v>0</v>
      </c>
      <c r="G1344" s="107">
        <f>(D1344*E1344)+((D1344*E1344)*F1344/100)</f>
        <v>59062</v>
      </c>
      <c r="H1344" s="108"/>
      <c r="I1344" s="149"/>
    </row>
    <row r="1345" spans="1:9" s="65" customFormat="1">
      <c r="A1345" s="90"/>
      <c r="B1345" s="91"/>
      <c r="C1345" s="91"/>
      <c r="D1345" s="91"/>
      <c r="E1345" s="91"/>
      <c r="F1345"/>
      <c r="G1345" s="93" t="s">
        <v>407</v>
      </c>
      <c r="H1345" s="107">
        <f>SUM(G1344:G1344)</f>
        <v>59062</v>
      </c>
      <c r="I1345" s="71"/>
    </row>
    <row r="1346" spans="1:9" s="65" customFormat="1">
      <c r="A1346" s="72" t="s">
        <v>411</v>
      </c>
      <c r="B1346" s="73"/>
      <c r="C1346" s="73"/>
      <c r="D1346" s="73"/>
      <c r="E1346" s="73"/>
      <c r="F1346"/>
      <c r="G1346" s="74"/>
      <c r="H1346" s="108"/>
      <c r="I1346" s="71"/>
    </row>
    <row r="1347" spans="1:9" s="65" customFormat="1">
      <c r="A1347" s="75" t="s">
        <v>391</v>
      </c>
      <c r="B1347" s="76" t="s">
        <v>392</v>
      </c>
      <c r="C1347" s="76" t="s">
        <v>393</v>
      </c>
      <c r="D1347" s="76" t="s">
        <v>394</v>
      </c>
      <c r="E1347" s="76" t="s">
        <v>395</v>
      </c>
      <c r="F1347" s="76" t="s">
        <v>396</v>
      </c>
      <c r="G1347" s="76" t="s">
        <v>397</v>
      </c>
      <c r="H1347" s="108"/>
      <c r="I1347" s="71"/>
    </row>
    <row r="1348" spans="1:9" s="65" customFormat="1">
      <c r="A1348" s="87" t="s">
        <v>409</v>
      </c>
      <c r="B1348" s="114" t="s">
        <v>409</v>
      </c>
      <c r="C1348" s="114" t="s">
        <v>409</v>
      </c>
      <c r="D1348" s="114" t="s">
        <v>409</v>
      </c>
      <c r="E1348" s="114" t="s">
        <v>409</v>
      </c>
      <c r="F1348" s="79" t="s">
        <v>409</v>
      </c>
      <c r="G1348" s="89" t="s">
        <v>409</v>
      </c>
      <c r="H1348" s="108"/>
      <c r="I1348" s="71"/>
    </row>
    <row r="1349" spans="1:9" s="65" customFormat="1">
      <c r="A1349" s="94"/>
      <c r="B1349" s="95"/>
      <c r="C1349" s="95"/>
      <c r="D1349" s="95"/>
      <c r="E1349" s="95"/>
      <c r="F1349"/>
      <c r="G1349" s="93" t="s">
        <v>407</v>
      </c>
      <c r="H1349" s="107">
        <f>SUM(G1347:G1348)</f>
        <v>0</v>
      </c>
      <c r="I1349" s="71"/>
    </row>
    <row r="1350" spans="1:9" s="65" customFormat="1">
      <c r="A1350" s="94"/>
      <c r="B1350" s="95"/>
      <c r="C1350" s="95"/>
      <c r="D1350" s="95"/>
      <c r="E1350" s="95"/>
      <c r="F1350"/>
      <c r="G1350" s="74"/>
      <c r="H1350" s="74"/>
      <c r="I1350" s="71"/>
    </row>
    <row r="1351" spans="1:9" s="65" customFormat="1">
      <c r="A1351" s="96"/>
      <c r="B1351" s="97"/>
      <c r="C1351" s="98"/>
      <c r="D1351" s="98"/>
      <c r="E1351" s="98"/>
      <c r="F1351"/>
      <c r="G1351" s="99" t="s">
        <v>412</v>
      </c>
      <c r="H1351" s="115">
        <f>SUM(H1335:H1349)</f>
        <v>78986.772779999999</v>
      </c>
      <c r="I1351" s="71"/>
    </row>
    <row r="1352" spans="1:9" s="65" customFormat="1" ht="41.25" customHeight="1">
      <c r="A1352" s="96"/>
      <c r="B1352" s="97"/>
      <c r="C1352" s="98"/>
      <c r="D1352" s="98"/>
      <c r="E1352" s="98"/>
      <c r="F1352" s="101"/>
      <c r="G1352" s="116"/>
      <c r="H1352" s="70"/>
      <c r="I1352" s="71"/>
    </row>
    <row r="1353" spans="1:9" s="65" customFormat="1" ht="15.75" thickBot="1">
      <c r="A1353" s="624" t="s">
        <v>502</v>
      </c>
      <c r="B1353" s="625"/>
      <c r="C1353" s="625"/>
      <c r="D1353" s="625"/>
      <c r="E1353" s="625"/>
      <c r="F1353" s="625"/>
      <c r="G1353" s="626"/>
      <c r="H1353" s="117">
        <f>+ROUND(H1351,0)</f>
        <v>78987</v>
      </c>
      <c r="I1353" s="103"/>
    </row>
    <row r="1354" spans="1:9" s="65" customFormat="1">
      <c r="A1354" s="84"/>
      <c r="B1354" s="83"/>
      <c r="C1354" s="84"/>
      <c r="D1354" s="84"/>
      <c r="E1354" s="84"/>
      <c r="G1354" s="104"/>
      <c r="H1354" s="140"/>
    </row>
    <row r="1355" spans="1:9" s="65" customFormat="1" ht="15.75" thickBot="1">
      <c r="A1355" s="120"/>
      <c r="B1355" s="73"/>
      <c r="C1355" s="73"/>
      <c r="D1355" s="73"/>
      <c r="E1355" s="73"/>
      <c r="G1355" s="121"/>
      <c r="H1355" s="140"/>
    </row>
    <row r="1356" spans="1:9" s="65" customFormat="1">
      <c r="A1356" s="627"/>
      <c r="B1356" s="634" t="s">
        <v>797</v>
      </c>
      <c r="C1356" s="635"/>
      <c r="D1356" s="635"/>
      <c r="E1356" s="635"/>
      <c r="F1356" s="635"/>
      <c r="G1356" s="635"/>
      <c r="H1356" s="636"/>
      <c r="I1356" s="66" t="s">
        <v>389</v>
      </c>
    </row>
    <row r="1357" spans="1:9" s="65" customFormat="1">
      <c r="A1357" s="628"/>
      <c r="B1357" s="637"/>
      <c r="C1357" s="638"/>
      <c r="D1357" s="638"/>
      <c r="E1357" s="638"/>
      <c r="F1357" s="638"/>
      <c r="G1357" s="638"/>
      <c r="H1357" s="639"/>
      <c r="I1357" s="67" t="s">
        <v>7</v>
      </c>
    </row>
    <row r="1358" spans="1:9" s="65" customFormat="1">
      <c r="A1358" s="68"/>
      <c r="B1358" s="69"/>
      <c r="C1358" s="69"/>
      <c r="D1358" s="69"/>
      <c r="E1358" s="69"/>
      <c r="F1358" s="70"/>
      <c r="G1358" s="70"/>
      <c r="H1358" s="70"/>
      <c r="I1358" s="71"/>
    </row>
    <row r="1359" spans="1:9" s="65" customFormat="1">
      <c r="A1359" s="72" t="s">
        <v>390</v>
      </c>
      <c r="B1359" s="73"/>
      <c r="C1359" s="73"/>
      <c r="D1359" s="73"/>
      <c r="E1359" s="73"/>
      <c r="F1359" s="74"/>
      <c r="G1359" s="74"/>
      <c r="H1359" s="70"/>
      <c r="I1359" s="71"/>
    </row>
    <row r="1360" spans="1:9" s="65" customFormat="1">
      <c r="A1360" s="75" t="s">
        <v>391</v>
      </c>
      <c r="B1360" s="76" t="s">
        <v>392</v>
      </c>
      <c r="C1360" s="76" t="s">
        <v>393</v>
      </c>
      <c r="D1360" s="76" t="s">
        <v>394</v>
      </c>
      <c r="E1360" s="76" t="s">
        <v>395</v>
      </c>
      <c r="F1360" s="76" t="s">
        <v>396</v>
      </c>
      <c r="G1360" s="76" t="s">
        <v>397</v>
      </c>
      <c r="H1360" s="74"/>
      <c r="I1360" s="71"/>
    </row>
    <row r="1361" spans="1:9" s="65" customFormat="1">
      <c r="A1361" s="77" t="s">
        <v>404</v>
      </c>
      <c r="B1361" s="78" t="s">
        <v>405</v>
      </c>
      <c r="C1361" s="79" t="s">
        <v>406</v>
      </c>
      <c r="D1361" s="107">
        <v>1250</v>
      </c>
      <c r="E1361" s="79">
        <v>1</v>
      </c>
      <c r="F1361" s="79">
        <v>0</v>
      </c>
      <c r="G1361" s="107">
        <f>(D1361*E1361)+((D1361*E1361)*F1361/100)</f>
        <v>1250</v>
      </c>
      <c r="H1361" s="74"/>
      <c r="I1361" s="71"/>
    </row>
    <row r="1362" spans="1:9" s="65" customFormat="1">
      <c r="A1362" s="82"/>
      <c r="B1362" s="83"/>
      <c r="C1362" s="84"/>
      <c r="D1362" s="84"/>
      <c r="E1362" s="84"/>
      <c r="F1362"/>
      <c r="G1362" s="93" t="s">
        <v>407</v>
      </c>
      <c r="H1362" s="107">
        <f>SUM(G1361:G1361)</f>
        <v>1250</v>
      </c>
      <c r="I1362" s="71"/>
    </row>
    <row r="1363" spans="1:9" s="65" customFormat="1">
      <c r="A1363" s="72" t="s">
        <v>408</v>
      </c>
      <c r="B1363" s="73"/>
      <c r="C1363" s="73"/>
      <c r="D1363" s="73"/>
      <c r="E1363" s="73"/>
      <c r="F1363"/>
      <c r="G1363" s="74"/>
      <c r="H1363" s="108"/>
      <c r="I1363" s="71"/>
    </row>
    <row r="1364" spans="1:9" s="65" customFormat="1">
      <c r="A1364" s="75" t="s">
        <v>391</v>
      </c>
      <c r="B1364" s="76" t="s">
        <v>392</v>
      </c>
      <c r="C1364" s="76" t="s">
        <v>393</v>
      </c>
      <c r="D1364" s="76" t="s">
        <v>394</v>
      </c>
      <c r="E1364" s="76" t="s">
        <v>395</v>
      </c>
      <c r="F1364" s="76" t="s">
        <v>396</v>
      </c>
      <c r="G1364" s="76" t="s">
        <v>397</v>
      </c>
      <c r="H1364" s="108"/>
      <c r="I1364" s="71"/>
    </row>
    <row r="1365" spans="1:9" s="65" customFormat="1" ht="25.5">
      <c r="A1365" s="135" t="s">
        <v>501</v>
      </c>
      <c r="B1365" s="78" t="s">
        <v>464</v>
      </c>
      <c r="C1365" s="127" t="s">
        <v>432</v>
      </c>
      <c r="D1365" s="107">
        <f>+H247</f>
        <v>281819</v>
      </c>
      <c r="E1365" s="205">
        <f>0.6*0.6*0.1</f>
        <v>3.5999999999999997E-2</v>
      </c>
      <c r="F1365" s="79">
        <v>3</v>
      </c>
      <c r="G1365" s="107">
        <f>(D1365*E1365)+((D1365*E1365)*F1365/100)</f>
        <v>10449.848519999998</v>
      </c>
      <c r="H1365" s="108"/>
      <c r="I1365" s="71"/>
    </row>
    <row r="1366" spans="1:9" s="65" customFormat="1">
      <c r="A1366" s="139">
        <v>5000</v>
      </c>
      <c r="B1366" s="78" t="s">
        <v>484</v>
      </c>
      <c r="C1366" s="127" t="s">
        <v>73</v>
      </c>
      <c r="D1366" s="107">
        <v>150000</v>
      </c>
      <c r="E1366" s="79">
        <v>0.02</v>
      </c>
      <c r="F1366" s="79">
        <v>0</v>
      </c>
      <c r="G1366" s="107">
        <f>(D1366*E1366)+((D1366*E1366)*F1366/100)</f>
        <v>3000</v>
      </c>
      <c r="H1366" s="108"/>
      <c r="I1366" s="71"/>
    </row>
    <row r="1367" spans="1:9" s="65" customFormat="1">
      <c r="A1367" s="150"/>
      <c r="B1367" s="83"/>
      <c r="C1367" s="148"/>
      <c r="D1367" s="202"/>
      <c r="E1367" s="84"/>
      <c r="F1367" s="84"/>
      <c r="G1367" s="280"/>
      <c r="H1367" s="108"/>
      <c r="I1367" s="71"/>
    </row>
    <row r="1368" spans="1:9" s="65" customFormat="1">
      <c r="A1368" s="90"/>
      <c r="B1368" s="91"/>
      <c r="C1368" s="91"/>
      <c r="D1368" s="91"/>
      <c r="E1368" s="91"/>
      <c r="F1368"/>
      <c r="G1368" s="85" t="s">
        <v>407</v>
      </c>
      <c r="H1368" s="107">
        <f>SUM(G1365:G1366)</f>
        <v>13449.848519999998</v>
      </c>
      <c r="I1368" s="71"/>
    </row>
    <row r="1369" spans="1:9" s="65" customFormat="1">
      <c r="A1369" s="72" t="s">
        <v>410</v>
      </c>
      <c r="B1369" s="73"/>
      <c r="C1369" s="73"/>
      <c r="D1369" s="73"/>
      <c r="E1369" s="73"/>
      <c r="F1369"/>
      <c r="G1369" s="74"/>
      <c r="H1369" s="108"/>
      <c r="I1369" s="71"/>
    </row>
    <row r="1370" spans="1:9" s="65" customFormat="1">
      <c r="A1370" s="75" t="s">
        <v>391</v>
      </c>
      <c r="B1370" s="76" t="s">
        <v>392</v>
      </c>
      <c r="C1370" s="76" t="s">
        <v>393</v>
      </c>
      <c r="D1370" s="76" t="s">
        <v>394</v>
      </c>
      <c r="E1370" s="76" t="s">
        <v>395</v>
      </c>
      <c r="F1370" s="76" t="s">
        <v>396</v>
      </c>
      <c r="G1370" s="76" t="s">
        <v>397</v>
      </c>
      <c r="H1370" s="108"/>
      <c r="I1370" s="71"/>
    </row>
    <row r="1371" spans="1:9" s="65" customFormat="1">
      <c r="A1371" s="125" t="s">
        <v>478</v>
      </c>
      <c r="B1371" s="126" t="s">
        <v>479</v>
      </c>
      <c r="C1371" s="127" t="s">
        <v>426</v>
      </c>
      <c r="D1371" s="107">
        <f>5627*6+10300+15000</f>
        <v>59062</v>
      </c>
      <c r="E1371" s="79">
        <v>0.8</v>
      </c>
      <c r="F1371" s="79">
        <v>0</v>
      </c>
      <c r="G1371" s="107">
        <f>(D1371*E1371)+((D1371*E1371)*F1371/100)</f>
        <v>47249.600000000006</v>
      </c>
      <c r="H1371" s="108"/>
      <c r="I1371" s="149"/>
    </row>
    <row r="1372" spans="1:9" s="65" customFormat="1">
      <c r="A1372" s="90"/>
      <c r="B1372" s="91"/>
      <c r="C1372" s="91"/>
      <c r="D1372" s="91"/>
      <c r="E1372" s="91"/>
      <c r="F1372"/>
      <c r="G1372" s="93" t="s">
        <v>407</v>
      </c>
      <c r="H1372" s="107">
        <f>SUM(G1371:G1371)</f>
        <v>47249.600000000006</v>
      </c>
      <c r="I1372" s="71"/>
    </row>
    <row r="1373" spans="1:9" s="65" customFormat="1">
      <c r="A1373" s="72" t="s">
        <v>411</v>
      </c>
      <c r="B1373" s="73"/>
      <c r="C1373" s="73"/>
      <c r="D1373" s="73"/>
      <c r="E1373" s="73"/>
      <c r="F1373"/>
      <c r="G1373" s="74"/>
      <c r="H1373" s="108"/>
      <c r="I1373" s="71"/>
    </row>
    <row r="1374" spans="1:9" s="65" customFormat="1">
      <c r="A1374" s="75" t="s">
        <v>391</v>
      </c>
      <c r="B1374" s="76" t="s">
        <v>392</v>
      </c>
      <c r="C1374" s="76" t="s">
        <v>393</v>
      </c>
      <c r="D1374" s="76" t="s">
        <v>394</v>
      </c>
      <c r="E1374" s="76" t="s">
        <v>395</v>
      </c>
      <c r="F1374" s="76" t="s">
        <v>396</v>
      </c>
      <c r="G1374" s="76" t="s">
        <v>397</v>
      </c>
      <c r="H1374" s="108"/>
      <c r="I1374" s="71"/>
    </row>
    <row r="1375" spans="1:9" s="65" customFormat="1">
      <c r="A1375" s="87" t="s">
        <v>409</v>
      </c>
      <c r="B1375" s="114" t="s">
        <v>409</v>
      </c>
      <c r="C1375" s="114" t="s">
        <v>409</v>
      </c>
      <c r="D1375" s="114" t="s">
        <v>409</v>
      </c>
      <c r="E1375" s="114" t="s">
        <v>409</v>
      </c>
      <c r="F1375" s="79" t="s">
        <v>409</v>
      </c>
      <c r="G1375" s="89" t="s">
        <v>409</v>
      </c>
      <c r="H1375" s="108"/>
      <c r="I1375" s="71"/>
    </row>
    <row r="1376" spans="1:9" s="65" customFormat="1">
      <c r="A1376" s="94"/>
      <c r="B1376" s="95"/>
      <c r="C1376" s="95"/>
      <c r="D1376" s="95"/>
      <c r="E1376" s="95"/>
      <c r="F1376"/>
      <c r="G1376" s="93" t="s">
        <v>407</v>
      </c>
      <c r="H1376" s="107">
        <f>SUM(G1374:G1375)</f>
        <v>0</v>
      </c>
      <c r="I1376" s="71"/>
    </row>
    <row r="1377" spans="1:9" s="65" customFormat="1">
      <c r="A1377" s="94"/>
      <c r="B1377" s="95"/>
      <c r="C1377" s="95"/>
      <c r="D1377" s="95"/>
      <c r="E1377" s="95"/>
      <c r="F1377"/>
      <c r="G1377" s="74"/>
      <c r="H1377" s="74"/>
      <c r="I1377" s="71"/>
    </row>
    <row r="1378" spans="1:9" s="65" customFormat="1">
      <c r="A1378" s="96"/>
      <c r="B1378" s="97"/>
      <c r="C1378" s="98"/>
      <c r="D1378" s="98"/>
      <c r="E1378" s="98"/>
      <c r="F1378"/>
      <c r="G1378" s="99" t="s">
        <v>412</v>
      </c>
      <c r="H1378" s="115">
        <f>SUM(H1362:H1376)</f>
        <v>61949.448520000005</v>
      </c>
      <c r="I1378" s="71"/>
    </row>
    <row r="1379" spans="1:9" s="65" customFormat="1">
      <c r="A1379" s="96"/>
      <c r="B1379" s="97"/>
      <c r="C1379" s="98"/>
      <c r="D1379" s="98"/>
      <c r="E1379" s="98"/>
      <c r="F1379" s="101"/>
      <c r="G1379" s="116"/>
      <c r="H1379" s="70"/>
      <c r="I1379" s="71"/>
    </row>
    <row r="1380" spans="1:9" s="65" customFormat="1" ht="15.75" thickBot="1">
      <c r="A1380" s="624" t="s">
        <v>502</v>
      </c>
      <c r="B1380" s="625"/>
      <c r="C1380" s="625"/>
      <c r="D1380" s="625"/>
      <c r="E1380" s="625"/>
      <c r="F1380" s="625"/>
      <c r="G1380" s="626"/>
      <c r="H1380" s="117">
        <f>+ROUND(H1378,0)</f>
        <v>61949</v>
      </c>
      <c r="I1380" s="103"/>
    </row>
    <row r="1381" spans="1:9" s="65" customFormat="1">
      <c r="A1381" s="150"/>
      <c r="B1381" s="83"/>
      <c r="C1381" s="148"/>
      <c r="D1381" s="160"/>
      <c r="E1381" s="84"/>
      <c r="F1381" s="84"/>
      <c r="G1381" s="144"/>
      <c r="H1381" s="145"/>
    </row>
    <row r="1382" spans="1:9" s="65" customFormat="1" ht="15.75" thickBot="1">
      <c r="A1382" s="91"/>
      <c r="B1382" s="91"/>
      <c r="C1382" s="91"/>
      <c r="D1382" s="91"/>
      <c r="E1382" s="91"/>
      <c r="G1382" s="104"/>
      <c r="H1382" s="140"/>
    </row>
    <row r="1383" spans="1:9" s="65" customFormat="1">
      <c r="A1383" s="627"/>
      <c r="B1383" s="634" t="s">
        <v>798</v>
      </c>
      <c r="C1383" s="635"/>
      <c r="D1383" s="635"/>
      <c r="E1383" s="635"/>
      <c r="F1383" s="635"/>
      <c r="G1383" s="635"/>
      <c r="H1383" s="636"/>
      <c r="I1383" s="66" t="s">
        <v>389</v>
      </c>
    </row>
    <row r="1384" spans="1:9" s="65" customFormat="1">
      <c r="A1384" s="628"/>
      <c r="B1384" s="637"/>
      <c r="C1384" s="638"/>
      <c r="D1384" s="638"/>
      <c r="E1384" s="638"/>
      <c r="F1384" s="638"/>
      <c r="G1384" s="638"/>
      <c r="H1384" s="639"/>
      <c r="I1384" s="67" t="s">
        <v>7</v>
      </c>
    </row>
    <row r="1385" spans="1:9" s="65" customFormat="1">
      <c r="A1385" s="68"/>
      <c r="B1385" s="69"/>
      <c r="C1385" s="69"/>
      <c r="D1385" s="69"/>
      <c r="E1385" s="69"/>
      <c r="F1385" s="70"/>
      <c r="G1385" s="70"/>
      <c r="H1385" s="70"/>
      <c r="I1385" s="71"/>
    </row>
    <row r="1386" spans="1:9" s="65" customFormat="1">
      <c r="A1386" s="72" t="s">
        <v>390</v>
      </c>
      <c r="B1386" s="73"/>
      <c r="C1386" s="73"/>
      <c r="D1386" s="73"/>
      <c r="E1386" s="73"/>
      <c r="F1386" s="74"/>
      <c r="G1386" s="74"/>
      <c r="H1386" s="70"/>
      <c r="I1386" s="71"/>
    </row>
    <row r="1387" spans="1:9" s="65" customFormat="1">
      <c r="A1387" s="75" t="s">
        <v>391</v>
      </c>
      <c r="B1387" s="76" t="s">
        <v>392</v>
      </c>
      <c r="C1387" s="76" t="s">
        <v>393</v>
      </c>
      <c r="D1387" s="76" t="s">
        <v>394</v>
      </c>
      <c r="E1387" s="76" t="s">
        <v>395</v>
      </c>
      <c r="F1387" s="76" t="s">
        <v>396</v>
      </c>
      <c r="G1387" s="76" t="s">
        <v>397</v>
      </c>
      <c r="H1387" s="74"/>
      <c r="I1387" s="71"/>
    </row>
    <row r="1388" spans="1:9" s="65" customFormat="1">
      <c r="A1388" s="77" t="s">
        <v>404</v>
      </c>
      <c r="B1388" s="78" t="s">
        <v>405</v>
      </c>
      <c r="C1388" s="79" t="s">
        <v>406</v>
      </c>
      <c r="D1388" s="107">
        <v>1250</v>
      </c>
      <c r="E1388" s="79">
        <v>1</v>
      </c>
      <c r="F1388" s="79">
        <v>0</v>
      </c>
      <c r="G1388" s="107">
        <f>(D1388*E1388)+((D1388*E1388)*F1388/100)</f>
        <v>1250</v>
      </c>
      <c r="H1388" s="74"/>
      <c r="I1388" s="71"/>
    </row>
    <row r="1389" spans="1:9" s="65" customFormat="1">
      <c r="A1389" s="82"/>
      <c r="B1389" s="83"/>
      <c r="C1389" s="84"/>
      <c r="D1389" s="84"/>
      <c r="E1389" s="84"/>
      <c r="F1389"/>
      <c r="G1389" s="93" t="s">
        <v>407</v>
      </c>
      <c r="H1389" s="107">
        <f>SUM(G1388:G1388)</f>
        <v>1250</v>
      </c>
      <c r="I1389" s="71"/>
    </row>
    <row r="1390" spans="1:9" s="65" customFormat="1">
      <c r="A1390" s="72" t="s">
        <v>408</v>
      </c>
      <c r="B1390" s="73"/>
      <c r="C1390" s="73"/>
      <c r="D1390" s="73"/>
      <c r="E1390" s="73"/>
      <c r="F1390"/>
      <c r="G1390" s="74"/>
      <c r="H1390" s="108"/>
      <c r="I1390" s="71"/>
    </row>
    <row r="1391" spans="1:9" s="65" customFormat="1">
      <c r="A1391" s="75" t="s">
        <v>391</v>
      </c>
      <c r="B1391" s="76" t="s">
        <v>392</v>
      </c>
      <c r="C1391" s="76" t="s">
        <v>393</v>
      </c>
      <c r="D1391" s="76" t="s">
        <v>394</v>
      </c>
      <c r="E1391" s="76" t="s">
        <v>395</v>
      </c>
      <c r="F1391" s="76" t="s">
        <v>396</v>
      </c>
      <c r="G1391" s="76" t="s">
        <v>397</v>
      </c>
      <c r="H1391" s="108"/>
      <c r="I1391" s="71"/>
    </row>
    <row r="1392" spans="1:9" s="65" customFormat="1" ht="25.5">
      <c r="A1392" s="135" t="s">
        <v>501</v>
      </c>
      <c r="B1392" s="78" t="s">
        <v>464</v>
      </c>
      <c r="C1392" s="127" t="s">
        <v>432</v>
      </c>
      <c r="D1392" s="107">
        <f>+H247</f>
        <v>281819</v>
      </c>
      <c r="E1392" s="205">
        <f>0.6*0.4*0.1</f>
        <v>2.4E-2</v>
      </c>
      <c r="F1392" s="79">
        <v>3</v>
      </c>
      <c r="G1392" s="107">
        <f>(D1392*E1392)+((D1392*E1392)*F1392/100)</f>
        <v>6966.5656799999997</v>
      </c>
      <c r="H1392" s="108"/>
      <c r="I1392" s="71"/>
    </row>
    <row r="1393" spans="1:9" s="65" customFormat="1">
      <c r="A1393" s="139">
        <v>5000</v>
      </c>
      <c r="B1393" s="78" t="s">
        <v>484</v>
      </c>
      <c r="C1393" s="127" t="s">
        <v>73</v>
      </c>
      <c r="D1393" s="107">
        <v>150000</v>
      </c>
      <c r="E1393" s="79">
        <v>0.02</v>
      </c>
      <c r="F1393" s="79">
        <v>0</v>
      </c>
      <c r="G1393" s="107">
        <f>(D1393*E1393)+((D1393*E1393)*F1393/100)</f>
        <v>3000</v>
      </c>
      <c r="H1393" s="108"/>
      <c r="I1393" s="71"/>
    </row>
    <row r="1394" spans="1:9" s="65" customFormat="1">
      <c r="A1394" s="150"/>
      <c r="B1394" s="83"/>
      <c r="C1394" s="148"/>
      <c r="D1394" s="202"/>
      <c r="E1394" s="84"/>
      <c r="F1394" s="84"/>
      <c r="G1394" s="280"/>
      <c r="H1394" s="108"/>
      <c r="I1394" s="71"/>
    </row>
    <row r="1395" spans="1:9" s="65" customFormat="1">
      <c r="A1395" s="90"/>
      <c r="B1395" s="91"/>
      <c r="C1395" s="91"/>
      <c r="D1395" s="91"/>
      <c r="E1395" s="91"/>
      <c r="F1395"/>
      <c r="G1395" s="85" t="s">
        <v>407</v>
      </c>
      <c r="H1395" s="107">
        <f>SUM(G1392:G1393)</f>
        <v>9966.5656799999997</v>
      </c>
      <c r="I1395" s="71"/>
    </row>
    <row r="1396" spans="1:9" s="65" customFormat="1">
      <c r="A1396" s="72" t="s">
        <v>410</v>
      </c>
      <c r="B1396" s="73"/>
      <c r="C1396" s="73"/>
      <c r="D1396" s="73"/>
      <c r="E1396" s="73"/>
      <c r="F1396"/>
      <c r="G1396" s="74"/>
      <c r="H1396" s="108"/>
      <c r="I1396" s="71"/>
    </row>
    <row r="1397" spans="1:9" s="65" customFormat="1">
      <c r="A1397" s="75" t="s">
        <v>391</v>
      </c>
      <c r="B1397" s="76" t="s">
        <v>392</v>
      </c>
      <c r="C1397" s="76" t="s">
        <v>393</v>
      </c>
      <c r="D1397" s="76" t="s">
        <v>394</v>
      </c>
      <c r="E1397" s="76" t="s">
        <v>395</v>
      </c>
      <c r="F1397" s="76" t="s">
        <v>396</v>
      </c>
      <c r="G1397" s="76" t="s">
        <v>397</v>
      </c>
      <c r="H1397" s="108"/>
      <c r="I1397" s="71"/>
    </row>
    <row r="1398" spans="1:9" s="65" customFormat="1">
      <c r="A1398" s="125" t="s">
        <v>478</v>
      </c>
      <c r="B1398" s="126" t="s">
        <v>479</v>
      </c>
      <c r="C1398" s="127" t="s">
        <v>426</v>
      </c>
      <c r="D1398" s="107">
        <f>5627*6+10300+15000</f>
        <v>59062</v>
      </c>
      <c r="E1398" s="79">
        <v>0.8</v>
      </c>
      <c r="F1398" s="79">
        <v>0</v>
      </c>
      <c r="G1398" s="107">
        <f>(D1398*E1398)+((D1398*E1398)*F1398/100)</f>
        <v>47249.600000000006</v>
      </c>
      <c r="H1398" s="108"/>
      <c r="I1398" s="149"/>
    </row>
    <row r="1399" spans="1:9" s="65" customFormat="1">
      <c r="A1399" s="90"/>
      <c r="B1399" s="91"/>
      <c r="C1399" s="91"/>
      <c r="D1399" s="91"/>
      <c r="E1399" s="91"/>
      <c r="F1399"/>
      <c r="G1399" s="93" t="s">
        <v>407</v>
      </c>
      <c r="H1399" s="107">
        <f>SUM(G1398:G1398)</f>
        <v>47249.600000000006</v>
      </c>
      <c r="I1399" s="71"/>
    </row>
    <row r="1400" spans="1:9" s="65" customFormat="1">
      <c r="A1400" s="72" t="s">
        <v>411</v>
      </c>
      <c r="B1400" s="73"/>
      <c r="C1400" s="73"/>
      <c r="D1400" s="73"/>
      <c r="E1400" s="73"/>
      <c r="F1400"/>
      <c r="G1400" s="74"/>
      <c r="H1400" s="108"/>
      <c r="I1400" s="71"/>
    </row>
    <row r="1401" spans="1:9" s="65" customFormat="1">
      <c r="A1401" s="75" t="s">
        <v>391</v>
      </c>
      <c r="B1401" s="76" t="s">
        <v>392</v>
      </c>
      <c r="C1401" s="76" t="s">
        <v>393</v>
      </c>
      <c r="D1401" s="76" t="s">
        <v>394</v>
      </c>
      <c r="E1401" s="76" t="s">
        <v>395</v>
      </c>
      <c r="F1401" s="76" t="s">
        <v>396</v>
      </c>
      <c r="G1401" s="76" t="s">
        <v>397</v>
      </c>
      <c r="H1401" s="108"/>
      <c r="I1401" s="71"/>
    </row>
    <row r="1402" spans="1:9" s="65" customFormat="1">
      <c r="A1402" s="87" t="s">
        <v>409</v>
      </c>
      <c r="B1402" s="114" t="s">
        <v>409</v>
      </c>
      <c r="C1402" s="114" t="s">
        <v>409</v>
      </c>
      <c r="D1402" s="114" t="s">
        <v>409</v>
      </c>
      <c r="E1402" s="114" t="s">
        <v>409</v>
      </c>
      <c r="F1402" s="79" t="s">
        <v>409</v>
      </c>
      <c r="G1402" s="89" t="s">
        <v>409</v>
      </c>
      <c r="H1402" s="108"/>
      <c r="I1402" s="71"/>
    </row>
    <row r="1403" spans="1:9" s="65" customFormat="1">
      <c r="A1403" s="94"/>
      <c r="B1403" s="95"/>
      <c r="C1403" s="95"/>
      <c r="D1403" s="95"/>
      <c r="E1403" s="95"/>
      <c r="F1403"/>
      <c r="G1403" s="93" t="s">
        <v>407</v>
      </c>
      <c r="H1403" s="107">
        <f>SUM(G1401:G1402)</f>
        <v>0</v>
      </c>
      <c r="I1403" s="71"/>
    </row>
    <row r="1404" spans="1:9" s="65" customFormat="1">
      <c r="A1404" s="94"/>
      <c r="B1404" s="95"/>
      <c r="C1404" s="95"/>
      <c r="D1404" s="95"/>
      <c r="E1404" s="95"/>
      <c r="F1404"/>
      <c r="G1404" s="74"/>
      <c r="H1404" s="74"/>
      <c r="I1404" s="71"/>
    </row>
    <row r="1405" spans="1:9" s="65" customFormat="1">
      <c r="A1405" s="96"/>
      <c r="B1405" s="97"/>
      <c r="C1405" s="98"/>
      <c r="D1405" s="98"/>
      <c r="E1405" s="98"/>
      <c r="F1405"/>
      <c r="G1405" s="99" t="s">
        <v>412</v>
      </c>
      <c r="H1405" s="115">
        <f>SUM(H1389:H1403)</f>
        <v>58466.165680000006</v>
      </c>
      <c r="I1405" s="71"/>
    </row>
    <row r="1406" spans="1:9" s="65" customFormat="1">
      <c r="A1406" s="96"/>
      <c r="B1406" s="97"/>
      <c r="C1406" s="98"/>
      <c r="D1406" s="98"/>
      <c r="E1406" s="98"/>
      <c r="F1406" s="101"/>
      <c r="G1406" s="116"/>
      <c r="H1406" s="70"/>
      <c r="I1406" s="71"/>
    </row>
    <row r="1407" spans="1:9" s="65" customFormat="1" ht="15.75" thickBot="1">
      <c r="A1407" s="624" t="s">
        <v>502</v>
      </c>
      <c r="B1407" s="625"/>
      <c r="C1407" s="625"/>
      <c r="D1407" s="625"/>
      <c r="E1407" s="625"/>
      <c r="F1407" s="625"/>
      <c r="G1407" s="626"/>
      <c r="H1407" s="117">
        <f>+ROUND(H1405,0)</f>
        <v>58466</v>
      </c>
      <c r="I1407" s="103"/>
    </row>
    <row r="1408" spans="1:9" s="65" customFormat="1">
      <c r="A1408" s="128"/>
      <c r="B1408" s="141"/>
      <c r="C1408" s="141"/>
      <c r="D1408" s="141"/>
      <c r="E1408" s="141"/>
      <c r="F1408" s="141"/>
      <c r="G1408" s="141"/>
      <c r="H1408" s="140"/>
    </row>
    <row r="1409" spans="1:9" s="65" customFormat="1" ht="15.75" thickBot="1">
      <c r="A1409" s="142"/>
      <c r="B1409" s="143"/>
      <c r="C1409" s="143"/>
      <c r="D1409" s="143"/>
      <c r="E1409" s="143"/>
      <c r="F1409" s="84"/>
      <c r="G1409" s="144"/>
      <c r="H1409" s="145"/>
    </row>
    <row r="1410" spans="1:9" s="65" customFormat="1">
      <c r="A1410" s="627"/>
      <c r="B1410" s="634" t="s">
        <v>799</v>
      </c>
      <c r="C1410" s="635"/>
      <c r="D1410" s="635"/>
      <c r="E1410" s="635"/>
      <c r="F1410" s="635"/>
      <c r="G1410" s="635"/>
      <c r="H1410" s="636"/>
      <c r="I1410" s="66" t="s">
        <v>389</v>
      </c>
    </row>
    <row r="1411" spans="1:9" s="65" customFormat="1">
      <c r="A1411" s="628"/>
      <c r="B1411" s="637"/>
      <c r="C1411" s="638"/>
      <c r="D1411" s="638"/>
      <c r="E1411" s="638"/>
      <c r="F1411" s="638"/>
      <c r="G1411" s="638"/>
      <c r="H1411" s="639"/>
      <c r="I1411" s="67" t="s">
        <v>7</v>
      </c>
    </row>
    <row r="1412" spans="1:9" s="65" customFormat="1">
      <c r="A1412" s="68"/>
      <c r="B1412" s="69"/>
      <c r="C1412" s="69"/>
      <c r="D1412" s="69"/>
      <c r="E1412" s="69"/>
      <c r="F1412" s="70"/>
      <c r="G1412" s="70"/>
      <c r="H1412" s="70"/>
      <c r="I1412" s="71"/>
    </row>
    <row r="1413" spans="1:9" s="65" customFormat="1">
      <c r="A1413" s="72" t="s">
        <v>390</v>
      </c>
      <c r="B1413" s="73"/>
      <c r="C1413" s="73"/>
      <c r="D1413" s="73"/>
      <c r="E1413" s="73"/>
      <c r="F1413" s="74"/>
      <c r="G1413" s="74"/>
      <c r="H1413" s="70"/>
      <c r="I1413" s="71"/>
    </row>
    <row r="1414" spans="1:9" s="65" customFormat="1">
      <c r="A1414" s="75" t="s">
        <v>391</v>
      </c>
      <c r="B1414" s="76" t="s">
        <v>392</v>
      </c>
      <c r="C1414" s="76" t="s">
        <v>393</v>
      </c>
      <c r="D1414" s="76" t="s">
        <v>394</v>
      </c>
      <c r="E1414" s="76" t="s">
        <v>395</v>
      </c>
      <c r="F1414" s="76" t="s">
        <v>396</v>
      </c>
      <c r="G1414" s="76" t="s">
        <v>397</v>
      </c>
      <c r="H1414" s="74"/>
      <c r="I1414" s="71"/>
    </row>
    <row r="1415" spans="1:9" s="65" customFormat="1">
      <c r="A1415" s="77" t="s">
        <v>404</v>
      </c>
      <c r="B1415" s="78" t="s">
        <v>405</v>
      </c>
      <c r="C1415" s="79" t="s">
        <v>406</v>
      </c>
      <c r="D1415" s="107">
        <v>1250</v>
      </c>
      <c r="E1415" s="79">
        <v>1</v>
      </c>
      <c r="F1415" s="79">
        <v>0</v>
      </c>
      <c r="G1415" s="107">
        <f>(D1415*E1415)+((D1415*E1415)*F1415/100)</f>
        <v>1250</v>
      </c>
      <c r="H1415" s="74"/>
      <c r="I1415" s="71"/>
    </row>
    <row r="1416" spans="1:9" s="65" customFormat="1">
      <c r="A1416" s="82"/>
      <c r="B1416" s="83"/>
      <c r="C1416" s="84"/>
      <c r="D1416" s="84"/>
      <c r="E1416" s="84"/>
      <c r="F1416"/>
      <c r="G1416" s="93" t="s">
        <v>407</v>
      </c>
      <c r="H1416" s="107">
        <f>SUM(G1415:G1415)</f>
        <v>1250</v>
      </c>
      <c r="I1416" s="71"/>
    </row>
    <row r="1417" spans="1:9" s="65" customFormat="1">
      <c r="A1417" s="72" t="s">
        <v>408</v>
      </c>
      <c r="B1417" s="73"/>
      <c r="C1417" s="73"/>
      <c r="D1417" s="73"/>
      <c r="E1417" s="73"/>
      <c r="F1417"/>
      <c r="G1417" s="74"/>
      <c r="H1417" s="108"/>
      <c r="I1417" s="71"/>
    </row>
    <row r="1418" spans="1:9" s="65" customFormat="1">
      <c r="A1418" s="75" t="s">
        <v>391</v>
      </c>
      <c r="B1418" s="76" t="s">
        <v>392</v>
      </c>
      <c r="C1418" s="76" t="s">
        <v>393</v>
      </c>
      <c r="D1418" s="76" t="s">
        <v>394</v>
      </c>
      <c r="E1418" s="76" t="s">
        <v>395</v>
      </c>
      <c r="F1418" s="76" t="s">
        <v>396</v>
      </c>
      <c r="G1418" s="76" t="s">
        <v>397</v>
      </c>
      <c r="H1418" s="108"/>
      <c r="I1418" s="71"/>
    </row>
    <row r="1419" spans="1:9" s="65" customFormat="1" ht="25.5">
      <c r="A1419" s="135" t="s">
        <v>501</v>
      </c>
      <c r="B1419" s="78" t="s">
        <v>464</v>
      </c>
      <c r="C1419" s="127" t="s">
        <v>432</v>
      </c>
      <c r="D1419" s="107">
        <f>+H247</f>
        <v>281819</v>
      </c>
      <c r="E1419" s="205">
        <f>0.6*0.3*0.1</f>
        <v>1.7999999999999999E-2</v>
      </c>
      <c r="F1419" s="79">
        <v>3</v>
      </c>
      <c r="G1419" s="107">
        <f>(D1419*E1419)+((D1419*E1419)*F1419/100)</f>
        <v>5224.9242599999989</v>
      </c>
      <c r="H1419" s="108"/>
      <c r="I1419" s="71"/>
    </row>
    <row r="1420" spans="1:9" s="65" customFormat="1">
      <c r="A1420" s="139">
        <v>5000</v>
      </c>
      <c r="B1420" s="78" t="s">
        <v>484</v>
      </c>
      <c r="C1420" s="127" t="s">
        <v>73</v>
      </c>
      <c r="D1420" s="107">
        <v>150000</v>
      </c>
      <c r="E1420" s="79">
        <v>0.02</v>
      </c>
      <c r="F1420" s="79">
        <v>0</v>
      </c>
      <c r="G1420" s="107">
        <f>(D1420*E1420)+((D1420*E1420)*F1420/100)</f>
        <v>3000</v>
      </c>
      <c r="H1420" s="108"/>
      <c r="I1420" s="71"/>
    </row>
    <row r="1421" spans="1:9" s="65" customFormat="1">
      <c r="A1421" s="150"/>
      <c r="B1421" s="83"/>
      <c r="C1421" s="148"/>
      <c r="D1421" s="202"/>
      <c r="E1421" s="84"/>
      <c r="F1421" s="84"/>
      <c r="G1421" s="280"/>
      <c r="H1421" s="108"/>
      <c r="I1421" s="71"/>
    </row>
    <row r="1422" spans="1:9" s="65" customFormat="1">
      <c r="A1422" s="90"/>
      <c r="B1422" s="91"/>
      <c r="C1422" s="91"/>
      <c r="D1422" s="91"/>
      <c r="E1422" s="91"/>
      <c r="F1422"/>
      <c r="G1422" s="85" t="s">
        <v>407</v>
      </c>
      <c r="H1422" s="107">
        <f>SUM(G1419:G1420)</f>
        <v>8224.9242599999998</v>
      </c>
      <c r="I1422" s="71"/>
    </row>
    <row r="1423" spans="1:9" s="65" customFormat="1">
      <c r="A1423" s="72" t="s">
        <v>410</v>
      </c>
      <c r="B1423" s="73"/>
      <c r="C1423" s="73"/>
      <c r="D1423" s="73"/>
      <c r="E1423" s="73"/>
      <c r="F1423"/>
      <c r="G1423" s="74"/>
      <c r="H1423" s="108"/>
      <c r="I1423" s="71"/>
    </row>
    <row r="1424" spans="1:9" s="65" customFormat="1">
      <c r="A1424" s="75" t="s">
        <v>391</v>
      </c>
      <c r="B1424" s="76" t="s">
        <v>392</v>
      </c>
      <c r="C1424" s="76" t="s">
        <v>393</v>
      </c>
      <c r="D1424" s="76" t="s">
        <v>394</v>
      </c>
      <c r="E1424" s="76" t="s">
        <v>395</v>
      </c>
      <c r="F1424" s="76" t="s">
        <v>396</v>
      </c>
      <c r="G1424" s="76" t="s">
        <v>397</v>
      </c>
      <c r="H1424" s="108"/>
      <c r="I1424" s="71"/>
    </row>
    <row r="1425" spans="1:9" s="65" customFormat="1">
      <c r="A1425" s="125" t="s">
        <v>478</v>
      </c>
      <c r="B1425" s="126" t="s">
        <v>479</v>
      </c>
      <c r="C1425" s="127" t="s">
        <v>426</v>
      </c>
      <c r="D1425" s="107">
        <f>5627*6+10300+15000</f>
        <v>59062</v>
      </c>
      <c r="E1425" s="79">
        <v>0.8</v>
      </c>
      <c r="F1425" s="79">
        <v>0</v>
      </c>
      <c r="G1425" s="107">
        <f>(D1425*E1425)+((D1425*E1425)*F1425/100)</f>
        <v>47249.600000000006</v>
      </c>
      <c r="H1425" s="108"/>
      <c r="I1425" s="149"/>
    </row>
    <row r="1426" spans="1:9" s="65" customFormat="1">
      <c r="A1426" s="90"/>
      <c r="B1426" s="91"/>
      <c r="C1426" s="91"/>
      <c r="D1426" s="91"/>
      <c r="E1426" s="91"/>
      <c r="F1426"/>
      <c r="G1426" s="93" t="s">
        <v>407</v>
      </c>
      <c r="H1426" s="107">
        <f>SUM(G1425:G1425)</f>
        <v>47249.600000000006</v>
      </c>
      <c r="I1426" s="71"/>
    </row>
    <row r="1427" spans="1:9" s="65" customFormat="1">
      <c r="A1427" s="72" t="s">
        <v>411</v>
      </c>
      <c r="B1427" s="73"/>
      <c r="C1427" s="73"/>
      <c r="D1427" s="73"/>
      <c r="E1427" s="73"/>
      <c r="F1427"/>
      <c r="G1427" s="74"/>
      <c r="H1427" s="108"/>
      <c r="I1427" s="71"/>
    </row>
    <row r="1428" spans="1:9" s="65" customFormat="1">
      <c r="A1428" s="75" t="s">
        <v>391</v>
      </c>
      <c r="B1428" s="76" t="s">
        <v>392</v>
      </c>
      <c r="C1428" s="76" t="s">
        <v>393</v>
      </c>
      <c r="D1428" s="76" t="s">
        <v>394</v>
      </c>
      <c r="E1428" s="76" t="s">
        <v>395</v>
      </c>
      <c r="F1428" s="76" t="s">
        <v>396</v>
      </c>
      <c r="G1428" s="76" t="s">
        <v>397</v>
      </c>
      <c r="H1428" s="108"/>
      <c r="I1428" s="71"/>
    </row>
    <row r="1429" spans="1:9" s="65" customFormat="1">
      <c r="A1429" s="87" t="s">
        <v>409</v>
      </c>
      <c r="B1429" s="114" t="s">
        <v>409</v>
      </c>
      <c r="C1429" s="114" t="s">
        <v>409</v>
      </c>
      <c r="D1429" s="114" t="s">
        <v>409</v>
      </c>
      <c r="E1429" s="114" t="s">
        <v>409</v>
      </c>
      <c r="F1429" s="79" t="s">
        <v>409</v>
      </c>
      <c r="G1429" s="89" t="s">
        <v>409</v>
      </c>
      <c r="H1429" s="108"/>
      <c r="I1429" s="71"/>
    </row>
    <row r="1430" spans="1:9" s="65" customFormat="1">
      <c r="A1430" s="94"/>
      <c r="B1430" s="95"/>
      <c r="C1430" s="95"/>
      <c r="D1430" s="95"/>
      <c r="E1430" s="95"/>
      <c r="F1430"/>
      <c r="G1430" s="93" t="s">
        <v>407</v>
      </c>
      <c r="H1430" s="107">
        <f>SUM(G1428:G1429)</f>
        <v>0</v>
      </c>
      <c r="I1430" s="71"/>
    </row>
    <row r="1431" spans="1:9" s="65" customFormat="1">
      <c r="A1431" s="94"/>
      <c r="B1431" s="95"/>
      <c r="C1431" s="95"/>
      <c r="D1431" s="95"/>
      <c r="E1431" s="95"/>
      <c r="F1431"/>
      <c r="G1431" s="74"/>
      <c r="H1431" s="74"/>
      <c r="I1431" s="71"/>
    </row>
    <row r="1432" spans="1:9" s="65" customFormat="1">
      <c r="A1432" s="96"/>
      <c r="B1432" s="97"/>
      <c r="C1432" s="98"/>
      <c r="D1432" s="98"/>
      <c r="E1432" s="98"/>
      <c r="F1432"/>
      <c r="G1432" s="99" t="s">
        <v>412</v>
      </c>
      <c r="H1432" s="115">
        <f>SUM(H1416:H1430)</f>
        <v>56724.524260000006</v>
      </c>
      <c r="I1432" s="71"/>
    </row>
    <row r="1433" spans="1:9" s="65" customFormat="1">
      <c r="A1433" s="96"/>
      <c r="B1433" s="97"/>
      <c r="C1433" s="98"/>
      <c r="D1433" s="98"/>
      <c r="E1433" s="98"/>
      <c r="F1433" s="101"/>
      <c r="G1433" s="116"/>
      <c r="H1433" s="70"/>
      <c r="I1433" s="71"/>
    </row>
    <row r="1434" spans="1:9" s="65" customFormat="1" ht="15.75" thickBot="1">
      <c r="A1434" s="624" t="s">
        <v>502</v>
      </c>
      <c r="B1434" s="625"/>
      <c r="C1434" s="625"/>
      <c r="D1434" s="625"/>
      <c r="E1434" s="625"/>
      <c r="F1434" s="625"/>
      <c r="G1434" s="626"/>
      <c r="H1434" s="117">
        <f>+ROUND(H1432,0)</f>
        <v>56725</v>
      </c>
      <c r="I1434" s="103"/>
    </row>
    <row r="1435" spans="1:9" s="65" customFormat="1">
      <c r="A1435" s="120"/>
      <c r="B1435" s="73"/>
      <c r="C1435" s="73"/>
      <c r="D1435" s="73"/>
      <c r="E1435" s="73"/>
      <c r="G1435" s="121"/>
      <c r="H1435" s="140"/>
    </row>
    <row r="1436" spans="1:9" s="65" customFormat="1">
      <c r="A1436" s="128"/>
      <c r="B1436" s="141"/>
      <c r="C1436" s="141"/>
      <c r="D1436" s="141"/>
      <c r="E1436" s="141"/>
      <c r="F1436" s="141"/>
      <c r="G1436" s="141"/>
      <c r="H1436" s="140"/>
    </row>
    <row r="1437" spans="1:9" s="65" customFormat="1">
      <c r="A1437" s="123"/>
      <c r="B1437" s="95"/>
      <c r="C1437" s="95"/>
      <c r="D1437" s="95"/>
      <c r="E1437" s="95"/>
      <c r="G1437" s="104"/>
      <c r="H1437" s="121"/>
    </row>
    <row r="1438" spans="1:9" s="65" customFormat="1" ht="15.75" thickBot="1">
      <c r="A1438" s="123"/>
      <c r="B1438" s="95"/>
      <c r="C1438" s="95"/>
      <c r="D1438" s="95"/>
      <c r="E1438" s="95"/>
      <c r="G1438" s="121"/>
      <c r="H1438" s="133"/>
    </row>
    <row r="1439" spans="1:9" s="65" customFormat="1">
      <c r="A1439" s="627"/>
      <c r="B1439" s="634" t="s">
        <v>978</v>
      </c>
      <c r="C1439" s="635"/>
      <c r="D1439" s="635"/>
      <c r="E1439" s="635"/>
      <c r="F1439" s="635"/>
      <c r="G1439" s="635"/>
      <c r="H1439" s="636"/>
      <c r="I1439" s="66" t="s">
        <v>389</v>
      </c>
    </row>
    <row r="1440" spans="1:9" s="65" customFormat="1">
      <c r="A1440" s="628"/>
      <c r="B1440" s="637"/>
      <c r="C1440" s="638"/>
      <c r="D1440" s="638"/>
      <c r="E1440" s="638"/>
      <c r="F1440" s="638"/>
      <c r="G1440" s="638"/>
      <c r="H1440" s="639"/>
      <c r="I1440" s="67" t="s">
        <v>454</v>
      </c>
    </row>
    <row r="1441" spans="1:11" s="65" customFormat="1">
      <c r="A1441" s="68"/>
      <c r="B1441" s="69"/>
      <c r="C1441" s="69"/>
      <c r="D1441" s="69"/>
      <c r="E1441" s="69"/>
      <c r="F1441" s="70"/>
      <c r="G1441" s="70"/>
      <c r="H1441" s="70"/>
      <c r="I1441" s="71"/>
    </row>
    <row r="1442" spans="1:11" s="65" customFormat="1">
      <c r="A1442" s="72" t="s">
        <v>390</v>
      </c>
      <c r="B1442" s="73"/>
      <c r="C1442" s="73"/>
      <c r="D1442" s="73"/>
      <c r="E1442" s="73"/>
      <c r="F1442" s="74"/>
      <c r="G1442" s="74"/>
      <c r="H1442" s="70"/>
      <c r="I1442" s="71"/>
    </row>
    <row r="1443" spans="1:11" s="65" customFormat="1">
      <c r="A1443" s="75" t="s">
        <v>391</v>
      </c>
      <c r="B1443" s="76" t="s">
        <v>392</v>
      </c>
      <c r="C1443" s="76" t="s">
        <v>393</v>
      </c>
      <c r="D1443" s="76" t="s">
        <v>394</v>
      </c>
      <c r="E1443" s="76" t="s">
        <v>395</v>
      </c>
      <c r="F1443" s="76" t="s">
        <v>396</v>
      </c>
      <c r="G1443" s="76" t="s">
        <v>397</v>
      </c>
      <c r="H1443" s="74"/>
      <c r="I1443" s="71"/>
    </row>
    <row r="1444" spans="1:11" s="65" customFormat="1">
      <c r="A1444" s="79" t="s">
        <v>467</v>
      </c>
      <c r="B1444" s="78" t="s">
        <v>468</v>
      </c>
      <c r="C1444" s="79" t="s">
        <v>437</v>
      </c>
      <c r="D1444" s="107">
        <v>35000</v>
      </c>
      <c r="E1444" s="79">
        <v>0.15</v>
      </c>
      <c r="F1444" s="79">
        <v>0</v>
      </c>
      <c r="G1444" s="107">
        <f>(D1444*E1444)+((D1444*E1444)*F1444/100)</f>
        <v>5250</v>
      </c>
      <c r="H1444" s="74"/>
      <c r="I1444" s="71"/>
    </row>
    <row r="1445" spans="1:11" s="65" customFormat="1">
      <c r="A1445" s="77" t="s">
        <v>404</v>
      </c>
      <c r="B1445" s="78" t="s">
        <v>405</v>
      </c>
      <c r="C1445" s="79" t="s">
        <v>406</v>
      </c>
      <c r="D1445" s="107">
        <v>1250</v>
      </c>
      <c r="E1445" s="79">
        <v>1</v>
      </c>
      <c r="F1445" s="79">
        <v>0</v>
      </c>
      <c r="G1445" s="107">
        <f>(D1445*E1445)+((D1445*E1445)*F1445/100)</f>
        <v>1250</v>
      </c>
      <c r="H1445" s="74"/>
      <c r="I1445" s="71"/>
    </row>
    <row r="1446" spans="1:11" s="65" customFormat="1">
      <c r="A1446" s="82"/>
      <c r="B1446" s="83"/>
      <c r="C1446" s="84"/>
      <c r="D1446" s="84"/>
      <c r="E1446" s="84"/>
      <c r="F1446"/>
      <c r="G1446" s="93" t="s">
        <v>407</v>
      </c>
      <c r="H1446" s="107">
        <f>SUM(G1445:G1445)</f>
        <v>1250</v>
      </c>
      <c r="I1446" s="71"/>
    </row>
    <row r="1447" spans="1:11" s="65" customFormat="1">
      <c r="A1447" s="72" t="s">
        <v>408</v>
      </c>
      <c r="B1447" s="73"/>
      <c r="C1447" s="73"/>
      <c r="D1447" s="73"/>
      <c r="E1447" s="73"/>
      <c r="F1447"/>
      <c r="G1447" s="74"/>
      <c r="H1447" s="108"/>
      <c r="I1447" s="71"/>
    </row>
    <row r="1448" spans="1:11" s="65" customFormat="1">
      <c r="A1448" s="75" t="s">
        <v>391</v>
      </c>
      <c r="B1448" s="76" t="s">
        <v>392</v>
      </c>
      <c r="C1448" s="76" t="s">
        <v>393</v>
      </c>
      <c r="D1448" s="76" t="s">
        <v>394</v>
      </c>
      <c r="E1448" s="76" t="s">
        <v>395</v>
      </c>
      <c r="F1448" s="76" t="s">
        <v>396</v>
      </c>
      <c r="G1448" s="76" t="s">
        <v>397</v>
      </c>
      <c r="H1448" s="108"/>
      <c r="I1448" s="71"/>
    </row>
    <row r="1449" spans="1:11" s="65" customFormat="1" ht="25.5">
      <c r="A1449" s="135" t="s">
        <v>501</v>
      </c>
      <c r="B1449" s="78" t="s">
        <v>464</v>
      </c>
      <c r="C1449" s="127" t="s">
        <v>432</v>
      </c>
      <c r="D1449" s="107">
        <f>+H247</f>
        <v>281819</v>
      </c>
      <c r="E1449" s="205">
        <v>1.4999999999999999E-2</v>
      </c>
      <c r="F1449" s="79">
        <v>5</v>
      </c>
      <c r="G1449" s="107">
        <f>(D1449*E1449)+((D1449*E1449)*F1449/100)</f>
        <v>4438.6492499999995</v>
      </c>
      <c r="H1449" s="108"/>
      <c r="I1449" s="71"/>
    </row>
    <row r="1450" spans="1:11" s="65" customFormat="1">
      <c r="A1450" s="139">
        <v>5000</v>
      </c>
      <c r="B1450" s="78" t="s">
        <v>484</v>
      </c>
      <c r="C1450" s="127" t="s">
        <v>73</v>
      </c>
      <c r="D1450" s="107">
        <v>150000</v>
      </c>
      <c r="E1450" s="79">
        <v>1</v>
      </c>
      <c r="F1450" s="79">
        <v>0</v>
      </c>
      <c r="G1450" s="107">
        <f>(D1450*E1450)+((D1450*E1450)*F1450/100)</f>
        <v>150000</v>
      </c>
      <c r="H1450" s="108"/>
      <c r="I1450" s="71"/>
      <c r="K1450" s="65">
        <f>0.15*0.15*0.65</f>
        <v>1.4624999999999999E-2</v>
      </c>
    </row>
    <row r="1451" spans="1:11" s="65" customFormat="1">
      <c r="A1451" s="150"/>
      <c r="B1451" s="83"/>
      <c r="C1451" s="148"/>
      <c r="D1451" s="202"/>
      <c r="E1451" s="84"/>
      <c r="F1451" s="84"/>
      <c r="G1451" s="280"/>
      <c r="H1451" s="108"/>
      <c r="I1451" s="71"/>
    </row>
    <row r="1452" spans="1:11" s="65" customFormat="1">
      <c r="A1452" s="150"/>
      <c r="B1452" s="83"/>
      <c r="C1452" s="148"/>
      <c r="D1452" s="202"/>
      <c r="E1452" s="84"/>
      <c r="F1452" s="84"/>
      <c r="G1452" s="280"/>
      <c r="H1452" s="108"/>
      <c r="I1452" s="71"/>
    </row>
    <row r="1453" spans="1:11" s="65" customFormat="1">
      <c r="A1453" s="90"/>
      <c r="B1453" s="91"/>
      <c r="C1453" s="91"/>
      <c r="D1453" s="91"/>
      <c r="E1453" s="91"/>
      <c r="F1453"/>
      <c r="G1453" s="85" t="s">
        <v>407</v>
      </c>
      <c r="H1453" s="107">
        <f>SUM(G1449:G1450)</f>
        <v>154438.64924999999</v>
      </c>
      <c r="I1453" s="71"/>
    </row>
    <row r="1454" spans="1:11" s="65" customFormat="1">
      <c r="A1454" s="72" t="s">
        <v>410</v>
      </c>
      <c r="B1454" s="73"/>
      <c r="C1454" s="73"/>
      <c r="D1454" s="73"/>
      <c r="E1454" s="73"/>
      <c r="F1454"/>
      <c r="G1454" s="74"/>
      <c r="H1454" s="108"/>
      <c r="I1454" s="71"/>
    </row>
    <row r="1455" spans="1:11" s="65" customFormat="1">
      <c r="A1455" s="75" t="s">
        <v>391</v>
      </c>
      <c r="B1455" s="76" t="s">
        <v>392</v>
      </c>
      <c r="C1455" s="76" t="s">
        <v>393</v>
      </c>
      <c r="D1455" s="76" t="s">
        <v>394</v>
      </c>
      <c r="E1455" s="76" t="s">
        <v>395</v>
      </c>
      <c r="F1455" s="76" t="s">
        <v>396</v>
      </c>
      <c r="G1455" s="76" t="s">
        <v>397</v>
      </c>
      <c r="H1455" s="108"/>
      <c r="I1455" s="71"/>
    </row>
    <row r="1456" spans="1:11" s="65" customFormat="1">
      <c r="A1456" s="125" t="s">
        <v>478</v>
      </c>
      <c r="B1456" s="126" t="s">
        <v>479</v>
      </c>
      <c r="C1456" s="127" t="s">
        <v>426</v>
      </c>
      <c r="D1456" s="107">
        <f>5627*6+10300+15000</f>
        <v>59062</v>
      </c>
      <c r="E1456" s="79">
        <v>0.5</v>
      </c>
      <c r="F1456" s="79">
        <v>0</v>
      </c>
      <c r="G1456" s="107">
        <f>(D1456*E1456)+((D1456*E1456)*F1456/100)</f>
        <v>29531</v>
      </c>
      <c r="H1456" s="108"/>
      <c r="I1456" s="149"/>
    </row>
    <row r="1457" spans="1:9" s="65" customFormat="1">
      <c r="A1457" s="90"/>
      <c r="B1457" s="91"/>
      <c r="C1457" s="91"/>
      <c r="D1457" s="91"/>
      <c r="E1457" s="91"/>
      <c r="F1457"/>
      <c r="G1457" s="93" t="s">
        <v>407</v>
      </c>
      <c r="H1457" s="107">
        <f>SUM(G1456:G1456)</f>
        <v>29531</v>
      </c>
      <c r="I1457" s="71"/>
    </row>
    <row r="1458" spans="1:9" s="65" customFormat="1">
      <c r="A1458" s="72" t="s">
        <v>411</v>
      </c>
      <c r="B1458" s="73"/>
      <c r="C1458" s="73"/>
      <c r="D1458" s="73"/>
      <c r="E1458" s="73"/>
      <c r="F1458"/>
      <c r="G1458" s="74"/>
      <c r="H1458" s="108"/>
      <c r="I1458" s="71"/>
    </row>
    <row r="1459" spans="1:9" s="65" customFormat="1">
      <c r="A1459" s="75" t="s">
        <v>391</v>
      </c>
      <c r="B1459" s="76" t="s">
        <v>392</v>
      </c>
      <c r="C1459" s="76" t="s">
        <v>393</v>
      </c>
      <c r="D1459" s="76" t="s">
        <v>394</v>
      </c>
      <c r="E1459" s="76" t="s">
        <v>395</v>
      </c>
      <c r="F1459" s="76" t="s">
        <v>396</v>
      </c>
      <c r="G1459" s="76" t="s">
        <v>397</v>
      </c>
      <c r="H1459" s="108"/>
      <c r="I1459" s="71"/>
    </row>
    <row r="1460" spans="1:9" s="65" customFormat="1">
      <c r="A1460" s="87" t="s">
        <v>409</v>
      </c>
      <c r="B1460" s="114" t="s">
        <v>409</v>
      </c>
      <c r="C1460" s="114" t="s">
        <v>409</v>
      </c>
      <c r="D1460" s="114" t="s">
        <v>409</v>
      </c>
      <c r="E1460" s="114" t="s">
        <v>409</v>
      </c>
      <c r="F1460" s="79" t="s">
        <v>409</v>
      </c>
      <c r="G1460" s="89" t="s">
        <v>409</v>
      </c>
      <c r="H1460" s="108"/>
      <c r="I1460" s="71"/>
    </row>
    <row r="1461" spans="1:9" s="65" customFormat="1">
      <c r="A1461" s="94"/>
      <c r="B1461" s="95"/>
      <c r="C1461" s="95"/>
      <c r="D1461" s="95"/>
      <c r="E1461" s="95"/>
      <c r="F1461"/>
      <c r="G1461" s="93" t="s">
        <v>407</v>
      </c>
      <c r="H1461" s="107">
        <f>SUM(G1459:G1460)</f>
        <v>0</v>
      </c>
      <c r="I1461" s="71"/>
    </row>
    <row r="1462" spans="1:9" s="65" customFormat="1">
      <c r="A1462" s="94"/>
      <c r="B1462" s="95"/>
      <c r="C1462" s="95"/>
      <c r="D1462" s="95"/>
      <c r="E1462" s="95"/>
      <c r="F1462"/>
      <c r="G1462" s="74"/>
      <c r="H1462" s="74"/>
      <c r="I1462" s="71"/>
    </row>
    <row r="1463" spans="1:9" s="65" customFormat="1">
      <c r="A1463" s="96"/>
      <c r="B1463" s="97"/>
      <c r="C1463" s="98"/>
      <c r="D1463" s="98"/>
      <c r="E1463" s="98"/>
      <c r="F1463"/>
      <c r="G1463" s="99" t="s">
        <v>412</v>
      </c>
      <c r="H1463" s="115">
        <f>SUM(H1446:H1461)</f>
        <v>185219.64924999999</v>
      </c>
      <c r="I1463" s="71"/>
    </row>
    <row r="1464" spans="1:9" s="65" customFormat="1">
      <c r="A1464" s="96"/>
      <c r="B1464" s="97"/>
      <c r="C1464" s="98"/>
      <c r="D1464" s="98"/>
      <c r="E1464" s="98"/>
      <c r="F1464" s="101"/>
      <c r="G1464" s="116"/>
      <c r="H1464" s="70"/>
      <c r="I1464" s="71"/>
    </row>
    <row r="1465" spans="1:9" s="65" customFormat="1" ht="15.75" thickBot="1">
      <c r="A1465" s="624" t="s">
        <v>1001</v>
      </c>
      <c r="B1465" s="625"/>
      <c r="C1465" s="625"/>
      <c r="D1465" s="625"/>
      <c r="E1465" s="625"/>
      <c r="F1465" s="625"/>
      <c r="G1465" s="626"/>
      <c r="H1465" s="117">
        <f>+ROUND(H1463,0)</f>
        <v>185220</v>
      </c>
      <c r="I1465" s="103"/>
    </row>
    <row r="1466" spans="1:9" s="65" customFormat="1" ht="18" customHeight="1">
      <c r="B1466" s="97"/>
      <c r="C1466" s="98"/>
      <c r="D1466" s="98"/>
      <c r="E1466" s="98"/>
      <c r="F1466" s="128"/>
      <c r="G1466" s="133"/>
      <c r="H1466" s="134"/>
    </row>
    <row r="1467" spans="1:9" s="65" customFormat="1">
      <c r="A1467" s="69"/>
      <c r="B1467" s="69"/>
      <c r="C1467" s="69"/>
      <c r="D1467" s="69"/>
      <c r="E1467" s="69"/>
    </row>
    <row r="1468" spans="1:9" s="65" customFormat="1" ht="15.75" thickBot="1">
      <c r="A1468" s="120"/>
      <c r="B1468" s="73"/>
      <c r="C1468" s="73"/>
      <c r="D1468" s="73"/>
      <c r="E1468" s="73"/>
      <c r="F1468" s="121"/>
      <c r="G1468" s="121"/>
      <c r="H1468" s="121"/>
    </row>
    <row r="1469" spans="1:9" s="65" customFormat="1">
      <c r="A1469" s="627"/>
      <c r="B1469" s="634" t="s">
        <v>1143</v>
      </c>
      <c r="C1469" s="635"/>
      <c r="D1469" s="635"/>
      <c r="E1469" s="635"/>
      <c r="F1469" s="635"/>
      <c r="G1469" s="635"/>
      <c r="H1469" s="636"/>
      <c r="I1469" s="66" t="s">
        <v>389</v>
      </c>
    </row>
    <row r="1470" spans="1:9" s="65" customFormat="1">
      <c r="A1470" s="628"/>
      <c r="B1470" s="637"/>
      <c r="C1470" s="638"/>
      <c r="D1470" s="638"/>
      <c r="E1470" s="638"/>
      <c r="F1470" s="638"/>
      <c r="G1470" s="638"/>
      <c r="H1470" s="639"/>
      <c r="I1470" s="67" t="s">
        <v>7</v>
      </c>
    </row>
    <row r="1471" spans="1:9" s="65" customFormat="1">
      <c r="A1471" s="68"/>
      <c r="B1471" s="69"/>
      <c r="C1471" s="69"/>
      <c r="D1471" s="69"/>
      <c r="E1471" s="69"/>
      <c r="F1471" s="70"/>
      <c r="G1471" s="70"/>
      <c r="H1471" s="70"/>
      <c r="I1471" s="71"/>
    </row>
    <row r="1472" spans="1:9" s="65" customFormat="1">
      <c r="A1472" s="72" t="s">
        <v>390</v>
      </c>
      <c r="B1472" s="73"/>
      <c r="C1472" s="73"/>
      <c r="D1472" s="73"/>
      <c r="E1472" s="73"/>
      <c r="F1472" s="74"/>
      <c r="G1472" s="74"/>
      <c r="H1472" s="70"/>
      <c r="I1472" s="71"/>
    </row>
    <row r="1473" spans="1:9" s="65" customFormat="1">
      <c r="A1473" s="75" t="s">
        <v>391</v>
      </c>
      <c r="B1473" s="76" t="s">
        <v>392</v>
      </c>
      <c r="C1473" s="76" t="s">
        <v>393</v>
      </c>
      <c r="D1473" s="76" t="s">
        <v>394</v>
      </c>
      <c r="E1473" s="76" t="s">
        <v>395</v>
      </c>
      <c r="F1473" s="76" t="s">
        <v>396</v>
      </c>
      <c r="G1473" s="76" t="s">
        <v>397</v>
      </c>
      <c r="H1473" s="74"/>
      <c r="I1473" s="71"/>
    </row>
    <row r="1474" spans="1:9" s="65" customFormat="1">
      <c r="A1474" s="77" t="s">
        <v>404</v>
      </c>
      <c r="B1474" s="78" t="s">
        <v>405</v>
      </c>
      <c r="C1474" s="79" t="s">
        <v>406</v>
      </c>
      <c r="D1474" s="107">
        <v>1250</v>
      </c>
      <c r="E1474" s="79">
        <v>15</v>
      </c>
      <c r="F1474" s="79">
        <v>0</v>
      </c>
      <c r="G1474" s="107">
        <f>(D1474*E1474)+((D1474*E1474)*F1474/100)</f>
        <v>18750</v>
      </c>
      <c r="H1474" s="74"/>
      <c r="I1474" s="71"/>
    </row>
    <row r="1475" spans="1:9" s="65" customFormat="1">
      <c r="A1475" s="82"/>
      <c r="B1475" s="83"/>
      <c r="C1475" s="84"/>
      <c r="D1475" s="84"/>
      <c r="E1475" s="84"/>
      <c r="F1475"/>
      <c r="G1475" s="93" t="s">
        <v>407</v>
      </c>
      <c r="H1475" s="107">
        <f>SUM(G1474:G1474)</f>
        <v>18750</v>
      </c>
      <c r="I1475" s="71"/>
    </row>
    <row r="1476" spans="1:9" s="65" customFormat="1">
      <c r="A1476" s="72" t="s">
        <v>408</v>
      </c>
      <c r="B1476" s="73"/>
      <c r="C1476" s="73"/>
      <c r="D1476" s="73"/>
      <c r="E1476" s="73"/>
      <c r="F1476"/>
      <c r="G1476" s="74"/>
      <c r="H1476" s="108"/>
      <c r="I1476" s="71"/>
    </row>
    <row r="1477" spans="1:9" s="65" customFormat="1">
      <c r="A1477" s="75" t="s">
        <v>391</v>
      </c>
      <c r="B1477" s="76" t="s">
        <v>392</v>
      </c>
      <c r="C1477" s="76" t="s">
        <v>393</v>
      </c>
      <c r="D1477" s="76" t="s">
        <v>394</v>
      </c>
      <c r="E1477" s="76" t="s">
        <v>395</v>
      </c>
      <c r="F1477" s="76" t="s">
        <v>396</v>
      </c>
      <c r="G1477" s="76" t="s">
        <v>397</v>
      </c>
      <c r="H1477" s="108"/>
      <c r="I1477" s="71"/>
    </row>
    <row r="1478" spans="1:9" s="65" customFormat="1">
      <c r="A1478" s="75"/>
      <c r="B1478" s="78" t="s">
        <v>1144</v>
      </c>
      <c r="C1478" s="79" t="s">
        <v>6</v>
      </c>
      <c r="D1478" s="107">
        <v>3201</v>
      </c>
      <c r="E1478" s="79">
        <f>+E1479*100</f>
        <v>420</v>
      </c>
      <c r="F1478" s="79">
        <v>0</v>
      </c>
      <c r="G1478" s="107">
        <f>(D1478*E1478)+((D1478*E1478)*F1478/100)</f>
        <v>1344420</v>
      </c>
      <c r="H1478" s="108"/>
      <c r="I1478" s="71"/>
    </row>
    <row r="1479" spans="1:9" s="65" customFormat="1" ht="25.5">
      <c r="A1479" s="135" t="s">
        <v>501</v>
      </c>
      <c r="B1479" s="78" t="s">
        <v>464</v>
      </c>
      <c r="C1479" s="127" t="s">
        <v>432</v>
      </c>
      <c r="D1479" s="107">
        <f>+H247</f>
        <v>281819</v>
      </c>
      <c r="E1479" s="79">
        <f>10*1.4*0.3</f>
        <v>4.2</v>
      </c>
      <c r="F1479" s="79">
        <v>5</v>
      </c>
      <c r="G1479" s="107">
        <f>(D1479*E1479)+((D1479*E1479)*F1479/100)</f>
        <v>1242821.79</v>
      </c>
      <c r="H1479" s="108"/>
      <c r="I1479" s="71"/>
    </row>
    <row r="1480" spans="1:9" s="65" customFormat="1">
      <c r="A1480" s="139">
        <v>5000</v>
      </c>
      <c r="B1480" s="78" t="s">
        <v>484</v>
      </c>
      <c r="C1480" s="127" t="s">
        <v>73</v>
      </c>
      <c r="D1480" s="107">
        <v>150000</v>
      </c>
      <c r="E1480" s="79">
        <v>0.6</v>
      </c>
      <c r="F1480" s="79">
        <v>0</v>
      </c>
      <c r="G1480" s="107">
        <f>(D1480*E1480)+((D1480*E1480)*F1480/100)</f>
        <v>90000</v>
      </c>
      <c r="H1480" s="108"/>
      <c r="I1480" s="71"/>
    </row>
    <row r="1481" spans="1:9" s="65" customFormat="1">
      <c r="A1481" s="90"/>
      <c r="B1481" s="91"/>
      <c r="C1481" s="91"/>
      <c r="D1481" s="91"/>
      <c r="E1481" s="91"/>
      <c r="F1481"/>
      <c r="G1481" s="85" t="s">
        <v>407</v>
      </c>
      <c r="H1481" s="107">
        <f>SUM(G1478:G1480)</f>
        <v>2677241.79</v>
      </c>
      <c r="I1481" s="71"/>
    </row>
    <row r="1482" spans="1:9" s="65" customFormat="1">
      <c r="A1482" s="72" t="s">
        <v>410</v>
      </c>
      <c r="B1482" s="73"/>
      <c r="C1482" s="73"/>
      <c r="D1482" s="73"/>
      <c r="E1482" s="73"/>
      <c r="F1482"/>
      <c r="G1482" s="74"/>
      <c r="H1482" s="108"/>
      <c r="I1482" s="71"/>
    </row>
    <row r="1483" spans="1:9" s="65" customFormat="1">
      <c r="A1483" s="75" t="s">
        <v>391</v>
      </c>
      <c r="B1483" s="76" t="s">
        <v>392</v>
      </c>
      <c r="C1483" s="76" t="s">
        <v>393</v>
      </c>
      <c r="D1483" s="76" t="s">
        <v>394</v>
      </c>
      <c r="E1483" s="76" t="s">
        <v>395</v>
      </c>
      <c r="F1483" s="76" t="s">
        <v>396</v>
      </c>
      <c r="G1483" s="76" t="s">
        <v>397</v>
      </c>
      <c r="H1483" s="108"/>
      <c r="I1483" s="71"/>
    </row>
    <row r="1484" spans="1:9" s="65" customFormat="1">
      <c r="A1484" s="125" t="s">
        <v>478</v>
      </c>
      <c r="B1484" s="126" t="s">
        <v>479</v>
      </c>
      <c r="C1484" s="127" t="s">
        <v>426</v>
      </c>
      <c r="D1484" s="107">
        <f>5627*6+10300+15000</f>
        <v>59062</v>
      </c>
      <c r="E1484" s="79">
        <v>5</v>
      </c>
      <c r="F1484" s="79">
        <v>0</v>
      </c>
      <c r="G1484" s="107">
        <f>(D1484*E1484)+((D1484*E1484)*F1484/100)</f>
        <v>295310</v>
      </c>
      <c r="H1484" s="108"/>
      <c r="I1484" s="149"/>
    </row>
    <row r="1485" spans="1:9" s="65" customFormat="1">
      <c r="A1485" s="90"/>
      <c r="B1485" s="91"/>
      <c r="C1485" s="91"/>
      <c r="D1485" s="91"/>
      <c r="E1485" s="91"/>
      <c r="F1485"/>
      <c r="G1485" s="93" t="s">
        <v>407</v>
      </c>
      <c r="H1485" s="107">
        <f>SUM(G1484:G1484)</f>
        <v>295310</v>
      </c>
      <c r="I1485" s="71"/>
    </row>
    <row r="1486" spans="1:9" s="65" customFormat="1">
      <c r="A1486" s="72" t="s">
        <v>411</v>
      </c>
      <c r="B1486" s="73"/>
      <c r="C1486" s="73"/>
      <c r="D1486" s="73"/>
      <c r="E1486" s="73"/>
      <c r="F1486"/>
      <c r="G1486" s="74"/>
      <c r="H1486" s="108"/>
      <c r="I1486" s="71"/>
    </row>
    <row r="1487" spans="1:9" s="65" customFormat="1">
      <c r="A1487" s="75" t="s">
        <v>391</v>
      </c>
      <c r="B1487" s="76" t="s">
        <v>392</v>
      </c>
      <c r="C1487" s="76" t="s">
        <v>393</v>
      </c>
      <c r="D1487" s="76" t="s">
        <v>394</v>
      </c>
      <c r="E1487" s="76" t="s">
        <v>395</v>
      </c>
      <c r="F1487" s="76" t="s">
        <v>396</v>
      </c>
      <c r="G1487" s="76" t="s">
        <v>397</v>
      </c>
      <c r="H1487" s="108"/>
      <c r="I1487" s="71"/>
    </row>
    <row r="1488" spans="1:9" s="65" customFormat="1">
      <c r="A1488" s="87" t="s">
        <v>409</v>
      </c>
      <c r="B1488" s="114" t="s">
        <v>409</v>
      </c>
      <c r="C1488" s="114" t="s">
        <v>409</v>
      </c>
      <c r="D1488" s="114" t="s">
        <v>409</v>
      </c>
      <c r="E1488" s="114" t="s">
        <v>409</v>
      </c>
      <c r="F1488" s="79" t="s">
        <v>409</v>
      </c>
      <c r="G1488" s="89" t="s">
        <v>409</v>
      </c>
      <c r="H1488" s="108"/>
      <c r="I1488" s="71"/>
    </row>
    <row r="1489" spans="1:9" s="65" customFormat="1">
      <c r="A1489" s="94"/>
      <c r="B1489" s="95"/>
      <c r="C1489" s="95"/>
      <c r="D1489" s="95"/>
      <c r="E1489" s="95"/>
      <c r="F1489"/>
      <c r="G1489" s="93" t="s">
        <v>407</v>
      </c>
      <c r="H1489" s="107">
        <f>SUM(G1487:G1488)</f>
        <v>0</v>
      </c>
      <c r="I1489" s="71"/>
    </row>
    <row r="1490" spans="1:9" s="65" customFormat="1">
      <c r="A1490" s="94"/>
      <c r="B1490" s="95"/>
      <c r="C1490" s="95"/>
      <c r="D1490" s="95"/>
      <c r="E1490" s="95"/>
      <c r="F1490"/>
      <c r="G1490" s="74"/>
      <c r="H1490" s="74"/>
      <c r="I1490" s="71"/>
    </row>
    <row r="1491" spans="1:9" s="65" customFormat="1">
      <c r="A1491" s="96"/>
      <c r="B1491" s="97"/>
      <c r="C1491" s="98"/>
      <c r="D1491" s="98"/>
      <c r="E1491" s="98"/>
      <c r="F1491"/>
      <c r="G1491" s="99" t="s">
        <v>412</v>
      </c>
      <c r="H1491" s="115">
        <f>SUM(H1475:H1489)</f>
        <v>2991301.79</v>
      </c>
      <c r="I1491" s="71"/>
    </row>
    <row r="1492" spans="1:9" s="65" customFormat="1">
      <c r="A1492" s="96"/>
      <c r="B1492" s="97"/>
      <c r="C1492" s="98"/>
      <c r="D1492" s="98"/>
      <c r="E1492" s="98"/>
      <c r="F1492" s="101"/>
      <c r="G1492" s="116"/>
      <c r="H1492" s="70"/>
      <c r="I1492" s="71"/>
    </row>
    <row r="1493" spans="1:9" s="65" customFormat="1" ht="15.75" thickBot="1">
      <c r="A1493" s="624" t="s">
        <v>502</v>
      </c>
      <c r="B1493" s="625"/>
      <c r="C1493" s="625"/>
      <c r="D1493" s="625"/>
      <c r="E1493" s="625"/>
      <c r="F1493" s="625"/>
      <c r="G1493" s="626"/>
      <c r="H1493" s="117">
        <f>+ROUND(H1491,0)</f>
        <v>2991302</v>
      </c>
      <c r="I1493" s="103"/>
    </row>
    <row r="1494" spans="1:9" s="65" customFormat="1">
      <c r="A1494" s="128"/>
      <c r="B1494" s="141"/>
      <c r="C1494" s="141"/>
      <c r="D1494" s="141"/>
      <c r="E1494" s="141"/>
      <c r="F1494" s="141"/>
      <c r="G1494" s="141"/>
      <c r="H1494" s="121"/>
    </row>
    <row r="1495" spans="1:9" s="65" customFormat="1" ht="15.75" thickBot="1">
      <c r="A1495" s="142"/>
      <c r="B1495" s="143"/>
      <c r="C1495" s="143"/>
      <c r="D1495" s="143"/>
      <c r="E1495" s="143"/>
      <c r="F1495" s="84"/>
      <c r="G1495" s="144"/>
      <c r="H1495" s="145"/>
    </row>
    <row r="1496" spans="1:9" s="65" customFormat="1">
      <c r="A1496" s="627"/>
      <c r="B1496" s="634" t="s">
        <v>1139</v>
      </c>
      <c r="C1496" s="635"/>
      <c r="D1496" s="635"/>
      <c r="E1496" s="635"/>
      <c r="F1496" s="635"/>
      <c r="G1496" s="635"/>
      <c r="H1496" s="636"/>
      <c r="I1496" s="66" t="s">
        <v>389</v>
      </c>
    </row>
    <row r="1497" spans="1:9" s="65" customFormat="1">
      <c r="A1497" s="628"/>
      <c r="B1497" s="637"/>
      <c r="C1497" s="638"/>
      <c r="D1497" s="638"/>
      <c r="E1497" s="638"/>
      <c r="F1497" s="638"/>
      <c r="G1497" s="638"/>
      <c r="H1497" s="639"/>
      <c r="I1497" s="67" t="s">
        <v>7</v>
      </c>
    </row>
    <row r="1498" spans="1:9" s="65" customFormat="1">
      <c r="A1498" s="68"/>
      <c r="B1498" s="69"/>
      <c r="C1498" s="69"/>
      <c r="D1498" s="69"/>
      <c r="E1498" s="69"/>
      <c r="F1498" s="70"/>
      <c r="G1498" s="70"/>
      <c r="H1498" s="70"/>
      <c r="I1498" s="71"/>
    </row>
    <row r="1499" spans="1:9" s="65" customFormat="1">
      <c r="A1499" s="72" t="s">
        <v>390</v>
      </c>
      <c r="B1499" s="73"/>
      <c r="C1499" s="73"/>
      <c r="D1499" s="73"/>
      <c r="E1499" s="73"/>
      <c r="F1499" s="74"/>
      <c r="G1499" s="74"/>
      <c r="H1499" s="70"/>
      <c r="I1499" s="71"/>
    </row>
    <row r="1500" spans="1:9" s="65" customFormat="1">
      <c r="A1500" s="75" t="s">
        <v>391</v>
      </c>
      <c r="B1500" s="76" t="s">
        <v>392</v>
      </c>
      <c r="C1500" s="76" t="s">
        <v>393</v>
      </c>
      <c r="D1500" s="76" t="s">
        <v>394</v>
      </c>
      <c r="E1500" s="76" t="s">
        <v>395</v>
      </c>
      <c r="F1500" s="76" t="s">
        <v>396</v>
      </c>
      <c r="G1500" s="76" t="s">
        <v>397</v>
      </c>
      <c r="H1500" s="74"/>
      <c r="I1500" s="71"/>
    </row>
    <row r="1501" spans="1:9" s="65" customFormat="1">
      <c r="A1501" s="77" t="s">
        <v>404</v>
      </c>
      <c r="B1501" s="78" t="s">
        <v>405</v>
      </c>
      <c r="C1501" s="79" t="s">
        <v>406</v>
      </c>
      <c r="D1501" s="107">
        <v>1250</v>
      </c>
      <c r="E1501" s="79">
        <v>20</v>
      </c>
      <c r="F1501" s="79">
        <v>0</v>
      </c>
      <c r="G1501" s="107">
        <f>(D1501*E1501)+((D1501*E1501)*F1501/100)</f>
        <v>25000</v>
      </c>
      <c r="H1501" s="74"/>
      <c r="I1501" s="71"/>
    </row>
    <row r="1502" spans="1:9" s="65" customFormat="1">
      <c r="A1502" s="82"/>
      <c r="B1502" s="83"/>
      <c r="C1502" s="84"/>
      <c r="D1502" s="84"/>
      <c r="E1502" s="84"/>
      <c r="F1502"/>
      <c r="G1502" s="93" t="s">
        <v>407</v>
      </c>
      <c r="H1502" s="107">
        <f>SUM(G1501:G1501)</f>
        <v>25000</v>
      </c>
      <c r="I1502" s="71"/>
    </row>
    <row r="1503" spans="1:9" s="65" customFormat="1">
      <c r="A1503" s="72" t="s">
        <v>408</v>
      </c>
      <c r="B1503" s="73"/>
      <c r="C1503" s="73"/>
      <c r="D1503" s="73"/>
      <c r="E1503" s="73"/>
      <c r="F1503"/>
      <c r="G1503" s="74"/>
      <c r="H1503" s="108"/>
      <c r="I1503" s="71"/>
    </row>
    <row r="1504" spans="1:9" s="65" customFormat="1">
      <c r="A1504" s="75" t="s">
        <v>391</v>
      </c>
      <c r="B1504" s="76" t="s">
        <v>392</v>
      </c>
      <c r="C1504" s="76" t="s">
        <v>393</v>
      </c>
      <c r="D1504" s="76" t="s">
        <v>394</v>
      </c>
      <c r="E1504" s="76" t="s">
        <v>395</v>
      </c>
      <c r="F1504" s="76" t="s">
        <v>396</v>
      </c>
      <c r="G1504" s="76" t="s">
        <v>397</v>
      </c>
      <c r="H1504" s="108"/>
      <c r="I1504" s="71"/>
    </row>
    <row r="1505" spans="1:9" s="65" customFormat="1">
      <c r="A1505" s="75"/>
      <c r="B1505" s="78" t="s">
        <v>1144</v>
      </c>
      <c r="C1505" s="79" t="s">
        <v>6</v>
      </c>
      <c r="D1505" s="107">
        <v>3201</v>
      </c>
      <c r="E1505" s="79">
        <f>+E1506*100</f>
        <v>552</v>
      </c>
      <c r="F1505" s="79">
        <v>0</v>
      </c>
      <c r="G1505" s="107">
        <f>(D1505*E1505)+((D1505*E1505)*F1505/100)</f>
        <v>1766952</v>
      </c>
      <c r="H1505" s="108"/>
      <c r="I1505" s="71"/>
    </row>
    <row r="1506" spans="1:9" s="65" customFormat="1" ht="25.5">
      <c r="A1506" s="135" t="s">
        <v>501</v>
      </c>
      <c r="B1506" s="78" t="s">
        <v>464</v>
      </c>
      <c r="C1506" s="127" t="s">
        <v>432</v>
      </c>
      <c r="D1506" s="107">
        <f>+H247</f>
        <v>281819</v>
      </c>
      <c r="E1506" s="79">
        <f>8*2.3*0.3</f>
        <v>5.52</v>
      </c>
      <c r="F1506" s="79">
        <v>5</v>
      </c>
      <c r="G1506" s="107">
        <f>(D1506*E1506)+((D1506*E1506)*F1506/100)</f>
        <v>1633422.9239999999</v>
      </c>
      <c r="H1506" s="108"/>
      <c r="I1506" s="71"/>
    </row>
    <row r="1507" spans="1:9" s="65" customFormat="1">
      <c r="A1507" s="139">
        <v>5000</v>
      </c>
      <c r="B1507" s="78" t="s">
        <v>484</v>
      </c>
      <c r="C1507" s="127" t="s">
        <v>73</v>
      </c>
      <c r="D1507" s="107">
        <v>150000</v>
      </c>
      <c r="E1507" s="79">
        <v>0.6</v>
      </c>
      <c r="F1507" s="79">
        <v>0</v>
      </c>
      <c r="G1507" s="107">
        <f>(D1507*E1507)+((D1507*E1507)*F1507/100)</f>
        <v>90000</v>
      </c>
      <c r="H1507" s="108"/>
      <c r="I1507" s="71"/>
    </row>
    <row r="1508" spans="1:9" s="65" customFormat="1">
      <c r="A1508" s="90"/>
      <c r="B1508" s="91"/>
      <c r="C1508" s="91"/>
      <c r="D1508" s="91"/>
      <c r="E1508" s="91"/>
      <c r="F1508"/>
      <c r="G1508" s="85" t="s">
        <v>407</v>
      </c>
      <c r="H1508" s="107">
        <f>SUM(G1505:G1507)</f>
        <v>3490374.9239999996</v>
      </c>
      <c r="I1508" s="71"/>
    </row>
    <row r="1509" spans="1:9" s="65" customFormat="1">
      <c r="A1509" s="72" t="s">
        <v>410</v>
      </c>
      <c r="B1509" s="73"/>
      <c r="C1509" s="73"/>
      <c r="D1509" s="73"/>
      <c r="E1509" s="73"/>
      <c r="F1509"/>
      <c r="G1509" s="74"/>
      <c r="H1509" s="108"/>
      <c r="I1509" s="71"/>
    </row>
    <row r="1510" spans="1:9" s="65" customFormat="1">
      <c r="A1510" s="75" t="s">
        <v>391</v>
      </c>
      <c r="B1510" s="76" t="s">
        <v>392</v>
      </c>
      <c r="C1510" s="76" t="s">
        <v>393</v>
      </c>
      <c r="D1510" s="76" t="s">
        <v>394</v>
      </c>
      <c r="E1510" s="76" t="s">
        <v>395</v>
      </c>
      <c r="F1510" s="76" t="s">
        <v>396</v>
      </c>
      <c r="G1510" s="76" t="s">
        <v>397</v>
      </c>
      <c r="H1510" s="108"/>
      <c r="I1510" s="71"/>
    </row>
    <row r="1511" spans="1:9" s="65" customFormat="1">
      <c r="A1511" s="125" t="s">
        <v>478</v>
      </c>
      <c r="B1511" s="126" t="s">
        <v>479</v>
      </c>
      <c r="C1511" s="127" t="s">
        <v>426</v>
      </c>
      <c r="D1511" s="107">
        <f>5627*6+10300+15000</f>
        <v>59062</v>
      </c>
      <c r="E1511" s="79">
        <v>5</v>
      </c>
      <c r="F1511" s="79">
        <v>0</v>
      </c>
      <c r="G1511" s="107">
        <f>(D1511*E1511)+((D1511*E1511)*F1511/100)</f>
        <v>295310</v>
      </c>
      <c r="H1511" s="108"/>
      <c r="I1511" s="149"/>
    </row>
    <row r="1512" spans="1:9" s="65" customFormat="1">
      <c r="A1512" s="90"/>
      <c r="B1512" s="91"/>
      <c r="C1512" s="91"/>
      <c r="D1512" s="91"/>
      <c r="E1512" s="91"/>
      <c r="F1512"/>
      <c r="G1512" s="93" t="s">
        <v>407</v>
      </c>
      <c r="H1512" s="107">
        <f>SUM(G1511:G1511)</f>
        <v>295310</v>
      </c>
      <c r="I1512" s="71"/>
    </row>
    <row r="1513" spans="1:9" s="65" customFormat="1">
      <c r="A1513" s="72" t="s">
        <v>411</v>
      </c>
      <c r="B1513" s="73"/>
      <c r="C1513" s="73"/>
      <c r="D1513" s="73"/>
      <c r="E1513" s="73"/>
      <c r="F1513"/>
      <c r="G1513" s="74"/>
      <c r="H1513" s="108"/>
      <c r="I1513" s="71"/>
    </row>
    <row r="1514" spans="1:9" s="65" customFormat="1">
      <c r="A1514" s="75" t="s">
        <v>391</v>
      </c>
      <c r="B1514" s="76" t="s">
        <v>392</v>
      </c>
      <c r="C1514" s="76" t="s">
        <v>393</v>
      </c>
      <c r="D1514" s="76" t="s">
        <v>394</v>
      </c>
      <c r="E1514" s="76" t="s">
        <v>395</v>
      </c>
      <c r="F1514" s="76" t="s">
        <v>396</v>
      </c>
      <c r="G1514" s="76" t="s">
        <v>397</v>
      </c>
      <c r="H1514" s="108"/>
      <c r="I1514" s="71"/>
    </row>
    <row r="1515" spans="1:9" s="65" customFormat="1">
      <c r="A1515" s="87" t="s">
        <v>409</v>
      </c>
      <c r="B1515" s="114" t="s">
        <v>409</v>
      </c>
      <c r="C1515" s="114" t="s">
        <v>409</v>
      </c>
      <c r="D1515" s="114" t="s">
        <v>409</v>
      </c>
      <c r="E1515" s="114" t="s">
        <v>409</v>
      </c>
      <c r="F1515" s="79" t="s">
        <v>409</v>
      </c>
      <c r="G1515" s="89" t="s">
        <v>409</v>
      </c>
      <c r="H1515" s="108"/>
      <c r="I1515" s="71"/>
    </row>
    <row r="1516" spans="1:9" s="65" customFormat="1">
      <c r="A1516" s="94"/>
      <c r="B1516" s="95"/>
      <c r="C1516" s="95"/>
      <c r="D1516" s="95"/>
      <c r="E1516" s="95"/>
      <c r="F1516"/>
      <c r="G1516" s="93" t="s">
        <v>407</v>
      </c>
      <c r="H1516" s="107">
        <f>SUM(G1514:G1515)</f>
        <v>0</v>
      </c>
      <c r="I1516" s="71"/>
    </row>
    <row r="1517" spans="1:9" s="65" customFormat="1">
      <c r="A1517" s="94"/>
      <c r="B1517" s="95"/>
      <c r="C1517" s="95"/>
      <c r="D1517" s="95"/>
      <c r="E1517" s="95"/>
      <c r="F1517"/>
      <c r="G1517" s="74"/>
      <c r="H1517" s="74"/>
      <c r="I1517" s="71"/>
    </row>
    <row r="1518" spans="1:9" s="65" customFormat="1">
      <c r="A1518" s="96"/>
      <c r="B1518" s="97"/>
      <c r="C1518" s="98"/>
      <c r="D1518" s="98"/>
      <c r="E1518" s="98"/>
      <c r="F1518"/>
      <c r="G1518" s="99" t="s">
        <v>412</v>
      </c>
      <c r="H1518" s="115">
        <f>SUM(H1502:H1516)</f>
        <v>3810684.9239999996</v>
      </c>
      <c r="I1518" s="71"/>
    </row>
    <row r="1519" spans="1:9" s="65" customFormat="1">
      <c r="A1519" s="96"/>
      <c r="B1519" s="97"/>
      <c r="C1519" s="98"/>
      <c r="D1519" s="98"/>
      <c r="E1519" s="98"/>
      <c r="F1519" s="101"/>
      <c r="G1519" s="116"/>
      <c r="H1519" s="70"/>
      <c r="I1519" s="71"/>
    </row>
    <row r="1520" spans="1:9" s="65" customFormat="1" ht="15.75" thickBot="1">
      <c r="A1520" s="624" t="s">
        <v>502</v>
      </c>
      <c r="B1520" s="625"/>
      <c r="C1520" s="625"/>
      <c r="D1520" s="625"/>
      <c r="E1520" s="625"/>
      <c r="F1520" s="625"/>
      <c r="G1520" s="626"/>
      <c r="H1520" s="117">
        <f>+ROUND(H1518,0)</f>
        <v>3810685</v>
      </c>
      <c r="I1520" s="103"/>
    </row>
    <row r="1521" spans="1:9" s="65" customFormat="1">
      <c r="A1521" s="120"/>
      <c r="B1521" s="73"/>
      <c r="C1521" s="73"/>
      <c r="D1521" s="73"/>
      <c r="E1521" s="73"/>
      <c r="G1521" s="121"/>
      <c r="H1521" s="140"/>
    </row>
    <row r="1522" spans="1:9" s="65" customFormat="1" ht="15.75" thickBot="1">
      <c r="A1522" s="128"/>
      <c r="B1522" s="141"/>
      <c r="C1522" s="141"/>
      <c r="D1522" s="141"/>
      <c r="E1522" s="141"/>
      <c r="F1522" s="141"/>
      <c r="G1522" s="141"/>
      <c r="H1522" s="140"/>
    </row>
    <row r="1523" spans="1:9" s="65" customFormat="1">
      <c r="A1523" s="627"/>
      <c r="B1523" s="634" t="s">
        <v>1140</v>
      </c>
      <c r="C1523" s="635"/>
      <c r="D1523" s="635"/>
      <c r="E1523" s="635"/>
      <c r="F1523" s="635"/>
      <c r="G1523" s="635"/>
      <c r="H1523" s="636"/>
      <c r="I1523" s="66" t="s">
        <v>389</v>
      </c>
    </row>
    <row r="1524" spans="1:9" s="65" customFormat="1">
      <c r="A1524" s="628"/>
      <c r="B1524" s="637"/>
      <c r="C1524" s="638"/>
      <c r="D1524" s="638"/>
      <c r="E1524" s="638"/>
      <c r="F1524" s="638"/>
      <c r="G1524" s="638"/>
      <c r="H1524" s="639"/>
      <c r="I1524" s="67" t="s">
        <v>7</v>
      </c>
    </row>
    <row r="1525" spans="1:9" s="65" customFormat="1">
      <c r="A1525" s="68"/>
      <c r="B1525" s="69"/>
      <c r="C1525" s="69"/>
      <c r="D1525" s="69"/>
      <c r="E1525" s="69"/>
      <c r="F1525" s="70"/>
      <c r="G1525" s="70"/>
      <c r="H1525" s="70"/>
      <c r="I1525" s="71"/>
    </row>
    <row r="1526" spans="1:9" s="65" customFormat="1">
      <c r="A1526" s="72" t="s">
        <v>390</v>
      </c>
      <c r="B1526" s="73"/>
      <c r="C1526" s="73"/>
      <c r="D1526" s="73"/>
      <c r="E1526" s="73"/>
      <c r="F1526" s="74"/>
      <c r="G1526" s="74"/>
      <c r="H1526" s="70"/>
      <c r="I1526" s="71"/>
    </row>
    <row r="1527" spans="1:9" s="65" customFormat="1">
      <c r="A1527" s="75" t="s">
        <v>391</v>
      </c>
      <c r="B1527" s="76" t="s">
        <v>392</v>
      </c>
      <c r="C1527" s="76" t="s">
        <v>393</v>
      </c>
      <c r="D1527" s="76" t="s">
        <v>394</v>
      </c>
      <c r="E1527" s="76" t="s">
        <v>395</v>
      </c>
      <c r="F1527" s="76" t="s">
        <v>396</v>
      </c>
      <c r="G1527" s="76" t="s">
        <v>397</v>
      </c>
      <c r="H1527" s="74"/>
      <c r="I1527" s="71"/>
    </row>
    <row r="1528" spans="1:9" s="65" customFormat="1">
      <c r="A1528" s="77" t="s">
        <v>404</v>
      </c>
      <c r="B1528" s="78" t="s">
        <v>405</v>
      </c>
      <c r="C1528" s="79" t="s">
        <v>406</v>
      </c>
      <c r="D1528" s="107">
        <v>1250</v>
      </c>
      <c r="E1528" s="79">
        <v>20</v>
      </c>
      <c r="F1528" s="79">
        <v>0</v>
      </c>
      <c r="G1528" s="107">
        <f>(D1528*E1528)+((D1528*E1528)*F1528/100)</f>
        <v>25000</v>
      </c>
      <c r="H1528" s="74"/>
      <c r="I1528" s="71"/>
    </row>
    <row r="1529" spans="1:9" s="65" customFormat="1">
      <c r="A1529" s="82"/>
      <c r="B1529" s="83"/>
      <c r="C1529" s="84"/>
      <c r="D1529" s="84"/>
      <c r="E1529" s="84"/>
      <c r="F1529"/>
      <c r="G1529" s="93" t="s">
        <v>407</v>
      </c>
      <c r="H1529" s="107">
        <f>SUM(G1528:G1528)</f>
        <v>25000</v>
      </c>
      <c r="I1529" s="71"/>
    </row>
    <row r="1530" spans="1:9" s="65" customFormat="1">
      <c r="A1530" s="72" t="s">
        <v>408</v>
      </c>
      <c r="B1530" s="73"/>
      <c r="C1530" s="73"/>
      <c r="D1530" s="73"/>
      <c r="E1530" s="73"/>
      <c r="F1530"/>
      <c r="G1530" s="74"/>
      <c r="H1530" s="108"/>
      <c r="I1530" s="71"/>
    </row>
    <row r="1531" spans="1:9" s="65" customFormat="1">
      <c r="A1531" s="75" t="s">
        <v>391</v>
      </c>
      <c r="B1531" s="76" t="s">
        <v>392</v>
      </c>
      <c r="C1531" s="76" t="s">
        <v>393</v>
      </c>
      <c r="D1531" s="76" t="s">
        <v>394</v>
      </c>
      <c r="E1531" s="76" t="s">
        <v>395</v>
      </c>
      <c r="F1531" s="76" t="s">
        <v>396</v>
      </c>
      <c r="G1531" s="76" t="s">
        <v>397</v>
      </c>
      <c r="H1531" s="108"/>
      <c r="I1531" s="71"/>
    </row>
    <row r="1532" spans="1:9" s="65" customFormat="1">
      <c r="A1532" s="75"/>
      <c r="B1532" s="78" t="s">
        <v>1144</v>
      </c>
      <c r="C1532" s="79" t="s">
        <v>6</v>
      </c>
      <c r="D1532" s="107">
        <v>3201</v>
      </c>
      <c r="E1532" s="79">
        <f>+E1533*100</f>
        <v>336</v>
      </c>
      <c r="F1532" s="79">
        <v>0</v>
      </c>
      <c r="G1532" s="107">
        <f>(D1532*E1532)+((D1532*E1532)*F1532/100)</f>
        <v>1075536</v>
      </c>
      <c r="H1532" s="108"/>
      <c r="I1532" s="71"/>
    </row>
    <row r="1533" spans="1:9" s="65" customFormat="1" ht="25.5">
      <c r="A1533" s="135" t="s">
        <v>501</v>
      </c>
      <c r="B1533" s="78" t="s">
        <v>464</v>
      </c>
      <c r="C1533" s="127" t="s">
        <v>432</v>
      </c>
      <c r="D1533" s="107">
        <f>+H247</f>
        <v>281819</v>
      </c>
      <c r="E1533" s="79">
        <f>5.6*0.6</f>
        <v>3.36</v>
      </c>
      <c r="F1533" s="79">
        <v>5</v>
      </c>
      <c r="G1533" s="107">
        <f>(D1533*E1533)+((D1533*E1533)*F1533/100)</f>
        <v>994257.43200000003</v>
      </c>
      <c r="H1533" s="108"/>
      <c r="I1533" s="71"/>
    </row>
    <row r="1534" spans="1:9" s="65" customFormat="1">
      <c r="A1534" s="139">
        <v>5000</v>
      </c>
      <c r="B1534" s="78" t="s">
        <v>484</v>
      </c>
      <c r="C1534" s="127" t="s">
        <v>73</v>
      </c>
      <c r="D1534" s="107">
        <v>150000</v>
      </c>
      <c r="E1534" s="79">
        <v>0.6</v>
      </c>
      <c r="F1534" s="79">
        <v>0</v>
      </c>
      <c r="G1534" s="107">
        <f>(D1534*E1534)+((D1534*E1534)*F1534/100)</f>
        <v>90000</v>
      </c>
      <c r="H1534" s="108"/>
      <c r="I1534" s="71"/>
    </row>
    <row r="1535" spans="1:9" s="65" customFormat="1">
      <c r="A1535" s="90"/>
      <c r="B1535" s="91"/>
      <c r="C1535" s="91"/>
      <c r="D1535" s="91"/>
      <c r="E1535" s="91"/>
      <c r="F1535"/>
      <c r="G1535" s="85" t="s">
        <v>407</v>
      </c>
      <c r="H1535" s="107">
        <f>SUM(G1532:G1534)</f>
        <v>2159793.432</v>
      </c>
      <c r="I1535" s="71"/>
    </row>
    <row r="1536" spans="1:9" s="65" customFormat="1">
      <c r="A1536" s="72" t="s">
        <v>410</v>
      </c>
      <c r="B1536" s="73"/>
      <c r="C1536" s="73"/>
      <c r="D1536" s="73"/>
      <c r="E1536" s="73"/>
      <c r="F1536"/>
      <c r="G1536" s="74"/>
      <c r="H1536" s="108"/>
      <c r="I1536" s="71"/>
    </row>
    <row r="1537" spans="1:11" s="65" customFormat="1">
      <c r="A1537" s="75" t="s">
        <v>391</v>
      </c>
      <c r="B1537" s="76" t="s">
        <v>392</v>
      </c>
      <c r="C1537" s="76" t="s">
        <v>393</v>
      </c>
      <c r="D1537" s="76" t="s">
        <v>394</v>
      </c>
      <c r="E1537" s="76" t="s">
        <v>395</v>
      </c>
      <c r="F1537" s="76" t="s">
        <v>396</v>
      </c>
      <c r="G1537" s="76" t="s">
        <v>397</v>
      </c>
      <c r="H1537" s="108"/>
      <c r="I1537" s="71"/>
    </row>
    <row r="1538" spans="1:11" s="65" customFormat="1">
      <c r="A1538" s="125" t="s">
        <v>478</v>
      </c>
      <c r="B1538" s="126" t="s">
        <v>479</v>
      </c>
      <c r="C1538" s="127" t="s">
        <v>426</v>
      </c>
      <c r="D1538" s="107">
        <f>5627*6+10300+15000</f>
        <v>59062</v>
      </c>
      <c r="E1538" s="79">
        <v>5</v>
      </c>
      <c r="F1538" s="79">
        <v>0</v>
      </c>
      <c r="G1538" s="107">
        <f>(D1538*E1538)+((D1538*E1538)*F1538/100)</f>
        <v>295310</v>
      </c>
      <c r="H1538" s="108"/>
      <c r="I1538" s="149"/>
    </row>
    <row r="1539" spans="1:11" s="65" customFormat="1">
      <c r="A1539" s="90"/>
      <c r="B1539" s="91"/>
      <c r="C1539" s="91"/>
      <c r="D1539" s="91"/>
      <c r="E1539" s="91"/>
      <c r="F1539"/>
      <c r="G1539" s="93" t="s">
        <v>407</v>
      </c>
      <c r="H1539" s="107">
        <f>SUM(G1538:G1538)</f>
        <v>295310</v>
      </c>
      <c r="I1539" s="71"/>
    </row>
    <row r="1540" spans="1:11" s="65" customFormat="1">
      <c r="A1540" s="72" t="s">
        <v>411</v>
      </c>
      <c r="B1540" s="73"/>
      <c r="C1540" s="73"/>
      <c r="D1540" s="73"/>
      <c r="E1540" s="73"/>
      <c r="F1540"/>
      <c r="G1540" s="74"/>
      <c r="H1540" s="108"/>
      <c r="I1540" s="71"/>
    </row>
    <row r="1541" spans="1:11" s="65" customFormat="1">
      <c r="A1541" s="75" t="s">
        <v>391</v>
      </c>
      <c r="B1541" s="76" t="s">
        <v>392</v>
      </c>
      <c r="C1541" s="76" t="s">
        <v>393</v>
      </c>
      <c r="D1541" s="76" t="s">
        <v>394</v>
      </c>
      <c r="E1541" s="76" t="s">
        <v>395</v>
      </c>
      <c r="F1541" s="76" t="s">
        <v>396</v>
      </c>
      <c r="G1541" s="76" t="s">
        <v>397</v>
      </c>
      <c r="H1541" s="108"/>
      <c r="I1541" s="71"/>
    </row>
    <row r="1542" spans="1:11" s="65" customFormat="1">
      <c r="A1542" s="87" t="s">
        <v>409</v>
      </c>
      <c r="B1542" s="114" t="s">
        <v>409</v>
      </c>
      <c r="C1542" s="114" t="s">
        <v>409</v>
      </c>
      <c r="D1542" s="114" t="s">
        <v>409</v>
      </c>
      <c r="E1542" s="114" t="s">
        <v>409</v>
      </c>
      <c r="F1542" s="79" t="s">
        <v>409</v>
      </c>
      <c r="G1542" s="89" t="s">
        <v>409</v>
      </c>
      <c r="H1542" s="108"/>
      <c r="I1542" s="71"/>
      <c r="K1542" s="153"/>
    </row>
    <row r="1543" spans="1:11" s="65" customFormat="1">
      <c r="A1543" s="94"/>
      <c r="B1543" s="95"/>
      <c r="C1543" s="95"/>
      <c r="D1543" s="95"/>
      <c r="E1543" s="95"/>
      <c r="F1543"/>
      <c r="G1543" s="93" t="s">
        <v>407</v>
      </c>
      <c r="H1543" s="107">
        <f>SUM(G1541:G1542)</f>
        <v>0</v>
      </c>
      <c r="I1543" s="71"/>
    </row>
    <row r="1544" spans="1:11" s="65" customFormat="1">
      <c r="A1544" s="94"/>
      <c r="B1544" s="95"/>
      <c r="C1544" s="95"/>
      <c r="D1544" s="95"/>
      <c r="E1544" s="95"/>
      <c r="F1544"/>
      <c r="G1544" s="74"/>
      <c r="H1544" s="74"/>
      <c r="I1544" s="71"/>
    </row>
    <row r="1545" spans="1:11" s="65" customFormat="1">
      <c r="A1545" s="96"/>
      <c r="B1545" s="97"/>
      <c r="C1545" s="98"/>
      <c r="D1545" s="98"/>
      <c r="E1545" s="98"/>
      <c r="F1545"/>
      <c r="G1545" s="99" t="s">
        <v>412</v>
      </c>
      <c r="H1545" s="115">
        <f>SUM(H1529:H1543)</f>
        <v>2480103.432</v>
      </c>
      <c r="I1545" s="71"/>
    </row>
    <row r="1546" spans="1:11" s="65" customFormat="1">
      <c r="A1546" s="96"/>
      <c r="B1546" s="97"/>
      <c r="C1546" s="98"/>
      <c r="D1546" s="98"/>
      <c r="E1546" s="98"/>
      <c r="F1546" s="101"/>
      <c r="G1546" s="116"/>
      <c r="H1546" s="70"/>
      <c r="I1546" s="71"/>
    </row>
    <row r="1547" spans="1:11" s="65" customFormat="1" ht="15.75" thickBot="1">
      <c r="A1547" s="624" t="s">
        <v>502</v>
      </c>
      <c r="B1547" s="625"/>
      <c r="C1547" s="625"/>
      <c r="D1547" s="625"/>
      <c r="E1547" s="625"/>
      <c r="F1547" s="625"/>
      <c r="G1547" s="626"/>
      <c r="H1547" s="117">
        <f>+ROUND(H1545,0)</f>
        <v>2480103</v>
      </c>
      <c r="I1547" s="103"/>
    </row>
    <row r="1548" spans="1:11" s="65" customFormat="1">
      <c r="A1548" s="91"/>
      <c r="B1548" s="91"/>
      <c r="C1548" s="91"/>
      <c r="D1548" s="91"/>
      <c r="E1548" s="91"/>
      <c r="G1548" s="104"/>
      <c r="H1548" s="140"/>
    </row>
    <row r="1549" spans="1:11" s="65" customFormat="1" ht="15.75" thickBot="1">
      <c r="A1549" s="120"/>
      <c r="B1549" s="73"/>
      <c r="C1549" s="73"/>
      <c r="D1549" s="73"/>
      <c r="E1549" s="73"/>
      <c r="G1549" s="121"/>
      <c r="H1549" s="140"/>
    </row>
    <row r="1550" spans="1:11" s="65" customFormat="1">
      <c r="A1550" s="627"/>
      <c r="B1550" s="634" t="s">
        <v>1141</v>
      </c>
      <c r="C1550" s="635"/>
      <c r="D1550" s="635"/>
      <c r="E1550" s="635"/>
      <c r="F1550" s="635"/>
      <c r="G1550" s="635"/>
      <c r="H1550" s="636"/>
      <c r="I1550" s="66" t="s">
        <v>389</v>
      </c>
    </row>
    <row r="1551" spans="1:11" s="65" customFormat="1">
      <c r="A1551" s="628"/>
      <c r="B1551" s="637"/>
      <c r="C1551" s="638"/>
      <c r="D1551" s="638"/>
      <c r="E1551" s="638"/>
      <c r="F1551" s="638"/>
      <c r="G1551" s="638"/>
      <c r="H1551" s="639"/>
      <c r="I1551" s="67" t="s">
        <v>7</v>
      </c>
    </row>
    <row r="1552" spans="1:11" s="65" customFormat="1">
      <c r="A1552" s="68"/>
      <c r="B1552" s="69"/>
      <c r="C1552" s="69"/>
      <c r="D1552" s="69"/>
      <c r="E1552" s="69"/>
      <c r="F1552" s="70"/>
      <c r="G1552" s="70"/>
      <c r="H1552" s="70"/>
      <c r="I1552" s="71"/>
    </row>
    <row r="1553" spans="1:9" s="65" customFormat="1">
      <c r="A1553" s="72" t="s">
        <v>390</v>
      </c>
      <c r="B1553" s="73"/>
      <c r="C1553" s="73"/>
      <c r="D1553" s="73"/>
      <c r="E1553" s="73"/>
      <c r="F1553" s="74"/>
      <c r="G1553" s="74"/>
      <c r="H1553" s="70"/>
      <c r="I1553" s="71"/>
    </row>
    <row r="1554" spans="1:9" s="65" customFormat="1">
      <c r="A1554" s="75" t="s">
        <v>391</v>
      </c>
      <c r="B1554" s="76" t="s">
        <v>392</v>
      </c>
      <c r="C1554" s="76" t="s">
        <v>393</v>
      </c>
      <c r="D1554" s="76" t="s">
        <v>394</v>
      </c>
      <c r="E1554" s="76" t="s">
        <v>395</v>
      </c>
      <c r="F1554" s="76" t="s">
        <v>396</v>
      </c>
      <c r="G1554" s="76" t="s">
        <v>397</v>
      </c>
      <c r="H1554" s="74"/>
      <c r="I1554" s="71"/>
    </row>
    <row r="1555" spans="1:9" s="65" customFormat="1">
      <c r="A1555" s="77" t="s">
        <v>404</v>
      </c>
      <c r="B1555" s="78" t="s">
        <v>405</v>
      </c>
      <c r="C1555" s="79" t="s">
        <v>406</v>
      </c>
      <c r="D1555" s="107">
        <v>1250</v>
      </c>
      <c r="E1555" s="79">
        <v>20</v>
      </c>
      <c r="F1555" s="79">
        <v>0</v>
      </c>
      <c r="G1555" s="107">
        <f>(D1555*E1555)+((D1555*E1555)*F1555/100)</f>
        <v>25000</v>
      </c>
      <c r="H1555" s="74"/>
      <c r="I1555" s="71"/>
    </row>
    <row r="1556" spans="1:9" s="65" customFormat="1">
      <c r="A1556" s="82"/>
      <c r="B1556" s="83"/>
      <c r="C1556" s="84"/>
      <c r="D1556" s="84"/>
      <c r="E1556" s="84"/>
      <c r="F1556"/>
      <c r="G1556" s="93" t="s">
        <v>407</v>
      </c>
      <c r="H1556" s="107">
        <f>SUM(G1555:G1555)</f>
        <v>25000</v>
      </c>
      <c r="I1556" s="71"/>
    </row>
    <row r="1557" spans="1:9" s="65" customFormat="1">
      <c r="A1557" s="72" t="s">
        <v>408</v>
      </c>
      <c r="B1557" s="73"/>
      <c r="C1557" s="73"/>
      <c r="D1557" s="73"/>
      <c r="E1557" s="73"/>
      <c r="F1557"/>
      <c r="G1557" s="74"/>
      <c r="H1557" s="108"/>
      <c r="I1557" s="71"/>
    </row>
    <row r="1558" spans="1:9" s="65" customFormat="1">
      <c r="A1558" s="75" t="s">
        <v>391</v>
      </c>
      <c r="B1558" s="76" t="s">
        <v>392</v>
      </c>
      <c r="C1558" s="76" t="s">
        <v>393</v>
      </c>
      <c r="D1558" s="76" t="s">
        <v>394</v>
      </c>
      <c r="E1558" s="76" t="s">
        <v>395</v>
      </c>
      <c r="F1558" s="76" t="s">
        <v>396</v>
      </c>
      <c r="G1558" s="76" t="s">
        <v>397</v>
      </c>
      <c r="H1558" s="108"/>
      <c r="I1558" s="71"/>
    </row>
    <row r="1559" spans="1:9" s="65" customFormat="1">
      <c r="A1559" s="75"/>
      <c r="B1559" s="78" t="s">
        <v>1144</v>
      </c>
      <c r="C1559" s="79" t="s">
        <v>6</v>
      </c>
      <c r="D1559" s="107">
        <v>3201</v>
      </c>
      <c r="E1559" s="79">
        <f>+E1560*100</f>
        <v>475.20000000000005</v>
      </c>
      <c r="F1559" s="79">
        <v>0</v>
      </c>
      <c r="G1559" s="107">
        <f>(D1559*E1559)+((D1559*E1559)*F1559/100)</f>
        <v>1521115.2000000002</v>
      </c>
      <c r="H1559" s="108"/>
      <c r="I1559" s="71"/>
    </row>
    <row r="1560" spans="1:9" s="65" customFormat="1" ht="25.5">
      <c r="A1560" s="135" t="s">
        <v>501</v>
      </c>
      <c r="B1560" s="78" t="s">
        <v>464</v>
      </c>
      <c r="C1560" s="127" t="s">
        <v>432</v>
      </c>
      <c r="D1560" s="107">
        <f>+H247</f>
        <v>281819</v>
      </c>
      <c r="E1560" s="79">
        <f>19.8*0.8*0.3</f>
        <v>4.7520000000000007</v>
      </c>
      <c r="F1560" s="79">
        <v>5</v>
      </c>
      <c r="G1560" s="107">
        <f>(D1560*E1560)+((D1560*E1560)*F1560/100)</f>
        <v>1406164.0824000002</v>
      </c>
      <c r="H1560" s="108"/>
      <c r="I1560" s="71"/>
    </row>
    <row r="1561" spans="1:9" s="65" customFormat="1">
      <c r="A1561" s="139">
        <v>5000</v>
      </c>
      <c r="B1561" s="78" t="s">
        <v>484</v>
      </c>
      <c r="C1561" s="127" t="s">
        <v>73</v>
      </c>
      <c r="D1561" s="107">
        <v>150000</v>
      </c>
      <c r="E1561" s="79">
        <v>0.6</v>
      </c>
      <c r="F1561" s="79">
        <v>0</v>
      </c>
      <c r="G1561" s="107">
        <f>(D1561*E1561)+((D1561*E1561)*F1561/100)</f>
        <v>90000</v>
      </c>
      <c r="H1561" s="108"/>
      <c r="I1561" s="71"/>
    </row>
    <row r="1562" spans="1:9" s="65" customFormat="1">
      <c r="A1562" s="90"/>
      <c r="B1562" s="91"/>
      <c r="C1562" s="91"/>
      <c r="D1562" s="91"/>
      <c r="E1562" s="91"/>
      <c r="F1562"/>
      <c r="G1562" s="85" t="s">
        <v>407</v>
      </c>
      <c r="H1562" s="107">
        <f>SUM(G1559:G1561)</f>
        <v>3017279.2824000004</v>
      </c>
      <c r="I1562" s="71"/>
    </row>
    <row r="1563" spans="1:9" s="65" customFormat="1">
      <c r="A1563" s="72" t="s">
        <v>410</v>
      </c>
      <c r="B1563" s="73"/>
      <c r="C1563" s="73"/>
      <c r="D1563" s="73"/>
      <c r="E1563" s="73"/>
      <c r="F1563"/>
      <c r="G1563" s="74"/>
      <c r="H1563" s="108"/>
      <c r="I1563" s="71"/>
    </row>
    <row r="1564" spans="1:9" s="65" customFormat="1">
      <c r="A1564" s="75" t="s">
        <v>391</v>
      </c>
      <c r="B1564" s="76" t="s">
        <v>392</v>
      </c>
      <c r="C1564" s="76" t="s">
        <v>393</v>
      </c>
      <c r="D1564" s="76" t="s">
        <v>394</v>
      </c>
      <c r="E1564" s="76" t="s">
        <v>395</v>
      </c>
      <c r="F1564" s="76" t="s">
        <v>396</v>
      </c>
      <c r="G1564" s="76" t="s">
        <v>397</v>
      </c>
      <c r="H1564" s="108"/>
      <c r="I1564" s="71"/>
    </row>
    <row r="1565" spans="1:9" s="65" customFormat="1">
      <c r="A1565" s="125" t="s">
        <v>478</v>
      </c>
      <c r="B1565" s="126" t="s">
        <v>479</v>
      </c>
      <c r="C1565" s="127" t="s">
        <v>426</v>
      </c>
      <c r="D1565" s="107">
        <f>5627*6+10300+15000</f>
        <v>59062</v>
      </c>
      <c r="E1565" s="79">
        <v>5</v>
      </c>
      <c r="F1565" s="79">
        <v>0</v>
      </c>
      <c r="G1565" s="107">
        <f>(D1565*E1565)+((D1565*E1565)*F1565/100)</f>
        <v>295310</v>
      </c>
      <c r="H1565" s="108"/>
      <c r="I1565" s="149"/>
    </row>
    <row r="1566" spans="1:9" s="65" customFormat="1">
      <c r="A1566" s="90"/>
      <c r="B1566" s="91"/>
      <c r="C1566" s="91"/>
      <c r="D1566" s="91"/>
      <c r="E1566" s="91"/>
      <c r="F1566"/>
      <c r="G1566" s="93" t="s">
        <v>407</v>
      </c>
      <c r="H1566" s="107">
        <f>SUM(G1565:G1565)</f>
        <v>295310</v>
      </c>
      <c r="I1566" s="71"/>
    </row>
    <row r="1567" spans="1:9" s="65" customFormat="1">
      <c r="A1567" s="72" t="s">
        <v>411</v>
      </c>
      <c r="B1567" s="73"/>
      <c r="C1567" s="73"/>
      <c r="D1567" s="73"/>
      <c r="E1567" s="73"/>
      <c r="F1567"/>
      <c r="G1567" s="74"/>
      <c r="H1567" s="108"/>
      <c r="I1567" s="71"/>
    </row>
    <row r="1568" spans="1:9" s="65" customFormat="1">
      <c r="A1568" s="75" t="s">
        <v>391</v>
      </c>
      <c r="B1568" s="76" t="s">
        <v>392</v>
      </c>
      <c r="C1568" s="76" t="s">
        <v>393</v>
      </c>
      <c r="D1568" s="76" t="s">
        <v>394</v>
      </c>
      <c r="E1568" s="76" t="s">
        <v>395</v>
      </c>
      <c r="F1568" s="76" t="s">
        <v>396</v>
      </c>
      <c r="G1568" s="76" t="s">
        <v>397</v>
      </c>
      <c r="H1568" s="108"/>
      <c r="I1568" s="71"/>
    </row>
    <row r="1569" spans="1:9" s="65" customFormat="1">
      <c r="A1569" s="87" t="s">
        <v>409</v>
      </c>
      <c r="B1569" s="114" t="s">
        <v>409</v>
      </c>
      <c r="C1569" s="114" t="s">
        <v>409</v>
      </c>
      <c r="D1569" s="114" t="s">
        <v>409</v>
      </c>
      <c r="E1569" s="114" t="s">
        <v>409</v>
      </c>
      <c r="F1569" s="79" t="s">
        <v>409</v>
      </c>
      <c r="G1569" s="89" t="s">
        <v>409</v>
      </c>
      <c r="H1569" s="108"/>
      <c r="I1569" s="71"/>
    </row>
    <row r="1570" spans="1:9" s="65" customFormat="1">
      <c r="A1570" s="94"/>
      <c r="B1570" s="95"/>
      <c r="C1570" s="95"/>
      <c r="D1570" s="95"/>
      <c r="E1570" s="95"/>
      <c r="F1570"/>
      <c r="G1570" s="93" t="s">
        <v>407</v>
      </c>
      <c r="H1570" s="107">
        <f>SUM(G1568:G1569)</f>
        <v>0</v>
      </c>
      <c r="I1570" s="71"/>
    </row>
    <row r="1571" spans="1:9" s="65" customFormat="1">
      <c r="A1571" s="94"/>
      <c r="B1571" s="95"/>
      <c r="C1571" s="95"/>
      <c r="D1571" s="95"/>
      <c r="E1571" s="95"/>
      <c r="F1571"/>
      <c r="G1571" s="74"/>
      <c r="H1571" s="74"/>
      <c r="I1571" s="71"/>
    </row>
    <row r="1572" spans="1:9" s="65" customFormat="1">
      <c r="A1572" s="96"/>
      <c r="B1572" s="97"/>
      <c r="C1572" s="98"/>
      <c r="D1572" s="98"/>
      <c r="E1572" s="98"/>
      <c r="F1572"/>
      <c r="G1572" s="99" t="s">
        <v>412</v>
      </c>
      <c r="H1572" s="115">
        <f>SUM(H1556:H1570)</f>
        <v>3337589.2824000004</v>
      </c>
      <c r="I1572" s="71"/>
    </row>
    <row r="1573" spans="1:9" s="65" customFormat="1">
      <c r="A1573" s="96"/>
      <c r="B1573" s="97"/>
      <c r="C1573" s="98"/>
      <c r="D1573" s="98"/>
      <c r="E1573" s="98"/>
      <c r="F1573" s="101"/>
      <c r="G1573" s="116"/>
      <c r="H1573" s="70"/>
      <c r="I1573" s="71"/>
    </row>
    <row r="1574" spans="1:9" s="65" customFormat="1" ht="15.75" thickBot="1">
      <c r="A1574" s="624" t="s">
        <v>502</v>
      </c>
      <c r="B1574" s="625"/>
      <c r="C1574" s="625"/>
      <c r="D1574" s="625"/>
      <c r="E1574" s="625"/>
      <c r="F1574" s="625"/>
      <c r="G1574" s="626"/>
      <c r="H1574" s="117">
        <f>+ROUND(H1572,0)</f>
        <v>3337589</v>
      </c>
      <c r="I1574" s="103"/>
    </row>
    <row r="1575" spans="1:9" s="65" customFormat="1">
      <c r="A1575" s="142"/>
      <c r="B1575" s="143"/>
      <c r="C1575" s="143"/>
      <c r="D1575" s="143"/>
      <c r="E1575" s="143"/>
      <c r="F1575" s="84"/>
      <c r="G1575" s="144"/>
      <c r="H1575" s="145"/>
    </row>
    <row r="1576" spans="1:9" s="65" customFormat="1" ht="15.75" thickBot="1">
      <c r="A1576" s="91"/>
      <c r="B1576" s="91"/>
      <c r="C1576" s="91"/>
      <c r="D1576" s="91"/>
      <c r="E1576" s="91"/>
      <c r="G1576" s="104"/>
      <c r="H1576" s="140"/>
    </row>
    <row r="1577" spans="1:9" s="65" customFormat="1">
      <c r="A1577" s="627"/>
      <c r="B1577" s="634" t="s">
        <v>1142</v>
      </c>
      <c r="C1577" s="635"/>
      <c r="D1577" s="635"/>
      <c r="E1577" s="635"/>
      <c r="F1577" s="635"/>
      <c r="G1577" s="635"/>
      <c r="H1577" s="636"/>
      <c r="I1577" s="66" t="s">
        <v>389</v>
      </c>
    </row>
    <row r="1578" spans="1:9" s="65" customFormat="1">
      <c r="A1578" s="628"/>
      <c r="B1578" s="637"/>
      <c r="C1578" s="638"/>
      <c r="D1578" s="638"/>
      <c r="E1578" s="638"/>
      <c r="F1578" s="638"/>
      <c r="G1578" s="638"/>
      <c r="H1578" s="639"/>
      <c r="I1578" s="67" t="s">
        <v>7</v>
      </c>
    </row>
    <row r="1579" spans="1:9" s="65" customFormat="1">
      <c r="A1579" s="68"/>
      <c r="B1579" s="69"/>
      <c r="C1579" s="69"/>
      <c r="D1579" s="69"/>
      <c r="E1579" s="69"/>
      <c r="F1579" s="70"/>
      <c r="G1579" s="70"/>
      <c r="H1579" s="70"/>
      <c r="I1579" s="71"/>
    </row>
    <row r="1580" spans="1:9" s="65" customFormat="1">
      <c r="A1580" s="72" t="s">
        <v>390</v>
      </c>
      <c r="B1580" s="73"/>
      <c r="C1580" s="73"/>
      <c r="D1580" s="73"/>
      <c r="E1580" s="73"/>
      <c r="F1580" s="74"/>
      <c r="G1580" s="74"/>
      <c r="H1580" s="70"/>
      <c r="I1580" s="71"/>
    </row>
    <row r="1581" spans="1:9" s="65" customFormat="1">
      <c r="A1581" s="75" t="s">
        <v>391</v>
      </c>
      <c r="B1581" s="76" t="s">
        <v>392</v>
      </c>
      <c r="C1581" s="76" t="s">
        <v>393</v>
      </c>
      <c r="D1581" s="76" t="s">
        <v>394</v>
      </c>
      <c r="E1581" s="76" t="s">
        <v>395</v>
      </c>
      <c r="F1581" s="76" t="s">
        <v>396</v>
      </c>
      <c r="G1581" s="76" t="s">
        <v>397</v>
      </c>
      <c r="H1581" s="74"/>
      <c r="I1581" s="71"/>
    </row>
    <row r="1582" spans="1:9" s="65" customFormat="1">
      <c r="A1582" s="77" t="s">
        <v>404</v>
      </c>
      <c r="B1582" s="78" t="s">
        <v>405</v>
      </c>
      <c r="C1582" s="79" t="s">
        <v>406</v>
      </c>
      <c r="D1582" s="107">
        <v>1250</v>
      </c>
      <c r="E1582" s="79">
        <v>20</v>
      </c>
      <c r="F1582" s="79">
        <v>0</v>
      </c>
      <c r="G1582" s="107">
        <f>(D1582*E1582)+((D1582*E1582)*F1582/100)</f>
        <v>25000</v>
      </c>
      <c r="H1582" s="74"/>
      <c r="I1582" s="71"/>
    </row>
    <row r="1583" spans="1:9" s="65" customFormat="1">
      <c r="A1583" s="82"/>
      <c r="B1583" s="83"/>
      <c r="C1583" s="84"/>
      <c r="D1583" s="84"/>
      <c r="E1583" s="84"/>
      <c r="F1583"/>
      <c r="G1583" s="93" t="s">
        <v>407</v>
      </c>
      <c r="H1583" s="107">
        <f>SUM(G1582:G1582)</f>
        <v>25000</v>
      </c>
      <c r="I1583" s="71"/>
    </row>
    <row r="1584" spans="1:9" s="65" customFormat="1">
      <c r="A1584" s="72" t="s">
        <v>408</v>
      </c>
      <c r="B1584" s="73"/>
      <c r="C1584" s="73"/>
      <c r="D1584" s="73"/>
      <c r="E1584" s="73"/>
      <c r="F1584"/>
      <c r="G1584" s="74"/>
      <c r="H1584" s="108"/>
      <c r="I1584" s="71"/>
    </row>
    <row r="1585" spans="1:9" s="65" customFormat="1">
      <c r="A1585" s="75" t="s">
        <v>391</v>
      </c>
      <c r="B1585" s="76" t="s">
        <v>392</v>
      </c>
      <c r="C1585" s="76" t="s">
        <v>393</v>
      </c>
      <c r="D1585" s="76" t="s">
        <v>394</v>
      </c>
      <c r="E1585" s="76" t="s">
        <v>395</v>
      </c>
      <c r="F1585" s="76" t="s">
        <v>396</v>
      </c>
      <c r="G1585" s="76" t="s">
        <v>397</v>
      </c>
      <c r="H1585" s="108"/>
      <c r="I1585" s="71"/>
    </row>
    <row r="1586" spans="1:9" s="65" customFormat="1">
      <c r="A1586" s="75"/>
      <c r="B1586" s="78" t="s">
        <v>1144</v>
      </c>
      <c r="C1586" s="79" t="s">
        <v>6</v>
      </c>
      <c r="D1586" s="107">
        <v>3201</v>
      </c>
      <c r="E1586" s="79">
        <f>+E1587*100</f>
        <v>135</v>
      </c>
      <c r="F1586" s="79">
        <v>0</v>
      </c>
      <c r="G1586" s="107">
        <f>(D1586*E1586)+((D1586*E1586)*F1586/100)</f>
        <v>432135</v>
      </c>
      <c r="H1586" s="108"/>
      <c r="I1586" s="71"/>
    </row>
    <row r="1587" spans="1:9" s="65" customFormat="1" ht="25.5">
      <c r="A1587" s="135" t="s">
        <v>501</v>
      </c>
      <c r="B1587" s="78" t="s">
        <v>464</v>
      </c>
      <c r="C1587" s="127" t="s">
        <v>432</v>
      </c>
      <c r="D1587" s="107">
        <f>+H247</f>
        <v>281819</v>
      </c>
      <c r="E1587" s="79">
        <f>5.4*1.25*0.2</f>
        <v>1.35</v>
      </c>
      <c r="F1587" s="79">
        <v>5</v>
      </c>
      <c r="G1587" s="107">
        <f>(D1587*E1587)+((D1587*E1587)*F1587/100)</f>
        <v>399478.4325</v>
      </c>
      <c r="H1587" s="108"/>
      <c r="I1587" s="71"/>
    </row>
    <row r="1588" spans="1:9" s="65" customFormat="1">
      <c r="A1588" s="139">
        <v>5000</v>
      </c>
      <c r="B1588" s="78" t="s">
        <v>484</v>
      </c>
      <c r="C1588" s="127" t="s">
        <v>73</v>
      </c>
      <c r="D1588" s="107">
        <v>150000</v>
      </c>
      <c r="E1588" s="79">
        <v>0.6</v>
      </c>
      <c r="F1588" s="79">
        <v>0</v>
      </c>
      <c r="G1588" s="107">
        <f>(D1588*E1588)+((D1588*E1588)*F1588/100)</f>
        <v>90000</v>
      </c>
      <c r="H1588" s="108"/>
      <c r="I1588" s="71"/>
    </row>
    <row r="1589" spans="1:9" s="65" customFormat="1">
      <c r="A1589" s="90"/>
      <c r="B1589" s="91"/>
      <c r="C1589" s="91"/>
      <c r="D1589" s="91"/>
      <c r="E1589" s="91"/>
      <c r="F1589"/>
      <c r="G1589" s="85" t="s">
        <v>407</v>
      </c>
      <c r="H1589" s="107">
        <f>SUM(G1586:G1588)</f>
        <v>921613.4325</v>
      </c>
      <c r="I1589" s="71"/>
    </row>
    <row r="1590" spans="1:9" s="65" customFormat="1">
      <c r="A1590" s="72" t="s">
        <v>410</v>
      </c>
      <c r="B1590" s="73"/>
      <c r="C1590" s="73"/>
      <c r="D1590" s="73"/>
      <c r="E1590" s="73"/>
      <c r="F1590"/>
      <c r="G1590" s="74"/>
      <c r="H1590" s="108"/>
      <c r="I1590" s="71"/>
    </row>
    <row r="1591" spans="1:9" s="65" customFormat="1">
      <c r="A1591" s="75" t="s">
        <v>391</v>
      </c>
      <c r="B1591" s="76" t="s">
        <v>392</v>
      </c>
      <c r="C1591" s="76" t="s">
        <v>393</v>
      </c>
      <c r="D1591" s="76" t="s">
        <v>394</v>
      </c>
      <c r="E1591" s="76" t="s">
        <v>395</v>
      </c>
      <c r="F1591" s="76" t="s">
        <v>396</v>
      </c>
      <c r="G1591" s="76" t="s">
        <v>397</v>
      </c>
      <c r="H1591" s="108"/>
      <c r="I1591" s="71"/>
    </row>
    <row r="1592" spans="1:9" s="65" customFormat="1">
      <c r="A1592" s="125" t="s">
        <v>478</v>
      </c>
      <c r="B1592" s="126" t="s">
        <v>479</v>
      </c>
      <c r="C1592" s="127" t="s">
        <v>426</v>
      </c>
      <c r="D1592" s="107">
        <f>5627*6+10300+15000</f>
        <v>59062</v>
      </c>
      <c r="E1592" s="79">
        <v>5</v>
      </c>
      <c r="F1592" s="79">
        <v>0</v>
      </c>
      <c r="G1592" s="107">
        <f>(D1592*E1592)+((D1592*E1592)*F1592/100)</f>
        <v>295310</v>
      </c>
      <c r="H1592" s="108"/>
      <c r="I1592" s="149"/>
    </row>
    <row r="1593" spans="1:9" s="65" customFormat="1">
      <c r="A1593" s="90"/>
      <c r="B1593" s="91"/>
      <c r="C1593" s="91"/>
      <c r="D1593" s="91"/>
      <c r="E1593" s="91"/>
      <c r="F1593"/>
      <c r="G1593" s="93" t="s">
        <v>407</v>
      </c>
      <c r="H1593" s="107">
        <f>SUM(G1592:G1592)</f>
        <v>295310</v>
      </c>
      <c r="I1593" s="71"/>
    </row>
    <row r="1594" spans="1:9" s="65" customFormat="1">
      <c r="A1594" s="72" t="s">
        <v>411</v>
      </c>
      <c r="B1594" s="73"/>
      <c r="C1594" s="73"/>
      <c r="D1594" s="73"/>
      <c r="E1594" s="73"/>
      <c r="F1594"/>
      <c r="G1594" s="74"/>
      <c r="H1594" s="108"/>
      <c r="I1594" s="71"/>
    </row>
    <row r="1595" spans="1:9" s="65" customFormat="1">
      <c r="A1595" s="75" t="s">
        <v>391</v>
      </c>
      <c r="B1595" s="76" t="s">
        <v>392</v>
      </c>
      <c r="C1595" s="76" t="s">
        <v>393</v>
      </c>
      <c r="D1595" s="76" t="s">
        <v>394</v>
      </c>
      <c r="E1595" s="76" t="s">
        <v>395</v>
      </c>
      <c r="F1595" s="76" t="s">
        <v>396</v>
      </c>
      <c r="G1595" s="76" t="s">
        <v>397</v>
      </c>
      <c r="H1595" s="108"/>
      <c r="I1595" s="71"/>
    </row>
    <row r="1596" spans="1:9" s="65" customFormat="1">
      <c r="A1596" s="87" t="s">
        <v>409</v>
      </c>
      <c r="B1596" s="114" t="s">
        <v>409</v>
      </c>
      <c r="C1596" s="114" t="s">
        <v>409</v>
      </c>
      <c r="D1596" s="114" t="s">
        <v>409</v>
      </c>
      <c r="E1596" s="114" t="s">
        <v>409</v>
      </c>
      <c r="F1596" s="79" t="s">
        <v>409</v>
      </c>
      <c r="G1596" s="89" t="s">
        <v>409</v>
      </c>
      <c r="H1596" s="108"/>
      <c r="I1596" s="71"/>
    </row>
    <row r="1597" spans="1:9" s="65" customFormat="1">
      <c r="A1597" s="94"/>
      <c r="B1597" s="95"/>
      <c r="C1597" s="95"/>
      <c r="D1597" s="95"/>
      <c r="E1597" s="95"/>
      <c r="F1597"/>
      <c r="G1597" s="93" t="s">
        <v>407</v>
      </c>
      <c r="H1597" s="107">
        <f>SUM(G1595:G1596)</f>
        <v>0</v>
      </c>
      <c r="I1597" s="71"/>
    </row>
    <row r="1598" spans="1:9" s="65" customFormat="1">
      <c r="A1598" s="94"/>
      <c r="B1598" s="95"/>
      <c r="C1598" s="95"/>
      <c r="D1598" s="95"/>
      <c r="E1598" s="95"/>
      <c r="F1598"/>
      <c r="G1598" s="74"/>
      <c r="H1598" s="74"/>
      <c r="I1598" s="71"/>
    </row>
    <row r="1599" spans="1:9" s="65" customFormat="1">
      <c r="A1599" s="96"/>
      <c r="B1599" s="97"/>
      <c r="C1599" s="98"/>
      <c r="D1599" s="98"/>
      <c r="E1599" s="98"/>
      <c r="F1599"/>
      <c r="G1599" s="99" t="s">
        <v>412</v>
      </c>
      <c r="H1599" s="115">
        <f>SUM(H1583:H1597)</f>
        <v>1241923.4325000001</v>
      </c>
      <c r="I1599" s="71"/>
    </row>
    <row r="1600" spans="1:9" s="65" customFormat="1">
      <c r="A1600" s="96"/>
      <c r="B1600" s="97"/>
      <c r="C1600" s="98"/>
      <c r="D1600" s="98"/>
      <c r="E1600" s="98"/>
      <c r="F1600" s="101"/>
      <c r="G1600" s="116"/>
      <c r="H1600" s="70"/>
      <c r="I1600" s="71"/>
    </row>
    <row r="1601" spans="1:9" s="65" customFormat="1" ht="15.75" thickBot="1">
      <c r="A1601" s="624" t="s">
        <v>502</v>
      </c>
      <c r="B1601" s="625"/>
      <c r="C1601" s="625"/>
      <c r="D1601" s="625"/>
      <c r="E1601" s="625"/>
      <c r="F1601" s="625"/>
      <c r="G1601" s="626"/>
      <c r="H1601" s="117">
        <f>+ROUND(H1599,0)</f>
        <v>1241923</v>
      </c>
      <c r="I1601" s="103"/>
    </row>
    <row r="1602" spans="1:9" s="65" customFormat="1">
      <c r="A1602" s="128"/>
      <c r="B1602" s="141"/>
      <c r="C1602" s="141"/>
      <c r="D1602" s="141"/>
      <c r="E1602" s="141"/>
      <c r="F1602" s="141"/>
      <c r="G1602" s="141"/>
      <c r="H1602" s="140"/>
    </row>
    <row r="1603" spans="1:9" s="65" customFormat="1" ht="15.75" thickBot="1">
      <c r="A1603" s="142"/>
      <c r="B1603" s="143"/>
      <c r="C1603" s="143"/>
      <c r="D1603" s="143"/>
      <c r="E1603" s="143"/>
      <c r="F1603" s="84"/>
      <c r="G1603" s="144"/>
      <c r="H1603" s="145"/>
    </row>
    <row r="1604" spans="1:9" s="65" customFormat="1">
      <c r="A1604" s="627"/>
      <c r="B1604" s="634" t="s">
        <v>1145</v>
      </c>
      <c r="C1604" s="635"/>
      <c r="D1604" s="635"/>
      <c r="E1604" s="635"/>
      <c r="F1604" s="635"/>
      <c r="G1604" s="635"/>
      <c r="H1604" s="636"/>
      <c r="I1604" s="66" t="s">
        <v>389</v>
      </c>
    </row>
    <row r="1605" spans="1:9" s="65" customFormat="1">
      <c r="A1605" s="628"/>
      <c r="B1605" s="637"/>
      <c r="C1605" s="638"/>
      <c r="D1605" s="638"/>
      <c r="E1605" s="638"/>
      <c r="F1605" s="638"/>
      <c r="G1605" s="638"/>
      <c r="H1605" s="639"/>
      <c r="I1605" s="67" t="s">
        <v>7</v>
      </c>
    </row>
    <row r="1606" spans="1:9" s="65" customFormat="1">
      <c r="A1606" s="68"/>
      <c r="B1606" s="69"/>
      <c r="C1606" s="69"/>
      <c r="D1606" s="69"/>
      <c r="E1606" s="69"/>
      <c r="F1606" s="70"/>
      <c r="G1606" s="70"/>
      <c r="H1606" s="70"/>
      <c r="I1606" s="71"/>
    </row>
    <row r="1607" spans="1:9" s="65" customFormat="1">
      <c r="A1607" s="72" t="s">
        <v>390</v>
      </c>
      <c r="B1607" s="73"/>
      <c r="C1607" s="73"/>
      <c r="D1607" s="73"/>
      <c r="E1607" s="73"/>
      <c r="F1607" s="74"/>
      <c r="G1607" s="74"/>
      <c r="H1607" s="70"/>
      <c r="I1607" s="71"/>
    </row>
    <row r="1608" spans="1:9" s="65" customFormat="1">
      <c r="A1608" s="75" t="s">
        <v>391</v>
      </c>
      <c r="B1608" s="76" t="s">
        <v>392</v>
      </c>
      <c r="C1608" s="76" t="s">
        <v>393</v>
      </c>
      <c r="D1608" s="76" t="s">
        <v>394</v>
      </c>
      <c r="E1608" s="76" t="s">
        <v>395</v>
      </c>
      <c r="F1608" s="76" t="s">
        <v>396</v>
      </c>
      <c r="G1608" s="76" t="s">
        <v>397</v>
      </c>
      <c r="H1608" s="74"/>
      <c r="I1608" s="71"/>
    </row>
    <row r="1609" spans="1:9" s="65" customFormat="1">
      <c r="A1609" s="77" t="s">
        <v>404</v>
      </c>
      <c r="B1609" s="78" t="s">
        <v>405</v>
      </c>
      <c r="C1609" s="79" t="s">
        <v>406</v>
      </c>
      <c r="D1609" s="107">
        <v>1250</v>
      </c>
      <c r="E1609" s="79">
        <v>20</v>
      </c>
      <c r="F1609" s="79">
        <v>0</v>
      </c>
      <c r="G1609" s="107">
        <f>(D1609*E1609)+((D1609*E1609)*F1609/100)</f>
        <v>25000</v>
      </c>
      <c r="H1609" s="74"/>
      <c r="I1609" s="71"/>
    </row>
    <row r="1610" spans="1:9" s="65" customFormat="1">
      <c r="A1610" s="82"/>
      <c r="B1610" s="83"/>
      <c r="C1610" s="84"/>
      <c r="D1610" s="84"/>
      <c r="E1610" s="84"/>
      <c r="F1610"/>
      <c r="G1610" s="93" t="s">
        <v>407</v>
      </c>
      <c r="H1610" s="107">
        <f>SUM(G1609:G1609)</f>
        <v>25000</v>
      </c>
      <c r="I1610" s="71"/>
    </row>
    <row r="1611" spans="1:9" s="65" customFormat="1">
      <c r="A1611" s="72" t="s">
        <v>408</v>
      </c>
      <c r="B1611" s="73"/>
      <c r="C1611" s="73"/>
      <c r="D1611" s="73"/>
      <c r="E1611" s="73"/>
      <c r="F1611"/>
      <c r="G1611" s="74"/>
      <c r="H1611" s="108"/>
      <c r="I1611" s="71"/>
    </row>
    <row r="1612" spans="1:9" s="65" customFormat="1">
      <c r="A1612" s="75" t="s">
        <v>391</v>
      </c>
      <c r="B1612" s="76" t="s">
        <v>392</v>
      </c>
      <c r="C1612" s="76" t="s">
        <v>393</v>
      </c>
      <c r="D1612" s="76" t="s">
        <v>394</v>
      </c>
      <c r="E1612" s="76" t="s">
        <v>395</v>
      </c>
      <c r="F1612" s="76" t="s">
        <v>396</v>
      </c>
      <c r="G1612" s="76" t="s">
        <v>397</v>
      </c>
      <c r="H1612" s="108"/>
      <c r="I1612" s="71"/>
    </row>
    <row r="1613" spans="1:9" s="65" customFormat="1">
      <c r="A1613" s="75"/>
      <c r="B1613" s="78" t="s">
        <v>1144</v>
      </c>
      <c r="C1613" s="79" t="s">
        <v>6</v>
      </c>
      <c r="D1613" s="107">
        <v>3201</v>
      </c>
      <c r="E1613" s="79">
        <f>+E1614*100</f>
        <v>53.400000000000006</v>
      </c>
      <c r="F1613" s="79">
        <v>0</v>
      </c>
      <c r="G1613" s="107">
        <f>(D1613*E1613)+((D1613*E1613)*F1613/100)</f>
        <v>170933.40000000002</v>
      </c>
      <c r="H1613" s="108"/>
      <c r="I1613" s="71"/>
    </row>
    <row r="1614" spans="1:9" s="65" customFormat="1" ht="25.5">
      <c r="A1614" s="135" t="s">
        <v>501</v>
      </c>
      <c r="B1614" s="78" t="s">
        <v>464</v>
      </c>
      <c r="C1614" s="127" t="s">
        <v>432</v>
      </c>
      <c r="D1614" s="107">
        <f>+H247</f>
        <v>281819</v>
      </c>
      <c r="E1614" s="79">
        <f>1.78*0.3</f>
        <v>0.53400000000000003</v>
      </c>
      <c r="F1614" s="79">
        <v>5</v>
      </c>
      <c r="G1614" s="107">
        <f>(D1614*E1614)+((D1614*E1614)*F1614/100)</f>
        <v>158015.91330000001</v>
      </c>
      <c r="H1614" s="108"/>
      <c r="I1614" s="71"/>
    </row>
    <row r="1615" spans="1:9" s="65" customFormat="1">
      <c r="A1615" s="139">
        <v>5000</v>
      </c>
      <c r="B1615" s="78" t="s">
        <v>484</v>
      </c>
      <c r="C1615" s="127" t="s">
        <v>73</v>
      </c>
      <c r="D1615" s="107">
        <v>150000</v>
      </c>
      <c r="E1615" s="79">
        <v>0.6</v>
      </c>
      <c r="F1615" s="79">
        <v>0</v>
      </c>
      <c r="G1615" s="107">
        <f>(D1615*E1615)+((D1615*E1615)*F1615/100)</f>
        <v>90000</v>
      </c>
      <c r="H1615" s="108"/>
      <c r="I1615" s="71"/>
    </row>
    <row r="1616" spans="1:9" s="65" customFormat="1">
      <c r="A1616" s="90"/>
      <c r="B1616" s="91"/>
      <c r="C1616" s="91"/>
      <c r="D1616" s="91"/>
      <c r="E1616" s="91"/>
      <c r="F1616"/>
      <c r="G1616" s="85" t="s">
        <v>407</v>
      </c>
      <c r="H1616" s="107">
        <f>SUM(G1613:G1615)</f>
        <v>418949.31330000004</v>
      </c>
      <c r="I1616" s="71"/>
    </row>
    <row r="1617" spans="1:9" s="65" customFormat="1">
      <c r="A1617" s="72" t="s">
        <v>410</v>
      </c>
      <c r="B1617" s="73"/>
      <c r="C1617" s="73"/>
      <c r="D1617" s="73"/>
      <c r="E1617" s="73"/>
      <c r="F1617"/>
      <c r="G1617" s="74"/>
      <c r="H1617" s="108"/>
      <c r="I1617" s="71"/>
    </row>
    <row r="1618" spans="1:9" s="65" customFormat="1">
      <c r="A1618" s="75" t="s">
        <v>391</v>
      </c>
      <c r="B1618" s="76" t="s">
        <v>392</v>
      </c>
      <c r="C1618" s="76" t="s">
        <v>393</v>
      </c>
      <c r="D1618" s="76" t="s">
        <v>394</v>
      </c>
      <c r="E1618" s="76" t="s">
        <v>395</v>
      </c>
      <c r="F1618" s="76" t="s">
        <v>396</v>
      </c>
      <c r="G1618" s="76" t="s">
        <v>397</v>
      </c>
      <c r="H1618" s="108"/>
      <c r="I1618" s="71"/>
    </row>
    <row r="1619" spans="1:9" s="65" customFormat="1">
      <c r="A1619" s="125" t="s">
        <v>478</v>
      </c>
      <c r="B1619" s="126" t="s">
        <v>479</v>
      </c>
      <c r="C1619" s="127" t="s">
        <v>426</v>
      </c>
      <c r="D1619" s="107">
        <f>5627*6+10300+15000</f>
        <v>59062</v>
      </c>
      <c r="E1619" s="79">
        <v>5</v>
      </c>
      <c r="F1619" s="79">
        <v>0</v>
      </c>
      <c r="G1619" s="107">
        <f>(D1619*E1619)+((D1619*E1619)*F1619/100)</f>
        <v>295310</v>
      </c>
      <c r="H1619" s="108"/>
      <c r="I1619" s="149"/>
    </row>
    <row r="1620" spans="1:9" s="65" customFormat="1">
      <c r="A1620" s="90"/>
      <c r="B1620" s="91"/>
      <c r="C1620" s="91"/>
      <c r="D1620" s="91"/>
      <c r="E1620" s="91"/>
      <c r="F1620"/>
      <c r="G1620" s="93" t="s">
        <v>407</v>
      </c>
      <c r="H1620" s="107">
        <f>SUM(G1619:G1619)</f>
        <v>295310</v>
      </c>
      <c r="I1620" s="71"/>
    </row>
    <row r="1621" spans="1:9" s="65" customFormat="1">
      <c r="A1621" s="72" t="s">
        <v>411</v>
      </c>
      <c r="B1621" s="73"/>
      <c r="C1621" s="73"/>
      <c r="D1621" s="73"/>
      <c r="E1621" s="73"/>
      <c r="F1621"/>
      <c r="G1621" s="74"/>
      <c r="H1621" s="108"/>
      <c r="I1621" s="71"/>
    </row>
    <row r="1622" spans="1:9" s="65" customFormat="1">
      <c r="A1622" s="75" t="s">
        <v>391</v>
      </c>
      <c r="B1622" s="76" t="s">
        <v>392</v>
      </c>
      <c r="C1622" s="76" t="s">
        <v>393</v>
      </c>
      <c r="D1622" s="76" t="s">
        <v>394</v>
      </c>
      <c r="E1622" s="76" t="s">
        <v>395</v>
      </c>
      <c r="F1622" s="76" t="s">
        <v>396</v>
      </c>
      <c r="G1622" s="76" t="s">
        <v>397</v>
      </c>
      <c r="H1622" s="108"/>
      <c r="I1622" s="71"/>
    </row>
    <row r="1623" spans="1:9" s="65" customFormat="1">
      <c r="A1623" s="87" t="s">
        <v>409</v>
      </c>
      <c r="B1623" s="114" t="s">
        <v>409</v>
      </c>
      <c r="C1623" s="114" t="s">
        <v>409</v>
      </c>
      <c r="D1623" s="114" t="s">
        <v>409</v>
      </c>
      <c r="E1623" s="114" t="s">
        <v>409</v>
      </c>
      <c r="F1623" s="79" t="s">
        <v>409</v>
      </c>
      <c r="G1623" s="89" t="s">
        <v>409</v>
      </c>
      <c r="H1623" s="108"/>
      <c r="I1623" s="71"/>
    </row>
    <row r="1624" spans="1:9" s="65" customFormat="1">
      <c r="A1624" s="94"/>
      <c r="B1624" s="95"/>
      <c r="C1624" s="95"/>
      <c r="D1624" s="95"/>
      <c r="E1624" s="95"/>
      <c r="F1624"/>
      <c r="G1624" s="93" t="s">
        <v>407</v>
      </c>
      <c r="H1624" s="107">
        <f>SUM(G1622:G1623)</f>
        <v>0</v>
      </c>
      <c r="I1624" s="71"/>
    </row>
    <row r="1625" spans="1:9" s="65" customFormat="1">
      <c r="A1625" s="94"/>
      <c r="B1625" s="95"/>
      <c r="C1625" s="95"/>
      <c r="D1625" s="95"/>
      <c r="E1625" s="95"/>
      <c r="F1625"/>
      <c r="G1625" s="74"/>
      <c r="H1625" s="74"/>
      <c r="I1625" s="71"/>
    </row>
    <row r="1626" spans="1:9" s="65" customFormat="1">
      <c r="A1626" s="96"/>
      <c r="B1626" s="97"/>
      <c r="C1626" s="98"/>
      <c r="D1626" s="98"/>
      <c r="E1626" s="98"/>
      <c r="F1626"/>
      <c r="G1626" s="99" t="s">
        <v>412</v>
      </c>
      <c r="H1626" s="115">
        <f>SUM(H1610:H1624)</f>
        <v>739259.31330000004</v>
      </c>
      <c r="I1626" s="71"/>
    </row>
    <row r="1627" spans="1:9" s="65" customFormat="1">
      <c r="A1627" s="96"/>
      <c r="B1627" s="97"/>
      <c r="C1627" s="98"/>
      <c r="D1627" s="98"/>
      <c r="E1627" s="98"/>
      <c r="F1627" s="101"/>
      <c r="G1627" s="116"/>
      <c r="H1627" s="70"/>
      <c r="I1627" s="71"/>
    </row>
    <row r="1628" spans="1:9" s="65" customFormat="1" ht="15.75" thickBot="1">
      <c r="A1628" s="624" t="s">
        <v>502</v>
      </c>
      <c r="B1628" s="625"/>
      <c r="C1628" s="625"/>
      <c r="D1628" s="625"/>
      <c r="E1628" s="625"/>
      <c r="F1628" s="625"/>
      <c r="G1628" s="626"/>
      <c r="H1628" s="117">
        <f>+ROUND(H1626,0)</f>
        <v>739259</v>
      </c>
      <c r="I1628" s="103"/>
    </row>
    <row r="1629" spans="1:9" s="65" customFormat="1">
      <c r="A1629" s="123"/>
      <c r="B1629" s="95"/>
      <c r="C1629" s="95"/>
      <c r="D1629" s="95"/>
      <c r="E1629" s="95"/>
      <c r="G1629" s="121"/>
      <c r="H1629" s="133"/>
    </row>
    <row r="1630" spans="1:9" s="65" customFormat="1" ht="15.75" thickBot="1">
      <c r="B1630" s="97"/>
      <c r="C1630" s="98"/>
      <c r="D1630" s="98"/>
      <c r="E1630" s="98"/>
      <c r="G1630" s="128"/>
    </row>
    <row r="1631" spans="1:9" s="65" customFormat="1">
      <c r="A1631" s="627"/>
      <c r="B1631" s="634" t="s">
        <v>1147</v>
      </c>
      <c r="C1631" s="635"/>
      <c r="D1631" s="635"/>
      <c r="E1631" s="635"/>
      <c r="F1631" s="635"/>
      <c r="G1631" s="635"/>
      <c r="H1631" s="636"/>
      <c r="I1631" s="66" t="s">
        <v>389</v>
      </c>
    </row>
    <row r="1632" spans="1:9" s="65" customFormat="1">
      <c r="A1632" s="628"/>
      <c r="B1632" s="637"/>
      <c r="C1632" s="638"/>
      <c r="D1632" s="638"/>
      <c r="E1632" s="638"/>
      <c r="F1632" s="638"/>
      <c r="G1632" s="638"/>
      <c r="H1632" s="639"/>
      <c r="I1632" s="67" t="s">
        <v>6</v>
      </c>
    </row>
    <row r="1633" spans="1:9" s="65" customFormat="1">
      <c r="A1633" s="68"/>
      <c r="B1633" s="69"/>
      <c r="C1633" s="69"/>
      <c r="D1633" s="69"/>
      <c r="E1633" s="69"/>
      <c r="F1633" s="70"/>
      <c r="G1633" s="70"/>
      <c r="H1633" s="70"/>
      <c r="I1633" s="71"/>
    </row>
    <row r="1634" spans="1:9" s="65" customFormat="1">
      <c r="A1634" s="72" t="s">
        <v>390</v>
      </c>
      <c r="B1634" s="73"/>
      <c r="C1634" s="73"/>
      <c r="D1634" s="73"/>
      <c r="E1634" s="73"/>
      <c r="F1634" s="74"/>
      <c r="G1634" s="74"/>
      <c r="H1634" s="70"/>
      <c r="I1634" s="71"/>
    </row>
    <row r="1635" spans="1:9" s="65" customFormat="1">
      <c r="A1635" s="75" t="s">
        <v>391</v>
      </c>
      <c r="B1635" s="76" t="s">
        <v>392</v>
      </c>
      <c r="C1635" s="76" t="s">
        <v>393</v>
      </c>
      <c r="D1635" s="76" t="s">
        <v>394</v>
      </c>
      <c r="E1635" s="76" t="s">
        <v>395</v>
      </c>
      <c r="F1635" s="76" t="s">
        <v>396</v>
      </c>
      <c r="G1635" s="76" t="s">
        <v>397</v>
      </c>
      <c r="H1635" s="74"/>
      <c r="I1635" s="71"/>
    </row>
    <row r="1636" spans="1:9" s="65" customFormat="1">
      <c r="A1636" s="77" t="s">
        <v>404</v>
      </c>
      <c r="B1636" s="78" t="s">
        <v>405</v>
      </c>
      <c r="C1636" s="79" t="s">
        <v>406</v>
      </c>
      <c r="D1636" s="107">
        <v>1250</v>
      </c>
      <c r="E1636" s="79">
        <v>10</v>
      </c>
      <c r="F1636" s="79">
        <v>0</v>
      </c>
      <c r="G1636" s="107">
        <f>(D1636*E1636)+((D1636*E1636)*F1636/100)</f>
        <v>12500</v>
      </c>
      <c r="H1636" s="74"/>
      <c r="I1636" s="71"/>
    </row>
    <row r="1637" spans="1:9" s="65" customFormat="1">
      <c r="A1637" s="82"/>
      <c r="B1637" s="83"/>
      <c r="C1637" s="84"/>
      <c r="D1637" s="84"/>
      <c r="E1637" s="84"/>
      <c r="F1637"/>
      <c r="G1637" s="93" t="s">
        <v>407</v>
      </c>
      <c r="H1637" s="107">
        <f>SUM(G1636:G1636)</f>
        <v>12500</v>
      </c>
      <c r="I1637" s="71"/>
    </row>
    <row r="1638" spans="1:9" s="65" customFormat="1">
      <c r="A1638" s="72" t="s">
        <v>408</v>
      </c>
      <c r="B1638" s="73"/>
      <c r="C1638" s="73"/>
      <c r="D1638" s="73"/>
      <c r="E1638" s="73"/>
      <c r="F1638"/>
      <c r="G1638" s="74"/>
      <c r="H1638" s="108"/>
      <c r="I1638" s="71"/>
    </row>
    <row r="1639" spans="1:9" s="65" customFormat="1">
      <c r="A1639" s="75" t="s">
        <v>391</v>
      </c>
      <c r="B1639" s="76" t="s">
        <v>392</v>
      </c>
      <c r="C1639" s="76" t="s">
        <v>393</v>
      </c>
      <c r="D1639" s="76" t="s">
        <v>394</v>
      </c>
      <c r="E1639" s="76" t="s">
        <v>395</v>
      </c>
      <c r="F1639" s="76" t="s">
        <v>396</v>
      </c>
      <c r="G1639" s="76" t="s">
        <v>397</v>
      </c>
      <c r="H1639" s="108"/>
      <c r="I1639" s="71"/>
    </row>
    <row r="1640" spans="1:9" s="65" customFormat="1">
      <c r="A1640" s="139">
        <v>5000</v>
      </c>
      <c r="B1640" s="78" t="s">
        <v>1148</v>
      </c>
      <c r="C1640" s="127" t="s">
        <v>6</v>
      </c>
      <c r="D1640" s="107">
        <v>7000</v>
      </c>
      <c r="E1640" s="79">
        <v>1</v>
      </c>
      <c r="F1640" s="79">
        <v>0</v>
      </c>
      <c r="G1640" s="107">
        <f>(D1640*E1640)+((D1640*E1640)*F1640/100)</f>
        <v>7000</v>
      </c>
      <c r="H1640" s="108"/>
      <c r="I1640" s="71"/>
    </row>
    <row r="1641" spans="1:9" s="65" customFormat="1">
      <c r="A1641" s="90"/>
      <c r="B1641" s="91"/>
      <c r="C1641" s="91"/>
      <c r="D1641" s="91"/>
      <c r="E1641" s="91"/>
      <c r="F1641"/>
      <c r="G1641" s="85" t="s">
        <v>407</v>
      </c>
      <c r="H1641" s="107">
        <f>SUM(G1640:G1640)</f>
        <v>7000</v>
      </c>
      <c r="I1641" s="71"/>
    </row>
    <row r="1642" spans="1:9" s="65" customFormat="1">
      <c r="A1642" s="72" t="s">
        <v>410</v>
      </c>
      <c r="B1642" s="73"/>
      <c r="C1642" s="73"/>
      <c r="D1642" s="73"/>
      <c r="E1642" s="73"/>
      <c r="F1642"/>
      <c r="G1642" s="74"/>
      <c r="H1642" s="108"/>
      <c r="I1642" s="71"/>
    </row>
    <row r="1643" spans="1:9" s="65" customFormat="1">
      <c r="A1643" s="75" t="s">
        <v>391</v>
      </c>
      <c r="B1643" s="76" t="s">
        <v>392</v>
      </c>
      <c r="C1643" s="76" t="s">
        <v>393</v>
      </c>
      <c r="D1643" s="76" t="s">
        <v>394</v>
      </c>
      <c r="E1643" s="76" t="s">
        <v>395</v>
      </c>
      <c r="F1643" s="76" t="s">
        <v>396</v>
      </c>
      <c r="G1643" s="76" t="s">
        <v>397</v>
      </c>
      <c r="H1643" s="108"/>
      <c r="I1643" s="71"/>
    </row>
    <row r="1644" spans="1:9" s="65" customFormat="1">
      <c r="A1644" s="125" t="s">
        <v>478</v>
      </c>
      <c r="B1644" s="126" t="s">
        <v>1150</v>
      </c>
      <c r="C1644" s="127" t="s">
        <v>426</v>
      </c>
      <c r="D1644" s="107">
        <f>5627*6+10300+15000</f>
        <v>59062</v>
      </c>
      <c r="E1644" s="79">
        <v>0.1</v>
      </c>
      <c r="F1644" s="79">
        <v>0</v>
      </c>
      <c r="G1644" s="107">
        <f>(D1644*E1644)+((D1644*E1644)*F1644/100)</f>
        <v>5906.2000000000007</v>
      </c>
      <c r="H1644" s="108"/>
      <c r="I1644" s="149"/>
    </row>
    <row r="1645" spans="1:9" s="65" customFormat="1">
      <c r="A1645" s="90"/>
      <c r="B1645" s="91"/>
      <c r="C1645" s="91"/>
      <c r="D1645" s="91"/>
      <c r="E1645" s="91"/>
      <c r="F1645"/>
      <c r="G1645" s="93" t="s">
        <v>407</v>
      </c>
      <c r="H1645" s="107">
        <f>SUM(G1644:G1644)</f>
        <v>5906.2000000000007</v>
      </c>
      <c r="I1645" s="71"/>
    </row>
    <row r="1646" spans="1:9" s="65" customFormat="1">
      <c r="A1646" s="72" t="s">
        <v>411</v>
      </c>
      <c r="B1646" s="73"/>
      <c r="C1646" s="73"/>
      <c r="D1646" s="73"/>
      <c r="E1646" s="73"/>
      <c r="F1646"/>
      <c r="G1646" s="74"/>
      <c r="H1646" s="108"/>
      <c r="I1646" s="71"/>
    </row>
    <row r="1647" spans="1:9" s="65" customFormat="1">
      <c r="A1647" s="75" t="s">
        <v>391</v>
      </c>
      <c r="B1647" s="76" t="s">
        <v>392</v>
      </c>
      <c r="C1647" s="76" t="s">
        <v>393</v>
      </c>
      <c r="D1647" s="76" t="s">
        <v>394</v>
      </c>
      <c r="E1647" s="76" t="s">
        <v>395</v>
      </c>
      <c r="F1647" s="76" t="s">
        <v>396</v>
      </c>
      <c r="G1647" s="76" t="s">
        <v>397</v>
      </c>
      <c r="H1647" s="108"/>
      <c r="I1647" s="71"/>
    </row>
    <row r="1648" spans="1:9" s="65" customFormat="1">
      <c r="A1648" s="87" t="s">
        <v>409</v>
      </c>
      <c r="B1648" s="114" t="s">
        <v>409</v>
      </c>
      <c r="C1648" s="114" t="s">
        <v>409</v>
      </c>
      <c r="D1648" s="114" t="s">
        <v>409</v>
      </c>
      <c r="E1648" s="114" t="s">
        <v>409</v>
      </c>
      <c r="F1648" s="79" t="s">
        <v>409</v>
      </c>
      <c r="G1648" s="89" t="s">
        <v>409</v>
      </c>
      <c r="H1648" s="108"/>
      <c r="I1648" s="71"/>
    </row>
    <row r="1649" spans="1:9" s="65" customFormat="1">
      <c r="A1649" s="94"/>
      <c r="B1649" s="95"/>
      <c r="C1649" s="95"/>
      <c r="D1649" s="95"/>
      <c r="E1649" s="95"/>
      <c r="F1649"/>
      <c r="G1649" s="93" t="s">
        <v>407</v>
      </c>
      <c r="H1649" s="107">
        <f>SUM(G1647:G1648)</f>
        <v>0</v>
      </c>
      <c r="I1649" s="71"/>
    </row>
    <row r="1650" spans="1:9" s="65" customFormat="1">
      <c r="A1650" s="94"/>
      <c r="B1650" s="95"/>
      <c r="C1650" s="95"/>
      <c r="D1650" s="95"/>
      <c r="E1650" s="95"/>
      <c r="F1650"/>
      <c r="G1650" s="74"/>
      <c r="H1650" s="74"/>
      <c r="I1650" s="71"/>
    </row>
    <row r="1651" spans="1:9" s="65" customFormat="1">
      <c r="A1651" s="96"/>
      <c r="B1651" s="97"/>
      <c r="C1651" s="98"/>
      <c r="D1651" s="98"/>
      <c r="E1651" s="98"/>
      <c r="F1651"/>
      <c r="G1651" s="99" t="s">
        <v>412</v>
      </c>
      <c r="H1651" s="115">
        <f>SUM(H1637:H1649)</f>
        <v>25406.2</v>
      </c>
      <c r="I1651" s="71"/>
    </row>
    <row r="1652" spans="1:9" s="65" customFormat="1">
      <c r="A1652" s="96"/>
      <c r="B1652" s="97"/>
      <c r="C1652" s="98"/>
      <c r="D1652" s="98"/>
      <c r="E1652" s="98"/>
      <c r="F1652" s="101"/>
      <c r="G1652" s="116"/>
      <c r="H1652" s="70"/>
      <c r="I1652" s="71"/>
    </row>
    <row r="1653" spans="1:9" s="65" customFormat="1" ht="15.75" thickBot="1">
      <c r="A1653" s="624" t="s">
        <v>1149</v>
      </c>
      <c r="B1653" s="625"/>
      <c r="C1653" s="625"/>
      <c r="D1653" s="625"/>
      <c r="E1653" s="625"/>
      <c r="F1653" s="625"/>
      <c r="G1653" s="626"/>
      <c r="H1653" s="117">
        <f>+ROUND(H1651,0)</f>
        <v>25406</v>
      </c>
      <c r="I1653" s="103"/>
    </row>
    <row r="1654" spans="1:9" s="65" customFormat="1">
      <c r="A1654" s="633"/>
      <c r="B1654" s="633"/>
      <c r="C1654" s="633"/>
      <c r="D1654" s="633"/>
      <c r="E1654" s="633"/>
      <c r="F1654" s="633"/>
      <c r="G1654" s="633"/>
    </row>
    <row r="1655" spans="1:9" s="65" customFormat="1" ht="15.75" thickBot="1">
      <c r="H1655" s="138"/>
      <c r="I1655" s="151"/>
    </row>
    <row r="1656" spans="1:9" s="65" customFormat="1">
      <c r="A1656" s="627"/>
      <c r="B1656" s="634" t="s">
        <v>1151</v>
      </c>
      <c r="C1656" s="635"/>
      <c r="D1656" s="635"/>
      <c r="E1656" s="635"/>
      <c r="F1656" s="635"/>
      <c r="G1656" s="635"/>
      <c r="H1656" s="636"/>
      <c r="I1656" s="66" t="s">
        <v>389</v>
      </c>
    </row>
    <row r="1657" spans="1:9" s="65" customFormat="1">
      <c r="A1657" s="628"/>
      <c r="B1657" s="637"/>
      <c r="C1657" s="638"/>
      <c r="D1657" s="638"/>
      <c r="E1657" s="638"/>
      <c r="F1657" s="638"/>
      <c r="G1657" s="638"/>
      <c r="H1657" s="639"/>
      <c r="I1657" s="67" t="s">
        <v>7</v>
      </c>
    </row>
    <row r="1658" spans="1:9" s="65" customFormat="1">
      <c r="A1658" s="68"/>
      <c r="B1658" s="69"/>
      <c r="C1658" s="69"/>
      <c r="D1658" s="69"/>
      <c r="E1658" s="69"/>
      <c r="F1658" s="70"/>
      <c r="G1658" s="70"/>
      <c r="H1658" s="70"/>
      <c r="I1658" s="71"/>
    </row>
    <row r="1659" spans="1:9" s="65" customFormat="1">
      <c r="A1659" s="72" t="s">
        <v>390</v>
      </c>
      <c r="B1659" s="73"/>
      <c r="C1659" s="73"/>
      <c r="D1659" s="73"/>
      <c r="E1659" s="73"/>
      <c r="F1659" s="74"/>
      <c r="G1659" s="74"/>
      <c r="H1659" s="70"/>
      <c r="I1659" s="71"/>
    </row>
    <row r="1660" spans="1:9" s="65" customFormat="1">
      <c r="A1660" s="75" t="s">
        <v>391</v>
      </c>
      <c r="B1660" s="76" t="s">
        <v>392</v>
      </c>
      <c r="C1660" s="76" t="s">
        <v>393</v>
      </c>
      <c r="D1660" s="76" t="s">
        <v>394</v>
      </c>
      <c r="E1660" s="76" t="s">
        <v>395</v>
      </c>
      <c r="F1660" s="76" t="s">
        <v>396</v>
      </c>
      <c r="G1660" s="76" t="s">
        <v>397</v>
      </c>
      <c r="H1660" s="74"/>
      <c r="I1660" s="71"/>
    </row>
    <row r="1661" spans="1:9" s="65" customFormat="1">
      <c r="A1661" s="77" t="s">
        <v>404</v>
      </c>
      <c r="B1661" s="78" t="s">
        <v>405</v>
      </c>
      <c r="C1661" s="79" t="s">
        <v>406</v>
      </c>
      <c r="D1661" s="107">
        <v>1250</v>
      </c>
      <c r="E1661" s="79">
        <v>2</v>
      </c>
      <c r="F1661" s="79">
        <v>0</v>
      </c>
      <c r="G1661" s="107">
        <f>(D1661*E1661)+((D1661*E1661)*F1661/100)</f>
        <v>2500</v>
      </c>
      <c r="H1661" s="74"/>
      <c r="I1661" s="71"/>
    </row>
    <row r="1662" spans="1:9" s="65" customFormat="1">
      <c r="A1662" s="82"/>
      <c r="B1662" s="83"/>
      <c r="C1662" s="84"/>
      <c r="D1662" s="84"/>
      <c r="E1662" s="84"/>
      <c r="F1662"/>
      <c r="G1662" s="93" t="s">
        <v>407</v>
      </c>
      <c r="H1662" s="107">
        <f>SUM(G1661:G1661)</f>
        <v>2500</v>
      </c>
      <c r="I1662" s="71"/>
    </row>
    <row r="1663" spans="1:9" s="65" customFormat="1">
      <c r="A1663" s="72" t="s">
        <v>408</v>
      </c>
      <c r="B1663" s="73"/>
      <c r="C1663" s="73"/>
      <c r="D1663" s="73"/>
      <c r="E1663" s="73"/>
      <c r="F1663"/>
      <c r="G1663" s="74"/>
      <c r="H1663" s="108"/>
      <c r="I1663" s="71"/>
    </row>
    <row r="1664" spans="1:9" s="65" customFormat="1">
      <c r="A1664" s="75" t="s">
        <v>391</v>
      </c>
      <c r="B1664" s="76" t="s">
        <v>392</v>
      </c>
      <c r="C1664" s="76" t="s">
        <v>393</v>
      </c>
      <c r="D1664" s="76" t="s">
        <v>394</v>
      </c>
      <c r="E1664" s="76" t="s">
        <v>395</v>
      </c>
      <c r="F1664" s="76" t="s">
        <v>396</v>
      </c>
      <c r="G1664" s="76" t="s">
        <v>397</v>
      </c>
      <c r="H1664" s="108"/>
      <c r="I1664" s="71"/>
    </row>
    <row r="1665" spans="1:9" s="65" customFormat="1">
      <c r="A1665" s="139">
        <v>5000</v>
      </c>
      <c r="B1665" s="78" t="s">
        <v>1152</v>
      </c>
      <c r="C1665" s="127" t="s">
        <v>7</v>
      </c>
      <c r="D1665" s="107">
        <f>26100*1.2</f>
        <v>31320</v>
      </c>
      <c r="E1665" s="79">
        <v>1</v>
      </c>
      <c r="F1665" s="79">
        <v>0</v>
      </c>
      <c r="G1665" s="107">
        <f>(D1665*E1665)+((D1665*E1665)*F1665/100)</f>
        <v>31320</v>
      </c>
      <c r="H1665" s="108"/>
      <c r="I1665" s="71"/>
    </row>
    <row r="1666" spans="1:9" s="65" customFormat="1">
      <c r="A1666" s="90"/>
      <c r="B1666" s="91"/>
      <c r="C1666" s="91"/>
      <c r="D1666" s="91"/>
      <c r="E1666" s="91"/>
      <c r="F1666"/>
      <c r="G1666" s="85" t="s">
        <v>407</v>
      </c>
      <c r="H1666" s="107">
        <f>SUM(G1665:G1665)</f>
        <v>31320</v>
      </c>
      <c r="I1666" s="71"/>
    </row>
    <row r="1667" spans="1:9" s="65" customFormat="1">
      <c r="A1667" s="72" t="s">
        <v>410</v>
      </c>
      <c r="B1667" s="73"/>
      <c r="C1667" s="73"/>
      <c r="D1667" s="73"/>
      <c r="E1667" s="73"/>
      <c r="F1667"/>
      <c r="G1667" s="74"/>
      <c r="H1667" s="108"/>
      <c r="I1667" s="71"/>
    </row>
    <row r="1668" spans="1:9" s="65" customFormat="1">
      <c r="A1668" s="75" t="s">
        <v>391</v>
      </c>
      <c r="B1668" s="76" t="s">
        <v>392</v>
      </c>
      <c r="C1668" s="76" t="s">
        <v>393</v>
      </c>
      <c r="D1668" s="76" t="s">
        <v>394</v>
      </c>
      <c r="E1668" s="76" t="s">
        <v>395</v>
      </c>
      <c r="F1668" s="76" t="s">
        <v>396</v>
      </c>
      <c r="G1668" s="76" t="s">
        <v>397</v>
      </c>
      <c r="H1668" s="108"/>
      <c r="I1668" s="71"/>
    </row>
    <row r="1669" spans="1:9" s="65" customFormat="1">
      <c r="A1669" s="125" t="s">
        <v>478</v>
      </c>
      <c r="B1669" s="126" t="s">
        <v>1150</v>
      </c>
      <c r="C1669" s="127" t="s">
        <v>426</v>
      </c>
      <c r="D1669" s="107">
        <f>5627*6+10300+15000</f>
        <v>59062</v>
      </c>
      <c r="E1669" s="79">
        <v>0.08</v>
      </c>
      <c r="F1669" s="79">
        <v>0</v>
      </c>
      <c r="G1669" s="107">
        <f>(D1669*E1669)+((D1669*E1669)*F1669/100)</f>
        <v>4724.96</v>
      </c>
      <c r="H1669" s="108"/>
      <c r="I1669" s="149"/>
    </row>
    <row r="1670" spans="1:9" s="65" customFormat="1">
      <c r="A1670" s="90"/>
      <c r="B1670" s="91"/>
      <c r="C1670" s="91"/>
      <c r="D1670" s="91"/>
      <c r="E1670" s="91"/>
      <c r="F1670"/>
      <c r="G1670" s="93" t="s">
        <v>407</v>
      </c>
      <c r="H1670" s="107">
        <f>SUM(G1669:G1669)</f>
        <v>4724.96</v>
      </c>
      <c r="I1670" s="71"/>
    </row>
    <row r="1671" spans="1:9" s="65" customFormat="1">
      <c r="A1671" s="72" t="s">
        <v>411</v>
      </c>
      <c r="B1671" s="73"/>
      <c r="C1671" s="73"/>
      <c r="D1671" s="73"/>
      <c r="E1671" s="73"/>
      <c r="F1671"/>
      <c r="G1671" s="74"/>
      <c r="H1671" s="108"/>
      <c r="I1671" s="71"/>
    </row>
    <row r="1672" spans="1:9" s="65" customFormat="1">
      <c r="A1672" s="75" t="s">
        <v>391</v>
      </c>
      <c r="B1672" s="76" t="s">
        <v>392</v>
      </c>
      <c r="C1672" s="76" t="s">
        <v>393</v>
      </c>
      <c r="D1672" s="76" t="s">
        <v>394</v>
      </c>
      <c r="E1672" s="76" t="s">
        <v>395</v>
      </c>
      <c r="F1672" s="76" t="s">
        <v>396</v>
      </c>
      <c r="G1672" s="76" t="s">
        <v>397</v>
      </c>
      <c r="H1672" s="108"/>
      <c r="I1672" s="71"/>
    </row>
    <row r="1673" spans="1:9" s="65" customFormat="1">
      <c r="A1673" s="87" t="s">
        <v>409</v>
      </c>
      <c r="B1673" s="114" t="s">
        <v>409</v>
      </c>
      <c r="C1673" s="114" t="s">
        <v>409</v>
      </c>
      <c r="D1673" s="114" t="s">
        <v>409</v>
      </c>
      <c r="E1673" s="114" t="s">
        <v>409</v>
      </c>
      <c r="F1673" s="79" t="s">
        <v>409</v>
      </c>
      <c r="G1673" s="89" t="s">
        <v>409</v>
      </c>
      <c r="H1673" s="108"/>
      <c r="I1673" s="71"/>
    </row>
    <row r="1674" spans="1:9" s="65" customFormat="1">
      <c r="A1674" s="94"/>
      <c r="B1674" s="95"/>
      <c r="C1674" s="95"/>
      <c r="D1674" s="95"/>
      <c r="E1674" s="95"/>
      <c r="F1674"/>
      <c r="G1674" s="93" t="s">
        <v>407</v>
      </c>
      <c r="H1674" s="107">
        <f>SUM(G1672:G1673)</f>
        <v>0</v>
      </c>
      <c r="I1674" s="71"/>
    </row>
    <row r="1675" spans="1:9" s="65" customFormat="1">
      <c r="A1675" s="94"/>
      <c r="B1675" s="95"/>
      <c r="C1675" s="95"/>
      <c r="D1675" s="95"/>
      <c r="E1675" s="95"/>
      <c r="F1675"/>
      <c r="G1675" s="74"/>
      <c r="H1675" s="74"/>
      <c r="I1675" s="71"/>
    </row>
    <row r="1676" spans="1:9" s="65" customFormat="1">
      <c r="A1676" s="96"/>
      <c r="B1676" s="97"/>
      <c r="C1676" s="98"/>
      <c r="D1676" s="98"/>
      <c r="E1676" s="98"/>
      <c r="F1676"/>
      <c r="G1676" s="99" t="s">
        <v>412</v>
      </c>
      <c r="H1676" s="115">
        <f>SUM(H1662:H1674)</f>
        <v>38544.959999999999</v>
      </c>
      <c r="I1676" s="71"/>
    </row>
    <row r="1677" spans="1:9" s="65" customFormat="1">
      <c r="A1677" s="96"/>
      <c r="B1677" s="97"/>
      <c r="C1677" s="98"/>
      <c r="D1677" s="98"/>
      <c r="E1677" s="98"/>
      <c r="F1677" s="101"/>
      <c r="G1677" s="116"/>
      <c r="H1677" s="70"/>
      <c r="I1677" s="71"/>
    </row>
    <row r="1678" spans="1:9" s="65" customFormat="1" ht="15.75" thickBot="1">
      <c r="A1678" s="624" t="s">
        <v>502</v>
      </c>
      <c r="B1678" s="625"/>
      <c r="C1678" s="625"/>
      <c r="D1678" s="625"/>
      <c r="E1678" s="625"/>
      <c r="F1678" s="625"/>
      <c r="G1678" s="626"/>
      <c r="H1678" s="117">
        <f>+ROUND(H1676,0)</f>
        <v>38545</v>
      </c>
      <c r="I1678" s="103"/>
    </row>
    <row r="1679" spans="1:9" s="65" customFormat="1">
      <c r="A1679" s="118"/>
      <c r="B1679" s="118"/>
      <c r="C1679" s="118"/>
      <c r="D1679" s="118"/>
      <c r="E1679" s="118"/>
      <c r="F1679" s="118"/>
      <c r="G1679" s="118"/>
      <c r="H1679" s="138"/>
      <c r="I1679" s="151"/>
    </row>
    <row r="1680" spans="1:9" s="65" customFormat="1">
      <c r="A1680" s="645"/>
      <c r="B1680" s="138"/>
      <c r="C1680" s="138"/>
      <c r="D1680" s="138"/>
      <c r="E1680" s="138"/>
      <c r="F1680" s="138"/>
      <c r="G1680" s="138"/>
      <c r="H1680" s="138"/>
      <c r="I1680" s="152"/>
    </row>
    <row r="1681" spans="1:9" s="65" customFormat="1" ht="15.75" thickBot="1">
      <c r="A1681" s="645"/>
      <c r="B1681" s="138"/>
      <c r="C1681" s="138"/>
      <c r="D1681" s="138"/>
      <c r="E1681" s="138"/>
      <c r="F1681" s="138"/>
      <c r="G1681" s="138"/>
    </row>
    <row r="1682" spans="1:9" s="65" customFormat="1">
      <c r="A1682" s="627"/>
      <c r="B1682" s="629" t="s">
        <v>561</v>
      </c>
      <c r="C1682" s="630"/>
      <c r="D1682" s="630"/>
      <c r="E1682" s="630"/>
      <c r="F1682" s="630"/>
      <c r="G1682" s="630"/>
      <c r="H1682" s="630"/>
      <c r="I1682" s="66" t="s">
        <v>389</v>
      </c>
    </row>
    <row r="1683" spans="1:9" s="65" customFormat="1">
      <c r="A1683" s="628"/>
      <c r="B1683" s="631"/>
      <c r="C1683" s="632"/>
      <c r="D1683" s="632"/>
      <c r="E1683" s="632"/>
      <c r="F1683" s="632"/>
      <c r="G1683" s="632"/>
      <c r="H1683" s="632"/>
      <c r="I1683" s="67" t="s">
        <v>7</v>
      </c>
    </row>
    <row r="1684" spans="1:9" s="65" customFormat="1">
      <c r="A1684" s="68"/>
      <c r="B1684" s="69" t="s">
        <v>533</v>
      </c>
      <c r="C1684" s="69"/>
      <c r="D1684" s="69"/>
      <c r="E1684" s="69"/>
      <c r="F1684" s="70"/>
      <c r="G1684" s="70"/>
      <c r="H1684" s="70"/>
      <c r="I1684" s="71"/>
    </row>
    <row r="1685" spans="1:9" s="65" customFormat="1">
      <c r="A1685" s="72" t="s">
        <v>390</v>
      </c>
      <c r="B1685" s="73"/>
      <c r="C1685" s="73"/>
      <c r="D1685" s="73"/>
      <c r="E1685" s="73"/>
      <c r="F1685" s="74"/>
      <c r="G1685" s="74"/>
      <c r="H1685" s="70"/>
      <c r="I1685" s="71"/>
    </row>
    <row r="1686" spans="1:9" s="65" customFormat="1">
      <c r="A1686" s="75" t="s">
        <v>391</v>
      </c>
      <c r="B1686" s="76" t="s">
        <v>392</v>
      </c>
      <c r="C1686" s="76" t="s">
        <v>393</v>
      </c>
      <c r="D1686" s="76" t="s">
        <v>394</v>
      </c>
      <c r="E1686" s="76" t="s">
        <v>395</v>
      </c>
      <c r="F1686" s="76" t="s">
        <v>396</v>
      </c>
      <c r="G1686" s="76" t="s">
        <v>397</v>
      </c>
      <c r="H1686" s="74"/>
      <c r="I1686" s="71"/>
    </row>
    <row r="1687" spans="1:9" s="65" customFormat="1">
      <c r="A1687" s="77" t="s">
        <v>404</v>
      </c>
      <c r="B1687" s="78" t="s">
        <v>405</v>
      </c>
      <c r="C1687" s="79" t="s">
        <v>406</v>
      </c>
      <c r="D1687" s="107">
        <v>1250</v>
      </c>
      <c r="E1687" s="79">
        <v>6</v>
      </c>
      <c r="F1687" s="79">
        <v>0</v>
      </c>
      <c r="G1687" s="107">
        <f>(D1687*E1687)+((D1687*E1687)*F1687/100)</f>
        <v>7500</v>
      </c>
      <c r="H1687" s="74"/>
      <c r="I1687" s="71"/>
    </row>
    <row r="1688" spans="1:9" s="65" customFormat="1">
      <c r="A1688" s="79" t="s">
        <v>467</v>
      </c>
      <c r="B1688" s="78" t="s">
        <v>468</v>
      </c>
      <c r="C1688" s="79" t="s">
        <v>437</v>
      </c>
      <c r="D1688" s="107">
        <v>35000</v>
      </c>
      <c r="E1688" s="79">
        <v>0.15</v>
      </c>
      <c r="F1688" s="79">
        <v>0</v>
      </c>
      <c r="G1688" s="107">
        <f>(D1688*E1688)+((D1688*E1688)*F1688/100)</f>
        <v>5250</v>
      </c>
      <c r="H1688" s="74"/>
      <c r="I1688" s="71"/>
    </row>
    <row r="1689" spans="1:9" s="65" customFormat="1">
      <c r="A1689" s="82"/>
      <c r="B1689" s="83"/>
      <c r="C1689" s="84"/>
      <c r="D1689" s="84"/>
      <c r="E1689" s="84"/>
      <c r="F1689"/>
      <c r="G1689" s="93" t="s">
        <v>407</v>
      </c>
      <c r="H1689" s="107">
        <f>SUM(G1687:G1688)</f>
        <v>12750</v>
      </c>
      <c r="I1689" s="71"/>
    </row>
    <row r="1690" spans="1:9" s="65" customFormat="1">
      <c r="A1690" s="72" t="s">
        <v>408</v>
      </c>
      <c r="B1690" s="73"/>
      <c r="C1690" s="73"/>
      <c r="D1690" s="73"/>
      <c r="E1690" s="73"/>
      <c r="F1690"/>
      <c r="G1690" s="74"/>
      <c r="H1690" s="108"/>
      <c r="I1690" s="71"/>
    </row>
    <row r="1691" spans="1:9" s="65" customFormat="1">
      <c r="A1691" s="75" t="s">
        <v>391</v>
      </c>
      <c r="B1691" s="76" t="s">
        <v>392</v>
      </c>
      <c r="C1691" s="76" t="s">
        <v>393</v>
      </c>
      <c r="D1691" s="76" t="s">
        <v>394</v>
      </c>
      <c r="E1691" s="76" t="s">
        <v>395</v>
      </c>
      <c r="F1691" s="76" t="s">
        <v>396</v>
      </c>
      <c r="G1691" s="76" t="s">
        <v>397</v>
      </c>
      <c r="H1691" s="108"/>
      <c r="I1691" s="71"/>
    </row>
    <row r="1692" spans="1:9" s="65" customFormat="1" ht="16.5">
      <c r="A1692" s="135">
        <v>3890</v>
      </c>
      <c r="B1692" s="204" t="s">
        <v>1133</v>
      </c>
      <c r="C1692" s="127" t="s">
        <v>406</v>
      </c>
      <c r="D1692" s="206">
        <v>150000</v>
      </c>
      <c r="E1692" s="79">
        <v>1.2</v>
      </c>
      <c r="F1692" s="79">
        <v>0</v>
      </c>
      <c r="G1692" s="206">
        <f t="shared" ref="G1692:G1696" si="7">(D1692*E1692)+((D1692*E1692)*F1692/100)</f>
        <v>180000</v>
      </c>
      <c r="H1692" s="108"/>
      <c r="I1692" s="71"/>
    </row>
    <row r="1693" spans="1:9" s="65" customFormat="1" ht="16.5">
      <c r="A1693" s="135">
        <v>3999</v>
      </c>
      <c r="B1693" s="204" t="s">
        <v>557</v>
      </c>
      <c r="C1693" s="127" t="s">
        <v>423</v>
      </c>
      <c r="D1693" s="206">
        <v>3201</v>
      </c>
      <c r="E1693" s="79">
        <v>55</v>
      </c>
      <c r="F1693" s="79">
        <v>0</v>
      </c>
      <c r="G1693" s="206">
        <f t="shared" si="7"/>
        <v>176055</v>
      </c>
      <c r="H1693" s="108"/>
      <c r="I1693" s="71"/>
    </row>
    <row r="1694" spans="1:9" s="65" customFormat="1" ht="16.5">
      <c r="A1694" s="135">
        <v>4600</v>
      </c>
      <c r="B1694" s="204" t="s">
        <v>558</v>
      </c>
      <c r="C1694" s="127" t="s">
        <v>423</v>
      </c>
      <c r="D1694" s="206">
        <v>3201</v>
      </c>
      <c r="E1694" s="79">
        <v>4</v>
      </c>
      <c r="F1694" s="79">
        <v>0</v>
      </c>
      <c r="G1694" s="206">
        <f t="shared" si="7"/>
        <v>12804</v>
      </c>
      <c r="H1694" s="108"/>
      <c r="I1694" s="71"/>
    </row>
    <row r="1695" spans="1:9" s="65" customFormat="1" ht="16.5">
      <c r="A1695" s="135" t="s">
        <v>459</v>
      </c>
      <c r="B1695" s="204" t="s">
        <v>550</v>
      </c>
      <c r="C1695" s="127" t="s">
        <v>454</v>
      </c>
      <c r="D1695" s="206">
        <f>+H247</f>
        <v>281819</v>
      </c>
      <c r="E1695" s="79">
        <v>2.8</v>
      </c>
      <c r="F1695" s="79">
        <v>0</v>
      </c>
      <c r="G1695" s="206">
        <f t="shared" si="7"/>
        <v>789093.2</v>
      </c>
      <c r="H1695" s="108"/>
      <c r="I1695" s="71"/>
    </row>
    <row r="1696" spans="1:9" s="65" customFormat="1" ht="16.5">
      <c r="A1696" s="135" t="s">
        <v>559</v>
      </c>
      <c r="B1696" s="204" t="s">
        <v>560</v>
      </c>
      <c r="C1696" s="127" t="s">
        <v>454</v>
      </c>
      <c r="D1696" s="206">
        <v>220000</v>
      </c>
      <c r="E1696" s="79">
        <v>0.01</v>
      </c>
      <c r="F1696" s="79">
        <v>0</v>
      </c>
      <c r="G1696" s="206">
        <f t="shared" si="7"/>
        <v>2200</v>
      </c>
      <c r="H1696" s="108"/>
      <c r="I1696" s="71"/>
    </row>
    <row r="1697" spans="1:9" s="65" customFormat="1">
      <c r="A1697" s="90"/>
      <c r="B1697" s="91"/>
      <c r="C1697" s="91"/>
      <c r="D1697" s="91"/>
      <c r="E1697" s="91"/>
      <c r="F1697"/>
      <c r="G1697" s="85" t="s">
        <v>407</v>
      </c>
      <c r="H1697" s="107">
        <f>SUM(G1692:G1696)</f>
        <v>1160152.2</v>
      </c>
      <c r="I1697" s="71"/>
    </row>
    <row r="1698" spans="1:9" s="65" customFormat="1">
      <c r="A1698" s="72" t="s">
        <v>410</v>
      </c>
      <c r="B1698" s="73"/>
      <c r="C1698" s="73"/>
      <c r="D1698" s="73"/>
      <c r="E1698" s="73"/>
      <c r="F1698"/>
      <c r="G1698" s="74"/>
      <c r="H1698" s="108"/>
      <c r="I1698" s="71"/>
    </row>
    <row r="1699" spans="1:9" s="65" customFormat="1">
      <c r="A1699" s="75" t="s">
        <v>391</v>
      </c>
      <c r="B1699" s="76" t="s">
        <v>392</v>
      </c>
      <c r="C1699" s="76" t="s">
        <v>393</v>
      </c>
      <c r="D1699" s="76" t="s">
        <v>394</v>
      </c>
      <c r="E1699" s="76" t="s">
        <v>395</v>
      </c>
      <c r="F1699" s="76" t="s">
        <v>396</v>
      </c>
      <c r="G1699" s="76" t="s">
        <v>397</v>
      </c>
      <c r="H1699" s="108"/>
      <c r="I1699" s="71"/>
    </row>
    <row r="1700" spans="1:9" s="65" customFormat="1">
      <c r="A1700" s="125" t="s">
        <v>478</v>
      </c>
      <c r="B1700" s="126" t="s">
        <v>479</v>
      </c>
      <c r="C1700" s="127" t="s">
        <v>426</v>
      </c>
      <c r="D1700" s="107">
        <f>5627*6+10300+15000</f>
        <v>59062</v>
      </c>
      <c r="E1700" s="79">
        <v>6</v>
      </c>
      <c r="F1700" s="79">
        <v>0</v>
      </c>
      <c r="G1700" s="107">
        <f>(D1700*E1700)+((D1700*E1700)*F1700/100)</f>
        <v>354372</v>
      </c>
      <c r="H1700" s="108"/>
      <c r="I1700" s="71"/>
    </row>
    <row r="1701" spans="1:9" s="65" customFormat="1">
      <c r="A1701" s="90"/>
      <c r="B1701" s="91"/>
      <c r="C1701" s="91"/>
      <c r="D1701" s="91"/>
      <c r="E1701" s="91"/>
      <c r="F1701"/>
      <c r="G1701" s="93" t="s">
        <v>407</v>
      </c>
      <c r="H1701" s="107">
        <f>SUM(G1700:G1700)</f>
        <v>354372</v>
      </c>
      <c r="I1701" s="71"/>
    </row>
    <row r="1702" spans="1:9" s="65" customFormat="1">
      <c r="A1702" s="72" t="s">
        <v>411</v>
      </c>
      <c r="B1702" s="73"/>
      <c r="C1702" s="73"/>
      <c r="D1702" s="73"/>
      <c r="E1702" s="73"/>
      <c r="F1702"/>
      <c r="G1702" s="74"/>
      <c r="H1702" s="108"/>
      <c r="I1702" s="71"/>
    </row>
    <row r="1703" spans="1:9" s="65" customFormat="1">
      <c r="A1703" s="75" t="s">
        <v>391</v>
      </c>
      <c r="B1703" s="76" t="s">
        <v>392</v>
      </c>
      <c r="C1703" s="76" t="s">
        <v>393</v>
      </c>
      <c r="D1703" s="76" t="s">
        <v>394</v>
      </c>
      <c r="E1703" s="76" t="s">
        <v>395</v>
      </c>
      <c r="F1703" s="76" t="s">
        <v>396</v>
      </c>
      <c r="G1703" s="76" t="s">
        <v>397</v>
      </c>
      <c r="H1703" s="108"/>
      <c r="I1703" s="71"/>
    </row>
    <row r="1704" spans="1:9" s="65" customFormat="1">
      <c r="A1704" s="87" t="s">
        <v>409</v>
      </c>
      <c r="B1704" s="114" t="s">
        <v>409</v>
      </c>
      <c r="C1704" s="114" t="s">
        <v>409</v>
      </c>
      <c r="D1704" s="114" t="s">
        <v>409</v>
      </c>
      <c r="E1704" s="114" t="s">
        <v>409</v>
      </c>
      <c r="F1704" s="79" t="s">
        <v>409</v>
      </c>
      <c r="G1704" s="89" t="s">
        <v>409</v>
      </c>
      <c r="H1704" s="108"/>
      <c r="I1704" s="71"/>
    </row>
    <row r="1705" spans="1:9" s="65" customFormat="1">
      <c r="A1705" s="94"/>
      <c r="B1705" s="95"/>
      <c r="C1705" s="95"/>
      <c r="D1705" s="95"/>
      <c r="E1705" s="95"/>
      <c r="F1705"/>
      <c r="G1705" s="93" t="s">
        <v>407</v>
      </c>
      <c r="H1705" s="107">
        <f>SUM(G1703:G1704)</f>
        <v>0</v>
      </c>
      <c r="I1705" s="71"/>
    </row>
    <row r="1706" spans="1:9" s="65" customFormat="1">
      <c r="A1706" s="94"/>
      <c r="B1706" s="95"/>
      <c r="C1706" s="95"/>
      <c r="D1706" s="95"/>
      <c r="E1706" s="95"/>
      <c r="F1706"/>
      <c r="G1706" s="74"/>
      <c r="H1706" s="74"/>
      <c r="I1706" s="71"/>
    </row>
    <row r="1707" spans="1:9" s="65" customFormat="1">
      <c r="A1707" s="96"/>
      <c r="B1707" s="97"/>
      <c r="C1707" s="98"/>
      <c r="D1707" s="98"/>
      <c r="E1707" s="98"/>
      <c r="F1707"/>
      <c r="G1707" s="99" t="s">
        <v>412</v>
      </c>
      <c r="H1707" s="115">
        <f>SUM(H1689:H1705)</f>
        <v>1527274.2</v>
      </c>
      <c r="I1707" s="71"/>
    </row>
    <row r="1708" spans="1:9" s="65" customFormat="1">
      <c r="A1708" s="96"/>
      <c r="B1708" s="97"/>
      <c r="C1708" s="98"/>
      <c r="D1708" s="98"/>
      <c r="E1708" s="98"/>
      <c r="F1708" s="101"/>
      <c r="G1708" s="116"/>
      <c r="H1708" s="70"/>
      <c r="I1708" s="71"/>
    </row>
    <row r="1709" spans="1:9" s="65" customFormat="1" ht="15.75" thickBot="1">
      <c r="A1709" s="624" t="s">
        <v>502</v>
      </c>
      <c r="B1709" s="625"/>
      <c r="C1709" s="625"/>
      <c r="D1709" s="625"/>
      <c r="E1709" s="625"/>
      <c r="F1709" s="625"/>
      <c r="G1709" s="626"/>
      <c r="H1709" s="117">
        <f>+ROUND(H1707,0)</f>
        <v>1527274</v>
      </c>
      <c r="I1709" s="103"/>
    </row>
    <row r="1710" spans="1:9" s="65" customFormat="1">
      <c r="A1710" s="84"/>
      <c r="B1710" s="83"/>
      <c r="C1710" s="84"/>
      <c r="D1710" s="84"/>
      <c r="E1710" s="84"/>
      <c r="G1710" s="104"/>
      <c r="H1710" s="140"/>
    </row>
    <row r="1711" spans="1:9" s="65" customFormat="1" ht="15.75" thickBot="1">
      <c r="A1711" s="120"/>
      <c r="B1711" s="73"/>
      <c r="C1711" s="73"/>
      <c r="D1711" s="73"/>
      <c r="E1711" s="73"/>
      <c r="G1711" s="121"/>
      <c r="H1711" s="140"/>
    </row>
    <row r="1712" spans="1:9" s="65" customFormat="1">
      <c r="A1712" s="627"/>
      <c r="B1712" s="629" t="s">
        <v>1163</v>
      </c>
      <c r="C1712" s="630"/>
      <c r="D1712" s="630"/>
      <c r="E1712" s="630"/>
      <c r="F1712" s="630"/>
      <c r="G1712" s="630"/>
      <c r="H1712" s="630"/>
      <c r="I1712" s="66" t="s">
        <v>389</v>
      </c>
    </row>
    <row r="1713" spans="1:9" s="65" customFormat="1">
      <c r="A1713" s="628"/>
      <c r="B1713" s="631"/>
      <c r="C1713" s="632"/>
      <c r="D1713" s="632"/>
      <c r="E1713" s="632"/>
      <c r="F1713" s="632"/>
      <c r="G1713" s="632"/>
      <c r="H1713" s="632"/>
      <c r="I1713" s="67" t="s">
        <v>7</v>
      </c>
    </row>
    <row r="1714" spans="1:9" s="65" customFormat="1">
      <c r="A1714" s="68"/>
      <c r="B1714" s="69" t="s">
        <v>533</v>
      </c>
      <c r="C1714" s="69"/>
      <c r="D1714" s="69"/>
      <c r="E1714" s="69"/>
      <c r="F1714" s="70"/>
      <c r="G1714" s="70"/>
      <c r="H1714" s="70"/>
      <c r="I1714" s="71"/>
    </row>
    <row r="1715" spans="1:9" s="65" customFormat="1">
      <c r="A1715" s="72" t="s">
        <v>390</v>
      </c>
      <c r="B1715" s="73"/>
      <c r="C1715" s="73"/>
      <c r="D1715" s="73"/>
      <c r="E1715" s="73"/>
      <c r="F1715" s="74"/>
      <c r="G1715" s="74"/>
      <c r="H1715" s="70"/>
      <c r="I1715" s="71"/>
    </row>
    <row r="1716" spans="1:9" s="65" customFormat="1">
      <c r="A1716" s="75" t="s">
        <v>391</v>
      </c>
      <c r="B1716" s="76" t="s">
        <v>392</v>
      </c>
      <c r="C1716" s="76" t="s">
        <v>393</v>
      </c>
      <c r="D1716" s="76" t="s">
        <v>394</v>
      </c>
      <c r="E1716" s="76" t="s">
        <v>395</v>
      </c>
      <c r="F1716" s="76" t="s">
        <v>396</v>
      </c>
      <c r="G1716" s="76" t="s">
        <v>397</v>
      </c>
      <c r="H1716" s="74"/>
      <c r="I1716" s="71"/>
    </row>
    <row r="1717" spans="1:9" s="65" customFormat="1">
      <c r="A1717" s="77" t="s">
        <v>404</v>
      </c>
      <c r="B1717" s="78" t="s">
        <v>405</v>
      </c>
      <c r="C1717" s="79" t="s">
        <v>406</v>
      </c>
      <c r="D1717" s="107">
        <v>1250</v>
      </c>
      <c r="E1717" s="79">
        <v>6</v>
      </c>
      <c r="F1717" s="79">
        <v>0</v>
      </c>
      <c r="G1717" s="107">
        <f>(D1717*E1717)+((D1717*E1717)*F1717/100)</f>
        <v>7500</v>
      </c>
      <c r="H1717" s="74"/>
      <c r="I1717" s="71"/>
    </row>
    <row r="1718" spans="1:9" s="65" customFormat="1">
      <c r="A1718" s="79" t="s">
        <v>467</v>
      </c>
      <c r="B1718" s="78" t="s">
        <v>468</v>
      </c>
      <c r="C1718" s="79" t="s">
        <v>437</v>
      </c>
      <c r="D1718" s="107">
        <v>35000</v>
      </c>
      <c r="E1718" s="79">
        <v>0.15</v>
      </c>
      <c r="F1718" s="79">
        <v>0</v>
      </c>
      <c r="G1718" s="107">
        <f>(D1718*E1718)+((D1718*E1718)*F1718/100)</f>
        <v>5250</v>
      </c>
      <c r="H1718" s="74"/>
      <c r="I1718" s="71"/>
    </row>
    <row r="1719" spans="1:9" s="65" customFormat="1">
      <c r="A1719" s="82"/>
      <c r="B1719" s="83"/>
      <c r="C1719" s="84"/>
      <c r="D1719" s="84"/>
      <c r="E1719" s="84"/>
      <c r="F1719"/>
      <c r="G1719" s="93" t="s">
        <v>407</v>
      </c>
      <c r="H1719" s="107">
        <f>SUM(G1717:G1718)</f>
        <v>12750</v>
      </c>
      <c r="I1719" s="71"/>
    </row>
    <row r="1720" spans="1:9" s="65" customFormat="1">
      <c r="A1720" s="72" t="s">
        <v>408</v>
      </c>
      <c r="B1720" s="73"/>
      <c r="C1720" s="73"/>
      <c r="D1720" s="73"/>
      <c r="E1720" s="73"/>
      <c r="F1720"/>
      <c r="G1720" s="74"/>
      <c r="H1720" s="108"/>
      <c r="I1720" s="71"/>
    </row>
    <row r="1721" spans="1:9" s="65" customFormat="1">
      <c r="A1721" s="75" t="s">
        <v>391</v>
      </c>
      <c r="B1721" s="76" t="s">
        <v>392</v>
      </c>
      <c r="C1721" s="76" t="s">
        <v>393</v>
      </c>
      <c r="D1721" s="76" t="s">
        <v>394</v>
      </c>
      <c r="E1721" s="76" t="s">
        <v>395</v>
      </c>
      <c r="F1721" s="76" t="s">
        <v>396</v>
      </c>
      <c r="G1721" s="76" t="s">
        <v>397</v>
      </c>
      <c r="H1721" s="108"/>
      <c r="I1721" s="71"/>
    </row>
    <row r="1722" spans="1:9" s="65" customFormat="1" ht="16.5">
      <c r="A1722" s="135">
        <v>3890</v>
      </c>
      <c r="B1722" s="204" t="s">
        <v>1133</v>
      </c>
      <c r="C1722" s="127" t="s">
        <v>406</v>
      </c>
      <c r="D1722" s="206">
        <v>150000</v>
      </c>
      <c r="E1722" s="79">
        <v>1.2</v>
      </c>
      <c r="F1722" s="79">
        <v>0</v>
      </c>
      <c r="G1722" s="206">
        <f t="shared" ref="G1722:G1726" si="8">(D1722*E1722)+((D1722*E1722)*F1722/100)</f>
        <v>180000</v>
      </c>
      <c r="H1722" s="108"/>
      <c r="I1722" s="71"/>
    </row>
    <row r="1723" spans="1:9" s="65" customFormat="1" ht="16.5">
      <c r="A1723" s="135">
        <v>3999</v>
      </c>
      <c r="B1723" s="204" t="s">
        <v>557</v>
      </c>
      <c r="C1723" s="127" t="s">
        <v>423</v>
      </c>
      <c r="D1723" s="206">
        <v>3201</v>
      </c>
      <c r="E1723" s="79">
        <v>70</v>
      </c>
      <c r="F1723" s="79">
        <v>0</v>
      </c>
      <c r="G1723" s="206">
        <f t="shared" si="8"/>
        <v>224070</v>
      </c>
      <c r="H1723" s="108"/>
      <c r="I1723" s="71"/>
    </row>
    <row r="1724" spans="1:9" s="65" customFormat="1" ht="16.5">
      <c r="A1724" s="135">
        <v>4600</v>
      </c>
      <c r="B1724" s="204" t="s">
        <v>558</v>
      </c>
      <c r="C1724" s="127" t="s">
        <v>423</v>
      </c>
      <c r="D1724" s="206">
        <v>3201</v>
      </c>
      <c r="E1724" s="79">
        <v>4</v>
      </c>
      <c r="F1724" s="79">
        <v>0</v>
      </c>
      <c r="G1724" s="206">
        <f t="shared" si="8"/>
        <v>12804</v>
      </c>
      <c r="H1724" s="108"/>
      <c r="I1724" s="71"/>
    </row>
    <row r="1725" spans="1:9" s="65" customFormat="1" ht="16.5">
      <c r="A1725" s="135" t="s">
        <v>459</v>
      </c>
      <c r="B1725" s="204" t="s">
        <v>550</v>
      </c>
      <c r="C1725" s="127" t="s">
        <v>454</v>
      </c>
      <c r="D1725" s="206">
        <f>+H247</f>
        <v>281819</v>
      </c>
      <c r="E1725" s="79">
        <v>3.2</v>
      </c>
      <c r="F1725" s="79">
        <v>0</v>
      </c>
      <c r="G1725" s="206">
        <f t="shared" si="8"/>
        <v>901820.8</v>
      </c>
      <c r="H1725" s="108"/>
      <c r="I1725" s="71"/>
    </row>
    <row r="1726" spans="1:9" s="65" customFormat="1" ht="16.5">
      <c r="A1726" s="135" t="s">
        <v>559</v>
      </c>
      <c r="B1726" s="204" t="s">
        <v>560</v>
      </c>
      <c r="C1726" s="127" t="s">
        <v>454</v>
      </c>
      <c r="D1726" s="206">
        <v>220000</v>
      </c>
      <c r="E1726" s="79">
        <v>0.01</v>
      </c>
      <c r="F1726" s="79">
        <v>0</v>
      </c>
      <c r="G1726" s="206">
        <f t="shared" si="8"/>
        <v>2200</v>
      </c>
      <c r="H1726" s="108"/>
      <c r="I1726" s="71"/>
    </row>
    <row r="1727" spans="1:9" s="65" customFormat="1">
      <c r="A1727" s="90"/>
      <c r="B1727" s="91"/>
      <c r="C1727" s="91"/>
      <c r="D1727" s="91"/>
      <c r="E1727" s="91"/>
      <c r="F1727"/>
      <c r="G1727" s="85" t="s">
        <v>407</v>
      </c>
      <c r="H1727" s="107">
        <f>SUM(G1722:G1726)</f>
        <v>1320894.8</v>
      </c>
      <c r="I1727" s="71"/>
    </row>
    <row r="1728" spans="1:9" s="65" customFormat="1" ht="40.5" customHeight="1">
      <c r="A1728" s="72" t="s">
        <v>410</v>
      </c>
      <c r="B1728" s="73"/>
      <c r="C1728" s="73"/>
      <c r="D1728" s="73"/>
      <c r="E1728" s="73"/>
      <c r="F1728"/>
      <c r="G1728" s="74"/>
      <c r="H1728" s="108"/>
      <c r="I1728" s="71"/>
    </row>
    <row r="1729" spans="1:9" s="65" customFormat="1">
      <c r="A1729" s="75" t="s">
        <v>391</v>
      </c>
      <c r="B1729" s="76" t="s">
        <v>392</v>
      </c>
      <c r="C1729" s="76" t="s">
        <v>393</v>
      </c>
      <c r="D1729" s="76" t="s">
        <v>394</v>
      </c>
      <c r="E1729" s="76" t="s">
        <v>395</v>
      </c>
      <c r="F1729" s="76" t="s">
        <v>396</v>
      </c>
      <c r="G1729" s="76" t="s">
        <v>397</v>
      </c>
      <c r="H1729" s="108"/>
      <c r="I1729" s="71"/>
    </row>
    <row r="1730" spans="1:9" s="65" customFormat="1">
      <c r="A1730" s="125" t="s">
        <v>478</v>
      </c>
      <c r="B1730" s="126" t="s">
        <v>479</v>
      </c>
      <c r="C1730" s="127" t="s">
        <v>426</v>
      </c>
      <c r="D1730" s="107">
        <f>5627*6+10300+15000</f>
        <v>59062</v>
      </c>
      <c r="E1730" s="79">
        <v>7.5</v>
      </c>
      <c r="F1730" s="79">
        <v>0</v>
      </c>
      <c r="G1730" s="107">
        <f>(D1730*E1730)+((D1730*E1730)*F1730/100)</f>
        <v>442965</v>
      </c>
      <c r="H1730" s="108"/>
      <c r="I1730" s="71"/>
    </row>
    <row r="1731" spans="1:9" s="65" customFormat="1">
      <c r="A1731" s="90"/>
      <c r="B1731" s="91"/>
      <c r="C1731" s="91"/>
      <c r="D1731" s="91"/>
      <c r="E1731" s="91"/>
      <c r="F1731"/>
      <c r="G1731" s="93" t="s">
        <v>407</v>
      </c>
      <c r="H1731" s="107">
        <f>SUM(G1730:G1730)</f>
        <v>442965</v>
      </c>
      <c r="I1731" s="71"/>
    </row>
    <row r="1732" spans="1:9" s="65" customFormat="1">
      <c r="A1732" s="72" t="s">
        <v>411</v>
      </c>
      <c r="B1732" s="73"/>
      <c r="C1732" s="73"/>
      <c r="D1732" s="73"/>
      <c r="E1732" s="73"/>
      <c r="F1732"/>
      <c r="G1732" s="74"/>
      <c r="H1732" s="108"/>
      <c r="I1732" s="71"/>
    </row>
    <row r="1733" spans="1:9" s="65" customFormat="1">
      <c r="A1733" s="75" t="s">
        <v>391</v>
      </c>
      <c r="B1733" s="76" t="s">
        <v>392</v>
      </c>
      <c r="C1733" s="76" t="s">
        <v>393</v>
      </c>
      <c r="D1733" s="76" t="s">
        <v>394</v>
      </c>
      <c r="E1733" s="76" t="s">
        <v>395</v>
      </c>
      <c r="F1733" s="76" t="s">
        <v>396</v>
      </c>
      <c r="G1733" s="76" t="s">
        <v>397</v>
      </c>
      <c r="H1733" s="108"/>
      <c r="I1733" s="71"/>
    </row>
    <row r="1734" spans="1:9" s="65" customFormat="1">
      <c r="A1734" s="87" t="s">
        <v>409</v>
      </c>
      <c r="B1734" s="114" t="s">
        <v>409</v>
      </c>
      <c r="C1734" s="114" t="s">
        <v>409</v>
      </c>
      <c r="D1734" s="114" t="s">
        <v>409</v>
      </c>
      <c r="E1734" s="114" t="s">
        <v>409</v>
      </c>
      <c r="F1734" s="79" t="s">
        <v>409</v>
      </c>
      <c r="G1734" s="89" t="s">
        <v>409</v>
      </c>
      <c r="H1734" s="108"/>
      <c r="I1734" s="71"/>
    </row>
    <row r="1735" spans="1:9" s="65" customFormat="1">
      <c r="A1735" s="94"/>
      <c r="B1735" s="95"/>
      <c r="C1735" s="95"/>
      <c r="D1735" s="95"/>
      <c r="E1735" s="95"/>
      <c r="F1735"/>
      <c r="G1735" s="93" t="s">
        <v>407</v>
      </c>
      <c r="H1735" s="107">
        <f>SUM(G1733:G1734)</f>
        <v>0</v>
      </c>
      <c r="I1735" s="71"/>
    </row>
    <row r="1736" spans="1:9" s="65" customFormat="1">
      <c r="A1736" s="94"/>
      <c r="B1736" s="95"/>
      <c r="C1736" s="95"/>
      <c r="D1736" s="95"/>
      <c r="E1736" s="95"/>
      <c r="F1736"/>
      <c r="G1736" s="74"/>
      <c r="H1736" s="74"/>
      <c r="I1736" s="71"/>
    </row>
    <row r="1737" spans="1:9" s="65" customFormat="1">
      <c r="A1737" s="96"/>
      <c r="B1737" s="97"/>
      <c r="C1737" s="98"/>
      <c r="D1737" s="98"/>
      <c r="E1737" s="98"/>
      <c r="F1737"/>
      <c r="G1737" s="99" t="s">
        <v>412</v>
      </c>
      <c r="H1737" s="115">
        <f>SUM(H1719:H1735)</f>
        <v>1776609.8</v>
      </c>
      <c r="I1737" s="71"/>
    </row>
    <row r="1738" spans="1:9" s="65" customFormat="1">
      <c r="A1738" s="96"/>
      <c r="B1738" s="97"/>
      <c r="C1738" s="98"/>
      <c r="D1738" s="98"/>
      <c r="E1738" s="98"/>
      <c r="F1738" s="101"/>
      <c r="G1738" s="116"/>
      <c r="H1738" s="70"/>
      <c r="I1738" s="71"/>
    </row>
    <row r="1739" spans="1:9" s="65" customFormat="1" ht="15.75" thickBot="1">
      <c r="A1739" s="624" t="s">
        <v>502</v>
      </c>
      <c r="B1739" s="625"/>
      <c r="C1739" s="625"/>
      <c r="D1739" s="625"/>
      <c r="E1739" s="625"/>
      <c r="F1739" s="625"/>
      <c r="G1739" s="626"/>
      <c r="H1739" s="117">
        <f>+ROUND(H1737,0)</f>
        <v>1776610</v>
      </c>
      <c r="I1739" s="103"/>
    </row>
    <row r="1740" spans="1:9" s="65" customFormat="1">
      <c r="A1740" s="128"/>
      <c r="B1740" s="141"/>
      <c r="C1740" s="141"/>
      <c r="D1740" s="141"/>
      <c r="E1740" s="141"/>
      <c r="F1740" s="141"/>
      <c r="G1740" s="141"/>
      <c r="H1740" s="140"/>
    </row>
    <row r="1741" spans="1:9" s="65" customFormat="1" ht="15.75" thickBot="1">
      <c r="A1741" s="146"/>
      <c r="B1741" s="83"/>
      <c r="C1741" s="148"/>
      <c r="D1741" s="84"/>
      <c r="E1741" s="162"/>
      <c r="F1741" s="84"/>
      <c r="G1741" s="144"/>
      <c r="H1741" s="145"/>
    </row>
    <row r="1742" spans="1:9" s="65" customFormat="1">
      <c r="A1742" s="627"/>
      <c r="B1742" s="629" t="s">
        <v>1164</v>
      </c>
      <c r="C1742" s="630"/>
      <c r="D1742" s="630"/>
      <c r="E1742" s="630"/>
      <c r="F1742" s="630"/>
      <c r="G1742" s="630"/>
      <c r="H1742" s="630"/>
      <c r="I1742" s="66" t="s">
        <v>389</v>
      </c>
    </row>
    <row r="1743" spans="1:9" s="65" customFormat="1">
      <c r="A1743" s="628"/>
      <c r="B1743" s="631"/>
      <c r="C1743" s="632"/>
      <c r="D1743" s="632"/>
      <c r="E1743" s="632"/>
      <c r="F1743" s="632"/>
      <c r="G1743" s="632"/>
      <c r="H1743" s="632"/>
      <c r="I1743" s="67" t="s">
        <v>7</v>
      </c>
    </row>
    <row r="1744" spans="1:9" s="65" customFormat="1">
      <c r="A1744" s="68"/>
      <c r="B1744" s="69" t="s">
        <v>533</v>
      </c>
      <c r="C1744" s="69"/>
      <c r="D1744" s="69"/>
      <c r="E1744" s="69"/>
      <c r="F1744" s="70"/>
      <c r="G1744" s="70"/>
      <c r="H1744" s="70"/>
      <c r="I1744" s="71"/>
    </row>
    <row r="1745" spans="1:9" s="65" customFormat="1">
      <c r="A1745" s="72" t="s">
        <v>390</v>
      </c>
      <c r="B1745" s="73"/>
      <c r="C1745" s="73"/>
      <c r="D1745" s="73"/>
      <c r="E1745" s="73"/>
      <c r="F1745" s="74"/>
      <c r="G1745" s="74"/>
      <c r="H1745" s="70"/>
      <c r="I1745" s="71"/>
    </row>
    <row r="1746" spans="1:9" s="65" customFormat="1">
      <c r="A1746" s="75" t="s">
        <v>391</v>
      </c>
      <c r="B1746" s="76" t="s">
        <v>392</v>
      </c>
      <c r="C1746" s="76" t="s">
        <v>393</v>
      </c>
      <c r="D1746" s="76" t="s">
        <v>394</v>
      </c>
      <c r="E1746" s="76" t="s">
        <v>395</v>
      </c>
      <c r="F1746" s="76" t="s">
        <v>396</v>
      </c>
      <c r="G1746" s="76" t="s">
        <v>397</v>
      </c>
      <c r="H1746" s="74"/>
      <c r="I1746" s="71"/>
    </row>
    <row r="1747" spans="1:9" s="65" customFormat="1">
      <c r="A1747" s="77" t="s">
        <v>404</v>
      </c>
      <c r="B1747" s="78" t="s">
        <v>405</v>
      </c>
      <c r="C1747" s="79" t="s">
        <v>406</v>
      </c>
      <c r="D1747" s="107">
        <v>1250</v>
      </c>
      <c r="E1747" s="79">
        <v>6</v>
      </c>
      <c r="F1747" s="79">
        <v>0</v>
      </c>
      <c r="G1747" s="107">
        <f>(D1747*E1747)+((D1747*E1747)*F1747/100)</f>
        <v>7500</v>
      </c>
      <c r="H1747" s="74"/>
      <c r="I1747" s="71"/>
    </row>
    <row r="1748" spans="1:9" s="65" customFormat="1">
      <c r="A1748" s="79" t="s">
        <v>467</v>
      </c>
      <c r="B1748" s="78" t="s">
        <v>468</v>
      </c>
      <c r="C1748" s="79" t="s">
        <v>437</v>
      </c>
      <c r="D1748" s="107">
        <v>35000</v>
      </c>
      <c r="E1748" s="79">
        <v>0.15</v>
      </c>
      <c r="F1748" s="79">
        <v>0</v>
      </c>
      <c r="G1748" s="107">
        <f>(D1748*E1748)+((D1748*E1748)*F1748/100)</f>
        <v>5250</v>
      </c>
      <c r="H1748" s="74"/>
      <c r="I1748" s="71"/>
    </row>
    <row r="1749" spans="1:9" s="65" customFormat="1">
      <c r="A1749" s="82"/>
      <c r="B1749" s="83"/>
      <c r="C1749" s="84"/>
      <c r="D1749" s="84"/>
      <c r="E1749" s="84"/>
      <c r="F1749"/>
      <c r="G1749" s="93" t="s">
        <v>407</v>
      </c>
      <c r="H1749" s="107">
        <f>SUM(G1747:G1748)</f>
        <v>12750</v>
      </c>
      <c r="I1749" s="71"/>
    </row>
    <row r="1750" spans="1:9" s="65" customFormat="1">
      <c r="A1750" s="72" t="s">
        <v>408</v>
      </c>
      <c r="B1750" s="73"/>
      <c r="C1750" s="73"/>
      <c r="D1750" s="73"/>
      <c r="E1750" s="73"/>
      <c r="F1750"/>
      <c r="G1750" s="74"/>
      <c r="H1750" s="108"/>
      <c r="I1750" s="71"/>
    </row>
    <row r="1751" spans="1:9" s="65" customFormat="1">
      <c r="A1751" s="75" t="s">
        <v>391</v>
      </c>
      <c r="B1751" s="76" t="s">
        <v>392</v>
      </c>
      <c r="C1751" s="76" t="s">
        <v>393</v>
      </c>
      <c r="D1751" s="76" t="s">
        <v>394</v>
      </c>
      <c r="E1751" s="76" t="s">
        <v>395</v>
      </c>
      <c r="F1751" s="76" t="s">
        <v>396</v>
      </c>
      <c r="G1751" s="76" t="s">
        <v>397</v>
      </c>
      <c r="H1751" s="108"/>
      <c r="I1751" s="71"/>
    </row>
    <row r="1752" spans="1:9" s="65" customFormat="1" ht="16.5">
      <c r="A1752" s="135">
        <v>3890</v>
      </c>
      <c r="B1752" s="204" t="s">
        <v>1133</v>
      </c>
      <c r="C1752" s="127" t="s">
        <v>406</v>
      </c>
      <c r="D1752" s="206">
        <v>150000</v>
      </c>
      <c r="E1752" s="79">
        <v>1.2</v>
      </c>
      <c r="F1752" s="79">
        <v>0</v>
      </c>
      <c r="G1752" s="206">
        <f t="shared" ref="G1752:G1756" si="9">(D1752*E1752)+((D1752*E1752)*F1752/100)</f>
        <v>180000</v>
      </c>
      <c r="H1752" s="108"/>
      <c r="I1752" s="71"/>
    </row>
    <row r="1753" spans="1:9" s="65" customFormat="1" ht="16.5">
      <c r="A1753" s="135">
        <v>3999</v>
      </c>
      <c r="B1753" s="204" t="s">
        <v>557</v>
      </c>
      <c r="C1753" s="127" t="s">
        <v>423</v>
      </c>
      <c r="D1753" s="206">
        <v>3201</v>
      </c>
      <c r="E1753" s="79">
        <v>90</v>
      </c>
      <c r="F1753" s="79">
        <v>0</v>
      </c>
      <c r="G1753" s="206">
        <f t="shared" si="9"/>
        <v>288090</v>
      </c>
      <c r="H1753" s="108"/>
      <c r="I1753" s="71"/>
    </row>
    <row r="1754" spans="1:9" s="65" customFormat="1" ht="16.5">
      <c r="A1754" s="135">
        <v>4600</v>
      </c>
      <c r="B1754" s="204" t="s">
        <v>558</v>
      </c>
      <c r="C1754" s="127" t="s">
        <v>423</v>
      </c>
      <c r="D1754" s="206">
        <v>3201</v>
      </c>
      <c r="E1754" s="79">
        <v>4</v>
      </c>
      <c r="F1754" s="79">
        <v>0</v>
      </c>
      <c r="G1754" s="206">
        <f t="shared" si="9"/>
        <v>12804</v>
      </c>
      <c r="H1754" s="108"/>
      <c r="I1754" s="71"/>
    </row>
    <row r="1755" spans="1:9" s="65" customFormat="1" ht="16.5">
      <c r="A1755" s="135" t="s">
        <v>459</v>
      </c>
      <c r="B1755" s="204" t="s">
        <v>550</v>
      </c>
      <c r="C1755" s="127" t="s">
        <v>454</v>
      </c>
      <c r="D1755" s="206">
        <f>+H247</f>
        <v>281819</v>
      </c>
      <c r="E1755" s="79">
        <v>4</v>
      </c>
      <c r="F1755" s="79">
        <v>0</v>
      </c>
      <c r="G1755" s="206">
        <f t="shared" si="9"/>
        <v>1127276</v>
      </c>
      <c r="H1755" s="108"/>
      <c r="I1755" s="71"/>
    </row>
    <row r="1756" spans="1:9" s="65" customFormat="1" ht="16.5">
      <c r="A1756" s="135" t="s">
        <v>559</v>
      </c>
      <c r="B1756" s="204" t="s">
        <v>560</v>
      </c>
      <c r="C1756" s="127" t="s">
        <v>454</v>
      </c>
      <c r="D1756" s="206">
        <v>220000</v>
      </c>
      <c r="E1756" s="79">
        <v>0.01</v>
      </c>
      <c r="F1756" s="79">
        <v>0</v>
      </c>
      <c r="G1756" s="206">
        <f t="shared" si="9"/>
        <v>2200</v>
      </c>
      <c r="H1756" s="108"/>
      <c r="I1756" s="71"/>
    </row>
    <row r="1757" spans="1:9" s="65" customFormat="1">
      <c r="A1757" s="90"/>
      <c r="B1757" s="91"/>
      <c r="C1757" s="91"/>
      <c r="D1757" s="91"/>
      <c r="E1757" s="91"/>
      <c r="F1757"/>
      <c r="G1757" s="85" t="s">
        <v>407</v>
      </c>
      <c r="H1757" s="107">
        <f>SUM(G1752:G1756)</f>
        <v>1610370</v>
      </c>
      <c r="I1757" s="71"/>
    </row>
    <row r="1758" spans="1:9" s="65" customFormat="1">
      <c r="A1758" s="72" t="s">
        <v>410</v>
      </c>
      <c r="B1758" s="73"/>
      <c r="C1758" s="73"/>
      <c r="D1758" s="73"/>
      <c r="E1758" s="73"/>
      <c r="F1758"/>
      <c r="G1758" s="74"/>
      <c r="H1758" s="108"/>
      <c r="I1758" s="71"/>
    </row>
    <row r="1759" spans="1:9" s="65" customFormat="1">
      <c r="A1759" s="75" t="s">
        <v>391</v>
      </c>
      <c r="B1759" s="76" t="s">
        <v>392</v>
      </c>
      <c r="C1759" s="76" t="s">
        <v>393</v>
      </c>
      <c r="D1759" s="76" t="s">
        <v>394</v>
      </c>
      <c r="E1759" s="76" t="s">
        <v>395</v>
      </c>
      <c r="F1759" s="76" t="s">
        <v>396</v>
      </c>
      <c r="G1759" s="76" t="s">
        <v>397</v>
      </c>
      <c r="H1759" s="108"/>
      <c r="I1759" s="71"/>
    </row>
    <row r="1760" spans="1:9" s="65" customFormat="1">
      <c r="A1760" s="125" t="s">
        <v>478</v>
      </c>
      <c r="B1760" s="126" t="s">
        <v>479</v>
      </c>
      <c r="C1760" s="127" t="s">
        <v>426</v>
      </c>
      <c r="D1760" s="107">
        <f>5627*6+10300+15000</f>
        <v>59062</v>
      </c>
      <c r="E1760" s="79">
        <v>7.5</v>
      </c>
      <c r="F1760" s="79">
        <v>0</v>
      </c>
      <c r="G1760" s="107">
        <f>(D1760*E1760)+((D1760*E1760)*F1760/100)</f>
        <v>442965</v>
      </c>
      <c r="H1760" s="108"/>
      <c r="I1760" s="71"/>
    </row>
    <row r="1761" spans="1:9" s="65" customFormat="1">
      <c r="A1761" s="90"/>
      <c r="B1761" s="91"/>
      <c r="C1761" s="91"/>
      <c r="D1761" s="91"/>
      <c r="E1761" s="91"/>
      <c r="F1761"/>
      <c r="G1761" s="93" t="s">
        <v>407</v>
      </c>
      <c r="H1761" s="107">
        <f>SUM(G1760:G1760)</f>
        <v>442965</v>
      </c>
      <c r="I1761" s="71"/>
    </row>
    <row r="1762" spans="1:9" s="65" customFormat="1">
      <c r="A1762" s="72" t="s">
        <v>411</v>
      </c>
      <c r="B1762" s="73"/>
      <c r="C1762" s="73"/>
      <c r="D1762" s="73"/>
      <c r="E1762" s="73"/>
      <c r="F1762"/>
      <c r="G1762" s="74"/>
      <c r="H1762" s="108"/>
      <c r="I1762" s="71"/>
    </row>
    <row r="1763" spans="1:9" s="65" customFormat="1">
      <c r="A1763" s="75" t="s">
        <v>391</v>
      </c>
      <c r="B1763" s="76" t="s">
        <v>392</v>
      </c>
      <c r="C1763" s="76" t="s">
        <v>393</v>
      </c>
      <c r="D1763" s="76" t="s">
        <v>394</v>
      </c>
      <c r="E1763" s="76" t="s">
        <v>395</v>
      </c>
      <c r="F1763" s="76" t="s">
        <v>396</v>
      </c>
      <c r="G1763" s="76" t="s">
        <v>397</v>
      </c>
      <c r="H1763" s="108"/>
      <c r="I1763" s="71"/>
    </row>
    <row r="1764" spans="1:9" s="65" customFormat="1">
      <c r="A1764" s="87" t="s">
        <v>409</v>
      </c>
      <c r="B1764" s="114" t="s">
        <v>409</v>
      </c>
      <c r="C1764" s="114" t="s">
        <v>409</v>
      </c>
      <c r="D1764" s="114" t="s">
        <v>409</v>
      </c>
      <c r="E1764" s="114" t="s">
        <v>409</v>
      </c>
      <c r="F1764" s="79" t="s">
        <v>409</v>
      </c>
      <c r="G1764" s="89" t="s">
        <v>409</v>
      </c>
      <c r="H1764" s="108"/>
      <c r="I1764" s="71"/>
    </row>
    <row r="1765" spans="1:9" s="65" customFormat="1">
      <c r="A1765" s="94"/>
      <c r="B1765" s="95"/>
      <c r="C1765" s="95"/>
      <c r="D1765" s="95"/>
      <c r="E1765" s="95"/>
      <c r="F1765"/>
      <c r="G1765" s="93" t="s">
        <v>407</v>
      </c>
      <c r="H1765" s="107">
        <f>SUM(G1763:G1764)</f>
        <v>0</v>
      </c>
      <c r="I1765" s="71"/>
    </row>
    <row r="1766" spans="1:9" s="65" customFormat="1">
      <c r="A1766" s="94"/>
      <c r="B1766" s="95"/>
      <c r="C1766" s="95"/>
      <c r="D1766" s="95"/>
      <c r="E1766" s="95"/>
      <c r="F1766"/>
      <c r="G1766" s="74"/>
      <c r="H1766" s="74"/>
      <c r="I1766" s="71"/>
    </row>
    <row r="1767" spans="1:9" s="65" customFormat="1">
      <c r="A1767" s="96"/>
      <c r="B1767" s="97"/>
      <c r="C1767" s="98"/>
      <c r="D1767" s="98"/>
      <c r="E1767" s="98"/>
      <c r="F1767"/>
      <c r="G1767" s="99" t="s">
        <v>412</v>
      </c>
      <c r="H1767" s="115">
        <f>SUM(H1749:H1765)</f>
        <v>2066085</v>
      </c>
      <c r="I1767" s="71"/>
    </row>
    <row r="1768" spans="1:9" s="65" customFormat="1">
      <c r="A1768" s="96"/>
      <c r="B1768" s="97"/>
      <c r="C1768" s="98"/>
      <c r="D1768" s="98"/>
      <c r="E1768" s="98"/>
      <c r="F1768" s="101"/>
      <c r="G1768" s="116"/>
      <c r="H1768" s="70"/>
      <c r="I1768" s="71"/>
    </row>
    <row r="1769" spans="1:9" s="65" customFormat="1" ht="15.75" thickBot="1">
      <c r="A1769" s="624" t="s">
        <v>502</v>
      </c>
      <c r="B1769" s="625"/>
      <c r="C1769" s="625"/>
      <c r="D1769" s="625"/>
      <c r="E1769" s="625"/>
      <c r="F1769" s="625"/>
      <c r="G1769" s="626"/>
      <c r="H1769" s="117">
        <f>+ROUND(H1767,0)</f>
        <v>2066085</v>
      </c>
      <c r="I1769" s="103"/>
    </row>
    <row r="1770" spans="1:9" s="65" customFormat="1">
      <c r="A1770" s="123"/>
      <c r="B1770" s="95"/>
      <c r="C1770" s="95"/>
      <c r="D1770" s="95"/>
      <c r="E1770" s="95"/>
      <c r="G1770" s="104"/>
      <c r="H1770" s="121"/>
    </row>
    <row r="1771" spans="1:9" s="65" customFormat="1" ht="15.75" thickBot="1">
      <c r="A1771" s="123"/>
      <c r="B1771" s="95"/>
      <c r="C1771" s="95"/>
      <c r="D1771" s="95"/>
      <c r="E1771" s="95"/>
      <c r="G1771" s="121"/>
      <c r="H1771" s="133"/>
    </row>
    <row r="1772" spans="1:9" s="65" customFormat="1">
      <c r="A1772" s="627"/>
      <c r="B1772" s="629" t="s">
        <v>1165</v>
      </c>
      <c r="C1772" s="630"/>
      <c r="D1772" s="630"/>
      <c r="E1772" s="630"/>
      <c r="F1772" s="630"/>
      <c r="G1772" s="630"/>
      <c r="H1772" s="630"/>
      <c r="I1772" s="66" t="s">
        <v>389</v>
      </c>
    </row>
    <row r="1773" spans="1:9" s="65" customFormat="1">
      <c r="A1773" s="628"/>
      <c r="B1773" s="631"/>
      <c r="C1773" s="632"/>
      <c r="D1773" s="632"/>
      <c r="E1773" s="632"/>
      <c r="F1773" s="632"/>
      <c r="G1773" s="632"/>
      <c r="H1773" s="632"/>
      <c r="I1773" s="67" t="s">
        <v>7</v>
      </c>
    </row>
    <row r="1774" spans="1:9" s="65" customFormat="1">
      <c r="A1774" s="68"/>
      <c r="B1774" s="69" t="s">
        <v>533</v>
      </c>
      <c r="C1774" s="69"/>
      <c r="D1774" s="69"/>
      <c r="E1774" s="69"/>
      <c r="F1774" s="70"/>
      <c r="G1774" s="70"/>
      <c r="H1774" s="70"/>
      <c r="I1774" s="71"/>
    </row>
    <row r="1775" spans="1:9" s="65" customFormat="1">
      <c r="A1775" s="72" t="s">
        <v>390</v>
      </c>
      <c r="B1775" s="73"/>
      <c r="C1775" s="73"/>
      <c r="D1775" s="73"/>
      <c r="E1775" s="73"/>
      <c r="F1775" s="74"/>
      <c r="G1775" s="74"/>
      <c r="H1775" s="70"/>
      <c r="I1775" s="71"/>
    </row>
    <row r="1776" spans="1:9" s="65" customFormat="1">
      <c r="A1776" s="75" t="s">
        <v>391</v>
      </c>
      <c r="B1776" s="76" t="s">
        <v>392</v>
      </c>
      <c r="C1776" s="76" t="s">
        <v>393</v>
      </c>
      <c r="D1776" s="76" t="s">
        <v>394</v>
      </c>
      <c r="E1776" s="76" t="s">
        <v>395</v>
      </c>
      <c r="F1776" s="76" t="s">
        <v>396</v>
      </c>
      <c r="G1776" s="76" t="s">
        <v>397</v>
      </c>
      <c r="H1776" s="74"/>
      <c r="I1776" s="71"/>
    </row>
    <row r="1777" spans="1:9" s="65" customFormat="1">
      <c r="A1777" s="77" t="s">
        <v>404</v>
      </c>
      <c r="B1777" s="78" t="s">
        <v>405</v>
      </c>
      <c r="C1777" s="79" t="s">
        <v>406</v>
      </c>
      <c r="D1777" s="107">
        <v>1250</v>
      </c>
      <c r="E1777" s="79">
        <v>6</v>
      </c>
      <c r="F1777" s="79">
        <v>0</v>
      </c>
      <c r="G1777" s="107">
        <f>(D1777*E1777)+((D1777*E1777)*F1777/100)</f>
        <v>7500</v>
      </c>
      <c r="H1777" s="74"/>
      <c r="I1777" s="71"/>
    </row>
    <row r="1778" spans="1:9" s="65" customFormat="1">
      <c r="A1778" s="79" t="s">
        <v>467</v>
      </c>
      <c r="B1778" s="78" t="s">
        <v>468</v>
      </c>
      <c r="C1778" s="79" t="s">
        <v>437</v>
      </c>
      <c r="D1778" s="107">
        <v>35000</v>
      </c>
      <c r="E1778" s="79">
        <v>0.15</v>
      </c>
      <c r="F1778" s="79">
        <v>0</v>
      </c>
      <c r="G1778" s="107">
        <f>(D1778*E1778)+((D1778*E1778)*F1778/100)</f>
        <v>5250</v>
      </c>
      <c r="H1778" s="74"/>
      <c r="I1778" s="71"/>
    </row>
    <row r="1779" spans="1:9" s="65" customFormat="1">
      <c r="A1779" s="82"/>
      <c r="B1779" s="83"/>
      <c r="C1779" s="84"/>
      <c r="D1779" s="84"/>
      <c r="E1779" s="84"/>
      <c r="F1779"/>
      <c r="G1779" s="93" t="s">
        <v>407</v>
      </c>
      <c r="H1779" s="107">
        <f>SUM(G1777:G1778)</f>
        <v>12750</v>
      </c>
      <c r="I1779" s="71"/>
    </row>
    <row r="1780" spans="1:9" s="65" customFormat="1">
      <c r="A1780" s="72" t="s">
        <v>408</v>
      </c>
      <c r="B1780" s="73"/>
      <c r="C1780" s="73"/>
      <c r="D1780" s="73"/>
      <c r="E1780" s="73"/>
      <c r="F1780"/>
      <c r="G1780" s="74"/>
      <c r="H1780" s="108"/>
      <c r="I1780" s="71"/>
    </row>
    <row r="1781" spans="1:9" s="65" customFormat="1">
      <c r="A1781" s="75" t="s">
        <v>391</v>
      </c>
      <c r="B1781" s="76" t="s">
        <v>392</v>
      </c>
      <c r="C1781" s="76" t="s">
        <v>393</v>
      </c>
      <c r="D1781" s="76" t="s">
        <v>394</v>
      </c>
      <c r="E1781" s="76" t="s">
        <v>395</v>
      </c>
      <c r="F1781" s="76" t="s">
        <v>396</v>
      </c>
      <c r="G1781" s="76" t="s">
        <v>397</v>
      </c>
      <c r="H1781" s="108"/>
      <c r="I1781" s="71"/>
    </row>
    <row r="1782" spans="1:9" s="65" customFormat="1" ht="16.5">
      <c r="A1782" s="135">
        <v>3890</v>
      </c>
      <c r="B1782" s="204" t="s">
        <v>1133</v>
      </c>
      <c r="C1782" s="127" t="s">
        <v>406</v>
      </c>
      <c r="D1782" s="206">
        <v>150000</v>
      </c>
      <c r="E1782" s="79">
        <v>0.8</v>
      </c>
      <c r="F1782" s="79">
        <v>0</v>
      </c>
      <c r="G1782" s="206">
        <f t="shared" ref="G1782:G1786" si="10">(D1782*E1782)+((D1782*E1782)*F1782/100)</f>
        <v>120000</v>
      </c>
      <c r="H1782" s="108"/>
      <c r="I1782" s="71"/>
    </row>
    <row r="1783" spans="1:9" s="65" customFormat="1" ht="16.5">
      <c r="A1783" s="135">
        <v>3999</v>
      </c>
      <c r="B1783" s="204" t="s">
        <v>557</v>
      </c>
      <c r="C1783" s="127" t="s">
        <v>423</v>
      </c>
      <c r="D1783" s="206">
        <v>3201</v>
      </c>
      <c r="E1783" s="79">
        <v>55</v>
      </c>
      <c r="F1783" s="79">
        <v>0</v>
      </c>
      <c r="G1783" s="206">
        <f t="shared" si="10"/>
        <v>176055</v>
      </c>
      <c r="H1783" s="108"/>
      <c r="I1783" s="71"/>
    </row>
    <row r="1784" spans="1:9" s="65" customFormat="1" ht="16.5">
      <c r="A1784" s="135">
        <v>4600</v>
      </c>
      <c r="B1784" s="204" t="s">
        <v>558</v>
      </c>
      <c r="C1784" s="127" t="s">
        <v>423</v>
      </c>
      <c r="D1784" s="206">
        <v>3201</v>
      </c>
      <c r="E1784" s="79">
        <v>4</v>
      </c>
      <c r="F1784" s="79">
        <v>0</v>
      </c>
      <c r="G1784" s="206">
        <f t="shared" si="10"/>
        <v>12804</v>
      </c>
      <c r="H1784" s="108"/>
      <c r="I1784" s="71"/>
    </row>
    <row r="1785" spans="1:9" s="65" customFormat="1" ht="16.5">
      <c r="A1785" s="135" t="s">
        <v>459</v>
      </c>
      <c r="B1785" s="204" t="s">
        <v>550</v>
      </c>
      <c r="C1785" s="127" t="s">
        <v>454</v>
      </c>
      <c r="D1785" s="206">
        <f>+H247</f>
        <v>281819</v>
      </c>
      <c r="E1785" s="79">
        <v>2.2000000000000002</v>
      </c>
      <c r="F1785" s="79">
        <v>0</v>
      </c>
      <c r="G1785" s="206">
        <f t="shared" si="10"/>
        <v>620001.80000000005</v>
      </c>
      <c r="H1785" s="108"/>
      <c r="I1785" s="71"/>
    </row>
    <row r="1786" spans="1:9" s="65" customFormat="1" ht="16.5">
      <c r="A1786" s="135" t="s">
        <v>559</v>
      </c>
      <c r="B1786" s="204" t="s">
        <v>560</v>
      </c>
      <c r="C1786" s="127" t="s">
        <v>454</v>
      </c>
      <c r="D1786" s="206">
        <v>220000</v>
      </c>
      <c r="E1786" s="79">
        <v>0.01</v>
      </c>
      <c r="F1786" s="79">
        <v>0</v>
      </c>
      <c r="G1786" s="206">
        <f t="shared" si="10"/>
        <v>2200</v>
      </c>
      <c r="H1786" s="108"/>
      <c r="I1786" s="71"/>
    </row>
    <row r="1787" spans="1:9" s="65" customFormat="1">
      <c r="A1787" s="90"/>
      <c r="B1787" s="91"/>
      <c r="C1787" s="91"/>
      <c r="D1787" s="91"/>
      <c r="E1787" s="91"/>
      <c r="F1787"/>
      <c r="G1787" s="85" t="s">
        <v>407</v>
      </c>
      <c r="H1787" s="107">
        <f>SUM(G1782:G1786)</f>
        <v>931060.8</v>
      </c>
      <c r="I1787" s="71"/>
    </row>
    <row r="1788" spans="1:9" s="65" customFormat="1">
      <c r="A1788" s="72" t="s">
        <v>410</v>
      </c>
      <c r="B1788" s="73"/>
      <c r="C1788" s="73"/>
      <c r="D1788" s="73"/>
      <c r="E1788" s="73"/>
      <c r="F1788"/>
      <c r="G1788" s="74"/>
      <c r="H1788" s="108"/>
      <c r="I1788" s="71"/>
    </row>
    <row r="1789" spans="1:9" s="65" customFormat="1">
      <c r="A1789" s="75" t="s">
        <v>391</v>
      </c>
      <c r="B1789" s="76" t="s">
        <v>392</v>
      </c>
      <c r="C1789" s="76" t="s">
        <v>393</v>
      </c>
      <c r="D1789" s="76" t="s">
        <v>394</v>
      </c>
      <c r="E1789" s="76" t="s">
        <v>395</v>
      </c>
      <c r="F1789" s="76" t="s">
        <v>396</v>
      </c>
      <c r="G1789" s="76" t="s">
        <v>397</v>
      </c>
      <c r="H1789" s="108"/>
      <c r="I1789" s="71"/>
    </row>
    <row r="1790" spans="1:9" s="65" customFormat="1">
      <c r="A1790" s="125" t="s">
        <v>478</v>
      </c>
      <c r="B1790" s="126" t="s">
        <v>479</v>
      </c>
      <c r="C1790" s="127" t="s">
        <v>426</v>
      </c>
      <c r="D1790" s="107">
        <f>5627*6+10300+15000</f>
        <v>59062</v>
      </c>
      <c r="E1790" s="79">
        <v>4.5</v>
      </c>
      <c r="F1790" s="79">
        <v>0</v>
      </c>
      <c r="G1790" s="107">
        <f>(D1790*E1790)+((D1790*E1790)*F1790/100)</f>
        <v>265779</v>
      </c>
      <c r="H1790" s="108"/>
      <c r="I1790" s="71"/>
    </row>
    <row r="1791" spans="1:9" s="65" customFormat="1">
      <c r="A1791" s="90"/>
      <c r="B1791" s="91"/>
      <c r="C1791" s="91"/>
      <c r="D1791" s="91"/>
      <c r="E1791" s="91"/>
      <c r="F1791"/>
      <c r="G1791" s="93" t="s">
        <v>407</v>
      </c>
      <c r="H1791" s="107">
        <f>SUM(G1790:G1790)</f>
        <v>265779</v>
      </c>
      <c r="I1791" s="71"/>
    </row>
    <row r="1792" spans="1:9" s="65" customFormat="1">
      <c r="A1792" s="72" t="s">
        <v>411</v>
      </c>
      <c r="B1792" s="73"/>
      <c r="C1792" s="73"/>
      <c r="D1792" s="73"/>
      <c r="E1792" s="73"/>
      <c r="F1792"/>
      <c r="G1792" s="74"/>
      <c r="H1792" s="108"/>
      <c r="I1792" s="71"/>
    </row>
    <row r="1793" spans="1:9" s="65" customFormat="1">
      <c r="A1793" s="75" t="s">
        <v>391</v>
      </c>
      <c r="B1793" s="76" t="s">
        <v>392</v>
      </c>
      <c r="C1793" s="76" t="s">
        <v>393</v>
      </c>
      <c r="D1793" s="76" t="s">
        <v>394</v>
      </c>
      <c r="E1793" s="76" t="s">
        <v>395</v>
      </c>
      <c r="F1793" s="76" t="s">
        <v>396</v>
      </c>
      <c r="G1793" s="76" t="s">
        <v>397</v>
      </c>
      <c r="H1793" s="108"/>
      <c r="I1793" s="71"/>
    </row>
    <row r="1794" spans="1:9" s="65" customFormat="1">
      <c r="A1794" s="87" t="s">
        <v>409</v>
      </c>
      <c r="B1794" s="114" t="s">
        <v>409</v>
      </c>
      <c r="C1794" s="114" t="s">
        <v>409</v>
      </c>
      <c r="D1794" s="114" t="s">
        <v>409</v>
      </c>
      <c r="E1794" s="114" t="s">
        <v>409</v>
      </c>
      <c r="F1794" s="79" t="s">
        <v>409</v>
      </c>
      <c r="G1794" s="89" t="s">
        <v>409</v>
      </c>
      <c r="H1794" s="108"/>
      <c r="I1794" s="71"/>
    </row>
    <row r="1795" spans="1:9" s="65" customFormat="1">
      <c r="A1795" s="94"/>
      <c r="B1795" s="95"/>
      <c r="C1795" s="95"/>
      <c r="D1795" s="95"/>
      <c r="E1795" s="95"/>
      <c r="F1795"/>
      <c r="G1795" s="93" t="s">
        <v>407</v>
      </c>
      <c r="H1795" s="107">
        <f>SUM(G1793:G1794)</f>
        <v>0</v>
      </c>
      <c r="I1795" s="71"/>
    </row>
    <row r="1796" spans="1:9" s="65" customFormat="1">
      <c r="A1796" s="94"/>
      <c r="B1796" s="95"/>
      <c r="C1796" s="95"/>
      <c r="D1796" s="95"/>
      <c r="E1796" s="95"/>
      <c r="F1796"/>
      <c r="G1796" s="74"/>
      <c r="H1796" s="74"/>
      <c r="I1796" s="71"/>
    </row>
    <row r="1797" spans="1:9" s="65" customFormat="1">
      <c r="A1797" s="96"/>
      <c r="B1797" s="97"/>
      <c r="C1797" s="98"/>
      <c r="D1797" s="98"/>
      <c r="E1797" s="98"/>
      <c r="F1797"/>
      <c r="G1797" s="99" t="s">
        <v>412</v>
      </c>
      <c r="H1797" s="115">
        <f>SUM(H1779:H1795)</f>
        <v>1209589.8</v>
      </c>
      <c r="I1797" s="71"/>
    </row>
    <row r="1798" spans="1:9" s="65" customFormat="1">
      <c r="A1798" s="96"/>
      <c r="B1798" s="97"/>
      <c r="C1798" s="98"/>
      <c r="D1798" s="98"/>
      <c r="E1798" s="98"/>
      <c r="F1798" s="101"/>
      <c r="G1798" s="116"/>
      <c r="H1798" s="70"/>
      <c r="I1798" s="71"/>
    </row>
    <row r="1799" spans="1:9" s="65" customFormat="1" ht="15.75" thickBot="1">
      <c r="A1799" s="624" t="s">
        <v>502</v>
      </c>
      <c r="B1799" s="625"/>
      <c r="C1799" s="625"/>
      <c r="D1799" s="625"/>
      <c r="E1799" s="625"/>
      <c r="F1799" s="625"/>
      <c r="G1799" s="626"/>
      <c r="H1799" s="117">
        <f>+ROUND(H1797,0)</f>
        <v>1209590</v>
      </c>
      <c r="I1799" s="103"/>
    </row>
    <row r="1800" spans="1:9" s="65" customFormat="1">
      <c r="A1800" s="645"/>
      <c r="B1800" s="138"/>
      <c r="C1800" s="138"/>
      <c r="D1800" s="138"/>
      <c r="E1800" s="138"/>
      <c r="F1800" s="138"/>
      <c r="G1800" s="138"/>
      <c r="H1800" s="138"/>
      <c r="I1800" s="152"/>
    </row>
    <row r="1801" spans="1:9" s="65" customFormat="1">
      <c r="A1801" s="645"/>
      <c r="B1801" s="138"/>
      <c r="C1801" s="138"/>
      <c r="D1801" s="138"/>
      <c r="E1801" s="138"/>
      <c r="F1801" s="138"/>
      <c r="G1801" s="138"/>
    </row>
    <row r="1802" spans="1:9" s="65" customFormat="1" ht="15.75" thickBot="1">
      <c r="A1802" s="69"/>
      <c r="B1802" s="69"/>
      <c r="C1802" s="69"/>
      <c r="D1802" s="69"/>
      <c r="E1802" s="69"/>
    </row>
    <row r="1803" spans="1:9" s="65" customFormat="1">
      <c r="A1803" s="627"/>
      <c r="B1803" s="629" t="s">
        <v>1166</v>
      </c>
      <c r="C1803" s="630"/>
      <c r="D1803" s="630"/>
      <c r="E1803" s="630"/>
      <c r="F1803" s="630"/>
      <c r="G1803" s="630"/>
      <c r="H1803" s="630"/>
      <c r="I1803" s="66" t="s">
        <v>389</v>
      </c>
    </row>
    <row r="1804" spans="1:9" s="65" customFormat="1">
      <c r="A1804" s="628"/>
      <c r="B1804" s="631"/>
      <c r="C1804" s="632"/>
      <c r="D1804" s="632"/>
      <c r="E1804" s="632"/>
      <c r="F1804" s="632"/>
      <c r="G1804" s="632"/>
      <c r="H1804" s="632"/>
      <c r="I1804" s="67" t="s">
        <v>7</v>
      </c>
    </row>
    <row r="1805" spans="1:9" s="65" customFormat="1">
      <c r="A1805" s="68"/>
      <c r="B1805" s="69" t="s">
        <v>533</v>
      </c>
      <c r="C1805" s="69"/>
      <c r="D1805" s="69"/>
      <c r="E1805" s="69"/>
      <c r="F1805" s="70"/>
      <c r="G1805" s="70"/>
      <c r="H1805" s="70"/>
      <c r="I1805" s="71"/>
    </row>
    <row r="1806" spans="1:9" s="65" customFormat="1">
      <c r="A1806" s="72" t="s">
        <v>390</v>
      </c>
      <c r="B1806" s="73"/>
      <c r="C1806" s="73"/>
      <c r="D1806" s="73"/>
      <c r="E1806" s="73"/>
      <c r="F1806" s="74"/>
      <c r="G1806" s="74"/>
      <c r="H1806" s="70"/>
      <c r="I1806" s="71"/>
    </row>
    <row r="1807" spans="1:9" s="65" customFormat="1">
      <c r="A1807" s="75" t="s">
        <v>391</v>
      </c>
      <c r="B1807" s="76" t="s">
        <v>392</v>
      </c>
      <c r="C1807" s="76" t="s">
        <v>393</v>
      </c>
      <c r="D1807" s="76" t="s">
        <v>394</v>
      </c>
      <c r="E1807" s="76" t="s">
        <v>395</v>
      </c>
      <c r="F1807" s="76" t="s">
        <v>396</v>
      </c>
      <c r="G1807" s="76" t="s">
        <v>397</v>
      </c>
      <c r="H1807" s="74"/>
      <c r="I1807" s="71"/>
    </row>
    <row r="1808" spans="1:9" s="65" customFormat="1">
      <c r="A1808" s="77" t="s">
        <v>404</v>
      </c>
      <c r="B1808" s="78" t="s">
        <v>405</v>
      </c>
      <c r="C1808" s="79" t="s">
        <v>406</v>
      </c>
      <c r="D1808" s="107">
        <v>1250</v>
      </c>
      <c r="E1808" s="79">
        <v>6</v>
      </c>
      <c r="F1808" s="79">
        <v>0</v>
      </c>
      <c r="G1808" s="107">
        <f>(D1808*E1808)+((D1808*E1808)*F1808/100)</f>
        <v>7500</v>
      </c>
      <c r="H1808" s="74"/>
      <c r="I1808" s="71"/>
    </row>
    <row r="1809" spans="1:9" s="65" customFormat="1">
      <c r="A1809" s="79" t="s">
        <v>467</v>
      </c>
      <c r="B1809" s="78" t="s">
        <v>468</v>
      </c>
      <c r="C1809" s="79" t="s">
        <v>437</v>
      </c>
      <c r="D1809" s="107">
        <v>35000</v>
      </c>
      <c r="E1809" s="79">
        <v>0.15</v>
      </c>
      <c r="F1809" s="79">
        <v>0</v>
      </c>
      <c r="G1809" s="107">
        <f>(D1809*E1809)+((D1809*E1809)*F1809/100)</f>
        <v>5250</v>
      </c>
      <c r="H1809" s="74"/>
      <c r="I1809" s="71"/>
    </row>
    <row r="1810" spans="1:9" s="65" customFormat="1">
      <c r="A1810" s="82"/>
      <c r="B1810" s="83"/>
      <c r="C1810" s="84"/>
      <c r="D1810" s="84"/>
      <c r="E1810" s="84"/>
      <c r="F1810"/>
      <c r="G1810" s="93" t="s">
        <v>407</v>
      </c>
      <c r="H1810" s="107">
        <f>SUM(G1808:G1809)</f>
        <v>12750</v>
      </c>
      <c r="I1810" s="71"/>
    </row>
    <row r="1811" spans="1:9" s="65" customFormat="1">
      <c r="A1811" s="72" t="s">
        <v>408</v>
      </c>
      <c r="B1811" s="73"/>
      <c r="C1811" s="73"/>
      <c r="D1811" s="73"/>
      <c r="E1811" s="73"/>
      <c r="F1811"/>
      <c r="G1811" s="74"/>
      <c r="H1811" s="108"/>
      <c r="I1811" s="71"/>
    </row>
    <row r="1812" spans="1:9" s="65" customFormat="1">
      <c r="A1812" s="75" t="s">
        <v>391</v>
      </c>
      <c r="B1812" s="76" t="s">
        <v>392</v>
      </c>
      <c r="C1812" s="76" t="s">
        <v>393</v>
      </c>
      <c r="D1812" s="76" t="s">
        <v>394</v>
      </c>
      <c r="E1812" s="76" t="s">
        <v>395</v>
      </c>
      <c r="F1812" s="76" t="s">
        <v>396</v>
      </c>
      <c r="G1812" s="76" t="s">
        <v>397</v>
      </c>
      <c r="H1812" s="108"/>
      <c r="I1812" s="71"/>
    </row>
    <row r="1813" spans="1:9" s="65" customFormat="1" ht="16.5">
      <c r="A1813" s="135">
        <v>3890</v>
      </c>
      <c r="B1813" s="204" t="s">
        <v>1133</v>
      </c>
      <c r="C1813" s="127" t="s">
        <v>406</v>
      </c>
      <c r="D1813" s="206">
        <v>150000</v>
      </c>
      <c r="E1813" s="79">
        <v>1.2</v>
      </c>
      <c r="F1813" s="79">
        <v>0</v>
      </c>
      <c r="G1813" s="206">
        <f t="shared" ref="G1813:G1817" si="11">(D1813*E1813)+((D1813*E1813)*F1813/100)</f>
        <v>180000</v>
      </c>
      <c r="H1813" s="108"/>
      <c r="I1813" s="71"/>
    </row>
    <row r="1814" spans="1:9" s="65" customFormat="1" ht="16.5">
      <c r="A1814" s="135">
        <v>3999</v>
      </c>
      <c r="B1814" s="204" t="s">
        <v>557</v>
      </c>
      <c r="C1814" s="127" t="s">
        <v>423</v>
      </c>
      <c r="D1814" s="206">
        <v>3201</v>
      </c>
      <c r="E1814" s="79">
        <v>60</v>
      </c>
      <c r="F1814" s="79">
        <v>0</v>
      </c>
      <c r="G1814" s="206">
        <f t="shared" si="11"/>
        <v>192060</v>
      </c>
      <c r="H1814" s="108"/>
      <c r="I1814" s="71"/>
    </row>
    <row r="1815" spans="1:9" s="65" customFormat="1" ht="16.5">
      <c r="A1815" s="135">
        <v>4600</v>
      </c>
      <c r="B1815" s="204" t="s">
        <v>558</v>
      </c>
      <c r="C1815" s="127" t="s">
        <v>423</v>
      </c>
      <c r="D1815" s="206">
        <v>3201</v>
      </c>
      <c r="E1815" s="79">
        <v>4</v>
      </c>
      <c r="F1815" s="79">
        <v>0</v>
      </c>
      <c r="G1815" s="206">
        <f t="shared" si="11"/>
        <v>12804</v>
      </c>
      <c r="H1815" s="108"/>
      <c r="I1815" s="71"/>
    </row>
    <row r="1816" spans="1:9" s="65" customFormat="1" ht="16.5">
      <c r="A1816" s="135" t="s">
        <v>459</v>
      </c>
      <c r="B1816" s="204" t="s">
        <v>550</v>
      </c>
      <c r="C1816" s="127" t="s">
        <v>454</v>
      </c>
      <c r="D1816" s="206">
        <f>+H247</f>
        <v>281819</v>
      </c>
      <c r="E1816" s="79">
        <v>2.4</v>
      </c>
      <c r="F1816" s="79">
        <v>0</v>
      </c>
      <c r="G1816" s="206">
        <f t="shared" si="11"/>
        <v>676365.6</v>
      </c>
      <c r="H1816" s="108"/>
      <c r="I1816" s="71"/>
    </row>
    <row r="1817" spans="1:9" s="65" customFormat="1" ht="16.5">
      <c r="A1817" s="135" t="s">
        <v>559</v>
      </c>
      <c r="B1817" s="204" t="s">
        <v>560</v>
      </c>
      <c r="C1817" s="127" t="s">
        <v>454</v>
      </c>
      <c r="D1817" s="206">
        <v>220000</v>
      </c>
      <c r="E1817" s="79">
        <v>0.01</v>
      </c>
      <c r="F1817" s="79">
        <v>0</v>
      </c>
      <c r="G1817" s="206">
        <f t="shared" si="11"/>
        <v>2200</v>
      </c>
      <c r="H1817" s="108"/>
      <c r="I1817" s="71"/>
    </row>
    <row r="1818" spans="1:9" s="65" customFormat="1">
      <c r="A1818" s="90"/>
      <c r="B1818" s="91"/>
      <c r="C1818" s="91"/>
      <c r="D1818" s="91"/>
      <c r="E1818" s="91"/>
      <c r="F1818"/>
      <c r="G1818" s="85" t="s">
        <v>407</v>
      </c>
      <c r="H1818" s="107">
        <f>SUM(G1813:G1817)</f>
        <v>1063429.6000000001</v>
      </c>
      <c r="I1818" s="71"/>
    </row>
    <row r="1819" spans="1:9" s="65" customFormat="1">
      <c r="A1819" s="72" t="s">
        <v>410</v>
      </c>
      <c r="B1819" s="73"/>
      <c r="C1819" s="73"/>
      <c r="D1819" s="73"/>
      <c r="E1819" s="73"/>
      <c r="F1819"/>
      <c r="G1819" s="74"/>
      <c r="H1819" s="108"/>
      <c r="I1819" s="71"/>
    </row>
    <row r="1820" spans="1:9" s="65" customFormat="1">
      <c r="A1820" s="75" t="s">
        <v>391</v>
      </c>
      <c r="B1820" s="76" t="s">
        <v>392</v>
      </c>
      <c r="C1820" s="76" t="s">
        <v>393</v>
      </c>
      <c r="D1820" s="76" t="s">
        <v>394</v>
      </c>
      <c r="E1820" s="76" t="s">
        <v>395</v>
      </c>
      <c r="F1820" s="76" t="s">
        <v>396</v>
      </c>
      <c r="G1820" s="76" t="s">
        <v>397</v>
      </c>
      <c r="H1820" s="108"/>
      <c r="I1820" s="71"/>
    </row>
    <row r="1821" spans="1:9" s="65" customFormat="1">
      <c r="A1821" s="125" t="s">
        <v>478</v>
      </c>
      <c r="B1821" s="126" t="s">
        <v>479</v>
      </c>
      <c r="C1821" s="127" t="s">
        <v>426</v>
      </c>
      <c r="D1821" s="107">
        <f>5627*6+10300+15000</f>
        <v>59062</v>
      </c>
      <c r="E1821" s="79">
        <v>5.2</v>
      </c>
      <c r="F1821" s="79">
        <v>0</v>
      </c>
      <c r="G1821" s="107">
        <f>(D1821*E1821)+((D1821*E1821)*F1821/100)</f>
        <v>307122.40000000002</v>
      </c>
      <c r="H1821" s="108"/>
      <c r="I1821" s="71"/>
    </row>
    <row r="1822" spans="1:9" s="65" customFormat="1">
      <c r="A1822" s="90"/>
      <c r="B1822" s="91"/>
      <c r="C1822" s="91"/>
      <c r="D1822" s="91"/>
      <c r="E1822" s="91"/>
      <c r="F1822"/>
      <c r="G1822" s="93" t="s">
        <v>407</v>
      </c>
      <c r="H1822" s="107">
        <f>SUM(G1821:G1821)</f>
        <v>307122.40000000002</v>
      </c>
      <c r="I1822" s="71"/>
    </row>
    <row r="1823" spans="1:9" s="65" customFormat="1">
      <c r="A1823" s="72" t="s">
        <v>411</v>
      </c>
      <c r="B1823" s="73"/>
      <c r="C1823" s="73"/>
      <c r="D1823" s="73"/>
      <c r="E1823" s="73"/>
      <c r="F1823"/>
      <c r="G1823" s="74"/>
      <c r="H1823" s="108"/>
      <c r="I1823" s="71"/>
    </row>
    <row r="1824" spans="1:9" s="65" customFormat="1" ht="41.25" customHeight="1">
      <c r="A1824" s="75" t="s">
        <v>391</v>
      </c>
      <c r="B1824" s="76" t="s">
        <v>392</v>
      </c>
      <c r="C1824" s="76" t="s">
        <v>393</v>
      </c>
      <c r="D1824" s="76" t="s">
        <v>394</v>
      </c>
      <c r="E1824" s="76" t="s">
        <v>395</v>
      </c>
      <c r="F1824" s="76" t="s">
        <v>396</v>
      </c>
      <c r="G1824" s="76" t="s">
        <v>397</v>
      </c>
      <c r="H1824" s="108"/>
      <c r="I1824" s="71"/>
    </row>
    <row r="1825" spans="1:9" s="65" customFormat="1">
      <c r="A1825" s="87" t="s">
        <v>409</v>
      </c>
      <c r="B1825" s="114" t="s">
        <v>409</v>
      </c>
      <c r="C1825" s="114" t="s">
        <v>409</v>
      </c>
      <c r="D1825" s="114" t="s">
        <v>409</v>
      </c>
      <c r="E1825" s="114" t="s">
        <v>409</v>
      </c>
      <c r="F1825" s="79" t="s">
        <v>409</v>
      </c>
      <c r="G1825" s="89" t="s">
        <v>409</v>
      </c>
      <c r="H1825" s="108"/>
      <c r="I1825" s="71"/>
    </row>
    <row r="1826" spans="1:9" s="65" customFormat="1">
      <c r="A1826" s="94"/>
      <c r="B1826" s="95"/>
      <c r="C1826" s="95"/>
      <c r="D1826" s="95"/>
      <c r="E1826" s="95"/>
      <c r="F1826"/>
      <c r="G1826" s="93" t="s">
        <v>407</v>
      </c>
      <c r="H1826" s="107">
        <f>SUM(G1824:G1825)</f>
        <v>0</v>
      </c>
      <c r="I1826" s="71"/>
    </row>
    <row r="1827" spans="1:9" s="65" customFormat="1">
      <c r="A1827" s="94"/>
      <c r="B1827" s="95"/>
      <c r="C1827" s="95"/>
      <c r="D1827" s="95"/>
      <c r="E1827" s="95"/>
      <c r="F1827"/>
      <c r="G1827" s="74"/>
      <c r="H1827" s="74"/>
      <c r="I1827" s="71"/>
    </row>
    <row r="1828" spans="1:9" s="65" customFormat="1">
      <c r="A1828" s="96"/>
      <c r="B1828" s="97"/>
      <c r="C1828" s="98"/>
      <c r="D1828" s="98"/>
      <c r="E1828" s="98"/>
      <c r="F1828"/>
      <c r="G1828" s="99" t="s">
        <v>412</v>
      </c>
      <c r="H1828" s="115">
        <f>SUM(H1810:H1826)</f>
        <v>1383302</v>
      </c>
      <c r="I1828" s="71"/>
    </row>
    <row r="1829" spans="1:9" s="65" customFormat="1">
      <c r="A1829" s="96"/>
      <c r="B1829" s="97"/>
      <c r="C1829" s="98"/>
      <c r="D1829" s="98"/>
      <c r="E1829" s="98"/>
      <c r="F1829" s="101"/>
      <c r="G1829" s="116"/>
      <c r="H1829" s="70"/>
      <c r="I1829" s="71"/>
    </row>
    <row r="1830" spans="1:9" s="65" customFormat="1" ht="15.75" thickBot="1">
      <c r="A1830" s="624" t="s">
        <v>502</v>
      </c>
      <c r="B1830" s="625"/>
      <c r="C1830" s="625"/>
      <c r="D1830" s="625"/>
      <c r="E1830" s="625"/>
      <c r="F1830" s="625"/>
      <c r="G1830" s="626"/>
      <c r="H1830" s="117">
        <f>+ROUND(H1828,0)</f>
        <v>1383302</v>
      </c>
      <c r="I1830" s="103"/>
    </row>
    <row r="1831" spans="1:9" s="65" customFormat="1">
      <c r="A1831" s="120"/>
      <c r="B1831" s="73"/>
      <c r="C1831" s="73"/>
      <c r="D1831" s="73"/>
      <c r="E1831" s="73"/>
      <c r="G1831" s="121"/>
      <c r="H1831" s="140"/>
    </row>
    <row r="1832" spans="1:9" s="65" customFormat="1" ht="15.75" thickBot="1">
      <c r="A1832" s="128"/>
      <c r="B1832" s="141"/>
      <c r="C1832" s="141"/>
      <c r="D1832" s="141"/>
      <c r="E1832" s="141"/>
      <c r="F1832" s="141"/>
      <c r="G1832" s="141"/>
      <c r="H1832" s="140"/>
    </row>
    <row r="1833" spans="1:9" s="65" customFormat="1">
      <c r="A1833" s="627"/>
      <c r="B1833" s="634" t="s">
        <v>376</v>
      </c>
      <c r="C1833" s="635"/>
      <c r="D1833" s="635"/>
      <c r="E1833" s="635"/>
      <c r="F1833" s="635"/>
      <c r="G1833" s="635"/>
      <c r="H1833" s="636"/>
      <c r="I1833" s="66" t="s">
        <v>389</v>
      </c>
    </row>
    <row r="1834" spans="1:9" s="65" customFormat="1">
      <c r="A1834" s="628"/>
      <c r="B1834" s="637"/>
      <c r="C1834" s="638"/>
      <c r="D1834" s="638"/>
      <c r="E1834" s="638"/>
      <c r="F1834" s="638"/>
      <c r="G1834" s="638"/>
      <c r="H1834" s="639"/>
      <c r="I1834" s="67" t="s">
        <v>7</v>
      </c>
    </row>
    <row r="1835" spans="1:9" s="65" customFormat="1">
      <c r="A1835" s="68"/>
      <c r="B1835" s="69"/>
      <c r="C1835" s="69"/>
      <c r="D1835" s="69"/>
      <c r="E1835" s="69"/>
      <c r="F1835" s="70"/>
      <c r="G1835" s="70"/>
      <c r="H1835" s="70"/>
      <c r="I1835" s="71"/>
    </row>
    <row r="1836" spans="1:9" s="65" customFormat="1">
      <c r="A1836" s="72" t="s">
        <v>390</v>
      </c>
      <c r="B1836" s="73"/>
      <c r="C1836" s="73"/>
      <c r="D1836" s="73"/>
      <c r="E1836" s="73"/>
      <c r="F1836" s="74"/>
      <c r="G1836" s="74"/>
      <c r="H1836" s="70"/>
      <c r="I1836" s="71"/>
    </row>
    <row r="1837" spans="1:9" s="65" customFormat="1">
      <c r="A1837" s="75" t="s">
        <v>391</v>
      </c>
      <c r="B1837" s="76" t="s">
        <v>392</v>
      </c>
      <c r="C1837" s="76" t="s">
        <v>393</v>
      </c>
      <c r="D1837" s="76" t="s">
        <v>394</v>
      </c>
      <c r="E1837" s="76" t="s">
        <v>395</v>
      </c>
      <c r="F1837" s="76" t="s">
        <v>396</v>
      </c>
      <c r="G1837" s="76" t="s">
        <v>397</v>
      </c>
      <c r="H1837" s="74"/>
      <c r="I1837" s="71"/>
    </row>
    <row r="1838" spans="1:9" s="65" customFormat="1">
      <c r="A1838" s="77" t="s">
        <v>404</v>
      </c>
      <c r="B1838" s="78" t="s">
        <v>405</v>
      </c>
      <c r="C1838" s="79" t="s">
        <v>406</v>
      </c>
      <c r="D1838" s="107">
        <v>1250</v>
      </c>
      <c r="E1838" s="79">
        <v>10</v>
      </c>
      <c r="F1838" s="79">
        <v>0</v>
      </c>
      <c r="G1838" s="107">
        <f>(D1838*E1838)+((D1838*E1838)*F1838/100)</f>
        <v>12500</v>
      </c>
      <c r="H1838" s="74"/>
      <c r="I1838" s="71"/>
    </row>
    <row r="1839" spans="1:9" s="65" customFormat="1">
      <c r="A1839" s="82"/>
      <c r="B1839" s="83"/>
      <c r="C1839" s="84"/>
      <c r="D1839" s="84"/>
      <c r="E1839" s="84"/>
      <c r="F1839"/>
      <c r="G1839" s="93" t="s">
        <v>407</v>
      </c>
      <c r="H1839" s="107">
        <f>SUM(G1838:G1838)</f>
        <v>12500</v>
      </c>
      <c r="I1839" s="71"/>
    </row>
    <row r="1840" spans="1:9" s="65" customFormat="1">
      <c r="A1840" s="72" t="s">
        <v>408</v>
      </c>
      <c r="B1840" s="73"/>
      <c r="C1840" s="73"/>
      <c r="D1840" s="73"/>
      <c r="E1840" s="73"/>
      <c r="F1840"/>
      <c r="G1840" s="74"/>
      <c r="H1840" s="108"/>
      <c r="I1840" s="71"/>
    </row>
    <row r="1841" spans="1:9" s="65" customFormat="1">
      <c r="A1841" s="75" t="s">
        <v>391</v>
      </c>
      <c r="B1841" s="76" t="s">
        <v>392</v>
      </c>
      <c r="C1841" s="76" t="s">
        <v>393</v>
      </c>
      <c r="D1841" s="76" t="s">
        <v>394</v>
      </c>
      <c r="E1841" s="76" t="s">
        <v>395</v>
      </c>
      <c r="F1841" s="76" t="s">
        <v>396</v>
      </c>
      <c r="G1841" s="76" t="s">
        <v>397</v>
      </c>
      <c r="H1841" s="108"/>
      <c r="I1841" s="71"/>
    </row>
    <row r="1842" spans="1:9" s="65" customFormat="1">
      <c r="A1842" s="75"/>
      <c r="B1842" s="78" t="s">
        <v>1144</v>
      </c>
      <c r="C1842" s="79" t="s">
        <v>6</v>
      </c>
      <c r="D1842" s="107">
        <v>3201</v>
      </c>
      <c r="E1842" s="79">
        <f>+E1843*100</f>
        <v>120</v>
      </c>
      <c r="F1842" s="79">
        <v>0</v>
      </c>
      <c r="G1842" s="107">
        <f>(D1842*E1842)+((D1842*E1842)*F1842/100)</f>
        <v>384120</v>
      </c>
      <c r="H1842" s="108"/>
      <c r="I1842" s="71"/>
    </row>
    <row r="1843" spans="1:9" s="65" customFormat="1" ht="25.5">
      <c r="A1843" s="135" t="s">
        <v>501</v>
      </c>
      <c r="B1843" s="78" t="s">
        <v>464</v>
      </c>
      <c r="C1843" s="127" t="s">
        <v>432</v>
      </c>
      <c r="D1843" s="107">
        <f>+H247</f>
        <v>281819</v>
      </c>
      <c r="E1843" s="79">
        <v>1.2</v>
      </c>
      <c r="F1843" s="79">
        <v>5</v>
      </c>
      <c r="G1843" s="107">
        <f>(D1843*E1843)+((D1843*E1843)*F1843/100)</f>
        <v>355091.94</v>
      </c>
      <c r="H1843" s="108"/>
      <c r="I1843" s="71"/>
    </row>
    <row r="1844" spans="1:9" s="65" customFormat="1">
      <c r="A1844" s="139">
        <v>5000</v>
      </c>
      <c r="B1844" s="78" t="s">
        <v>484</v>
      </c>
      <c r="C1844" s="127" t="s">
        <v>73</v>
      </c>
      <c r="D1844" s="107">
        <v>150000</v>
      </c>
      <c r="E1844" s="79">
        <v>0.9</v>
      </c>
      <c r="F1844" s="79">
        <v>0</v>
      </c>
      <c r="G1844" s="107">
        <f>(D1844*E1844)+((D1844*E1844)*F1844/100)</f>
        <v>135000</v>
      </c>
      <c r="H1844" s="108"/>
      <c r="I1844" s="71"/>
    </row>
    <row r="1845" spans="1:9" s="65" customFormat="1">
      <c r="A1845" s="90"/>
      <c r="B1845" s="91"/>
      <c r="C1845" s="91"/>
      <c r="D1845" s="91"/>
      <c r="E1845" s="91"/>
      <c r="F1845"/>
      <c r="G1845" s="85" t="s">
        <v>407</v>
      </c>
      <c r="H1845" s="107">
        <f>SUM(G1842:G1844)</f>
        <v>874211.94</v>
      </c>
      <c r="I1845" s="71"/>
    </row>
    <row r="1846" spans="1:9" s="65" customFormat="1">
      <c r="A1846" s="72" t="s">
        <v>410</v>
      </c>
      <c r="B1846" s="73"/>
      <c r="C1846" s="73"/>
      <c r="D1846" s="73"/>
      <c r="E1846" s="73"/>
      <c r="F1846"/>
      <c r="G1846" s="74"/>
      <c r="H1846" s="108"/>
      <c r="I1846" s="71"/>
    </row>
    <row r="1847" spans="1:9" s="65" customFormat="1">
      <c r="A1847" s="75" t="s">
        <v>391</v>
      </c>
      <c r="B1847" s="76" t="s">
        <v>392</v>
      </c>
      <c r="C1847" s="76" t="s">
        <v>393</v>
      </c>
      <c r="D1847" s="76" t="s">
        <v>394</v>
      </c>
      <c r="E1847" s="76" t="s">
        <v>395</v>
      </c>
      <c r="F1847" s="76" t="s">
        <v>396</v>
      </c>
      <c r="G1847" s="76" t="s">
        <v>397</v>
      </c>
      <c r="H1847" s="108"/>
      <c r="I1847" s="71"/>
    </row>
    <row r="1848" spans="1:9" s="65" customFormat="1">
      <c r="A1848" s="125" t="s">
        <v>478</v>
      </c>
      <c r="B1848" s="126" t="s">
        <v>479</v>
      </c>
      <c r="C1848" s="127" t="s">
        <v>426</v>
      </c>
      <c r="D1848" s="107">
        <f>5627*6+10300+15000</f>
        <v>59062</v>
      </c>
      <c r="E1848" s="79">
        <v>4</v>
      </c>
      <c r="F1848" s="79">
        <v>0</v>
      </c>
      <c r="G1848" s="107">
        <f>(D1848*E1848)+((D1848*E1848)*F1848/100)</f>
        <v>236248</v>
      </c>
      <c r="H1848" s="108"/>
      <c r="I1848" s="149"/>
    </row>
    <row r="1849" spans="1:9" s="65" customFormat="1">
      <c r="A1849" s="90"/>
      <c r="B1849" s="91"/>
      <c r="C1849" s="91"/>
      <c r="D1849" s="91"/>
      <c r="E1849" s="91"/>
      <c r="F1849"/>
      <c r="G1849" s="93" t="s">
        <v>407</v>
      </c>
      <c r="H1849" s="107">
        <f>SUM(G1848:G1848)</f>
        <v>236248</v>
      </c>
      <c r="I1849" s="71"/>
    </row>
    <row r="1850" spans="1:9" s="65" customFormat="1">
      <c r="A1850" s="72" t="s">
        <v>411</v>
      </c>
      <c r="B1850" s="73"/>
      <c r="C1850" s="73"/>
      <c r="D1850" s="73"/>
      <c r="E1850" s="73"/>
      <c r="F1850"/>
      <c r="G1850" s="74"/>
      <c r="H1850" s="108"/>
      <c r="I1850" s="71"/>
    </row>
    <row r="1851" spans="1:9" s="65" customFormat="1">
      <c r="A1851" s="75" t="s">
        <v>391</v>
      </c>
      <c r="B1851" s="76" t="s">
        <v>392</v>
      </c>
      <c r="C1851" s="76" t="s">
        <v>393</v>
      </c>
      <c r="D1851" s="76" t="s">
        <v>394</v>
      </c>
      <c r="E1851" s="76" t="s">
        <v>395</v>
      </c>
      <c r="F1851" s="76" t="s">
        <v>396</v>
      </c>
      <c r="G1851" s="76" t="s">
        <v>397</v>
      </c>
      <c r="H1851" s="108"/>
      <c r="I1851" s="71"/>
    </row>
    <row r="1852" spans="1:9" s="65" customFormat="1">
      <c r="A1852" s="87" t="s">
        <v>409</v>
      </c>
      <c r="B1852" s="114" t="s">
        <v>409</v>
      </c>
      <c r="C1852" s="114" t="s">
        <v>409</v>
      </c>
      <c r="D1852" s="114" t="s">
        <v>409</v>
      </c>
      <c r="E1852" s="114" t="s">
        <v>409</v>
      </c>
      <c r="F1852" s="79" t="s">
        <v>409</v>
      </c>
      <c r="G1852" s="89" t="s">
        <v>409</v>
      </c>
      <c r="H1852" s="108"/>
      <c r="I1852" s="71"/>
    </row>
    <row r="1853" spans="1:9" s="65" customFormat="1">
      <c r="A1853" s="94"/>
      <c r="B1853" s="95"/>
      <c r="C1853" s="95"/>
      <c r="D1853" s="95"/>
      <c r="E1853" s="95"/>
      <c r="F1853"/>
      <c r="G1853" s="93" t="s">
        <v>407</v>
      </c>
      <c r="H1853" s="107">
        <f>SUM(G1851:G1852)</f>
        <v>0</v>
      </c>
      <c r="I1853" s="71"/>
    </row>
    <row r="1854" spans="1:9" s="65" customFormat="1">
      <c r="A1854" s="94"/>
      <c r="B1854" s="95"/>
      <c r="C1854" s="95"/>
      <c r="D1854" s="95"/>
      <c r="E1854" s="95"/>
      <c r="F1854"/>
      <c r="G1854" s="74"/>
      <c r="H1854" s="74"/>
      <c r="I1854" s="71"/>
    </row>
    <row r="1855" spans="1:9" s="65" customFormat="1">
      <c r="A1855" s="96"/>
      <c r="B1855" s="97"/>
      <c r="C1855" s="98"/>
      <c r="D1855" s="98"/>
      <c r="E1855" s="98"/>
      <c r="F1855"/>
      <c r="G1855" s="99" t="s">
        <v>412</v>
      </c>
      <c r="H1855" s="115">
        <f>SUM(H1839:H1853)</f>
        <v>1122959.94</v>
      </c>
      <c r="I1855" s="71"/>
    </row>
    <row r="1856" spans="1:9" s="65" customFormat="1">
      <c r="A1856" s="96"/>
      <c r="B1856" s="97"/>
      <c r="C1856" s="98"/>
      <c r="D1856" s="98"/>
      <c r="E1856" s="98"/>
      <c r="F1856" s="101"/>
      <c r="G1856" s="116"/>
      <c r="H1856" s="70"/>
      <c r="I1856" s="71"/>
    </row>
    <row r="1857" spans="1:9" s="65" customFormat="1" ht="15.75" thickBot="1">
      <c r="A1857" s="624" t="s">
        <v>502</v>
      </c>
      <c r="B1857" s="625"/>
      <c r="C1857" s="625"/>
      <c r="D1857" s="625"/>
      <c r="E1857" s="625"/>
      <c r="F1857" s="625"/>
      <c r="G1857" s="626"/>
      <c r="H1857" s="117">
        <f>+ROUND(H1855,0)</f>
        <v>1122960</v>
      </c>
      <c r="I1857" s="103"/>
    </row>
    <row r="1858" spans="1:9" s="65" customFormat="1">
      <c r="A1858" s="91"/>
      <c r="B1858" s="91"/>
      <c r="C1858" s="91"/>
      <c r="D1858" s="91"/>
      <c r="E1858" s="91"/>
      <c r="G1858" s="104"/>
      <c r="H1858" s="140"/>
    </row>
    <row r="1859" spans="1:9" s="65" customFormat="1" ht="15.75" thickBot="1">
      <c r="A1859" s="120"/>
      <c r="B1859" s="73"/>
      <c r="C1859" s="73"/>
      <c r="D1859" s="73"/>
      <c r="E1859" s="73"/>
      <c r="G1859" s="121"/>
      <c r="H1859" s="140"/>
    </row>
    <row r="1860" spans="1:9" s="65" customFormat="1">
      <c r="A1860" s="627">
        <v>110105</v>
      </c>
      <c r="B1860" s="629" t="s">
        <v>1193</v>
      </c>
      <c r="C1860" s="630"/>
      <c r="D1860" s="630"/>
      <c r="E1860" s="630"/>
      <c r="F1860" s="630"/>
      <c r="G1860" s="630"/>
      <c r="H1860" s="630"/>
      <c r="I1860" s="66" t="s">
        <v>389</v>
      </c>
    </row>
    <row r="1861" spans="1:9" s="65" customFormat="1">
      <c r="A1861" s="628"/>
      <c r="B1861" s="631"/>
      <c r="C1861" s="632"/>
      <c r="D1861" s="632"/>
      <c r="E1861" s="632"/>
      <c r="F1861" s="632"/>
      <c r="G1861" s="632"/>
      <c r="H1861" s="632"/>
      <c r="I1861" s="67" t="s">
        <v>7</v>
      </c>
    </row>
    <row r="1862" spans="1:9" s="65" customFormat="1">
      <c r="A1862" s="68"/>
      <c r="B1862" s="69" t="s">
        <v>533</v>
      </c>
      <c r="C1862" s="69"/>
      <c r="D1862" s="69"/>
      <c r="E1862" s="69"/>
      <c r="F1862" s="70"/>
      <c r="G1862" s="70"/>
      <c r="H1862" s="70"/>
      <c r="I1862" s="71"/>
    </row>
    <row r="1863" spans="1:9" s="65" customFormat="1">
      <c r="A1863" s="72" t="s">
        <v>390</v>
      </c>
      <c r="B1863" s="73"/>
      <c r="C1863" s="73"/>
      <c r="D1863" s="73"/>
      <c r="E1863" s="73"/>
      <c r="F1863" s="74"/>
      <c r="G1863" s="74"/>
      <c r="H1863" s="70"/>
      <c r="I1863" s="71"/>
    </row>
    <row r="1864" spans="1:9" s="65" customFormat="1">
      <c r="A1864" s="75" t="s">
        <v>391</v>
      </c>
      <c r="B1864" s="76" t="s">
        <v>392</v>
      </c>
      <c r="C1864" s="76" t="s">
        <v>393</v>
      </c>
      <c r="D1864" s="76" t="s">
        <v>394</v>
      </c>
      <c r="E1864" s="76" t="s">
        <v>395</v>
      </c>
      <c r="F1864" s="76" t="s">
        <v>396</v>
      </c>
      <c r="G1864" s="76" t="s">
        <v>397</v>
      </c>
      <c r="H1864" s="74"/>
      <c r="I1864" s="71"/>
    </row>
    <row r="1865" spans="1:9" s="65" customFormat="1" ht="16.5">
      <c r="A1865" s="135" t="s">
        <v>404</v>
      </c>
      <c r="B1865" s="204" t="s">
        <v>405</v>
      </c>
      <c r="C1865" s="127" t="s">
        <v>523</v>
      </c>
      <c r="D1865" s="206">
        <v>1250</v>
      </c>
      <c r="E1865" s="79">
        <v>1.2999999999999999E-2</v>
      </c>
      <c r="F1865" s="79">
        <v>0</v>
      </c>
      <c r="G1865" s="206">
        <f>(D1865*E1865)+((D1865*E1865)*F1865/100)</f>
        <v>16.25</v>
      </c>
      <c r="H1865" s="74"/>
      <c r="I1865" s="71"/>
    </row>
    <row r="1866" spans="1:9" s="65" customFormat="1" ht="33">
      <c r="A1866" s="135" t="s">
        <v>452</v>
      </c>
      <c r="B1866" s="204" t="s">
        <v>453</v>
      </c>
      <c r="C1866" s="127" t="s">
        <v>454</v>
      </c>
      <c r="D1866" s="206">
        <v>6000</v>
      </c>
      <c r="E1866" s="79">
        <v>0.53100000000000003</v>
      </c>
      <c r="F1866" s="79">
        <v>0</v>
      </c>
      <c r="G1866" s="206">
        <f>(D1866*E1866)+((D1866*E1866)*F1866/100)</f>
        <v>3186</v>
      </c>
      <c r="H1866" s="74"/>
      <c r="I1866" s="71"/>
    </row>
    <row r="1867" spans="1:9" s="65" customFormat="1">
      <c r="A1867" s="82"/>
      <c r="B1867" s="83"/>
      <c r="C1867" s="84"/>
      <c r="D1867" s="84"/>
      <c r="E1867" s="84"/>
      <c r="F1867"/>
      <c r="G1867" s="93" t="s">
        <v>407</v>
      </c>
      <c r="H1867" s="107">
        <f>SUM(G1865:G1866)</f>
        <v>3202.25</v>
      </c>
      <c r="I1867" s="71"/>
    </row>
    <row r="1868" spans="1:9" s="65" customFormat="1">
      <c r="A1868" s="72" t="s">
        <v>408</v>
      </c>
      <c r="B1868" s="73"/>
      <c r="C1868" s="73"/>
      <c r="D1868" s="73"/>
      <c r="E1868" s="73"/>
      <c r="F1868"/>
      <c r="G1868" s="74"/>
      <c r="H1868" s="108"/>
      <c r="I1868" s="71"/>
    </row>
    <row r="1869" spans="1:9" s="65" customFormat="1">
      <c r="A1869" s="75" t="s">
        <v>391</v>
      </c>
      <c r="B1869" s="76" t="s">
        <v>392</v>
      </c>
      <c r="C1869" s="76" t="s">
        <v>393</v>
      </c>
      <c r="D1869" s="76" t="s">
        <v>394</v>
      </c>
      <c r="E1869" s="76" t="s">
        <v>395</v>
      </c>
      <c r="F1869" s="76" t="s">
        <v>396</v>
      </c>
      <c r="G1869" s="76" t="s">
        <v>397</v>
      </c>
      <c r="H1869" s="108"/>
      <c r="I1869" s="71"/>
    </row>
    <row r="1870" spans="1:9" s="65" customFormat="1" ht="16.5">
      <c r="A1870" s="135">
        <v>2556</v>
      </c>
      <c r="B1870" s="204" t="s">
        <v>556</v>
      </c>
      <c r="C1870" s="127" t="s">
        <v>157</v>
      </c>
      <c r="D1870" s="206">
        <v>7100</v>
      </c>
      <c r="E1870" s="79">
        <v>6</v>
      </c>
      <c r="F1870" s="79">
        <v>0</v>
      </c>
      <c r="G1870" s="206">
        <f>(D1870*E1870)+((D1870*E1870)*F1870/100)</f>
        <v>42600</v>
      </c>
      <c r="H1870" s="108"/>
      <c r="I1870" s="71"/>
    </row>
    <row r="1871" spans="1:9" s="65" customFormat="1" ht="16.5">
      <c r="A1871" s="135">
        <v>111</v>
      </c>
      <c r="B1871" s="204" t="s">
        <v>571</v>
      </c>
      <c r="C1871" s="127" t="s">
        <v>423</v>
      </c>
      <c r="D1871" s="206">
        <v>3100</v>
      </c>
      <c r="E1871" s="79">
        <v>0.01</v>
      </c>
      <c r="F1871" s="79">
        <v>5</v>
      </c>
      <c r="G1871" s="206">
        <f>(D1871*E1871)+((D1871*E1871)*F1871/100)</f>
        <v>32.549999999999997</v>
      </c>
      <c r="H1871" s="108"/>
      <c r="I1871" s="71"/>
    </row>
    <row r="1872" spans="1:9" s="65" customFormat="1" ht="16.5">
      <c r="A1872" s="135">
        <v>2414</v>
      </c>
      <c r="B1872" s="204" t="s">
        <v>549</v>
      </c>
      <c r="C1872" s="127" t="s">
        <v>454</v>
      </c>
      <c r="D1872" s="206">
        <v>5500</v>
      </c>
      <c r="E1872" s="79">
        <v>0.09</v>
      </c>
      <c r="F1872" s="79">
        <v>0</v>
      </c>
      <c r="G1872" s="206">
        <f>(D1872*E1872)+((D1872*E1872)*F1872/100)</f>
        <v>495</v>
      </c>
      <c r="H1872" s="108"/>
      <c r="I1872" s="71"/>
    </row>
    <row r="1873" spans="1:9" s="65" customFormat="1" ht="16.5">
      <c r="A1873" s="135">
        <v>3999</v>
      </c>
      <c r="B1873" s="204" t="s">
        <v>573</v>
      </c>
      <c r="C1873" s="127" t="s">
        <v>423</v>
      </c>
      <c r="D1873" s="206">
        <v>2300</v>
      </c>
      <c r="E1873" s="79">
        <v>6</v>
      </c>
      <c r="F1873" s="79">
        <v>5</v>
      </c>
      <c r="G1873" s="206">
        <f>(D1873*E1873)+((D1873*E1873)*F1873/100)</f>
        <v>14490</v>
      </c>
      <c r="H1873" s="108"/>
      <c r="I1873" s="71"/>
    </row>
    <row r="1874" spans="1:9" s="65" customFormat="1" ht="16.5">
      <c r="A1874" s="135" t="s">
        <v>459</v>
      </c>
      <c r="B1874" s="204" t="s">
        <v>550</v>
      </c>
      <c r="C1874" s="127" t="s">
        <v>454</v>
      </c>
      <c r="D1874" s="206">
        <f>+H247</f>
        <v>281819</v>
      </c>
      <c r="E1874" s="79">
        <v>0.29399999999999998</v>
      </c>
      <c r="F1874" s="79">
        <v>0</v>
      </c>
      <c r="G1874" s="206">
        <f>(D1874*E1874)+((D1874*E1874)*F1874/100)</f>
        <v>82854.785999999993</v>
      </c>
      <c r="H1874" s="108"/>
      <c r="I1874" s="71"/>
    </row>
    <row r="1875" spans="1:9" s="65" customFormat="1">
      <c r="A1875" s="90"/>
      <c r="B1875" s="91"/>
      <c r="C1875" s="91"/>
      <c r="D1875" s="91"/>
      <c r="E1875" s="91"/>
      <c r="F1875"/>
      <c r="G1875" s="85" t="s">
        <v>407</v>
      </c>
      <c r="H1875" s="107">
        <f>SUM(G1870:G1874)</f>
        <v>140472.33600000001</v>
      </c>
      <c r="I1875" s="71"/>
    </row>
    <row r="1876" spans="1:9" s="65" customFormat="1">
      <c r="A1876" s="72" t="s">
        <v>410</v>
      </c>
      <c r="B1876" s="73"/>
      <c r="C1876" s="73"/>
      <c r="D1876" s="73"/>
      <c r="E1876" s="73"/>
      <c r="F1876"/>
      <c r="G1876" s="74"/>
      <c r="H1876" s="108"/>
      <c r="I1876" s="71"/>
    </row>
    <row r="1877" spans="1:9" s="65" customFormat="1">
      <c r="A1877" s="75" t="s">
        <v>391</v>
      </c>
      <c r="B1877" s="76" t="s">
        <v>392</v>
      </c>
      <c r="C1877" s="76" t="s">
        <v>393</v>
      </c>
      <c r="D1877" s="76" t="s">
        <v>394</v>
      </c>
      <c r="E1877" s="76" t="s">
        <v>395</v>
      </c>
      <c r="F1877" s="76" t="s">
        <v>396</v>
      </c>
      <c r="G1877" s="76" t="s">
        <v>397</v>
      </c>
      <c r="H1877" s="108"/>
      <c r="I1877" s="71"/>
    </row>
    <row r="1878" spans="1:9" s="65" customFormat="1">
      <c r="A1878" s="125" t="s">
        <v>438</v>
      </c>
      <c r="B1878" s="78" t="s">
        <v>510</v>
      </c>
      <c r="C1878" s="127" t="s">
        <v>426</v>
      </c>
      <c r="D1878" s="206">
        <v>5627</v>
      </c>
      <c r="E1878" s="79">
        <v>0.152</v>
      </c>
      <c r="F1878" s="79">
        <v>0</v>
      </c>
      <c r="G1878" s="206">
        <f>(D1878*E1878)+((D1878*E1878)*F1878/100)</f>
        <v>855.30399999999997</v>
      </c>
      <c r="H1878" s="108"/>
      <c r="I1878" s="71"/>
    </row>
    <row r="1879" spans="1:9" s="65" customFormat="1" ht="25.5">
      <c r="A1879" s="125" t="s">
        <v>461</v>
      </c>
      <c r="B1879" s="78" t="s">
        <v>522</v>
      </c>
      <c r="C1879" s="127" t="s">
        <v>426</v>
      </c>
      <c r="D1879" s="206">
        <v>15927</v>
      </c>
      <c r="E1879" s="79">
        <v>4</v>
      </c>
      <c r="F1879" s="79">
        <v>0</v>
      </c>
      <c r="G1879" s="206">
        <f>(D1879*E1879)+((D1879*E1879)*F1879/100)</f>
        <v>63708</v>
      </c>
      <c r="H1879" s="108"/>
      <c r="I1879" s="71"/>
    </row>
    <row r="1880" spans="1:9" s="65" customFormat="1">
      <c r="A1880" s="90"/>
      <c r="B1880" s="91"/>
      <c r="C1880" s="91"/>
      <c r="D1880" s="91"/>
      <c r="E1880" s="91"/>
      <c r="F1880"/>
      <c r="G1880" s="93" t="s">
        <v>407</v>
      </c>
      <c r="H1880" s="107">
        <f>SUM(G1878:G1879)</f>
        <v>64563.303999999996</v>
      </c>
      <c r="I1880" s="71"/>
    </row>
    <row r="1881" spans="1:9" s="65" customFormat="1">
      <c r="A1881" s="72" t="s">
        <v>411</v>
      </c>
      <c r="B1881" s="73"/>
      <c r="C1881" s="73"/>
      <c r="D1881" s="73"/>
      <c r="E1881" s="73"/>
      <c r="F1881"/>
      <c r="G1881" s="74"/>
      <c r="H1881" s="108"/>
      <c r="I1881" s="71"/>
    </row>
    <row r="1882" spans="1:9" s="65" customFormat="1">
      <c r="A1882" s="75" t="s">
        <v>391</v>
      </c>
      <c r="B1882" s="76" t="s">
        <v>392</v>
      </c>
      <c r="C1882" s="76" t="s">
        <v>393</v>
      </c>
      <c r="D1882" s="76" t="s">
        <v>394</v>
      </c>
      <c r="E1882" s="76" t="s">
        <v>395</v>
      </c>
      <c r="F1882" s="76" t="s">
        <v>396</v>
      </c>
      <c r="G1882" s="76" t="s">
        <v>397</v>
      </c>
      <c r="H1882" s="108"/>
      <c r="I1882" s="71"/>
    </row>
    <row r="1883" spans="1:9" s="65" customFormat="1">
      <c r="A1883" s="87" t="s">
        <v>409</v>
      </c>
      <c r="B1883" s="114" t="s">
        <v>409</v>
      </c>
      <c r="C1883" s="114" t="s">
        <v>409</v>
      </c>
      <c r="D1883" s="114" t="s">
        <v>409</v>
      </c>
      <c r="E1883" s="114" t="s">
        <v>409</v>
      </c>
      <c r="F1883" s="79" t="s">
        <v>409</v>
      </c>
      <c r="G1883" s="89" t="s">
        <v>409</v>
      </c>
      <c r="H1883" s="108"/>
      <c r="I1883" s="71"/>
    </row>
    <row r="1884" spans="1:9" s="65" customFormat="1">
      <c r="A1884" s="94"/>
      <c r="B1884" s="95"/>
      <c r="C1884" s="95"/>
      <c r="D1884" s="95"/>
      <c r="E1884" s="95"/>
      <c r="F1884"/>
      <c r="G1884" s="93" t="s">
        <v>407</v>
      </c>
      <c r="H1884" s="107">
        <f>SUM(G1882:G1883)</f>
        <v>0</v>
      </c>
      <c r="I1884" s="71"/>
    </row>
    <row r="1885" spans="1:9" s="65" customFormat="1">
      <c r="A1885" s="94"/>
      <c r="B1885" s="95"/>
      <c r="C1885" s="95"/>
      <c r="D1885" s="95"/>
      <c r="E1885" s="95"/>
      <c r="F1885"/>
      <c r="G1885" s="74"/>
      <c r="H1885" s="74"/>
      <c r="I1885" s="71"/>
    </row>
    <row r="1886" spans="1:9" s="65" customFormat="1">
      <c r="A1886" s="96"/>
      <c r="B1886" s="97"/>
      <c r="C1886" s="98"/>
      <c r="D1886" s="98"/>
      <c r="E1886" s="98"/>
      <c r="F1886"/>
      <c r="G1886" s="99" t="s">
        <v>412</v>
      </c>
      <c r="H1886" s="115">
        <f>SUM(H1867:H1884)</f>
        <v>208237.89</v>
      </c>
      <c r="I1886" s="71"/>
    </row>
    <row r="1887" spans="1:9" s="65" customFormat="1">
      <c r="A1887" s="96"/>
      <c r="B1887" s="97"/>
      <c r="C1887" s="98"/>
      <c r="D1887" s="98"/>
      <c r="E1887" s="98"/>
      <c r="F1887" s="101"/>
      <c r="G1887" s="116"/>
      <c r="H1887" s="70"/>
      <c r="I1887" s="71"/>
    </row>
    <row r="1888" spans="1:9" s="65" customFormat="1" ht="15.75" thickBot="1">
      <c r="A1888" s="624" t="s">
        <v>502</v>
      </c>
      <c r="B1888" s="625"/>
      <c r="C1888" s="625"/>
      <c r="D1888" s="625"/>
      <c r="E1888" s="625"/>
      <c r="F1888" s="625"/>
      <c r="G1888" s="626"/>
      <c r="H1888" s="117">
        <f>+ROUND(H1886,0)</f>
        <v>208238</v>
      </c>
      <c r="I1888" s="103"/>
    </row>
    <row r="1889" spans="1:9" s="65" customFormat="1">
      <c r="A1889" s="142"/>
      <c r="B1889" s="143"/>
      <c r="C1889" s="143"/>
      <c r="D1889" s="143"/>
      <c r="E1889" s="143"/>
      <c r="F1889" s="84"/>
      <c r="G1889" s="144"/>
      <c r="H1889" s="145"/>
    </row>
    <row r="1890" spans="1:9" s="65" customFormat="1" ht="15.75" thickBot="1">
      <c r="A1890" s="123"/>
      <c r="B1890" s="95"/>
      <c r="C1890" s="95"/>
      <c r="D1890" s="95"/>
      <c r="E1890" s="95"/>
      <c r="G1890" s="104"/>
      <c r="H1890" s="121"/>
    </row>
    <row r="1891" spans="1:9" s="65" customFormat="1">
      <c r="A1891" s="627"/>
      <c r="B1891" s="629" t="s">
        <v>589</v>
      </c>
      <c r="C1891" s="630"/>
      <c r="D1891" s="630"/>
      <c r="E1891" s="630"/>
      <c r="F1891" s="630"/>
      <c r="G1891" s="630"/>
      <c r="H1891" s="630"/>
      <c r="I1891" s="66" t="s">
        <v>389</v>
      </c>
    </row>
    <row r="1892" spans="1:9" s="65" customFormat="1">
      <c r="A1892" s="628"/>
      <c r="B1892" s="631"/>
      <c r="C1892" s="632"/>
      <c r="D1892" s="632"/>
      <c r="E1892" s="632"/>
      <c r="F1892" s="632"/>
      <c r="G1892" s="632"/>
      <c r="H1892" s="632"/>
      <c r="I1892" s="67" t="s">
        <v>291</v>
      </c>
    </row>
    <row r="1893" spans="1:9" s="65" customFormat="1">
      <c r="A1893" s="68"/>
      <c r="B1893" s="69"/>
      <c r="C1893" s="69"/>
      <c r="D1893" s="69"/>
      <c r="E1893" s="69"/>
      <c r="F1893" s="70"/>
      <c r="G1893" s="70"/>
      <c r="H1893" s="70"/>
      <c r="I1893" s="71"/>
    </row>
    <row r="1894" spans="1:9" s="65" customFormat="1">
      <c r="A1894" s="72" t="s">
        <v>390</v>
      </c>
      <c r="B1894" s="73"/>
      <c r="C1894" s="73"/>
      <c r="D1894" s="73"/>
      <c r="E1894" s="73"/>
      <c r="F1894" s="74"/>
      <c r="G1894" s="74"/>
      <c r="H1894" s="70"/>
      <c r="I1894" s="71"/>
    </row>
    <row r="1895" spans="1:9" s="65" customFormat="1">
      <c r="A1895" s="75" t="s">
        <v>391</v>
      </c>
      <c r="B1895" s="76" t="s">
        <v>392</v>
      </c>
      <c r="C1895" s="76" t="s">
        <v>393</v>
      </c>
      <c r="D1895" s="76" t="s">
        <v>394</v>
      </c>
      <c r="E1895" s="76" t="s">
        <v>395</v>
      </c>
      <c r="F1895" s="76" t="s">
        <v>396</v>
      </c>
      <c r="G1895" s="76" t="s">
        <v>397</v>
      </c>
      <c r="H1895" s="74"/>
      <c r="I1895" s="71"/>
    </row>
    <row r="1896" spans="1:9" s="65" customFormat="1" ht="16.5">
      <c r="A1896" s="135" t="s">
        <v>404</v>
      </c>
      <c r="B1896" s="204" t="s">
        <v>405</v>
      </c>
      <c r="C1896" s="127" t="s">
        <v>523</v>
      </c>
      <c r="D1896" s="206">
        <v>1250</v>
      </c>
      <c r="E1896" s="79">
        <v>0.2</v>
      </c>
      <c r="F1896" s="79">
        <v>0</v>
      </c>
      <c r="G1896" s="206">
        <f>(D1896*E1896)+((D1896*E1896)*F1896/100)</f>
        <v>250</v>
      </c>
      <c r="H1896" s="74"/>
      <c r="I1896" s="71"/>
    </row>
    <row r="1897" spans="1:9" s="65" customFormat="1" ht="16.5">
      <c r="A1897" s="135" t="s">
        <v>512</v>
      </c>
      <c r="B1897" s="204" t="s">
        <v>513</v>
      </c>
      <c r="C1897" s="127" t="s">
        <v>514</v>
      </c>
      <c r="D1897" s="206">
        <v>714</v>
      </c>
      <c r="E1897" s="79">
        <v>0.1</v>
      </c>
      <c r="F1897" s="79">
        <v>0</v>
      </c>
      <c r="G1897" s="206">
        <f>(D1897*E1897)+((D1897*E1897)*F1897/100)</f>
        <v>71.400000000000006</v>
      </c>
      <c r="H1897" s="74"/>
      <c r="I1897" s="71"/>
    </row>
    <row r="1898" spans="1:9" s="65" customFormat="1">
      <c r="A1898" s="82"/>
      <c r="B1898" s="83"/>
      <c r="C1898" s="84"/>
      <c r="D1898" s="84"/>
      <c r="E1898" s="84"/>
      <c r="F1898"/>
      <c r="G1898" s="93" t="s">
        <v>407</v>
      </c>
      <c r="H1898" s="107">
        <f>SUM(G1896:G1897)</f>
        <v>321.39999999999998</v>
      </c>
      <c r="I1898" s="71"/>
    </row>
    <row r="1899" spans="1:9" s="65" customFormat="1">
      <c r="A1899" s="72" t="s">
        <v>408</v>
      </c>
      <c r="B1899" s="73"/>
      <c r="C1899" s="73"/>
      <c r="D1899" s="73"/>
      <c r="E1899" s="73"/>
      <c r="F1899"/>
      <c r="G1899" s="74"/>
      <c r="H1899" s="108"/>
      <c r="I1899" s="71"/>
    </row>
    <row r="1900" spans="1:9" s="65" customFormat="1">
      <c r="A1900" s="75" t="s">
        <v>391</v>
      </c>
      <c r="B1900" s="76" t="s">
        <v>392</v>
      </c>
      <c r="C1900" s="76" t="s">
        <v>393</v>
      </c>
      <c r="D1900" s="76" t="s">
        <v>394</v>
      </c>
      <c r="E1900" s="76" t="s">
        <v>395</v>
      </c>
      <c r="F1900" s="76" t="s">
        <v>396</v>
      </c>
      <c r="G1900" s="76" t="s">
        <v>397</v>
      </c>
      <c r="H1900" s="108"/>
      <c r="I1900" s="71"/>
    </row>
    <row r="1901" spans="1:9" s="65" customFormat="1">
      <c r="A1901" s="125">
        <v>1465</v>
      </c>
      <c r="B1901" s="78" t="s">
        <v>525</v>
      </c>
      <c r="C1901" s="127" t="s">
        <v>157</v>
      </c>
      <c r="D1901" s="206">
        <v>184</v>
      </c>
      <c r="E1901" s="79">
        <v>60</v>
      </c>
      <c r="F1901" s="79">
        <v>2</v>
      </c>
      <c r="G1901" s="206">
        <f>(D1901*E1901)+((D1901*E1901)*F1901/100)</f>
        <v>11260.8</v>
      </c>
      <c r="H1901" s="108"/>
      <c r="I1901" s="71"/>
    </row>
    <row r="1902" spans="1:9" s="65" customFormat="1">
      <c r="A1902" s="125" t="s">
        <v>553</v>
      </c>
      <c r="B1902" s="78" t="s">
        <v>554</v>
      </c>
      <c r="C1902" s="127" t="s">
        <v>454</v>
      </c>
      <c r="D1902" s="206">
        <v>217381.5</v>
      </c>
      <c r="E1902" s="79">
        <v>3.5000000000000003E-2</v>
      </c>
      <c r="F1902" s="79">
        <v>0</v>
      </c>
      <c r="G1902" s="206">
        <f>(D1902*E1902)+((D1902*E1902)*F1902/100)</f>
        <v>7608.3525000000009</v>
      </c>
      <c r="H1902" s="108"/>
      <c r="I1902" s="71"/>
    </row>
    <row r="1903" spans="1:9" s="65" customFormat="1">
      <c r="A1903" s="90"/>
      <c r="B1903" s="91"/>
      <c r="C1903" s="91"/>
      <c r="D1903" s="91"/>
      <c r="E1903" s="91"/>
      <c r="F1903"/>
      <c r="G1903" s="85" t="s">
        <v>407</v>
      </c>
      <c r="H1903" s="107">
        <f>SUM(G1901:G1902)</f>
        <v>18869.1525</v>
      </c>
      <c r="I1903" s="71"/>
    </row>
    <row r="1904" spans="1:9" s="65" customFormat="1">
      <c r="A1904" s="72" t="s">
        <v>410</v>
      </c>
      <c r="B1904" s="73"/>
      <c r="C1904" s="73"/>
      <c r="D1904" s="73"/>
      <c r="E1904" s="73"/>
      <c r="F1904"/>
      <c r="G1904" s="74"/>
      <c r="H1904" s="108"/>
      <c r="I1904" s="71"/>
    </row>
    <row r="1905" spans="1:9" s="65" customFormat="1">
      <c r="A1905" s="75" t="s">
        <v>391</v>
      </c>
      <c r="B1905" s="76" t="s">
        <v>392</v>
      </c>
      <c r="C1905" s="76" t="s">
        <v>393</v>
      </c>
      <c r="D1905" s="76" t="s">
        <v>394</v>
      </c>
      <c r="E1905" s="76" t="s">
        <v>395</v>
      </c>
      <c r="F1905" s="76" t="s">
        <v>396</v>
      </c>
      <c r="G1905" s="76" t="s">
        <v>397</v>
      </c>
      <c r="H1905" s="108"/>
      <c r="I1905" s="71"/>
    </row>
    <row r="1906" spans="1:9" s="65" customFormat="1" ht="25.5">
      <c r="A1906" s="125" t="s">
        <v>461</v>
      </c>
      <c r="B1906" s="78" t="s">
        <v>522</v>
      </c>
      <c r="C1906" s="127" t="s">
        <v>426</v>
      </c>
      <c r="D1906" s="206">
        <v>14990</v>
      </c>
      <c r="E1906" s="79">
        <v>0.53</v>
      </c>
      <c r="F1906" s="79">
        <v>0</v>
      </c>
      <c r="G1906" s="206">
        <f>(D1906*E1906)+((D1906*E1906)*F1906/100)</f>
        <v>7944.7000000000007</v>
      </c>
      <c r="H1906" s="108"/>
      <c r="I1906" s="71"/>
    </row>
    <row r="1907" spans="1:9" s="65" customFormat="1">
      <c r="A1907" s="90"/>
      <c r="B1907" s="91"/>
      <c r="C1907" s="91"/>
      <c r="D1907" s="91"/>
      <c r="E1907" s="91"/>
      <c r="F1907"/>
      <c r="G1907" s="93" t="s">
        <v>407</v>
      </c>
      <c r="H1907" s="107">
        <f>SUM(G1906:G1906)</f>
        <v>7944.7000000000007</v>
      </c>
      <c r="I1907" s="71"/>
    </row>
    <row r="1908" spans="1:9" s="65" customFormat="1">
      <c r="A1908" s="72" t="s">
        <v>411</v>
      </c>
      <c r="B1908" s="73"/>
      <c r="C1908" s="73"/>
      <c r="D1908" s="73"/>
      <c r="E1908" s="73"/>
      <c r="F1908"/>
      <c r="G1908" s="74"/>
      <c r="H1908" s="108"/>
      <c r="I1908" s="71"/>
    </row>
    <row r="1909" spans="1:9" s="65" customFormat="1">
      <c r="A1909" s="75" t="s">
        <v>391</v>
      </c>
      <c r="B1909" s="76" t="s">
        <v>392</v>
      </c>
      <c r="C1909" s="76" t="s">
        <v>393</v>
      </c>
      <c r="D1909" s="76" t="s">
        <v>394</v>
      </c>
      <c r="E1909" s="76" t="s">
        <v>395</v>
      </c>
      <c r="F1909" s="76" t="s">
        <v>396</v>
      </c>
      <c r="G1909" s="76" t="s">
        <v>397</v>
      </c>
      <c r="H1909" s="108"/>
      <c r="I1909" s="71"/>
    </row>
    <row r="1910" spans="1:9" s="65" customFormat="1">
      <c r="A1910" s="87" t="s">
        <v>409</v>
      </c>
      <c r="B1910" s="114" t="s">
        <v>409</v>
      </c>
      <c r="C1910" s="114" t="s">
        <v>409</v>
      </c>
      <c r="D1910" s="114" t="s">
        <v>409</v>
      </c>
      <c r="E1910" s="114" t="s">
        <v>409</v>
      </c>
      <c r="F1910" s="79" t="s">
        <v>409</v>
      </c>
      <c r="G1910" s="89" t="s">
        <v>409</v>
      </c>
      <c r="H1910" s="108"/>
      <c r="I1910" s="71"/>
    </row>
    <row r="1911" spans="1:9" s="65" customFormat="1">
      <c r="A1911" s="94"/>
      <c r="B1911" s="95"/>
      <c r="C1911" s="95"/>
      <c r="D1911" s="95"/>
      <c r="E1911" s="95"/>
      <c r="F1911"/>
      <c r="G1911" s="93" t="s">
        <v>407</v>
      </c>
      <c r="H1911" s="107">
        <f>SUM(G1909:G1910)</f>
        <v>0</v>
      </c>
      <c r="I1911" s="71"/>
    </row>
    <row r="1912" spans="1:9" s="65" customFormat="1">
      <c r="A1912" s="94"/>
      <c r="B1912" s="95"/>
      <c r="C1912" s="95"/>
      <c r="D1912" s="95"/>
      <c r="E1912" s="95"/>
      <c r="F1912"/>
      <c r="G1912" s="74"/>
      <c r="H1912" s="74"/>
      <c r="I1912" s="71"/>
    </row>
    <row r="1913" spans="1:9" s="65" customFormat="1">
      <c r="A1913" s="96"/>
      <c r="B1913" s="97"/>
      <c r="C1913" s="98"/>
      <c r="D1913" s="98"/>
      <c r="E1913" s="98"/>
      <c r="F1913"/>
      <c r="G1913" s="99" t="s">
        <v>412</v>
      </c>
      <c r="H1913" s="115">
        <f>SUM(H1898:H1911)</f>
        <v>27135.252500000002</v>
      </c>
      <c r="I1913" s="71"/>
    </row>
    <row r="1914" spans="1:9" s="65" customFormat="1">
      <c r="A1914" s="96"/>
      <c r="B1914" s="97"/>
      <c r="C1914" s="98"/>
      <c r="D1914" s="98"/>
      <c r="E1914" s="98"/>
      <c r="F1914" s="101"/>
      <c r="G1914" s="116"/>
      <c r="H1914" s="70"/>
      <c r="I1914" s="71"/>
    </row>
    <row r="1915" spans="1:9" s="65" customFormat="1" ht="15.75" thickBot="1">
      <c r="A1915" s="624" t="s">
        <v>414</v>
      </c>
      <c r="B1915" s="625"/>
      <c r="C1915" s="625"/>
      <c r="D1915" s="625"/>
      <c r="E1915" s="625"/>
      <c r="F1915" s="625"/>
      <c r="G1915" s="626"/>
      <c r="H1915" s="117">
        <f>+ROUND(H1913,0)</f>
        <v>27135</v>
      </c>
      <c r="I1915" s="103"/>
    </row>
    <row r="1916" spans="1:9" s="65" customFormat="1">
      <c r="B1916" s="97"/>
      <c r="C1916" s="98"/>
      <c r="D1916" s="98"/>
      <c r="E1916" s="98"/>
      <c r="G1916" s="128"/>
    </row>
    <row r="1917" spans="1:9" s="65" customFormat="1" ht="15.75" thickBot="1">
      <c r="B1917" s="97"/>
      <c r="C1917" s="98"/>
      <c r="D1917" s="98"/>
      <c r="E1917" s="98"/>
      <c r="F1917" s="128"/>
      <c r="G1917" s="133"/>
      <c r="H1917" s="134"/>
    </row>
    <row r="1918" spans="1:9" s="65" customFormat="1">
      <c r="A1918" s="627"/>
      <c r="B1918" s="629" t="s">
        <v>1195</v>
      </c>
      <c r="C1918" s="630"/>
      <c r="D1918" s="630"/>
      <c r="E1918" s="630"/>
      <c r="F1918" s="630"/>
      <c r="G1918" s="630"/>
      <c r="H1918" s="630"/>
      <c r="I1918" s="66" t="s">
        <v>389</v>
      </c>
    </row>
    <row r="1919" spans="1:9" s="65" customFormat="1">
      <c r="A1919" s="628"/>
      <c r="B1919" s="631"/>
      <c r="C1919" s="632"/>
      <c r="D1919" s="632"/>
      <c r="E1919" s="632"/>
      <c r="F1919" s="632"/>
      <c r="G1919" s="632"/>
      <c r="H1919" s="632"/>
      <c r="I1919" s="67" t="s">
        <v>291</v>
      </c>
    </row>
    <row r="1920" spans="1:9" s="65" customFormat="1">
      <c r="A1920" s="68"/>
      <c r="B1920" s="69"/>
      <c r="C1920" s="69"/>
      <c r="D1920" s="69"/>
      <c r="E1920" s="69"/>
      <c r="F1920" s="70"/>
      <c r="G1920" s="70"/>
      <c r="H1920" s="70"/>
      <c r="I1920" s="71"/>
    </row>
    <row r="1921" spans="1:9" s="65" customFormat="1">
      <c r="A1921" s="72" t="s">
        <v>390</v>
      </c>
      <c r="B1921" s="73"/>
      <c r="C1921" s="73"/>
      <c r="D1921" s="73"/>
      <c r="E1921" s="73"/>
      <c r="F1921" s="74"/>
      <c r="G1921" s="74"/>
      <c r="H1921" s="70"/>
      <c r="I1921" s="71"/>
    </row>
    <row r="1922" spans="1:9" s="65" customFormat="1">
      <c r="A1922" s="75" t="s">
        <v>391</v>
      </c>
      <c r="B1922" s="76" t="s">
        <v>392</v>
      </c>
      <c r="C1922" s="76" t="s">
        <v>393</v>
      </c>
      <c r="D1922" s="76" t="s">
        <v>394</v>
      </c>
      <c r="E1922" s="76" t="s">
        <v>395</v>
      </c>
      <c r="F1922" s="76" t="s">
        <v>396</v>
      </c>
      <c r="G1922" s="76" t="s">
        <v>397</v>
      </c>
      <c r="H1922" s="74"/>
      <c r="I1922" s="71"/>
    </row>
    <row r="1923" spans="1:9" s="65" customFormat="1">
      <c r="A1923" s="135" t="s">
        <v>404</v>
      </c>
      <c r="B1923" s="78" t="s">
        <v>405</v>
      </c>
      <c r="C1923" s="127" t="s">
        <v>523</v>
      </c>
      <c r="D1923" s="206">
        <v>1250</v>
      </c>
      <c r="E1923" s="79">
        <v>0.05</v>
      </c>
      <c r="F1923" s="79">
        <v>0</v>
      </c>
      <c r="G1923" s="206">
        <f>(D1923*E1923)+((D1923*E1923)*F1923/100)</f>
        <v>62.5</v>
      </c>
      <c r="H1923" s="74"/>
      <c r="I1923" s="71"/>
    </row>
    <row r="1924" spans="1:9" s="65" customFormat="1" ht="25.5">
      <c r="A1924" s="135" t="s">
        <v>452</v>
      </c>
      <c r="B1924" s="78" t="s">
        <v>687</v>
      </c>
      <c r="C1924" s="127" t="s">
        <v>454</v>
      </c>
      <c r="D1924" s="206">
        <v>6000</v>
      </c>
      <c r="E1924" s="79">
        <v>3.2000000000000001E-2</v>
      </c>
      <c r="F1924" s="79">
        <v>0</v>
      </c>
      <c r="G1924" s="206">
        <f>(D1924*E1924)+((D1924*E1924)*F1924/100)</f>
        <v>192</v>
      </c>
      <c r="H1924" s="74"/>
      <c r="I1924" s="71"/>
    </row>
    <row r="1925" spans="1:9" s="65" customFormat="1">
      <c r="A1925" s="135" t="s">
        <v>512</v>
      </c>
      <c r="B1925" s="78" t="s">
        <v>513</v>
      </c>
      <c r="C1925" s="127" t="s">
        <v>514</v>
      </c>
      <c r="D1925" s="206">
        <v>714</v>
      </c>
      <c r="E1925" s="79">
        <v>0.1</v>
      </c>
      <c r="F1925" s="79">
        <v>0</v>
      </c>
      <c r="G1925" s="206">
        <f>(D1925*E1925)+((D1925*E1925)*F1925/100)</f>
        <v>71.400000000000006</v>
      </c>
      <c r="H1925" s="74"/>
      <c r="I1925" s="71"/>
    </row>
    <row r="1926" spans="1:9" s="65" customFormat="1">
      <c r="A1926" s="82"/>
      <c r="B1926" s="83"/>
      <c r="C1926" s="84"/>
      <c r="D1926" s="84"/>
      <c r="E1926" s="84"/>
      <c r="F1926"/>
      <c r="G1926" s="93" t="s">
        <v>407</v>
      </c>
      <c r="H1926" s="107">
        <f>SUM(G1923:G1925)</f>
        <v>325.89999999999998</v>
      </c>
      <c r="I1926" s="71"/>
    </row>
    <row r="1927" spans="1:9" s="65" customFormat="1">
      <c r="A1927" s="72" t="s">
        <v>408</v>
      </c>
      <c r="B1927" s="73"/>
      <c r="C1927" s="73"/>
      <c r="D1927" s="73"/>
      <c r="E1927" s="73"/>
      <c r="F1927"/>
      <c r="G1927" s="74"/>
      <c r="H1927" s="108"/>
      <c r="I1927" s="71"/>
    </row>
    <row r="1928" spans="1:9" s="65" customFormat="1">
      <c r="A1928" s="75" t="s">
        <v>391</v>
      </c>
      <c r="B1928" s="76" t="s">
        <v>392</v>
      </c>
      <c r="C1928" s="76" t="s">
        <v>393</v>
      </c>
      <c r="D1928" s="76" t="s">
        <v>394</v>
      </c>
      <c r="E1928" s="76" t="s">
        <v>395</v>
      </c>
      <c r="F1928" s="76" t="s">
        <v>396</v>
      </c>
      <c r="G1928" s="76" t="s">
        <v>397</v>
      </c>
      <c r="H1928" s="108"/>
      <c r="I1928" s="71"/>
    </row>
    <row r="1929" spans="1:9" s="65" customFormat="1">
      <c r="A1929" s="135" t="s">
        <v>551</v>
      </c>
      <c r="B1929" s="78" t="s">
        <v>552</v>
      </c>
      <c r="C1929" s="127" t="s">
        <v>454</v>
      </c>
      <c r="D1929" s="206">
        <v>258311.5</v>
      </c>
      <c r="E1929" s="79">
        <v>0.03</v>
      </c>
      <c r="F1929" s="79">
        <v>0</v>
      </c>
      <c r="G1929" s="206">
        <f>(D1929*E1929)+((D1929*E1929)*F1929/100)</f>
        <v>7749.3449999999993</v>
      </c>
      <c r="H1929" s="108"/>
      <c r="I1929" s="71"/>
    </row>
    <row r="1930" spans="1:9" s="65" customFormat="1">
      <c r="A1930" s="90"/>
      <c r="B1930" s="91"/>
      <c r="C1930" s="91"/>
      <c r="D1930" s="91"/>
      <c r="E1930" s="91"/>
      <c r="F1930"/>
      <c r="G1930" s="85" t="s">
        <v>407</v>
      </c>
      <c r="H1930" s="107">
        <f>SUM(G1929:G1929)</f>
        <v>7749.3449999999993</v>
      </c>
      <c r="I1930" s="71"/>
    </row>
    <row r="1931" spans="1:9" s="65" customFormat="1">
      <c r="A1931" s="72" t="s">
        <v>410</v>
      </c>
      <c r="B1931" s="73"/>
      <c r="C1931" s="73"/>
      <c r="D1931" s="73"/>
      <c r="E1931" s="73"/>
      <c r="F1931"/>
      <c r="G1931" s="74"/>
      <c r="H1931" s="108"/>
      <c r="I1931" s="71"/>
    </row>
    <row r="1932" spans="1:9" s="65" customFormat="1">
      <c r="A1932" s="75" t="s">
        <v>391</v>
      </c>
      <c r="B1932" s="76" t="s">
        <v>392</v>
      </c>
      <c r="C1932" s="76" t="s">
        <v>393</v>
      </c>
      <c r="D1932" s="76" t="s">
        <v>394</v>
      </c>
      <c r="E1932" s="76" t="s">
        <v>395</v>
      </c>
      <c r="F1932" s="76" t="s">
        <v>396</v>
      </c>
      <c r="G1932" s="76" t="s">
        <v>397</v>
      </c>
      <c r="H1932" s="108"/>
      <c r="I1932" s="71"/>
    </row>
    <row r="1933" spans="1:9" s="65" customFormat="1" ht="25.5">
      <c r="A1933" s="125" t="s">
        <v>461</v>
      </c>
      <c r="B1933" s="78" t="s">
        <v>522</v>
      </c>
      <c r="C1933" s="127" t="s">
        <v>426</v>
      </c>
      <c r="D1933" s="206">
        <v>14990</v>
      </c>
      <c r="E1933" s="79">
        <v>0.45</v>
      </c>
      <c r="F1933" s="79">
        <v>0</v>
      </c>
      <c r="G1933" s="206">
        <f>(D1933*E1933)+((D1933*E1933)*F1933/100)</f>
        <v>6745.5</v>
      </c>
      <c r="H1933" s="108"/>
      <c r="I1933" s="71"/>
    </row>
    <row r="1934" spans="1:9" s="65" customFormat="1">
      <c r="A1934" s="90"/>
      <c r="B1934" s="91"/>
      <c r="C1934" s="91"/>
      <c r="D1934" s="91"/>
      <c r="E1934" s="91"/>
      <c r="F1934"/>
      <c r="G1934" s="93" t="s">
        <v>407</v>
      </c>
      <c r="H1934" s="107">
        <f>SUM(G1933:G1933)</f>
        <v>6745.5</v>
      </c>
      <c r="I1934" s="71"/>
    </row>
    <row r="1935" spans="1:9" s="65" customFormat="1">
      <c r="A1935" s="72" t="s">
        <v>411</v>
      </c>
      <c r="B1935" s="73"/>
      <c r="C1935" s="73"/>
      <c r="D1935" s="73"/>
      <c r="E1935" s="73"/>
      <c r="F1935"/>
      <c r="G1935" s="74"/>
      <c r="H1935" s="108"/>
      <c r="I1935" s="71"/>
    </row>
    <row r="1936" spans="1:9" s="65" customFormat="1">
      <c r="A1936" s="75" t="s">
        <v>391</v>
      </c>
      <c r="B1936" s="76" t="s">
        <v>392</v>
      </c>
      <c r="C1936" s="76" t="s">
        <v>393</v>
      </c>
      <c r="D1936" s="76" t="s">
        <v>394</v>
      </c>
      <c r="E1936" s="76" t="s">
        <v>395</v>
      </c>
      <c r="F1936" s="76" t="s">
        <v>396</v>
      </c>
      <c r="G1936" s="76" t="s">
        <v>397</v>
      </c>
      <c r="H1936" s="108"/>
      <c r="I1936" s="71"/>
    </row>
    <row r="1937" spans="1:9" s="65" customFormat="1">
      <c r="A1937" s="87" t="s">
        <v>409</v>
      </c>
      <c r="B1937" s="114" t="s">
        <v>409</v>
      </c>
      <c r="C1937" s="114" t="s">
        <v>409</v>
      </c>
      <c r="D1937" s="114" t="s">
        <v>409</v>
      </c>
      <c r="E1937" s="114" t="s">
        <v>409</v>
      </c>
      <c r="F1937" s="79" t="s">
        <v>409</v>
      </c>
      <c r="G1937" s="89" t="s">
        <v>409</v>
      </c>
      <c r="H1937" s="108"/>
      <c r="I1937" s="71"/>
    </row>
    <row r="1938" spans="1:9" s="65" customFormat="1">
      <c r="A1938" s="94"/>
      <c r="B1938" s="95"/>
      <c r="C1938" s="95"/>
      <c r="D1938" s="95"/>
      <c r="E1938" s="95"/>
      <c r="F1938"/>
      <c r="G1938" s="93" t="s">
        <v>407</v>
      </c>
      <c r="H1938" s="107">
        <f>SUM(G1936:G1937)</f>
        <v>0</v>
      </c>
      <c r="I1938" s="71"/>
    </row>
    <row r="1939" spans="1:9" s="65" customFormat="1">
      <c r="A1939" s="94"/>
      <c r="B1939" s="95"/>
      <c r="C1939" s="95"/>
      <c r="D1939" s="95"/>
      <c r="E1939" s="95"/>
      <c r="F1939"/>
      <c r="G1939" s="74"/>
      <c r="H1939" s="74"/>
      <c r="I1939" s="71"/>
    </row>
    <row r="1940" spans="1:9" s="65" customFormat="1">
      <c r="A1940" s="96"/>
      <c r="B1940" s="97"/>
      <c r="C1940" s="98"/>
      <c r="D1940" s="98"/>
      <c r="E1940" s="98"/>
      <c r="F1940"/>
      <c r="G1940" s="99" t="s">
        <v>412</v>
      </c>
      <c r="H1940" s="115">
        <f>SUM(H1926:H1938)</f>
        <v>14820.744999999999</v>
      </c>
      <c r="I1940" s="71"/>
    </row>
    <row r="1941" spans="1:9" s="65" customFormat="1">
      <c r="A1941" s="96"/>
      <c r="B1941" s="97"/>
      <c r="C1941" s="98"/>
      <c r="D1941" s="98"/>
      <c r="E1941" s="98"/>
      <c r="F1941" s="101"/>
      <c r="G1941" s="116"/>
      <c r="H1941" s="70"/>
      <c r="I1941" s="71"/>
    </row>
    <row r="1942" spans="1:9" s="65" customFormat="1" ht="15.75" thickBot="1">
      <c r="A1942" s="624" t="s">
        <v>414</v>
      </c>
      <c r="B1942" s="625"/>
      <c r="C1942" s="625"/>
      <c r="D1942" s="625"/>
      <c r="E1942" s="625"/>
      <c r="F1942" s="625"/>
      <c r="G1942" s="626"/>
      <c r="H1942" s="208">
        <f>+ROUND(H1940,0)</f>
        <v>14821</v>
      </c>
      <c r="I1942" s="103"/>
    </row>
    <row r="1943" spans="1:9" s="65" customFormat="1" ht="15.75" thickBot="1">
      <c r="A1943" s="123"/>
      <c r="B1943" s="95"/>
      <c r="C1943" s="95"/>
      <c r="D1943" s="95"/>
      <c r="E1943" s="95"/>
      <c r="G1943" s="121"/>
      <c r="H1943" s="133"/>
    </row>
    <row r="1944" spans="1:9" s="65" customFormat="1">
      <c r="A1944" s="627">
        <v>130417</v>
      </c>
      <c r="B1944" s="629" t="s">
        <v>1196</v>
      </c>
      <c r="C1944" s="630"/>
      <c r="D1944" s="630"/>
      <c r="E1944" s="630"/>
      <c r="F1944" s="630"/>
      <c r="G1944" s="630"/>
      <c r="H1944" s="630"/>
      <c r="I1944" s="66" t="s">
        <v>389</v>
      </c>
    </row>
    <row r="1945" spans="1:9" s="65" customFormat="1">
      <c r="A1945" s="628"/>
      <c r="B1945" s="631"/>
      <c r="C1945" s="632"/>
      <c r="D1945" s="632"/>
      <c r="E1945" s="632"/>
      <c r="F1945" s="632"/>
      <c r="G1945" s="632"/>
      <c r="H1945" s="632"/>
      <c r="I1945" s="67" t="s">
        <v>526</v>
      </c>
    </row>
    <row r="1946" spans="1:9" s="65" customFormat="1">
      <c r="A1946" s="68"/>
      <c r="B1946" s="69" t="s">
        <v>533</v>
      </c>
      <c r="C1946" s="69"/>
      <c r="D1946" s="69"/>
      <c r="E1946" s="69"/>
      <c r="F1946" s="70"/>
      <c r="G1946" s="70"/>
      <c r="H1946" s="70"/>
      <c r="I1946" s="71"/>
    </row>
    <row r="1947" spans="1:9" s="65" customFormat="1">
      <c r="A1947" s="72" t="s">
        <v>390</v>
      </c>
      <c r="B1947" s="73"/>
      <c r="C1947" s="73"/>
      <c r="D1947" s="73"/>
      <c r="E1947" s="73"/>
      <c r="F1947" s="74"/>
      <c r="G1947" s="74"/>
      <c r="H1947" s="70"/>
      <c r="I1947" s="71"/>
    </row>
    <row r="1948" spans="1:9" s="65" customFormat="1">
      <c r="A1948" s="75" t="s">
        <v>391</v>
      </c>
      <c r="B1948" s="76" t="s">
        <v>392</v>
      </c>
      <c r="C1948" s="76" t="s">
        <v>393</v>
      </c>
      <c r="D1948" s="76" t="s">
        <v>394</v>
      </c>
      <c r="E1948" s="76" t="s">
        <v>395</v>
      </c>
      <c r="F1948" s="76" t="s">
        <v>396</v>
      </c>
      <c r="G1948" s="76" t="s">
        <v>397</v>
      </c>
      <c r="H1948" s="74"/>
      <c r="I1948" s="71"/>
    </row>
    <row r="1949" spans="1:9" s="65" customFormat="1" ht="25.5">
      <c r="A1949" s="135" t="s">
        <v>452</v>
      </c>
      <c r="B1949" s="78" t="s">
        <v>511</v>
      </c>
      <c r="C1949" s="127" t="s">
        <v>454</v>
      </c>
      <c r="D1949" s="206">
        <v>6000</v>
      </c>
      <c r="E1949" s="79">
        <v>3.5999999999999997E-2</v>
      </c>
      <c r="F1949" s="79">
        <v>0</v>
      </c>
      <c r="G1949" s="206">
        <f>(D1949*E1949)+((D1949*E1949)*F1949/100)</f>
        <v>215.99999999999997</v>
      </c>
      <c r="H1949" s="74"/>
      <c r="I1949" s="71"/>
    </row>
    <row r="1950" spans="1:9" s="65" customFormat="1">
      <c r="A1950" s="135" t="s">
        <v>404</v>
      </c>
      <c r="B1950" s="78" t="s">
        <v>405</v>
      </c>
      <c r="C1950" s="127" t="s">
        <v>523</v>
      </c>
      <c r="D1950" s="206">
        <v>1250</v>
      </c>
      <c r="E1950" s="79">
        <v>0.33</v>
      </c>
      <c r="F1950" s="79">
        <v>0</v>
      </c>
      <c r="G1950" s="206">
        <f>(D1950*E1950)+((D1950*E1950)*F1950/100)</f>
        <v>412.5</v>
      </c>
      <c r="H1950" s="74"/>
      <c r="I1950" s="71"/>
    </row>
    <row r="1951" spans="1:9" s="65" customFormat="1">
      <c r="A1951" s="135" t="s">
        <v>512</v>
      </c>
      <c r="B1951" s="78" t="s">
        <v>513</v>
      </c>
      <c r="C1951" s="127" t="s">
        <v>514</v>
      </c>
      <c r="D1951" s="206">
        <v>714</v>
      </c>
      <c r="E1951" s="79">
        <v>0.2</v>
      </c>
      <c r="F1951" s="79">
        <v>0</v>
      </c>
      <c r="G1951" s="206">
        <f>(D1951*E1951)+((D1951*E1951)*F1951/100)</f>
        <v>142.80000000000001</v>
      </c>
      <c r="H1951" s="74"/>
      <c r="I1951" s="71"/>
    </row>
    <row r="1952" spans="1:9" s="65" customFormat="1">
      <c r="A1952" s="82"/>
      <c r="B1952" s="83"/>
      <c r="C1952" s="84"/>
      <c r="D1952" s="84"/>
      <c r="E1952" s="84"/>
      <c r="F1952"/>
      <c r="G1952" s="93" t="s">
        <v>407</v>
      </c>
      <c r="H1952" s="107">
        <f>SUM(G1949:G1951)</f>
        <v>771.3</v>
      </c>
      <c r="I1952" s="71"/>
    </row>
    <row r="1953" spans="1:9" s="65" customFormat="1">
      <c r="A1953" s="72" t="s">
        <v>408</v>
      </c>
      <c r="B1953" s="73"/>
      <c r="C1953" s="73"/>
      <c r="D1953" s="73"/>
      <c r="E1953" s="73"/>
      <c r="F1953"/>
      <c r="G1953" s="74"/>
      <c r="H1953" s="108"/>
      <c r="I1953" s="71"/>
    </row>
    <row r="1954" spans="1:9" s="65" customFormat="1">
      <c r="A1954" s="75" t="s">
        <v>391</v>
      </c>
      <c r="B1954" s="76" t="s">
        <v>392</v>
      </c>
      <c r="C1954" s="76" t="s">
        <v>393</v>
      </c>
      <c r="D1954" s="76" t="s">
        <v>394</v>
      </c>
      <c r="E1954" s="76" t="s">
        <v>395</v>
      </c>
      <c r="F1954" s="76" t="s">
        <v>396</v>
      </c>
      <c r="G1954" s="76" t="s">
        <v>397</v>
      </c>
      <c r="H1954" s="108"/>
      <c r="I1954" s="71"/>
    </row>
    <row r="1955" spans="1:9" s="65" customFormat="1">
      <c r="A1955" s="135">
        <v>2294</v>
      </c>
      <c r="B1955" s="78" t="s">
        <v>418</v>
      </c>
      <c r="C1955" s="127" t="s">
        <v>419</v>
      </c>
      <c r="D1955" s="206">
        <v>2000</v>
      </c>
      <c r="E1955" s="79">
        <v>0.15</v>
      </c>
      <c r="F1955" s="79">
        <v>0</v>
      </c>
      <c r="G1955" s="206">
        <f>(D1955*E1955)+((D1955*E1955)*F1955/100)</f>
        <v>300</v>
      </c>
      <c r="H1955" s="108"/>
      <c r="I1955" s="71"/>
    </row>
    <row r="1956" spans="1:9" s="65" customFormat="1">
      <c r="A1956" s="135">
        <v>2556</v>
      </c>
      <c r="B1956" s="78" t="s">
        <v>587</v>
      </c>
      <c r="C1956" s="127" t="s">
        <v>157</v>
      </c>
      <c r="D1956" s="206">
        <v>7100</v>
      </c>
      <c r="E1956" s="79">
        <v>0.7</v>
      </c>
      <c r="F1956" s="79">
        <v>0</v>
      </c>
      <c r="G1956" s="206">
        <f>(D1956*E1956)+((D1956*E1956)*F1956/100)</f>
        <v>4970</v>
      </c>
      <c r="H1956" s="108"/>
      <c r="I1956" s="71"/>
    </row>
    <row r="1957" spans="1:9" s="65" customFormat="1">
      <c r="A1957" s="135">
        <v>3170</v>
      </c>
      <c r="B1957" s="78" t="s">
        <v>588</v>
      </c>
      <c r="C1957" s="127" t="s">
        <v>157</v>
      </c>
      <c r="D1957" s="206">
        <v>1800</v>
      </c>
      <c r="E1957" s="79">
        <v>0.5</v>
      </c>
      <c r="F1957" s="79">
        <v>0</v>
      </c>
      <c r="G1957" s="206">
        <f>(D1957*E1957)+((D1957*E1957)*F1957/100)</f>
        <v>900</v>
      </c>
      <c r="H1957" s="108"/>
      <c r="I1957" s="71"/>
    </row>
    <row r="1958" spans="1:9" s="65" customFormat="1" ht="25.5">
      <c r="A1958" s="135" t="s">
        <v>459</v>
      </c>
      <c r="B1958" s="78" t="s">
        <v>586</v>
      </c>
      <c r="C1958" s="127" t="s">
        <v>454</v>
      </c>
      <c r="D1958" s="206">
        <f>+H247</f>
        <v>281819</v>
      </c>
      <c r="E1958" s="79">
        <v>0.03</v>
      </c>
      <c r="F1958" s="79">
        <v>0</v>
      </c>
      <c r="G1958" s="206">
        <f>(D1958*E1958)+((D1958*E1958)*F1958/100)</f>
        <v>8454.57</v>
      </c>
      <c r="H1958" s="108"/>
      <c r="I1958" s="71"/>
    </row>
    <row r="1959" spans="1:9" s="65" customFormat="1">
      <c r="A1959" s="90"/>
      <c r="B1959" s="91"/>
      <c r="C1959" s="91"/>
      <c r="D1959" s="91"/>
      <c r="E1959" s="91"/>
      <c r="F1959"/>
      <c r="G1959" s="85" t="s">
        <v>407</v>
      </c>
      <c r="H1959" s="107">
        <f>SUM(G1955:G1958)</f>
        <v>14624.57</v>
      </c>
      <c r="I1959" s="71"/>
    </row>
    <row r="1960" spans="1:9" s="65" customFormat="1">
      <c r="A1960" s="72" t="s">
        <v>410</v>
      </c>
      <c r="B1960" s="73"/>
      <c r="C1960" s="73"/>
      <c r="D1960" s="73"/>
      <c r="E1960" s="73"/>
      <c r="F1960"/>
      <c r="G1960" s="74"/>
      <c r="H1960" s="108"/>
      <c r="I1960" s="71"/>
    </row>
    <row r="1961" spans="1:9" s="65" customFormat="1">
      <c r="A1961" s="75" t="s">
        <v>391</v>
      </c>
      <c r="B1961" s="76" t="s">
        <v>392</v>
      </c>
      <c r="C1961" s="76" t="s">
        <v>393</v>
      </c>
      <c r="D1961" s="76" t="s">
        <v>394</v>
      </c>
      <c r="E1961" s="76" t="s">
        <v>395</v>
      </c>
      <c r="F1961" s="76" t="s">
        <v>396</v>
      </c>
      <c r="G1961" s="76" t="s">
        <v>397</v>
      </c>
      <c r="H1961" s="108"/>
      <c r="I1961" s="71"/>
    </row>
    <row r="1962" spans="1:9" s="65" customFormat="1" ht="25.5">
      <c r="A1962" s="125" t="s">
        <v>461</v>
      </c>
      <c r="B1962" s="78" t="s">
        <v>522</v>
      </c>
      <c r="C1962" s="127" t="s">
        <v>426</v>
      </c>
      <c r="D1962" s="206">
        <v>14990</v>
      </c>
      <c r="E1962" s="79">
        <v>0.5</v>
      </c>
      <c r="F1962" s="79">
        <v>0</v>
      </c>
      <c r="G1962" s="206">
        <f>(D1962*E1962)+((D1962*E1962)*F1962/100)</f>
        <v>7495</v>
      </c>
      <c r="H1962" s="108"/>
      <c r="I1962" s="71"/>
    </row>
    <row r="1963" spans="1:9" s="65" customFormat="1">
      <c r="A1963" s="90"/>
      <c r="B1963" s="91"/>
      <c r="C1963" s="91"/>
      <c r="D1963" s="91"/>
      <c r="E1963" s="91"/>
      <c r="F1963"/>
      <c r="G1963" s="93" t="s">
        <v>407</v>
      </c>
      <c r="H1963" s="107">
        <f>SUM(G1962:G1962)</f>
        <v>7495</v>
      </c>
      <c r="I1963" s="71"/>
    </row>
    <row r="1964" spans="1:9" s="65" customFormat="1">
      <c r="A1964" s="72" t="s">
        <v>411</v>
      </c>
      <c r="B1964" s="73"/>
      <c r="C1964" s="73"/>
      <c r="D1964" s="73"/>
      <c r="E1964" s="73"/>
      <c r="F1964"/>
      <c r="G1964" s="74"/>
      <c r="H1964" s="108"/>
      <c r="I1964" s="71"/>
    </row>
    <row r="1965" spans="1:9" s="65" customFormat="1">
      <c r="A1965" s="75" t="s">
        <v>391</v>
      </c>
      <c r="B1965" s="76" t="s">
        <v>392</v>
      </c>
      <c r="C1965" s="76" t="s">
        <v>393</v>
      </c>
      <c r="D1965" s="76" t="s">
        <v>394</v>
      </c>
      <c r="E1965" s="76" t="s">
        <v>395</v>
      </c>
      <c r="F1965" s="76" t="s">
        <v>396</v>
      </c>
      <c r="G1965" s="76" t="s">
        <v>397</v>
      </c>
      <c r="H1965" s="108"/>
      <c r="I1965" s="71"/>
    </row>
    <row r="1966" spans="1:9" s="65" customFormat="1">
      <c r="A1966" s="87" t="s">
        <v>409</v>
      </c>
      <c r="B1966" s="114" t="s">
        <v>409</v>
      </c>
      <c r="C1966" s="114" t="s">
        <v>409</v>
      </c>
      <c r="D1966" s="114" t="s">
        <v>409</v>
      </c>
      <c r="E1966" s="114" t="s">
        <v>409</v>
      </c>
      <c r="F1966" s="79" t="s">
        <v>409</v>
      </c>
      <c r="G1966" s="89" t="s">
        <v>409</v>
      </c>
      <c r="H1966" s="108"/>
      <c r="I1966" s="71"/>
    </row>
    <row r="1967" spans="1:9" s="65" customFormat="1">
      <c r="A1967" s="94"/>
      <c r="B1967" s="95"/>
      <c r="C1967" s="95"/>
      <c r="D1967" s="95"/>
      <c r="E1967" s="95"/>
      <c r="F1967"/>
      <c r="G1967" s="93" t="s">
        <v>407</v>
      </c>
      <c r="H1967" s="107">
        <f>SUM(G1965:G1966)</f>
        <v>0</v>
      </c>
      <c r="I1967" s="71"/>
    </row>
    <row r="1968" spans="1:9" s="65" customFormat="1">
      <c r="A1968" s="94"/>
      <c r="B1968" s="95"/>
      <c r="C1968" s="95"/>
      <c r="D1968" s="95"/>
      <c r="E1968" s="95"/>
      <c r="F1968"/>
      <c r="G1968" s="74"/>
      <c r="H1968" s="74"/>
      <c r="I1968" s="71"/>
    </row>
    <row r="1969" spans="1:9" s="65" customFormat="1">
      <c r="A1969" s="96"/>
      <c r="B1969" s="97"/>
      <c r="C1969" s="98"/>
      <c r="D1969" s="98"/>
      <c r="E1969" s="98"/>
      <c r="F1969"/>
      <c r="G1969" s="99" t="s">
        <v>412</v>
      </c>
      <c r="H1969" s="115">
        <f>SUM(H1952:H1967)</f>
        <v>22890.87</v>
      </c>
      <c r="I1969" s="71"/>
    </row>
    <row r="1970" spans="1:9" s="65" customFormat="1">
      <c r="A1970" s="96"/>
      <c r="B1970" s="97"/>
      <c r="C1970" s="98"/>
      <c r="D1970" s="98"/>
      <c r="E1970" s="98"/>
      <c r="F1970" s="101"/>
      <c r="G1970" s="116"/>
      <c r="H1970" s="70"/>
      <c r="I1970" s="71"/>
    </row>
    <row r="1971" spans="1:9" s="65" customFormat="1" ht="15.75" thickBot="1">
      <c r="A1971" s="624" t="s">
        <v>527</v>
      </c>
      <c r="B1971" s="625"/>
      <c r="C1971" s="625"/>
      <c r="D1971" s="625"/>
      <c r="E1971" s="625"/>
      <c r="F1971" s="625"/>
      <c r="G1971" s="626"/>
      <c r="H1971" s="117">
        <f>+ROUND(H1969,0)</f>
        <v>22891</v>
      </c>
      <c r="I1971" s="103"/>
    </row>
    <row r="1972" spans="1:9" s="65" customFormat="1">
      <c r="A1972" s="645"/>
      <c r="B1972" s="138"/>
      <c r="C1972" s="138"/>
      <c r="D1972" s="138"/>
      <c r="E1972" s="138"/>
      <c r="F1972" s="138"/>
      <c r="G1972" s="138"/>
      <c r="H1972" s="138"/>
      <c r="I1972" s="152"/>
    </row>
    <row r="1973" spans="1:9" s="65" customFormat="1" ht="15.75" thickBot="1">
      <c r="A1973" s="645"/>
      <c r="B1973" s="138"/>
      <c r="C1973" s="138"/>
      <c r="D1973" s="138"/>
      <c r="E1973" s="138"/>
      <c r="F1973" s="138"/>
      <c r="G1973" s="138"/>
    </row>
    <row r="1974" spans="1:9" s="65" customFormat="1">
      <c r="A1974" s="627">
        <v>190542</v>
      </c>
      <c r="B1974" s="629" t="s">
        <v>590</v>
      </c>
      <c r="C1974" s="630"/>
      <c r="D1974" s="630"/>
      <c r="E1974" s="630"/>
      <c r="F1974" s="630"/>
      <c r="G1974" s="630"/>
      <c r="H1974" s="630"/>
      <c r="I1974" s="66" t="s">
        <v>389</v>
      </c>
    </row>
    <row r="1975" spans="1:9" s="65" customFormat="1">
      <c r="A1975" s="628"/>
      <c r="B1975" s="631"/>
      <c r="C1975" s="632"/>
      <c r="D1975" s="632"/>
      <c r="E1975" s="632"/>
      <c r="F1975" s="632"/>
      <c r="G1975" s="632"/>
      <c r="H1975" s="632"/>
      <c r="I1975" s="67" t="s">
        <v>291</v>
      </c>
    </row>
    <row r="1976" spans="1:9" s="65" customFormat="1">
      <c r="A1976" s="68"/>
      <c r="B1976" s="69" t="s">
        <v>533</v>
      </c>
      <c r="C1976" s="69"/>
      <c r="D1976" s="69"/>
      <c r="E1976" s="69"/>
      <c r="F1976" s="70"/>
      <c r="G1976" s="70"/>
      <c r="H1976" s="70"/>
      <c r="I1976" s="71"/>
    </row>
    <row r="1977" spans="1:9" s="65" customFormat="1">
      <c r="A1977" s="72" t="s">
        <v>390</v>
      </c>
      <c r="B1977" s="73"/>
      <c r="C1977" s="73"/>
      <c r="D1977" s="73"/>
      <c r="E1977" s="73"/>
      <c r="F1977" s="74"/>
      <c r="G1977" s="74"/>
      <c r="H1977" s="70"/>
      <c r="I1977" s="71"/>
    </row>
    <row r="1978" spans="1:9" s="65" customFormat="1">
      <c r="A1978" s="75" t="s">
        <v>391</v>
      </c>
      <c r="B1978" s="76" t="s">
        <v>392</v>
      </c>
      <c r="C1978" s="76" t="s">
        <v>393</v>
      </c>
      <c r="D1978" s="76" t="s">
        <v>394</v>
      </c>
      <c r="E1978" s="76" t="s">
        <v>395</v>
      </c>
      <c r="F1978" s="76" t="s">
        <v>396</v>
      </c>
      <c r="G1978" s="76" t="s">
        <v>397</v>
      </c>
      <c r="H1978" s="74"/>
      <c r="I1978" s="71"/>
    </row>
    <row r="1979" spans="1:9" s="65" customFormat="1">
      <c r="A1979" s="135" t="s">
        <v>404</v>
      </c>
      <c r="B1979" s="78" t="s">
        <v>405</v>
      </c>
      <c r="C1979" s="127" t="s">
        <v>523</v>
      </c>
      <c r="D1979" s="107">
        <v>1250</v>
      </c>
      <c r="E1979" s="79">
        <v>0.05</v>
      </c>
      <c r="F1979" s="79">
        <v>0</v>
      </c>
      <c r="G1979" s="107">
        <f>(D1979*E1979)+((D1979*E1979)*F1979/100)</f>
        <v>62.5</v>
      </c>
      <c r="H1979" s="74"/>
      <c r="I1979" s="71"/>
    </row>
    <row r="1980" spans="1:9" s="65" customFormat="1">
      <c r="A1980" s="82"/>
      <c r="B1980" s="83"/>
      <c r="C1980" s="84"/>
      <c r="D1980" s="84"/>
      <c r="E1980" s="84"/>
      <c r="F1980"/>
      <c r="G1980" s="93" t="s">
        <v>407</v>
      </c>
      <c r="H1980" s="107">
        <f>SUM(G1979:G1979)</f>
        <v>62.5</v>
      </c>
      <c r="I1980" s="71"/>
    </row>
    <row r="1981" spans="1:9" s="65" customFormat="1">
      <c r="A1981" s="72" t="s">
        <v>408</v>
      </c>
      <c r="B1981" s="73"/>
      <c r="C1981" s="73"/>
      <c r="D1981" s="73"/>
      <c r="E1981" s="73"/>
      <c r="F1981"/>
      <c r="G1981" s="74"/>
      <c r="H1981" s="108"/>
      <c r="I1981" s="71"/>
    </row>
    <row r="1982" spans="1:9" s="65" customFormat="1">
      <c r="A1982" s="75" t="s">
        <v>391</v>
      </c>
      <c r="B1982" s="76" t="s">
        <v>392</v>
      </c>
      <c r="C1982" s="76" t="s">
        <v>393</v>
      </c>
      <c r="D1982" s="76" t="s">
        <v>394</v>
      </c>
      <c r="E1982" s="76" t="s">
        <v>395</v>
      </c>
      <c r="F1982" s="76" t="s">
        <v>396</v>
      </c>
      <c r="G1982" s="76" t="s">
        <v>397</v>
      </c>
      <c r="H1982" s="108"/>
      <c r="I1982" s="71"/>
    </row>
    <row r="1983" spans="1:9" s="65" customFormat="1">
      <c r="A1983" s="135">
        <v>764</v>
      </c>
      <c r="B1983" s="78" t="s">
        <v>591</v>
      </c>
      <c r="C1983" s="127" t="s">
        <v>423</v>
      </c>
      <c r="D1983" s="107">
        <v>1020</v>
      </c>
      <c r="E1983" s="79">
        <v>3</v>
      </c>
      <c r="F1983" s="79">
        <v>0.02</v>
      </c>
      <c r="G1983" s="107">
        <f>(D1983*E1983)+((D1983*E1983)*F1983/100)</f>
        <v>3060.6120000000001</v>
      </c>
      <c r="H1983" s="108"/>
      <c r="I1983" s="71"/>
    </row>
    <row r="1984" spans="1:9" s="65" customFormat="1">
      <c r="A1984" s="135">
        <v>3246</v>
      </c>
      <c r="B1984" s="78" t="s">
        <v>565</v>
      </c>
      <c r="C1984" s="127" t="s">
        <v>423</v>
      </c>
      <c r="D1984" s="107">
        <v>4100</v>
      </c>
      <c r="E1984" s="79">
        <v>0.2</v>
      </c>
      <c r="F1984" s="79">
        <v>0</v>
      </c>
      <c r="G1984" s="107">
        <f>(D1984*E1984)+((D1984*E1984)*F1984/100)</f>
        <v>820</v>
      </c>
      <c r="H1984" s="108"/>
      <c r="I1984" s="71"/>
    </row>
    <row r="1985" spans="1:9" s="65" customFormat="1">
      <c r="A1985" s="135">
        <v>3333</v>
      </c>
      <c r="B1985" s="78" t="s">
        <v>592</v>
      </c>
      <c r="C1985" s="127" t="s">
        <v>593</v>
      </c>
      <c r="D1985" s="107">
        <v>36000</v>
      </c>
      <c r="E1985" s="79">
        <v>0.01</v>
      </c>
      <c r="F1985" s="79">
        <v>0</v>
      </c>
      <c r="G1985" s="107">
        <f>(D1985*E1985)+((D1985*E1985)*F1985/100)</f>
        <v>360</v>
      </c>
      <c r="H1985" s="108"/>
      <c r="I1985" s="71"/>
    </row>
    <row r="1986" spans="1:9" s="65" customFormat="1" ht="25.5">
      <c r="A1986" s="135">
        <v>5488</v>
      </c>
      <c r="B1986" s="78" t="s">
        <v>594</v>
      </c>
      <c r="C1986" s="127" t="s">
        <v>455</v>
      </c>
      <c r="D1986" s="107">
        <v>15900</v>
      </c>
      <c r="E1986" s="79">
        <v>1</v>
      </c>
      <c r="F1986" s="79">
        <v>0.01</v>
      </c>
      <c r="G1986" s="107">
        <f>(D1986*E1986)+((D1986*E1986)*F1986/100)</f>
        <v>15901.59</v>
      </c>
      <c r="H1986" s="108"/>
      <c r="I1986" s="71"/>
    </row>
    <row r="1987" spans="1:9" s="65" customFormat="1">
      <c r="A1987" s="90"/>
      <c r="B1987" s="91"/>
      <c r="C1987" s="91"/>
      <c r="D1987" s="91"/>
      <c r="E1987" s="91"/>
      <c r="F1987"/>
      <c r="G1987" s="85" t="s">
        <v>407</v>
      </c>
      <c r="H1987" s="107">
        <f>SUM(G1983:G1986)</f>
        <v>20142.202000000001</v>
      </c>
      <c r="I1987" s="71"/>
    </row>
    <row r="1988" spans="1:9" s="65" customFormat="1">
      <c r="A1988" s="72" t="s">
        <v>410</v>
      </c>
      <c r="B1988" s="73"/>
      <c r="C1988" s="73"/>
      <c r="D1988" s="73"/>
      <c r="E1988" s="73"/>
      <c r="F1988"/>
      <c r="G1988" s="74"/>
      <c r="H1988" s="108"/>
      <c r="I1988" s="71"/>
    </row>
    <row r="1989" spans="1:9" s="65" customFormat="1">
      <c r="A1989" s="75" t="s">
        <v>391</v>
      </c>
      <c r="B1989" s="76" t="s">
        <v>392</v>
      </c>
      <c r="C1989" s="76" t="s">
        <v>393</v>
      </c>
      <c r="D1989" s="76" t="s">
        <v>394</v>
      </c>
      <c r="E1989" s="76" t="s">
        <v>395</v>
      </c>
      <c r="F1989" s="76" t="s">
        <v>396</v>
      </c>
      <c r="G1989" s="76" t="s">
        <v>397</v>
      </c>
      <c r="H1989" s="108"/>
      <c r="I1989" s="71"/>
    </row>
    <row r="1990" spans="1:9" s="65" customFormat="1" ht="25.5">
      <c r="A1990" s="125" t="s">
        <v>461</v>
      </c>
      <c r="B1990" s="78" t="s">
        <v>522</v>
      </c>
      <c r="C1990" s="127" t="s">
        <v>426</v>
      </c>
      <c r="D1990" s="107">
        <v>14990</v>
      </c>
      <c r="E1990" s="79">
        <v>0.8</v>
      </c>
      <c r="F1990" s="79">
        <v>0</v>
      </c>
      <c r="G1990" s="107">
        <f>(D1990*E1990)+((D1990*E1990)*F1990/100)</f>
        <v>11992</v>
      </c>
      <c r="H1990" s="108"/>
      <c r="I1990" s="71"/>
    </row>
    <row r="1991" spans="1:9" s="65" customFormat="1">
      <c r="A1991" s="90"/>
      <c r="B1991" s="91"/>
      <c r="C1991" s="91"/>
      <c r="D1991" s="91"/>
      <c r="E1991" s="91"/>
      <c r="F1991"/>
      <c r="G1991" s="93" t="s">
        <v>407</v>
      </c>
      <c r="H1991" s="107">
        <f>SUM(G1990:G1990)</f>
        <v>11992</v>
      </c>
      <c r="I1991" s="71"/>
    </row>
    <row r="1992" spans="1:9" s="65" customFormat="1">
      <c r="A1992" s="72" t="s">
        <v>411</v>
      </c>
      <c r="B1992" s="73"/>
      <c r="C1992" s="73"/>
      <c r="D1992" s="73"/>
      <c r="E1992" s="73"/>
      <c r="F1992"/>
      <c r="G1992" s="74"/>
      <c r="H1992" s="108"/>
      <c r="I1992" s="71"/>
    </row>
    <row r="1993" spans="1:9" s="65" customFormat="1">
      <c r="A1993" s="75" t="s">
        <v>391</v>
      </c>
      <c r="B1993" s="76" t="s">
        <v>392</v>
      </c>
      <c r="C1993" s="76" t="s">
        <v>393</v>
      </c>
      <c r="D1993" s="76" t="s">
        <v>394</v>
      </c>
      <c r="E1993" s="76" t="s">
        <v>395</v>
      </c>
      <c r="F1993" s="76" t="s">
        <v>396</v>
      </c>
      <c r="G1993" s="76" t="s">
        <v>397</v>
      </c>
      <c r="H1993" s="108"/>
      <c r="I1993" s="71"/>
    </row>
    <row r="1994" spans="1:9" s="65" customFormat="1">
      <c r="A1994" s="87" t="s">
        <v>409</v>
      </c>
      <c r="B1994" s="114" t="s">
        <v>409</v>
      </c>
      <c r="C1994" s="114" t="s">
        <v>409</v>
      </c>
      <c r="D1994" s="114" t="s">
        <v>409</v>
      </c>
      <c r="E1994" s="114" t="s">
        <v>409</v>
      </c>
      <c r="F1994" s="79" t="s">
        <v>409</v>
      </c>
      <c r="G1994" s="89" t="s">
        <v>409</v>
      </c>
      <c r="H1994" s="108"/>
      <c r="I1994" s="71"/>
    </row>
    <row r="1995" spans="1:9" s="65" customFormat="1">
      <c r="A1995" s="94"/>
      <c r="B1995" s="95"/>
      <c r="C1995" s="95"/>
      <c r="D1995" s="95"/>
      <c r="E1995" s="95"/>
      <c r="F1995"/>
      <c r="G1995" s="93" t="s">
        <v>407</v>
      </c>
      <c r="H1995" s="107">
        <f>SUM(G1993:G1994)</f>
        <v>0</v>
      </c>
      <c r="I1995" s="71"/>
    </row>
    <row r="1996" spans="1:9" s="65" customFormat="1">
      <c r="A1996" s="94"/>
      <c r="B1996" s="95"/>
      <c r="C1996" s="95"/>
      <c r="D1996" s="95"/>
      <c r="E1996" s="95"/>
      <c r="F1996"/>
      <c r="G1996" s="74"/>
      <c r="H1996" s="74"/>
      <c r="I1996" s="71"/>
    </row>
    <row r="1997" spans="1:9" s="65" customFormat="1">
      <c r="A1997" s="96"/>
      <c r="B1997" s="97"/>
      <c r="C1997" s="98"/>
      <c r="D1997" s="98"/>
      <c r="E1997" s="98"/>
      <c r="F1997"/>
      <c r="G1997" s="99" t="s">
        <v>412</v>
      </c>
      <c r="H1997" s="115">
        <f>SUM(H1980:H1995)</f>
        <v>32196.702000000001</v>
      </c>
      <c r="I1997" s="71"/>
    </row>
    <row r="1998" spans="1:9" s="65" customFormat="1">
      <c r="A1998" s="96"/>
      <c r="B1998" s="97"/>
      <c r="C1998" s="98"/>
      <c r="D1998" s="98"/>
      <c r="E1998" s="98"/>
      <c r="F1998" s="101"/>
      <c r="G1998" s="116"/>
      <c r="H1998" s="70"/>
      <c r="I1998" s="71"/>
    </row>
    <row r="1999" spans="1:9" s="65" customFormat="1" ht="15.75" thickBot="1">
      <c r="A1999" s="624" t="s">
        <v>414</v>
      </c>
      <c r="B1999" s="625"/>
      <c r="C1999" s="625"/>
      <c r="D1999" s="625"/>
      <c r="E1999" s="625"/>
      <c r="F1999" s="625"/>
      <c r="G1999" s="626"/>
      <c r="H1999" s="117">
        <v>32200</v>
      </c>
      <c r="I1999" s="103"/>
    </row>
    <row r="2000" spans="1:9" s="65" customFormat="1">
      <c r="A2000" s="128"/>
      <c r="B2000" s="141"/>
      <c r="C2000" s="141"/>
      <c r="D2000" s="141"/>
      <c r="E2000" s="141"/>
      <c r="F2000" s="141"/>
      <c r="G2000" s="141"/>
      <c r="H2000" s="121"/>
    </row>
    <row r="2001" spans="1:9" s="65" customFormat="1" ht="15.75" thickBot="1">
      <c r="A2001" s="142"/>
      <c r="B2001" s="143"/>
      <c r="C2001" s="143"/>
      <c r="D2001" s="143"/>
      <c r="E2001" s="143"/>
      <c r="F2001" s="84"/>
      <c r="G2001" s="144"/>
      <c r="H2001" s="145"/>
    </row>
    <row r="2002" spans="1:9" s="65" customFormat="1">
      <c r="A2002" s="627">
        <v>290110</v>
      </c>
      <c r="B2002" s="629" t="s">
        <v>595</v>
      </c>
      <c r="C2002" s="630"/>
      <c r="D2002" s="630"/>
      <c r="E2002" s="630"/>
      <c r="F2002" s="630"/>
      <c r="G2002" s="630"/>
      <c r="H2002" s="630"/>
      <c r="I2002" s="66" t="s">
        <v>389</v>
      </c>
    </row>
    <row r="2003" spans="1:9" s="65" customFormat="1">
      <c r="A2003" s="628"/>
      <c r="B2003" s="631"/>
      <c r="C2003" s="632"/>
      <c r="D2003" s="632"/>
      <c r="E2003" s="632"/>
      <c r="F2003" s="632"/>
      <c r="G2003" s="632"/>
      <c r="H2003" s="632"/>
      <c r="I2003" s="67" t="s">
        <v>291</v>
      </c>
    </row>
    <row r="2004" spans="1:9" s="65" customFormat="1">
      <c r="A2004" s="68"/>
      <c r="B2004" s="69" t="s">
        <v>533</v>
      </c>
      <c r="C2004" s="69"/>
      <c r="D2004" s="69"/>
      <c r="E2004" s="69"/>
      <c r="F2004" s="70"/>
      <c r="G2004" s="70"/>
      <c r="H2004" s="70"/>
      <c r="I2004" s="71"/>
    </row>
    <row r="2005" spans="1:9" s="65" customFormat="1">
      <c r="A2005" s="72" t="s">
        <v>390</v>
      </c>
      <c r="B2005" s="73"/>
      <c r="C2005" s="73"/>
      <c r="D2005" s="73"/>
      <c r="E2005" s="73"/>
      <c r="F2005" s="74"/>
      <c r="G2005" s="74"/>
      <c r="H2005" s="70"/>
      <c r="I2005" s="71"/>
    </row>
    <row r="2006" spans="1:9" s="65" customFormat="1">
      <c r="A2006" s="75" t="s">
        <v>391</v>
      </c>
      <c r="B2006" s="76" t="s">
        <v>392</v>
      </c>
      <c r="C2006" s="76" t="s">
        <v>393</v>
      </c>
      <c r="D2006" s="76" t="s">
        <v>394</v>
      </c>
      <c r="E2006" s="76" t="s">
        <v>395</v>
      </c>
      <c r="F2006" s="76" t="s">
        <v>396</v>
      </c>
      <c r="G2006" s="76" t="s">
        <v>397</v>
      </c>
      <c r="H2006" s="74"/>
      <c r="I2006" s="71"/>
    </row>
    <row r="2007" spans="1:9" s="65" customFormat="1">
      <c r="A2007" s="135" t="s">
        <v>404</v>
      </c>
      <c r="B2007" s="78" t="s">
        <v>405</v>
      </c>
      <c r="C2007" s="127" t="s">
        <v>523</v>
      </c>
      <c r="D2007" s="107">
        <v>1250</v>
      </c>
      <c r="E2007" s="79">
        <v>0.02</v>
      </c>
      <c r="F2007" s="79">
        <v>0</v>
      </c>
      <c r="G2007" s="107">
        <f>(D2007*E2007)+((D2007*E2007)*F2007/100)</f>
        <v>25</v>
      </c>
      <c r="H2007" s="74"/>
      <c r="I2007" s="71"/>
    </row>
    <row r="2008" spans="1:9" s="65" customFormat="1">
      <c r="A2008" s="135" t="s">
        <v>512</v>
      </c>
      <c r="B2008" s="78" t="s">
        <v>513</v>
      </c>
      <c r="C2008" s="127" t="s">
        <v>514</v>
      </c>
      <c r="D2008" s="107">
        <v>714</v>
      </c>
      <c r="E2008" s="79">
        <v>0.1</v>
      </c>
      <c r="F2008" s="79">
        <v>0</v>
      </c>
      <c r="G2008" s="107">
        <f>(D2008*E2008)+((D2008*E2008)*F2008/100)</f>
        <v>71.400000000000006</v>
      </c>
      <c r="H2008" s="74"/>
      <c r="I2008" s="71"/>
    </row>
    <row r="2009" spans="1:9" s="65" customFormat="1">
      <c r="A2009" s="82"/>
      <c r="B2009" s="83"/>
      <c r="C2009" s="84"/>
      <c r="D2009" s="84"/>
      <c r="E2009" s="84"/>
      <c r="F2009"/>
      <c r="G2009" s="93" t="s">
        <v>407</v>
      </c>
      <c r="H2009" s="107">
        <f>SUM(G2007:G2008)</f>
        <v>96.4</v>
      </c>
      <c r="I2009" s="71"/>
    </row>
    <row r="2010" spans="1:9" s="65" customFormat="1">
      <c r="A2010" s="72" t="s">
        <v>408</v>
      </c>
      <c r="B2010" s="73"/>
      <c r="C2010" s="73"/>
      <c r="D2010" s="73"/>
      <c r="E2010" s="73"/>
      <c r="F2010"/>
      <c r="G2010" s="74"/>
      <c r="H2010" s="108"/>
      <c r="I2010" s="71"/>
    </row>
    <row r="2011" spans="1:9" s="65" customFormat="1">
      <c r="A2011" s="75" t="s">
        <v>391</v>
      </c>
      <c r="B2011" s="76" t="s">
        <v>392</v>
      </c>
      <c r="C2011" s="76" t="s">
        <v>393</v>
      </c>
      <c r="D2011" s="76" t="s">
        <v>394</v>
      </c>
      <c r="E2011" s="76" t="s">
        <v>395</v>
      </c>
      <c r="F2011" s="76" t="s">
        <v>396</v>
      </c>
      <c r="G2011" s="76" t="s">
        <v>397</v>
      </c>
      <c r="H2011" s="108"/>
      <c r="I2011" s="71"/>
    </row>
    <row r="2012" spans="1:9" s="65" customFormat="1">
      <c r="A2012" s="135">
        <v>214</v>
      </c>
      <c r="B2012" s="78" t="s">
        <v>555</v>
      </c>
      <c r="C2012" s="127" t="s">
        <v>470</v>
      </c>
      <c r="D2012" s="107">
        <v>12</v>
      </c>
      <c r="E2012" s="79">
        <v>0.9</v>
      </c>
      <c r="F2012" s="79">
        <v>0.02</v>
      </c>
      <c r="G2012" s="107">
        <f>(D2012*E2012)+((D2012*E2012)*F2012/100)</f>
        <v>10.802160000000001</v>
      </c>
      <c r="H2012" s="108"/>
      <c r="I2012" s="71"/>
    </row>
    <row r="2013" spans="1:9" s="65" customFormat="1" ht="25.5">
      <c r="A2013" s="135">
        <v>1216</v>
      </c>
      <c r="B2013" s="78" t="s">
        <v>596</v>
      </c>
      <c r="C2013" s="127" t="s">
        <v>423</v>
      </c>
      <c r="D2013" s="107">
        <v>720</v>
      </c>
      <c r="E2013" s="79">
        <v>1.8</v>
      </c>
      <c r="F2013" s="79">
        <v>1</v>
      </c>
      <c r="G2013" s="107">
        <f>(D2013*E2013)+((D2013*E2013)*F2013/100)</f>
        <v>1308.96</v>
      </c>
      <c r="H2013" s="108"/>
      <c r="I2013" s="71"/>
    </row>
    <row r="2014" spans="1:9" s="65" customFormat="1">
      <c r="A2014" s="135">
        <v>1579</v>
      </c>
      <c r="B2014" s="78" t="s">
        <v>597</v>
      </c>
      <c r="C2014" s="127" t="s">
        <v>528</v>
      </c>
      <c r="D2014" s="107">
        <v>850</v>
      </c>
      <c r="E2014" s="79">
        <v>0.02</v>
      </c>
      <c r="F2014" s="79">
        <v>0</v>
      </c>
      <c r="G2014" s="107">
        <f>(D2014*E2014)+((D2014*E2014)*F2014/100)</f>
        <v>17</v>
      </c>
      <c r="H2014" s="108"/>
      <c r="I2014" s="71"/>
    </row>
    <row r="2015" spans="1:9" s="65" customFormat="1">
      <c r="A2015" s="90"/>
      <c r="B2015" s="91"/>
      <c r="C2015" s="91"/>
      <c r="D2015" s="91"/>
      <c r="E2015" s="91"/>
      <c r="F2015"/>
      <c r="G2015" s="85" t="s">
        <v>407</v>
      </c>
      <c r="H2015" s="107">
        <f>SUM(G2012:G2014)</f>
        <v>1336.76216</v>
      </c>
      <c r="I2015" s="71"/>
    </row>
    <row r="2016" spans="1:9" s="65" customFormat="1">
      <c r="A2016" s="72" t="s">
        <v>410</v>
      </c>
      <c r="B2016" s="73"/>
      <c r="C2016" s="73"/>
      <c r="D2016" s="73"/>
      <c r="E2016" s="73"/>
      <c r="F2016"/>
      <c r="G2016" s="74"/>
      <c r="H2016" s="108"/>
      <c r="I2016" s="71"/>
    </row>
    <row r="2017" spans="1:9" s="65" customFormat="1">
      <c r="A2017" s="75" t="s">
        <v>391</v>
      </c>
      <c r="B2017" s="76" t="s">
        <v>392</v>
      </c>
      <c r="C2017" s="76" t="s">
        <v>393</v>
      </c>
      <c r="D2017" s="76" t="s">
        <v>394</v>
      </c>
      <c r="E2017" s="76" t="s">
        <v>395</v>
      </c>
      <c r="F2017" s="76" t="s">
        <v>396</v>
      </c>
      <c r="G2017" s="76" t="s">
        <v>397</v>
      </c>
      <c r="H2017" s="108"/>
      <c r="I2017" s="71"/>
    </row>
    <row r="2018" spans="1:9" s="65" customFormat="1">
      <c r="A2018" s="125" t="s">
        <v>598</v>
      </c>
      <c r="B2018" s="78" t="s">
        <v>599</v>
      </c>
      <c r="C2018" s="127" t="s">
        <v>426</v>
      </c>
      <c r="D2018" s="107">
        <v>15927</v>
      </c>
      <c r="E2018" s="79">
        <v>0.16</v>
      </c>
      <c r="F2018" s="79">
        <v>0</v>
      </c>
      <c r="G2018" s="107">
        <f>(D2018*E2018)+((D2018*E2018)*F2018/100)</f>
        <v>2548.3200000000002</v>
      </c>
      <c r="H2018" s="108"/>
      <c r="I2018" s="71"/>
    </row>
    <row r="2019" spans="1:9" s="65" customFormat="1">
      <c r="A2019" s="90"/>
      <c r="B2019" s="91"/>
      <c r="C2019" s="91"/>
      <c r="D2019" s="91"/>
      <c r="E2019" s="91"/>
      <c r="F2019"/>
      <c r="G2019" s="93" t="s">
        <v>407</v>
      </c>
      <c r="H2019" s="107">
        <f>SUM(G2018:G2018)</f>
        <v>2548.3200000000002</v>
      </c>
      <c r="I2019" s="71"/>
    </row>
    <row r="2020" spans="1:9" s="65" customFormat="1">
      <c r="A2020" s="72" t="s">
        <v>411</v>
      </c>
      <c r="B2020" s="73"/>
      <c r="C2020" s="73"/>
      <c r="D2020" s="73"/>
      <c r="E2020" s="73"/>
      <c r="F2020"/>
      <c r="G2020" s="74"/>
      <c r="H2020" s="108"/>
      <c r="I2020" s="71"/>
    </row>
    <row r="2021" spans="1:9" s="65" customFormat="1">
      <c r="A2021" s="75" t="s">
        <v>391</v>
      </c>
      <c r="B2021" s="76" t="s">
        <v>392</v>
      </c>
      <c r="C2021" s="76" t="s">
        <v>393</v>
      </c>
      <c r="D2021" s="76" t="s">
        <v>394</v>
      </c>
      <c r="E2021" s="76" t="s">
        <v>395</v>
      </c>
      <c r="F2021" s="76" t="s">
        <v>396</v>
      </c>
      <c r="G2021" s="76" t="s">
        <v>397</v>
      </c>
      <c r="H2021" s="108"/>
      <c r="I2021" s="71"/>
    </row>
    <row r="2022" spans="1:9" s="65" customFormat="1">
      <c r="A2022" s="87" t="s">
        <v>409</v>
      </c>
      <c r="B2022" s="114" t="s">
        <v>409</v>
      </c>
      <c r="C2022" s="114" t="s">
        <v>409</v>
      </c>
      <c r="D2022" s="114" t="s">
        <v>409</v>
      </c>
      <c r="E2022" s="114" t="s">
        <v>409</v>
      </c>
      <c r="F2022" s="79" t="s">
        <v>409</v>
      </c>
      <c r="G2022" s="89" t="s">
        <v>409</v>
      </c>
      <c r="H2022" s="108"/>
      <c r="I2022" s="71"/>
    </row>
    <row r="2023" spans="1:9" s="65" customFormat="1">
      <c r="A2023" s="94"/>
      <c r="B2023" s="95"/>
      <c r="C2023" s="95"/>
      <c r="D2023" s="95"/>
      <c r="E2023" s="95"/>
      <c r="F2023"/>
      <c r="G2023" s="93" t="s">
        <v>407</v>
      </c>
      <c r="H2023" s="107">
        <f>SUM(G2021:G2022)</f>
        <v>0</v>
      </c>
      <c r="I2023" s="71"/>
    </row>
    <row r="2024" spans="1:9" s="65" customFormat="1">
      <c r="A2024" s="94"/>
      <c r="B2024" s="95"/>
      <c r="C2024" s="95"/>
      <c r="D2024" s="95"/>
      <c r="E2024" s="95"/>
      <c r="F2024"/>
      <c r="G2024" s="74"/>
      <c r="H2024" s="74"/>
      <c r="I2024" s="71"/>
    </row>
    <row r="2025" spans="1:9" s="65" customFormat="1">
      <c r="A2025" s="96"/>
      <c r="B2025" s="97"/>
      <c r="C2025" s="98"/>
      <c r="D2025" s="98"/>
      <c r="E2025" s="98"/>
      <c r="F2025"/>
      <c r="G2025" s="99" t="s">
        <v>412</v>
      </c>
      <c r="H2025" s="115">
        <f>SUM(H2009:H2023)</f>
        <v>3981.4821600000005</v>
      </c>
      <c r="I2025" s="71"/>
    </row>
    <row r="2026" spans="1:9" s="65" customFormat="1">
      <c r="A2026" s="96"/>
      <c r="B2026" s="97"/>
      <c r="C2026" s="98"/>
      <c r="D2026" s="98"/>
      <c r="E2026" s="98"/>
      <c r="F2026" s="101"/>
      <c r="G2026" s="116"/>
      <c r="H2026" s="70"/>
      <c r="I2026" s="71"/>
    </row>
    <row r="2027" spans="1:9" s="65" customFormat="1" ht="15.75" thickBot="1">
      <c r="A2027" s="624" t="s">
        <v>414</v>
      </c>
      <c r="B2027" s="625"/>
      <c r="C2027" s="625"/>
      <c r="D2027" s="625"/>
      <c r="E2027" s="625"/>
      <c r="F2027" s="625"/>
      <c r="G2027" s="626"/>
      <c r="H2027" s="117">
        <f>+ROUND(H2025,0)</f>
        <v>3981</v>
      </c>
      <c r="I2027" s="103"/>
    </row>
    <row r="2028" spans="1:9" s="65" customFormat="1">
      <c r="A2028" s="128"/>
      <c r="B2028" s="141"/>
      <c r="C2028" s="141"/>
      <c r="D2028" s="141"/>
      <c r="E2028" s="141"/>
      <c r="F2028" s="141"/>
      <c r="G2028" s="141"/>
      <c r="H2028" s="140"/>
    </row>
    <row r="2029" spans="1:9" s="65" customFormat="1" ht="15.75" thickBot="1">
      <c r="A2029" s="150"/>
      <c r="B2029" s="83"/>
      <c r="C2029" s="148"/>
      <c r="D2029" s="160"/>
      <c r="E2029" s="84"/>
      <c r="F2029" s="84"/>
      <c r="G2029" s="144"/>
      <c r="H2029" s="145"/>
    </row>
    <row r="2030" spans="1:9" s="65" customFormat="1">
      <c r="A2030" s="627">
        <v>180437</v>
      </c>
      <c r="B2030" s="629" t="s">
        <v>602</v>
      </c>
      <c r="C2030" s="630"/>
      <c r="D2030" s="630"/>
      <c r="E2030" s="630"/>
      <c r="F2030" s="630"/>
      <c r="G2030" s="630"/>
      <c r="H2030" s="630"/>
      <c r="I2030" s="66" t="s">
        <v>389</v>
      </c>
    </row>
    <row r="2031" spans="1:9" s="65" customFormat="1">
      <c r="A2031" s="628"/>
      <c r="B2031" s="631"/>
      <c r="C2031" s="632"/>
      <c r="D2031" s="632"/>
      <c r="E2031" s="632"/>
      <c r="F2031" s="632"/>
      <c r="G2031" s="632"/>
      <c r="H2031" s="632"/>
      <c r="I2031" s="67" t="s">
        <v>291</v>
      </c>
    </row>
    <row r="2032" spans="1:9" s="65" customFormat="1">
      <c r="A2032" s="68"/>
      <c r="B2032" s="69" t="s">
        <v>533</v>
      </c>
      <c r="C2032" s="69"/>
      <c r="D2032" s="69"/>
      <c r="E2032" s="69"/>
      <c r="F2032" s="70"/>
      <c r="G2032" s="70"/>
      <c r="H2032" s="70"/>
      <c r="I2032" s="71"/>
    </row>
    <row r="2033" spans="1:9" s="65" customFormat="1">
      <c r="A2033" s="72" t="s">
        <v>390</v>
      </c>
      <c r="B2033" s="73"/>
      <c r="C2033" s="73"/>
      <c r="D2033" s="73"/>
      <c r="E2033" s="73"/>
      <c r="F2033" s="74"/>
      <c r="G2033" s="74"/>
      <c r="H2033" s="70"/>
      <c r="I2033" s="71"/>
    </row>
    <row r="2034" spans="1:9" s="65" customFormat="1">
      <c r="A2034" s="75" t="s">
        <v>391</v>
      </c>
      <c r="B2034" s="76" t="s">
        <v>392</v>
      </c>
      <c r="C2034" s="76" t="s">
        <v>393</v>
      </c>
      <c r="D2034" s="76" t="s">
        <v>394</v>
      </c>
      <c r="E2034" s="76" t="s">
        <v>395</v>
      </c>
      <c r="F2034" s="76" t="s">
        <v>396</v>
      </c>
      <c r="G2034" s="76" t="s">
        <v>397</v>
      </c>
      <c r="H2034" s="74"/>
      <c r="I2034" s="71"/>
    </row>
    <row r="2035" spans="1:9" s="65" customFormat="1">
      <c r="A2035" s="135" t="s">
        <v>404</v>
      </c>
      <c r="B2035" s="78" t="s">
        <v>405</v>
      </c>
      <c r="C2035" s="127" t="s">
        <v>523</v>
      </c>
      <c r="D2035" s="107">
        <v>1250</v>
      </c>
      <c r="E2035" s="79">
        <v>1</v>
      </c>
      <c r="F2035" s="79">
        <v>0</v>
      </c>
      <c r="G2035" s="107">
        <f>(D2035*E2035)+((D2035*E2035)*F2035/100)</f>
        <v>1250</v>
      </c>
      <c r="H2035" s="74"/>
      <c r="I2035" s="71"/>
    </row>
    <row r="2036" spans="1:9" s="65" customFormat="1">
      <c r="A2036" s="135" t="s">
        <v>603</v>
      </c>
      <c r="B2036" s="78" t="s">
        <v>513</v>
      </c>
      <c r="C2036" s="127" t="s">
        <v>514</v>
      </c>
      <c r="D2036" s="107">
        <v>714</v>
      </c>
      <c r="E2036" s="79">
        <v>0.1</v>
      </c>
      <c r="F2036" s="79">
        <v>0</v>
      </c>
      <c r="G2036" s="107">
        <f>(D2036*E2036)+((D2036*E2036)*F2036/100)</f>
        <v>71.400000000000006</v>
      </c>
      <c r="H2036" s="74"/>
      <c r="I2036" s="71"/>
    </row>
    <row r="2037" spans="1:9" s="65" customFormat="1">
      <c r="A2037" s="135" t="s">
        <v>540</v>
      </c>
      <c r="B2037" s="78" t="s">
        <v>541</v>
      </c>
      <c r="C2037" s="127" t="s">
        <v>437</v>
      </c>
      <c r="D2037" s="107">
        <v>100</v>
      </c>
      <c r="E2037" s="79">
        <v>0.1</v>
      </c>
      <c r="F2037" s="79">
        <v>0</v>
      </c>
      <c r="G2037" s="107">
        <f>(D2037*E2037)+((D2037*E2037)*F2037/100)</f>
        <v>10</v>
      </c>
      <c r="H2037" s="74"/>
      <c r="I2037" s="71"/>
    </row>
    <row r="2038" spans="1:9" s="65" customFormat="1">
      <c r="A2038" s="82"/>
      <c r="B2038" s="83"/>
      <c r="C2038" s="84"/>
      <c r="D2038" s="84"/>
      <c r="E2038" s="84"/>
      <c r="F2038"/>
      <c r="G2038" s="93" t="s">
        <v>407</v>
      </c>
      <c r="H2038" s="107">
        <f>SUM(G2035:G2037)</f>
        <v>1331.4</v>
      </c>
      <c r="I2038" s="71"/>
    </row>
    <row r="2039" spans="1:9" s="65" customFormat="1">
      <c r="A2039" s="72" t="s">
        <v>408</v>
      </c>
      <c r="B2039" s="73"/>
      <c r="C2039" s="73"/>
      <c r="D2039" s="73"/>
      <c r="E2039" s="73"/>
      <c r="F2039"/>
      <c r="G2039" s="74"/>
      <c r="H2039" s="108"/>
      <c r="I2039" s="71"/>
    </row>
    <row r="2040" spans="1:9" s="65" customFormat="1">
      <c r="A2040" s="75" t="s">
        <v>391</v>
      </c>
      <c r="B2040" s="76" t="s">
        <v>392</v>
      </c>
      <c r="C2040" s="76" t="s">
        <v>393</v>
      </c>
      <c r="D2040" s="76" t="s">
        <v>394</v>
      </c>
      <c r="E2040" s="76" t="s">
        <v>395</v>
      </c>
      <c r="F2040" s="76" t="s">
        <v>396</v>
      </c>
      <c r="G2040" s="76" t="s">
        <v>397</v>
      </c>
      <c r="H2040" s="108"/>
      <c r="I2040" s="71"/>
    </row>
    <row r="2041" spans="1:9" s="65" customFormat="1">
      <c r="A2041" s="135">
        <v>1194</v>
      </c>
      <c r="B2041" s="78" t="s">
        <v>604</v>
      </c>
      <c r="C2041" s="127" t="s">
        <v>157</v>
      </c>
      <c r="D2041" s="107">
        <v>7930</v>
      </c>
      <c r="E2041" s="79">
        <v>0.38500000000000001</v>
      </c>
      <c r="F2041" s="79">
        <v>5</v>
      </c>
      <c r="G2041" s="107">
        <f t="shared" ref="G2041:G2048" si="12">(D2041*E2041)+((D2041*E2041)*F2041/100)</f>
        <v>3205.7025000000003</v>
      </c>
      <c r="H2041" s="108"/>
      <c r="I2041" s="71"/>
    </row>
    <row r="2042" spans="1:9" s="65" customFormat="1">
      <c r="A2042" s="135">
        <v>1216</v>
      </c>
      <c r="B2042" s="78" t="s">
        <v>605</v>
      </c>
      <c r="C2042" s="127" t="s">
        <v>606</v>
      </c>
      <c r="D2042" s="107">
        <v>720</v>
      </c>
      <c r="E2042" s="79">
        <v>2.0499999999999998</v>
      </c>
      <c r="F2042" s="79">
        <v>0</v>
      </c>
      <c r="G2042" s="107">
        <f t="shared" si="12"/>
        <v>1475.9999999999998</v>
      </c>
      <c r="H2042" s="108"/>
      <c r="I2042" s="71"/>
    </row>
    <row r="2043" spans="1:9" s="65" customFormat="1">
      <c r="A2043" s="135">
        <v>2093</v>
      </c>
      <c r="B2043" s="78" t="s">
        <v>607</v>
      </c>
      <c r="C2043" s="127" t="s">
        <v>470</v>
      </c>
      <c r="D2043" s="107">
        <v>12229</v>
      </c>
      <c r="E2043" s="79">
        <v>0.02</v>
      </c>
      <c r="F2043" s="79">
        <v>0</v>
      </c>
      <c r="G2043" s="107">
        <f t="shared" si="12"/>
        <v>244.58</v>
      </c>
      <c r="H2043" s="108"/>
      <c r="I2043" s="71"/>
    </row>
    <row r="2044" spans="1:9" s="65" customFormat="1">
      <c r="A2044" s="135">
        <v>2320</v>
      </c>
      <c r="B2044" s="78" t="s">
        <v>608</v>
      </c>
      <c r="C2044" s="127" t="s">
        <v>419</v>
      </c>
      <c r="D2044" s="107">
        <v>3700</v>
      </c>
      <c r="E2044" s="79">
        <v>0.05</v>
      </c>
      <c r="F2044" s="79">
        <v>0</v>
      </c>
      <c r="G2044" s="107">
        <f t="shared" si="12"/>
        <v>185</v>
      </c>
      <c r="H2044" s="108"/>
      <c r="I2044" s="71"/>
    </row>
    <row r="2045" spans="1:9" s="65" customFormat="1" ht="25.5">
      <c r="A2045" s="135">
        <v>3635</v>
      </c>
      <c r="B2045" s="78" t="s">
        <v>609</v>
      </c>
      <c r="C2045" s="127" t="s">
        <v>493</v>
      </c>
      <c r="D2045" s="107">
        <v>4800</v>
      </c>
      <c r="E2045" s="79">
        <v>0.2</v>
      </c>
      <c r="F2045" s="79">
        <v>5</v>
      </c>
      <c r="G2045" s="107">
        <f t="shared" si="12"/>
        <v>1008</v>
      </c>
      <c r="H2045" s="108"/>
      <c r="I2045" s="71"/>
    </row>
    <row r="2046" spans="1:9" s="65" customFormat="1">
      <c r="A2046" s="135">
        <v>3852</v>
      </c>
      <c r="B2046" s="78" t="s">
        <v>610</v>
      </c>
      <c r="C2046" s="127" t="s">
        <v>157</v>
      </c>
      <c r="D2046" s="107">
        <v>160</v>
      </c>
      <c r="E2046" s="79">
        <v>5.9</v>
      </c>
      <c r="F2046" s="79">
        <v>0</v>
      </c>
      <c r="G2046" s="107">
        <f t="shared" si="12"/>
        <v>944</v>
      </c>
      <c r="H2046" s="108"/>
      <c r="I2046" s="71"/>
    </row>
    <row r="2047" spans="1:9" s="65" customFormat="1">
      <c r="A2047" s="135">
        <v>3989</v>
      </c>
      <c r="B2047" s="78" t="s">
        <v>611</v>
      </c>
      <c r="C2047" s="127" t="s">
        <v>157</v>
      </c>
      <c r="D2047" s="107">
        <v>26400</v>
      </c>
      <c r="E2047" s="79">
        <v>0.25</v>
      </c>
      <c r="F2047" s="79">
        <v>1</v>
      </c>
      <c r="G2047" s="107">
        <f t="shared" si="12"/>
        <v>6666</v>
      </c>
      <c r="H2047" s="108"/>
      <c r="I2047" s="71"/>
    </row>
    <row r="2048" spans="1:9" s="65" customFormat="1" ht="25.5">
      <c r="A2048" s="135">
        <v>4086</v>
      </c>
      <c r="B2048" s="78" t="s">
        <v>612</v>
      </c>
      <c r="C2048" s="127" t="s">
        <v>548</v>
      </c>
      <c r="D2048" s="107">
        <v>3136.64</v>
      </c>
      <c r="E2048" s="79">
        <v>0.35</v>
      </c>
      <c r="F2048" s="79">
        <v>0</v>
      </c>
      <c r="G2048" s="107">
        <f t="shared" si="12"/>
        <v>1097.8239999999998</v>
      </c>
      <c r="H2048" s="108"/>
      <c r="I2048" s="71"/>
    </row>
    <row r="2049" spans="1:9" s="65" customFormat="1">
      <c r="A2049" s="90"/>
      <c r="B2049" s="91"/>
      <c r="C2049" s="91"/>
      <c r="D2049" s="91"/>
      <c r="E2049" s="91"/>
      <c r="F2049"/>
      <c r="G2049" s="85" t="s">
        <v>407</v>
      </c>
      <c r="H2049" s="107">
        <f>SUM(G2041:G2048)</f>
        <v>14827.106500000002</v>
      </c>
      <c r="I2049" s="71"/>
    </row>
    <row r="2050" spans="1:9" s="65" customFormat="1">
      <c r="A2050" s="72" t="s">
        <v>410</v>
      </c>
      <c r="B2050" s="73"/>
      <c r="C2050" s="73"/>
      <c r="D2050" s="73"/>
      <c r="E2050" s="73"/>
      <c r="F2050"/>
      <c r="G2050" s="74"/>
      <c r="H2050" s="108"/>
      <c r="I2050" s="71"/>
    </row>
    <row r="2051" spans="1:9" s="65" customFormat="1">
      <c r="A2051" s="75" t="s">
        <v>391</v>
      </c>
      <c r="B2051" s="76" t="s">
        <v>392</v>
      </c>
      <c r="C2051" s="76" t="s">
        <v>393</v>
      </c>
      <c r="D2051" s="76" t="s">
        <v>394</v>
      </c>
      <c r="E2051" s="76" t="s">
        <v>395</v>
      </c>
      <c r="F2051" s="76" t="s">
        <v>396</v>
      </c>
      <c r="G2051" s="76" t="s">
        <v>397</v>
      </c>
      <c r="H2051" s="108"/>
      <c r="I2051" s="71"/>
    </row>
    <row r="2052" spans="1:9" s="65" customFormat="1" ht="25.5">
      <c r="A2052" s="125" t="s">
        <v>600</v>
      </c>
      <c r="B2052" s="78" t="s">
        <v>601</v>
      </c>
      <c r="C2052" s="127" t="s">
        <v>426</v>
      </c>
      <c r="D2052" s="107">
        <v>16863</v>
      </c>
      <c r="E2052" s="79">
        <v>0.35</v>
      </c>
      <c r="F2052" s="79">
        <v>0</v>
      </c>
      <c r="G2052" s="107">
        <f>(D2052*E2052)+((D2052*E2052)*F2052/100)</f>
        <v>5902.0499999999993</v>
      </c>
      <c r="H2052" s="108"/>
      <c r="I2052" s="71"/>
    </row>
    <row r="2053" spans="1:9" s="65" customFormat="1" ht="25.5">
      <c r="A2053" s="125" t="s">
        <v>544</v>
      </c>
      <c r="B2053" s="78" t="s">
        <v>613</v>
      </c>
      <c r="C2053" s="127" t="s">
        <v>426</v>
      </c>
      <c r="D2053" s="107">
        <v>15927</v>
      </c>
      <c r="E2053" s="79">
        <v>0.5</v>
      </c>
      <c r="F2053" s="79">
        <v>0</v>
      </c>
      <c r="G2053" s="107">
        <f>(D2053*E2053)+((D2053*E2053)*F2053/100)</f>
        <v>7963.5</v>
      </c>
      <c r="H2053" s="108"/>
      <c r="I2053" s="71"/>
    </row>
    <row r="2054" spans="1:9" s="65" customFormat="1" ht="25.5">
      <c r="A2054" s="125" t="s">
        <v>598</v>
      </c>
      <c r="B2054" s="78" t="s">
        <v>614</v>
      </c>
      <c r="C2054" s="127" t="s">
        <v>426</v>
      </c>
      <c r="D2054" s="107">
        <v>15927</v>
      </c>
      <c r="E2054" s="79">
        <v>0.08</v>
      </c>
      <c r="F2054" s="79">
        <v>0</v>
      </c>
      <c r="G2054" s="107">
        <f>(D2054*E2054)+((D2054*E2054)*F2054/100)</f>
        <v>1274.1600000000001</v>
      </c>
      <c r="H2054" s="108"/>
      <c r="I2054" s="71"/>
    </row>
    <row r="2055" spans="1:9" s="65" customFormat="1">
      <c r="A2055" s="90"/>
      <c r="B2055" s="91"/>
      <c r="C2055" s="91"/>
      <c r="D2055" s="91"/>
      <c r="E2055" s="91"/>
      <c r="F2055"/>
      <c r="G2055" s="93" t="s">
        <v>407</v>
      </c>
      <c r="H2055" s="107">
        <f>SUM(G2052:G2054)</f>
        <v>15139.71</v>
      </c>
      <c r="I2055" s="71"/>
    </row>
    <row r="2056" spans="1:9" s="65" customFormat="1">
      <c r="A2056" s="72" t="s">
        <v>411</v>
      </c>
      <c r="B2056" s="73"/>
      <c r="C2056" s="73"/>
      <c r="D2056" s="73"/>
      <c r="E2056" s="73"/>
      <c r="F2056"/>
      <c r="G2056" s="74"/>
      <c r="H2056" s="108"/>
      <c r="I2056" s="71"/>
    </row>
    <row r="2057" spans="1:9" s="65" customFormat="1">
      <c r="A2057" s="75" t="s">
        <v>391</v>
      </c>
      <c r="B2057" s="76" t="s">
        <v>392</v>
      </c>
      <c r="C2057" s="76" t="s">
        <v>393</v>
      </c>
      <c r="D2057" s="76" t="s">
        <v>394</v>
      </c>
      <c r="E2057" s="76" t="s">
        <v>395</v>
      </c>
      <c r="F2057" s="76" t="s">
        <v>396</v>
      </c>
      <c r="G2057" s="76" t="s">
        <v>397</v>
      </c>
      <c r="H2057" s="108"/>
      <c r="I2057" s="71"/>
    </row>
    <row r="2058" spans="1:9" s="65" customFormat="1">
      <c r="A2058" s="87" t="s">
        <v>409</v>
      </c>
      <c r="B2058" s="114" t="s">
        <v>409</v>
      </c>
      <c r="C2058" s="114" t="s">
        <v>409</v>
      </c>
      <c r="D2058" s="114" t="s">
        <v>409</v>
      </c>
      <c r="E2058" s="114" t="s">
        <v>409</v>
      </c>
      <c r="F2058" s="79" t="s">
        <v>409</v>
      </c>
      <c r="G2058" s="89" t="s">
        <v>409</v>
      </c>
      <c r="H2058" s="108"/>
      <c r="I2058" s="71"/>
    </row>
    <row r="2059" spans="1:9" s="65" customFormat="1">
      <c r="A2059" s="94"/>
      <c r="B2059" s="95"/>
      <c r="C2059" s="95"/>
      <c r="D2059" s="95"/>
      <c r="E2059" s="95"/>
      <c r="F2059"/>
      <c r="G2059" s="93" t="s">
        <v>407</v>
      </c>
      <c r="H2059" s="107">
        <f>SUM(G2057:G2058)</f>
        <v>0</v>
      </c>
      <c r="I2059" s="71"/>
    </row>
    <row r="2060" spans="1:9" s="65" customFormat="1">
      <c r="A2060" s="94"/>
      <c r="B2060" s="95"/>
      <c r="C2060" s="95"/>
      <c r="D2060" s="95"/>
      <c r="E2060" s="95"/>
      <c r="F2060"/>
      <c r="G2060" s="74"/>
      <c r="H2060" s="74"/>
      <c r="I2060" s="71"/>
    </row>
    <row r="2061" spans="1:9" s="65" customFormat="1">
      <c r="A2061" s="96"/>
      <c r="B2061" s="97"/>
      <c r="C2061" s="98"/>
      <c r="D2061" s="98"/>
      <c r="E2061" s="98"/>
      <c r="F2061"/>
      <c r="G2061" s="99" t="s">
        <v>412</v>
      </c>
      <c r="H2061" s="115">
        <f>SUM(H2038:H2059)</f>
        <v>31298.216500000002</v>
      </c>
      <c r="I2061" s="71"/>
    </row>
    <row r="2062" spans="1:9" s="65" customFormat="1">
      <c r="A2062" s="96"/>
      <c r="B2062" s="97"/>
      <c r="C2062" s="98"/>
      <c r="D2062" s="98"/>
      <c r="E2062" s="98"/>
      <c r="F2062" s="101"/>
      <c r="G2062" s="116"/>
      <c r="H2062" s="70"/>
      <c r="I2062" s="71"/>
    </row>
    <row r="2063" spans="1:9" s="65" customFormat="1" ht="15.75" thickBot="1">
      <c r="A2063" s="624" t="s">
        <v>414</v>
      </c>
      <c r="B2063" s="625"/>
      <c r="C2063" s="625"/>
      <c r="D2063" s="625"/>
      <c r="E2063" s="625"/>
      <c r="F2063" s="625"/>
      <c r="G2063" s="626"/>
      <c r="H2063" s="117">
        <f>+ROUND(H2061,0)</f>
        <v>31298</v>
      </c>
      <c r="I2063" s="103"/>
    </row>
    <row r="2064" spans="1:9" s="65" customFormat="1">
      <c r="B2064" s="97"/>
      <c r="C2064" s="98"/>
      <c r="D2064" s="98"/>
      <c r="E2064" s="98"/>
      <c r="G2064" s="128"/>
    </row>
    <row r="2065" spans="1:9" s="65" customFormat="1" ht="15.75" thickBot="1">
      <c r="B2065" s="97"/>
      <c r="C2065" s="98"/>
      <c r="D2065" s="98"/>
      <c r="E2065" s="98"/>
      <c r="F2065" s="128"/>
      <c r="G2065" s="133"/>
      <c r="H2065" s="134"/>
    </row>
    <row r="2066" spans="1:9" s="65" customFormat="1">
      <c r="A2066" s="627">
        <v>291103</v>
      </c>
      <c r="B2066" s="629" t="s">
        <v>626</v>
      </c>
      <c r="C2066" s="630"/>
      <c r="D2066" s="630"/>
      <c r="E2066" s="630"/>
      <c r="F2066" s="630"/>
      <c r="G2066" s="630"/>
      <c r="H2066" s="630"/>
      <c r="I2066" s="66" t="s">
        <v>389</v>
      </c>
    </row>
    <row r="2067" spans="1:9" s="65" customFormat="1">
      <c r="A2067" s="628"/>
      <c r="B2067" s="631"/>
      <c r="C2067" s="632"/>
      <c r="D2067" s="632"/>
      <c r="E2067" s="632"/>
      <c r="F2067" s="632"/>
      <c r="G2067" s="632"/>
      <c r="H2067" s="632"/>
      <c r="I2067" s="67" t="s">
        <v>291</v>
      </c>
    </row>
    <row r="2068" spans="1:9" s="65" customFormat="1">
      <c r="A2068" s="68"/>
      <c r="B2068" s="69" t="s">
        <v>533</v>
      </c>
      <c r="C2068" s="69"/>
      <c r="D2068" s="69"/>
      <c r="E2068" s="69"/>
      <c r="F2068" s="70"/>
      <c r="G2068" s="70"/>
      <c r="H2068" s="70"/>
      <c r="I2068" s="71"/>
    </row>
    <row r="2069" spans="1:9" s="65" customFormat="1">
      <c r="A2069" s="72" t="s">
        <v>390</v>
      </c>
      <c r="B2069" s="73"/>
      <c r="C2069" s="73"/>
      <c r="D2069" s="73"/>
      <c r="E2069" s="73"/>
      <c r="F2069" s="74"/>
      <c r="G2069" s="74"/>
      <c r="H2069" s="70"/>
      <c r="I2069" s="71"/>
    </row>
    <row r="2070" spans="1:9" s="65" customFormat="1">
      <c r="A2070" s="75" t="s">
        <v>391</v>
      </c>
      <c r="B2070" s="76" t="s">
        <v>392</v>
      </c>
      <c r="C2070" s="76" t="s">
        <v>393</v>
      </c>
      <c r="D2070" s="76" t="s">
        <v>394</v>
      </c>
      <c r="E2070" s="76" t="s">
        <v>395</v>
      </c>
      <c r="F2070" s="76" t="s">
        <v>396</v>
      </c>
      <c r="G2070" s="76" t="s">
        <v>397</v>
      </c>
      <c r="H2070" s="74"/>
      <c r="I2070" s="71"/>
    </row>
    <row r="2071" spans="1:9" s="65" customFormat="1">
      <c r="A2071" s="135" t="s">
        <v>512</v>
      </c>
      <c r="B2071" s="78" t="s">
        <v>513</v>
      </c>
      <c r="C2071" s="127" t="s">
        <v>514</v>
      </c>
      <c r="D2071" s="107">
        <v>714</v>
      </c>
      <c r="E2071" s="79">
        <v>0.1</v>
      </c>
      <c r="F2071" s="79">
        <v>0</v>
      </c>
      <c r="G2071" s="107">
        <f>(D2071*E2071)+((D2071*E2071)*F2071/100)</f>
        <v>71.400000000000006</v>
      </c>
      <c r="H2071" s="74"/>
      <c r="I2071" s="71"/>
    </row>
    <row r="2072" spans="1:9" s="65" customFormat="1">
      <c r="A2072" s="135" t="s">
        <v>404</v>
      </c>
      <c r="B2072" s="78" t="s">
        <v>405</v>
      </c>
      <c r="C2072" s="127" t="s">
        <v>523</v>
      </c>
      <c r="D2072" s="107">
        <v>1250</v>
      </c>
      <c r="E2072" s="79">
        <v>0.02</v>
      </c>
      <c r="F2072" s="79">
        <v>0</v>
      </c>
      <c r="G2072" s="107">
        <f>(D2072*E2072)+((D2072*E2072)*F2072/100)</f>
        <v>25</v>
      </c>
      <c r="H2072" s="74"/>
      <c r="I2072" s="71"/>
    </row>
    <row r="2073" spans="1:9" s="65" customFormat="1">
      <c r="A2073" s="82"/>
      <c r="B2073" s="83"/>
      <c r="C2073" s="84"/>
      <c r="D2073" s="84"/>
      <c r="E2073" s="84"/>
      <c r="F2073"/>
      <c r="G2073" s="93" t="s">
        <v>407</v>
      </c>
      <c r="H2073" s="107">
        <f>SUM(G2071:G2072)</f>
        <v>96.4</v>
      </c>
      <c r="I2073" s="71"/>
    </row>
    <row r="2074" spans="1:9" s="65" customFormat="1">
      <c r="A2074" s="72" t="s">
        <v>408</v>
      </c>
      <c r="B2074" s="73"/>
      <c r="C2074" s="73"/>
      <c r="D2074" s="73"/>
      <c r="E2074" s="73"/>
      <c r="F2074"/>
      <c r="G2074" s="74"/>
      <c r="H2074" s="108"/>
      <c r="I2074" s="71"/>
    </row>
    <row r="2075" spans="1:9" s="65" customFormat="1">
      <c r="A2075" s="75" t="s">
        <v>391</v>
      </c>
      <c r="B2075" s="76" t="s">
        <v>392</v>
      </c>
      <c r="C2075" s="76" t="s">
        <v>393</v>
      </c>
      <c r="D2075" s="76" t="s">
        <v>394</v>
      </c>
      <c r="E2075" s="76" t="s">
        <v>395</v>
      </c>
      <c r="F2075" s="76" t="s">
        <v>396</v>
      </c>
      <c r="G2075" s="76" t="s">
        <v>397</v>
      </c>
      <c r="H2075" s="108"/>
      <c r="I2075" s="71"/>
    </row>
    <row r="2076" spans="1:9" s="65" customFormat="1">
      <c r="A2076" s="135">
        <v>214</v>
      </c>
      <c r="B2076" s="78" t="s">
        <v>469</v>
      </c>
      <c r="C2076" s="127" t="s">
        <v>470</v>
      </c>
      <c r="D2076" s="107">
        <v>12</v>
      </c>
      <c r="E2076" s="79">
        <v>3.5000000000000003E-2</v>
      </c>
      <c r="F2076" s="79">
        <v>1</v>
      </c>
      <c r="G2076" s="107">
        <f>(D2076*E2076)+((D2076*E2076)*F2076/100)</f>
        <v>0.42420000000000002</v>
      </c>
      <c r="H2076" s="108"/>
      <c r="I2076" s="71"/>
    </row>
    <row r="2077" spans="1:9" s="65" customFormat="1">
      <c r="A2077" s="90"/>
      <c r="B2077" s="91"/>
      <c r="C2077" s="91"/>
      <c r="D2077" s="91"/>
      <c r="E2077" s="91"/>
      <c r="F2077"/>
      <c r="G2077" s="85" t="s">
        <v>407</v>
      </c>
      <c r="H2077" s="107">
        <f>SUM(G2076:G2076)</f>
        <v>0.42420000000000002</v>
      </c>
      <c r="I2077" s="71"/>
    </row>
    <row r="2078" spans="1:9" s="65" customFormat="1">
      <c r="A2078" s="72" t="s">
        <v>410</v>
      </c>
      <c r="B2078" s="73"/>
      <c r="C2078" s="73"/>
      <c r="D2078" s="73"/>
      <c r="E2078" s="73"/>
      <c r="F2078"/>
      <c r="G2078" s="74"/>
      <c r="H2078" s="108"/>
      <c r="I2078" s="71"/>
    </row>
    <row r="2079" spans="1:9" s="65" customFormat="1">
      <c r="A2079" s="75" t="s">
        <v>391</v>
      </c>
      <c r="B2079" s="76" t="s">
        <v>392</v>
      </c>
      <c r="C2079" s="76" t="s">
        <v>393</v>
      </c>
      <c r="D2079" s="76" t="s">
        <v>394</v>
      </c>
      <c r="E2079" s="76" t="s">
        <v>395</v>
      </c>
      <c r="F2079" s="76" t="s">
        <v>396</v>
      </c>
      <c r="G2079" s="76" t="s">
        <v>397</v>
      </c>
      <c r="H2079" s="108"/>
      <c r="I2079" s="71"/>
    </row>
    <row r="2080" spans="1:9" s="65" customFormat="1" ht="25.5">
      <c r="A2080" s="125" t="s">
        <v>598</v>
      </c>
      <c r="B2080" s="78" t="s">
        <v>614</v>
      </c>
      <c r="C2080" s="127" t="s">
        <v>426</v>
      </c>
      <c r="D2080" s="107">
        <v>15927</v>
      </c>
      <c r="E2080" s="79">
        <v>0.2</v>
      </c>
      <c r="F2080" s="79">
        <v>0</v>
      </c>
      <c r="G2080" s="107">
        <f>(D2080*E2080)+((D2080*E2080)*F2080/100)</f>
        <v>3185.4</v>
      </c>
      <c r="H2080" s="108"/>
      <c r="I2080" s="71"/>
    </row>
    <row r="2081" spans="1:9" s="65" customFormat="1">
      <c r="A2081" s="90"/>
      <c r="B2081" s="91"/>
      <c r="C2081" s="91"/>
      <c r="D2081" s="91"/>
      <c r="E2081" s="91"/>
      <c r="F2081"/>
      <c r="G2081" s="93" t="s">
        <v>407</v>
      </c>
      <c r="H2081" s="107">
        <f>SUM(G2080:G2080)</f>
        <v>3185.4</v>
      </c>
      <c r="I2081" s="71"/>
    </row>
    <row r="2082" spans="1:9" s="65" customFormat="1">
      <c r="A2082" s="72" t="s">
        <v>411</v>
      </c>
      <c r="B2082" s="73"/>
      <c r="C2082" s="73"/>
      <c r="D2082" s="73"/>
      <c r="E2082" s="73"/>
      <c r="F2082"/>
      <c r="G2082" s="74"/>
      <c r="H2082" s="108"/>
      <c r="I2082" s="71"/>
    </row>
    <row r="2083" spans="1:9" s="65" customFormat="1">
      <c r="A2083" s="75" t="s">
        <v>391</v>
      </c>
      <c r="B2083" s="76" t="s">
        <v>392</v>
      </c>
      <c r="C2083" s="76" t="s">
        <v>393</v>
      </c>
      <c r="D2083" s="76" t="s">
        <v>394</v>
      </c>
      <c r="E2083" s="76" t="s">
        <v>395</v>
      </c>
      <c r="F2083" s="76" t="s">
        <v>396</v>
      </c>
      <c r="G2083" s="76" t="s">
        <v>397</v>
      </c>
      <c r="H2083" s="108"/>
      <c r="I2083" s="71"/>
    </row>
    <row r="2084" spans="1:9" s="65" customFormat="1">
      <c r="A2084" s="87" t="s">
        <v>409</v>
      </c>
      <c r="B2084" s="114" t="s">
        <v>409</v>
      </c>
      <c r="C2084" s="114" t="s">
        <v>409</v>
      </c>
      <c r="D2084" s="114" t="s">
        <v>409</v>
      </c>
      <c r="E2084" s="114" t="s">
        <v>409</v>
      </c>
      <c r="F2084" s="79" t="s">
        <v>409</v>
      </c>
      <c r="G2084" s="89" t="s">
        <v>409</v>
      </c>
      <c r="H2084" s="108"/>
      <c r="I2084" s="71"/>
    </row>
    <row r="2085" spans="1:9" s="65" customFormat="1">
      <c r="A2085" s="94"/>
      <c r="B2085" s="95"/>
      <c r="C2085" s="95"/>
      <c r="D2085" s="95"/>
      <c r="E2085" s="95"/>
      <c r="F2085"/>
      <c r="G2085" s="93" t="s">
        <v>407</v>
      </c>
      <c r="H2085" s="107">
        <f>SUM(G2083:G2084)</f>
        <v>0</v>
      </c>
      <c r="I2085" s="71"/>
    </row>
    <row r="2086" spans="1:9" s="65" customFormat="1">
      <c r="A2086" s="94"/>
      <c r="B2086" s="95"/>
      <c r="C2086" s="95"/>
      <c r="D2086" s="95"/>
      <c r="E2086" s="95"/>
      <c r="F2086"/>
      <c r="G2086" s="74"/>
      <c r="H2086" s="74"/>
      <c r="I2086" s="71"/>
    </row>
    <row r="2087" spans="1:9" s="65" customFormat="1">
      <c r="A2087" s="96"/>
      <c r="B2087" s="97"/>
      <c r="C2087" s="98"/>
      <c r="D2087" s="98"/>
      <c r="E2087" s="98"/>
      <c r="F2087"/>
      <c r="G2087" s="99" t="s">
        <v>412</v>
      </c>
      <c r="H2087" s="115">
        <f>SUM(H2073:H2085)</f>
        <v>3282.2242000000001</v>
      </c>
      <c r="I2087" s="71"/>
    </row>
    <row r="2088" spans="1:9" s="65" customFormat="1">
      <c r="A2088" s="96"/>
      <c r="B2088" s="97"/>
      <c r="C2088" s="98"/>
      <c r="D2088" s="98"/>
      <c r="E2088" s="98"/>
      <c r="F2088" s="101"/>
      <c r="G2088" s="116"/>
      <c r="H2088" s="70"/>
      <c r="I2088" s="71"/>
    </row>
    <row r="2089" spans="1:9" s="65" customFormat="1" ht="15.75" thickBot="1">
      <c r="A2089" s="624" t="s">
        <v>414</v>
      </c>
      <c r="B2089" s="625"/>
      <c r="C2089" s="625"/>
      <c r="D2089" s="625"/>
      <c r="E2089" s="625"/>
      <c r="F2089" s="625"/>
      <c r="G2089" s="626"/>
      <c r="H2089" s="208">
        <f>+ROUND(H2087,0)</f>
        <v>3282</v>
      </c>
      <c r="I2089" s="103"/>
    </row>
    <row r="2090" spans="1:9" s="65" customFormat="1">
      <c r="A2090" s="633"/>
      <c r="B2090" s="633"/>
      <c r="C2090" s="633"/>
      <c r="D2090" s="633"/>
      <c r="E2090" s="633"/>
      <c r="F2090" s="633"/>
      <c r="G2090" s="633"/>
    </row>
    <row r="2091" spans="1:9" s="65" customFormat="1" ht="15.75" thickBot="1">
      <c r="H2091" s="138"/>
      <c r="I2091" s="151"/>
    </row>
    <row r="2092" spans="1:9" s="65" customFormat="1">
      <c r="A2092" s="627">
        <v>220108</v>
      </c>
      <c r="B2092" s="629" t="s">
        <v>627</v>
      </c>
      <c r="C2092" s="630"/>
      <c r="D2092" s="630"/>
      <c r="E2092" s="630"/>
      <c r="F2092" s="630"/>
      <c r="G2092" s="630"/>
      <c r="H2092" s="630"/>
      <c r="I2092" s="66" t="s">
        <v>389</v>
      </c>
    </row>
    <row r="2093" spans="1:9" s="65" customFormat="1">
      <c r="A2093" s="628"/>
      <c r="B2093" s="631"/>
      <c r="C2093" s="632"/>
      <c r="D2093" s="632"/>
      <c r="E2093" s="632"/>
      <c r="F2093" s="632"/>
      <c r="G2093" s="632"/>
      <c r="H2093" s="632"/>
      <c r="I2093" s="67" t="s">
        <v>526</v>
      </c>
    </row>
    <row r="2094" spans="1:9" s="65" customFormat="1">
      <c r="A2094" s="68"/>
      <c r="B2094" s="69" t="s">
        <v>533</v>
      </c>
      <c r="C2094" s="69"/>
      <c r="D2094" s="69"/>
      <c r="E2094" s="69"/>
      <c r="F2094" s="70"/>
      <c r="G2094" s="70"/>
      <c r="H2094" s="70"/>
      <c r="I2094" s="71"/>
    </row>
    <row r="2095" spans="1:9" s="65" customFormat="1">
      <c r="A2095" s="72" t="s">
        <v>390</v>
      </c>
      <c r="B2095" s="73"/>
      <c r="C2095" s="73"/>
      <c r="D2095" s="73"/>
      <c r="E2095" s="73"/>
      <c r="F2095" s="74"/>
      <c r="G2095" s="74"/>
      <c r="H2095" s="70"/>
      <c r="I2095" s="71"/>
    </row>
    <row r="2096" spans="1:9" s="65" customFormat="1">
      <c r="A2096" s="75" t="s">
        <v>391</v>
      </c>
      <c r="B2096" s="76" t="s">
        <v>392</v>
      </c>
      <c r="C2096" s="76" t="s">
        <v>393</v>
      </c>
      <c r="D2096" s="76" t="s">
        <v>394</v>
      </c>
      <c r="E2096" s="76" t="s">
        <v>395</v>
      </c>
      <c r="F2096" s="76" t="s">
        <v>396</v>
      </c>
      <c r="G2096" s="76" t="s">
        <v>397</v>
      </c>
      <c r="H2096" s="74"/>
      <c r="I2096" s="71"/>
    </row>
    <row r="2097" spans="1:9" s="65" customFormat="1">
      <c r="A2097" s="135" t="s">
        <v>404</v>
      </c>
      <c r="B2097" s="78" t="s">
        <v>405</v>
      </c>
      <c r="C2097" s="127" t="s">
        <v>523</v>
      </c>
      <c r="D2097" s="107">
        <v>1250</v>
      </c>
      <c r="E2097" s="79">
        <v>5.6</v>
      </c>
      <c r="F2097" s="79">
        <v>0</v>
      </c>
      <c r="G2097" s="107">
        <f>(D2097*E2097)+((D2097*E2097)*F2097/100)</f>
        <v>7000</v>
      </c>
      <c r="H2097" s="74"/>
      <c r="I2097" s="71"/>
    </row>
    <row r="2098" spans="1:9" s="65" customFormat="1">
      <c r="A2098" s="82"/>
      <c r="B2098" s="83"/>
      <c r="C2098" s="84"/>
      <c r="D2098" s="84"/>
      <c r="E2098" s="84"/>
      <c r="F2098"/>
      <c r="G2098" s="93" t="s">
        <v>407</v>
      </c>
      <c r="H2098" s="107">
        <f>SUM(G2097:G2097)</f>
        <v>7000</v>
      </c>
      <c r="I2098" s="71"/>
    </row>
    <row r="2099" spans="1:9" s="65" customFormat="1">
      <c r="A2099" s="72" t="s">
        <v>408</v>
      </c>
      <c r="B2099" s="73"/>
      <c r="C2099" s="73"/>
      <c r="D2099" s="73"/>
      <c r="E2099" s="73"/>
      <c r="F2099"/>
      <c r="G2099" s="74"/>
      <c r="H2099" s="108"/>
      <c r="I2099" s="71"/>
    </row>
    <row r="2100" spans="1:9" s="65" customFormat="1">
      <c r="A2100" s="75" t="s">
        <v>391</v>
      </c>
      <c r="B2100" s="76" t="s">
        <v>392</v>
      </c>
      <c r="C2100" s="76" t="s">
        <v>393</v>
      </c>
      <c r="D2100" s="76" t="s">
        <v>394</v>
      </c>
      <c r="E2100" s="76" t="s">
        <v>395</v>
      </c>
      <c r="F2100" s="76" t="s">
        <v>396</v>
      </c>
      <c r="G2100" s="76" t="s">
        <v>397</v>
      </c>
      <c r="H2100" s="108"/>
      <c r="I2100" s="71"/>
    </row>
    <row r="2101" spans="1:9" s="65" customFormat="1" ht="25.5">
      <c r="A2101" s="135">
        <v>1502</v>
      </c>
      <c r="B2101" s="78" t="s">
        <v>628</v>
      </c>
      <c r="C2101" s="127" t="s">
        <v>157</v>
      </c>
      <c r="D2101" s="107">
        <v>43076.6</v>
      </c>
      <c r="E2101" s="79">
        <v>0.25</v>
      </c>
      <c r="F2101" s="79">
        <v>0</v>
      </c>
      <c r="G2101" s="107">
        <f>(D2101*E2101)+((D2101*E2101)*F2101/100)</f>
        <v>10769.15</v>
      </c>
      <c r="H2101" s="108"/>
      <c r="I2101" s="71"/>
    </row>
    <row r="2102" spans="1:9" s="65" customFormat="1">
      <c r="A2102" s="135">
        <v>1578</v>
      </c>
      <c r="B2102" s="78" t="s">
        <v>629</v>
      </c>
      <c r="C2102" s="127" t="s">
        <v>528</v>
      </c>
      <c r="D2102" s="107">
        <v>850</v>
      </c>
      <c r="E2102" s="79">
        <v>0.1</v>
      </c>
      <c r="F2102" s="79">
        <v>0</v>
      </c>
      <c r="G2102" s="107">
        <f>(D2102*E2102)+((D2102*E2102)*F2102/100)</f>
        <v>85</v>
      </c>
      <c r="H2102" s="108"/>
      <c r="I2102" s="71"/>
    </row>
    <row r="2103" spans="1:9" s="65" customFormat="1">
      <c r="A2103" s="135">
        <v>3215</v>
      </c>
      <c r="B2103" s="78" t="s">
        <v>630</v>
      </c>
      <c r="C2103" s="127" t="s">
        <v>455</v>
      </c>
      <c r="D2103" s="107">
        <v>24000</v>
      </c>
      <c r="E2103" s="79">
        <v>0.5</v>
      </c>
      <c r="F2103" s="79">
        <v>0</v>
      </c>
      <c r="G2103" s="107">
        <f>(D2103*E2103)+((D2103*E2103)*F2103/100)</f>
        <v>12000</v>
      </c>
      <c r="H2103" s="108"/>
      <c r="I2103" s="71"/>
    </row>
    <row r="2104" spans="1:9" s="65" customFormat="1">
      <c r="A2104" s="135">
        <v>3927</v>
      </c>
      <c r="B2104" s="78" t="s">
        <v>529</v>
      </c>
      <c r="C2104" s="127" t="s">
        <v>474</v>
      </c>
      <c r="D2104" s="107">
        <v>37862.400000000001</v>
      </c>
      <c r="E2104" s="79">
        <v>0.06</v>
      </c>
      <c r="F2104" s="79">
        <v>0</v>
      </c>
      <c r="G2104" s="107">
        <f>(D2104*E2104)+((D2104*E2104)*F2104/100)</f>
        <v>2271.7440000000001</v>
      </c>
      <c r="H2104" s="108"/>
      <c r="I2104" s="71"/>
    </row>
    <row r="2105" spans="1:9" s="65" customFormat="1" ht="25.5">
      <c r="A2105" s="135">
        <v>3929</v>
      </c>
      <c r="B2105" s="78" t="s">
        <v>631</v>
      </c>
      <c r="C2105" s="127" t="s">
        <v>530</v>
      </c>
      <c r="D2105" s="107">
        <v>37500</v>
      </c>
      <c r="E2105" s="79">
        <v>0.01</v>
      </c>
      <c r="F2105" s="79">
        <v>0</v>
      </c>
      <c r="G2105" s="107">
        <f>(D2105*E2105)+((D2105*E2105)*F2105/100)</f>
        <v>375</v>
      </c>
      <c r="H2105" s="108"/>
      <c r="I2105" s="71"/>
    </row>
    <row r="2106" spans="1:9" s="65" customFormat="1">
      <c r="A2106" s="90"/>
      <c r="B2106" s="91"/>
      <c r="C2106" s="91"/>
      <c r="D2106" s="91"/>
      <c r="E2106" s="91"/>
      <c r="F2106"/>
      <c r="G2106" s="85" t="s">
        <v>407</v>
      </c>
      <c r="H2106" s="107">
        <f>SUM(G2101:G2105)</f>
        <v>25500.894</v>
      </c>
      <c r="I2106" s="71"/>
    </row>
    <row r="2107" spans="1:9" s="65" customFormat="1">
      <c r="A2107" s="72" t="s">
        <v>410</v>
      </c>
      <c r="B2107" s="73"/>
      <c r="C2107" s="73"/>
      <c r="D2107" s="73"/>
      <c r="E2107" s="73"/>
      <c r="F2107"/>
      <c r="G2107" s="74"/>
      <c r="H2107" s="108"/>
      <c r="I2107" s="71"/>
    </row>
    <row r="2108" spans="1:9" s="65" customFormat="1">
      <c r="A2108" s="75" t="s">
        <v>391</v>
      </c>
      <c r="B2108" s="76" t="s">
        <v>392</v>
      </c>
      <c r="C2108" s="76" t="s">
        <v>393</v>
      </c>
      <c r="D2108" s="76" t="s">
        <v>394</v>
      </c>
      <c r="E2108" s="76" t="s">
        <v>395</v>
      </c>
      <c r="F2108" s="76" t="s">
        <v>396</v>
      </c>
      <c r="G2108" s="76" t="s">
        <v>397</v>
      </c>
      <c r="H2108" s="108"/>
      <c r="I2108" s="71"/>
    </row>
    <row r="2109" spans="1:9" s="65" customFormat="1" ht="25.5">
      <c r="A2109" s="125" t="s">
        <v>531</v>
      </c>
      <c r="B2109" s="78" t="s">
        <v>532</v>
      </c>
      <c r="C2109" s="127" t="s">
        <v>426</v>
      </c>
      <c r="D2109" s="107">
        <v>17988</v>
      </c>
      <c r="E2109" s="79">
        <v>1</v>
      </c>
      <c r="F2109" s="79">
        <v>0</v>
      </c>
      <c r="G2109" s="107">
        <f>(D2109*E2109)+((D2109*E2109)*F2109/100)</f>
        <v>17988</v>
      </c>
      <c r="H2109" s="108"/>
      <c r="I2109" s="71"/>
    </row>
    <row r="2110" spans="1:9" s="65" customFormat="1">
      <c r="A2110" s="90"/>
      <c r="B2110" s="91"/>
      <c r="C2110" s="91"/>
      <c r="D2110" s="91"/>
      <c r="E2110" s="91"/>
      <c r="F2110"/>
      <c r="G2110" s="93" t="s">
        <v>407</v>
      </c>
      <c r="H2110" s="107">
        <f>SUM(G2109:G2109)</f>
        <v>17988</v>
      </c>
      <c r="I2110" s="71"/>
    </row>
    <row r="2111" spans="1:9" s="65" customFormat="1">
      <c r="A2111" s="72" t="s">
        <v>411</v>
      </c>
      <c r="B2111" s="73"/>
      <c r="C2111" s="73"/>
      <c r="D2111" s="73"/>
      <c r="E2111" s="73"/>
      <c r="F2111"/>
      <c r="G2111" s="74"/>
      <c r="H2111" s="108"/>
      <c r="I2111" s="71"/>
    </row>
    <row r="2112" spans="1:9" s="65" customFormat="1">
      <c r="A2112" s="75" t="s">
        <v>391</v>
      </c>
      <c r="B2112" s="76" t="s">
        <v>392</v>
      </c>
      <c r="C2112" s="76" t="s">
        <v>393</v>
      </c>
      <c r="D2112" s="76" t="s">
        <v>394</v>
      </c>
      <c r="E2112" s="76" t="s">
        <v>395</v>
      </c>
      <c r="F2112" s="76" t="s">
        <v>396</v>
      </c>
      <c r="G2112" s="76" t="s">
        <v>397</v>
      </c>
      <c r="H2112" s="108"/>
      <c r="I2112" s="71"/>
    </row>
    <row r="2113" spans="1:9" s="65" customFormat="1">
      <c r="A2113" s="87" t="s">
        <v>409</v>
      </c>
      <c r="B2113" s="114" t="s">
        <v>409</v>
      </c>
      <c r="C2113" s="114" t="s">
        <v>409</v>
      </c>
      <c r="D2113" s="114" t="s">
        <v>409</v>
      </c>
      <c r="E2113" s="114" t="s">
        <v>409</v>
      </c>
      <c r="F2113" s="79" t="s">
        <v>409</v>
      </c>
      <c r="G2113" s="89" t="s">
        <v>409</v>
      </c>
      <c r="H2113" s="108"/>
      <c r="I2113" s="71"/>
    </row>
    <row r="2114" spans="1:9" s="65" customFormat="1">
      <c r="A2114" s="94"/>
      <c r="B2114" s="95"/>
      <c r="C2114" s="95"/>
      <c r="D2114" s="95"/>
      <c r="E2114" s="95"/>
      <c r="F2114"/>
      <c r="G2114" s="93" t="s">
        <v>407</v>
      </c>
      <c r="H2114" s="107">
        <f>SUM(G2112:G2113)</f>
        <v>0</v>
      </c>
      <c r="I2114" s="71"/>
    </row>
    <row r="2115" spans="1:9" s="65" customFormat="1">
      <c r="A2115" s="94"/>
      <c r="B2115" s="95"/>
      <c r="C2115" s="95"/>
      <c r="D2115" s="95"/>
      <c r="E2115" s="95"/>
      <c r="F2115"/>
      <c r="G2115" s="74"/>
      <c r="H2115" s="74"/>
      <c r="I2115" s="71"/>
    </row>
    <row r="2116" spans="1:9" s="65" customFormat="1">
      <c r="A2116" s="96"/>
      <c r="B2116" s="97"/>
      <c r="C2116" s="98"/>
      <c r="D2116" s="98"/>
      <c r="E2116" s="98"/>
      <c r="F2116"/>
      <c r="G2116" s="99" t="s">
        <v>412</v>
      </c>
      <c r="H2116" s="115">
        <f>SUM(H2098:H2114)</f>
        <v>50488.894</v>
      </c>
      <c r="I2116" s="71"/>
    </row>
    <row r="2117" spans="1:9" s="65" customFormat="1">
      <c r="A2117" s="96"/>
      <c r="B2117" s="97"/>
      <c r="C2117" s="98"/>
      <c r="D2117" s="98"/>
      <c r="E2117" s="98"/>
      <c r="F2117" s="101"/>
      <c r="G2117" s="116"/>
      <c r="H2117" s="70"/>
      <c r="I2117" s="71"/>
    </row>
    <row r="2118" spans="1:9" s="65" customFormat="1" ht="15.75" thickBot="1">
      <c r="A2118" s="624" t="s">
        <v>527</v>
      </c>
      <c r="B2118" s="625"/>
      <c r="C2118" s="625"/>
      <c r="D2118" s="625"/>
      <c r="E2118" s="625"/>
      <c r="F2118" s="625"/>
      <c r="G2118" s="626"/>
      <c r="H2118" s="208">
        <f>+ROUND(H2116,0)</f>
        <v>50489</v>
      </c>
      <c r="I2118" s="103"/>
    </row>
    <row r="2119" spans="1:9" s="65" customFormat="1" ht="15.75" thickBot="1">
      <c r="A2119"/>
      <c r="B2119"/>
      <c r="C2119"/>
      <c r="D2119"/>
      <c r="E2119"/>
      <c r="F2119"/>
      <c r="G2119"/>
      <c r="H2119"/>
      <c r="I2119"/>
    </row>
    <row r="2120" spans="1:9" s="65" customFormat="1">
      <c r="A2120" s="627" t="s">
        <v>409</v>
      </c>
      <c r="B2120" s="629" t="s">
        <v>632</v>
      </c>
      <c r="C2120" s="630"/>
      <c r="D2120" s="630"/>
      <c r="E2120" s="630"/>
      <c r="F2120" s="630"/>
      <c r="G2120" s="630"/>
      <c r="H2120" s="630"/>
      <c r="I2120" s="66" t="s">
        <v>389</v>
      </c>
    </row>
    <row r="2121" spans="1:9" s="65" customFormat="1">
      <c r="A2121" s="628"/>
      <c r="B2121" s="631"/>
      <c r="C2121" s="632"/>
      <c r="D2121" s="632"/>
      <c r="E2121" s="632"/>
      <c r="F2121" s="632"/>
      <c r="G2121" s="632"/>
      <c r="H2121" s="632"/>
      <c r="I2121" s="67" t="s">
        <v>291</v>
      </c>
    </row>
    <row r="2122" spans="1:9" s="65" customFormat="1">
      <c r="A2122" s="68"/>
      <c r="B2122" s="69" t="s">
        <v>533</v>
      </c>
      <c r="C2122" s="69"/>
      <c r="D2122" s="69"/>
      <c r="E2122" s="69"/>
      <c r="F2122" s="70"/>
      <c r="G2122" s="70"/>
      <c r="H2122" s="70"/>
      <c r="I2122" s="71"/>
    </row>
    <row r="2123" spans="1:9" s="65" customFormat="1">
      <c r="A2123" s="72" t="s">
        <v>390</v>
      </c>
      <c r="B2123" s="73"/>
      <c r="C2123" s="73"/>
      <c r="D2123" s="73"/>
      <c r="E2123" s="73"/>
      <c r="F2123" s="74"/>
      <c r="G2123" s="74"/>
      <c r="H2123" s="70"/>
      <c r="I2123" s="71"/>
    </row>
    <row r="2124" spans="1:9" s="65" customFormat="1">
      <c r="A2124" s="75" t="s">
        <v>391</v>
      </c>
      <c r="B2124" s="76" t="s">
        <v>392</v>
      </c>
      <c r="C2124" s="76" t="s">
        <v>393</v>
      </c>
      <c r="D2124" s="76" t="s">
        <v>394</v>
      </c>
      <c r="E2124" s="76" t="s">
        <v>395</v>
      </c>
      <c r="F2124" s="76" t="s">
        <v>396</v>
      </c>
      <c r="G2124" s="76" t="s">
        <v>397</v>
      </c>
      <c r="H2124" s="74"/>
      <c r="I2124" s="71"/>
    </row>
    <row r="2125" spans="1:9" s="65" customFormat="1">
      <c r="A2125" s="135" t="s">
        <v>404</v>
      </c>
      <c r="B2125" s="78" t="s">
        <v>405</v>
      </c>
      <c r="C2125" s="127" t="s">
        <v>523</v>
      </c>
      <c r="D2125" s="107">
        <v>1250</v>
      </c>
      <c r="E2125" s="79">
        <v>16</v>
      </c>
      <c r="F2125" s="79">
        <v>0</v>
      </c>
      <c r="G2125" s="107">
        <f>(D2125*E2125)+((D2125*E2125)*F2125/100)</f>
        <v>20000</v>
      </c>
      <c r="H2125" s="74"/>
      <c r="I2125" s="71"/>
    </row>
    <row r="2126" spans="1:9" s="65" customFormat="1">
      <c r="A2126" s="82"/>
      <c r="B2126" s="83"/>
      <c r="C2126" s="84"/>
      <c r="D2126" s="84"/>
      <c r="E2126" s="84"/>
      <c r="F2126"/>
      <c r="G2126" s="93" t="s">
        <v>407</v>
      </c>
      <c r="H2126" s="107">
        <f>SUM(G2125:G2125)</f>
        <v>20000</v>
      </c>
      <c r="I2126" s="71"/>
    </row>
    <row r="2127" spans="1:9" s="65" customFormat="1">
      <c r="A2127" s="72" t="s">
        <v>408</v>
      </c>
      <c r="B2127" s="73"/>
      <c r="C2127" s="73"/>
      <c r="D2127" s="73"/>
      <c r="E2127" s="73"/>
      <c r="F2127"/>
      <c r="G2127" s="74"/>
      <c r="H2127" s="108"/>
      <c r="I2127" s="71"/>
    </row>
    <row r="2128" spans="1:9" s="65" customFormat="1">
      <c r="A2128" s="75" t="s">
        <v>391</v>
      </c>
      <c r="B2128" s="76" t="s">
        <v>392</v>
      </c>
      <c r="C2128" s="76" t="s">
        <v>393</v>
      </c>
      <c r="D2128" s="76" t="s">
        <v>394</v>
      </c>
      <c r="E2128" s="76" t="s">
        <v>395</v>
      </c>
      <c r="F2128" s="76" t="s">
        <v>396</v>
      </c>
      <c r="G2128" s="76" t="s">
        <v>397</v>
      </c>
      <c r="H2128" s="108"/>
      <c r="I2128" s="71"/>
    </row>
    <row r="2129" spans="1:9" s="65" customFormat="1" ht="25.5">
      <c r="A2129" s="135">
        <v>1502</v>
      </c>
      <c r="B2129" s="78" t="s">
        <v>633</v>
      </c>
      <c r="C2129" s="127" t="s">
        <v>157</v>
      </c>
      <c r="D2129" s="107">
        <v>43076.6</v>
      </c>
      <c r="E2129" s="79">
        <v>0.9</v>
      </c>
      <c r="F2129" s="79">
        <v>0</v>
      </c>
      <c r="G2129" s="107">
        <f t="shared" ref="G2129:G2137" si="13">(D2129*E2129)+((D2129*E2129)*F2129/100)</f>
        <v>38768.94</v>
      </c>
      <c r="H2129" s="108"/>
      <c r="I2129" s="71"/>
    </row>
    <row r="2130" spans="1:9" s="65" customFormat="1">
      <c r="A2130" s="135">
        <v>1578</v>
      </c>
      <c r="B2130" s="78" t="s">
        <v>629</v>
      </c>
      <c r="C2130" s="127" t="s">
        <v>528</v>
      </c>
      <c r="D2130" s="107">
        <v>850</v>
      </c>
      <c r="E2130" s="79">
        <v>1</v>
      </c>
      <c r="F2130" s="79">
        <v>0</v>
      </c>
      <c r="G2130" s="107">
        <f t="shared" si="13"/>
        <v>850</v>
      </c>
      <c r="H2130" s="108"/>
      <c r="I2130" s="71"/>
    </row>
    <row r="2131" spans="1:9" s="65" customFormat="1">
      <c r="A2131" s="135">
        <v>3215</v>
      </c>
      <c r="B2131" s="78" t="s">
        <v>630</v>
      </c>
      <c r="C2131" s="127" t="s">
        <v>455</v>
      </c>
      <c r="D2131" s="107">
        <v>24000</v>
      </c>
      <c r="E2131" s="79">
        <v>1</v>
      </c>
      <c r="F2131" s="79">
        <v>0</v>
      </c>
      <c r="G2131" s="107">
        <f t="shared" si="13"/>
        <v>24000</v>
      </c>
      <c r="H2131" s="108"/>
      <c r="I2131" s="71"/>
    </row>
    <row r="2132" spans="1:9" s="65" customFormat="1">
      <c r="A2132" s="135">
        <v>3569</v>
      </c>
      <c r="B2132" s="78" t="s">
        <v>634</v>
      </c>
      <c r="C2132" s="127" t="s">
        <v>423</v>
      </c>
      <c r="D2132" s="107">
        <v>6199.04</v>
      </c>
      <c r="E2132" s="79">
        <v>0.1</v>
      </c>
      <c r="F2132" s="79">
        <v>0</v>
      </c>
      <c r="G2132" s="107">
        <f t="shared" si="13"/>
        <v>619.904</v>
      </c>
      <c r="H2132" s="108"/>
      <c r="I2132" s="71"/>
    </row>
    <row r="2133" spans="1:9" s="65" customFormat="1">
      <c r="A2133" s="135">
        <v>3679</v>
      </c>
      <c r="B2133" s="78" t="s">
        <v>635</v>
      </c>
      <c r="C2133" s="127" t="s">
        <v>157</v>
      </c>
      <c r="D2133" s="107">
        <v>8950</v>
      </c>
      <c r="E2133" s="79">
        <v>0.5</v>
      </c>
      <c r="F2133" s="79">
        <v>0</v>
      </c>
      <c r="G2133" s="107">
        <f t="shared" si="13"/>
        <v>4475</v>
      </c>
      <c r="H2133" s="108"/>
      <c r="I2133" s="71"/>
    </row>
    <row r="2134" spans="1:9" s="65" customFormat="1">
      <c r="A2134" s="135">
        <v>3927</v>
      </c>
      <c r="B2134" s="78" t="s">
        <v>529</v>
      </c>
      <c r="C2134" s="127" t="s">
        <v>474</v>
      </c>
      <c r="D2134" s="107">
        <v>37862.400000000001</v>
      </c>
      <c r="E2134" s="79">
        <v>0.02</v>
      </c>
      <c r="F2134" s="79">
        <v>0</v>
      </c>
      <c r="G2134" s="107">
        <f t="shared" si="13"/>
        <v>757.24800000000005</v>
      </c>
      <c r="H2134" s="108"/>
      <c r="I2134" s="71"/>
    </row>
    <row r="2135" spans="1:9" s="65" customFormat="1" ht="25.5">
      <c r="A2135" s="135">
        <v>3929</v>
      </c>
      <c r="B2135" s="78" t="s">
        <v>631</v>
      </c>
      <c r="C2135" s="127" t="s">
        <v>530</v>
      </c>
      <c r="D2135" s="107">
        <v>37500</v>
      </c>
      <c r="E2135" s="79">
        <v>0.01</v>
      </c>
      <c r="F2135" s="79">
        <v>0</v>
      </c>
      <c r="G2135" s="107">
        <f t="shared" si="13"/>
        <v>375</v>
      </c>
      <c r="H2135" s="108"/>
      <c r="I2135" s="71"/>
    </row>
    <row r="2136" spans="1:9" s="65" customFormat="1">
      <c r="A2136" s="135">
        <v>4609</v>
      </c>
      <c r="B2136" s="78" t="s">
        <v>636</v>
      </c>
      <c r="C2136" s="127" t="s">
        <v>637</v>
      </c>
      <c r="D2136" s="107">
        <v>6364</v>
      </c>
      <c r="E2136" s="79">
        <v>1</v>
      </c>
      <c r="F2136" s="79">
        <v>0</v>
      </c>
      <c r="G2136" s="107">
        <f t="shared" si="13"/>
        <v>6364</v>
      </c>
      <c r="H2136" s="108"/>
      <c r="I2136" s="71"/>
    </row>
    <row r="2137" spans="1:9" s="65" customFormat="1">
      <c r="A2137" s="135" t="s">
        <v>551</v>
      </c>
      <c r="B2137" s="78" t="s">
        <v>552</v>
      </c>
      <c r="C2137" s="127" t="s">
        <v>454</v>
      </c>
      <c r="D2137" s="107">
        <v>258311.5</v>
      </c>
      <c r="E2137" s="79">
        <v>1.4999999999999999E-2</v>
      </c>
      <c r="F2137" s="79">
        <v>0</v>
      </c>
      <c r="G2137" s="107">
        <f t="shared" si="13"/>
        <v>3874.6724999999997</v>
      </c>
      <c r="H2137" s="108"/>
      <c r="I2137" s="71"/>
    </row>
    <row r="2138" spans="1:9" s="65" customFormat="1">
      <c r="A2138" s="90"/>
      <c r="B2138" s="91"/>
      <c r="C2138" s="91"/>
      <c r="D2138" s="91"/>
      <c r="E2138" s="91"/>
      <c r="F2138"/>
      <c r="G2138" s="85" t="s">
        <v>407</v>
      </c>
      <c r="H2138" s="107">
        <f>SUM(G2129:G2137)</f>
        <v>80084.764500000019</v>
      </c>
      <c r="I2138" s="71"/>
    </row>
    <row r="2139" spans="1:9" s="65" customFormat="1">
      <c r="A2139" s="72" t="s">
        <v>410</v>
      </c>
      <c r="B2139" s="73"/>
      <c r="C2139" s="73"/>
      <c r="D2139" s="73"/>
      <c r="E2139" s="73"/>
      <c r="F2139"/>
      <c r="G2139" s="74"/>
      <c r="H2139" s="108"/>
      <c r="I2139" s="71"/>
    </row>
    <row r="2140" spans="1:9" s="65" customFormat="1">
      <c r="A2140" s="75" t="s">
        <v>391</v>
      </c>
      <c r="B2140" s="76" t="s">
        <v>392</v>
      </c>
      <c r="C2140" s="76" t="s">
        <v>393</v>
      </c>
      <c r="D2140" s="76" t="s">
        <v>394</v>
      </c>
      <c r="E2140" s="76" t="s">
        <v>395</v>
      </c>
      <c r="F2140" s="76" t="s">
        <v>396</v>
      </c>
      <c r="G2140" s="76" t="s">
        <v>397</v>
      </c>
      <c r="H2140" s="108"/>
      <c r="I2140" s="71"/>
    </row>
    <row r="2141" spans="1:9" s="65" customFormat="1" ht="25.5">
      <c r="A2141" s="125" t="s">
        <v>531</v>
      </c>
      <c r="B2141" s="78" t="s">
        <v>532</v>
      </c>
      <c r="C2141" s="127" t="s">
        <v>426</v>
      </c>
      <c r="D2141" s="107">
        <v>17988</v>
      </c>
      <c r="E2141" s="79">
        <v>2.5</v>
      </c>
      <c r="F2141" s="79">
        <v>0</v>
      </c>
      <c r="G2141" s="107">
        <f>(D2141*E2141)+((D2141*E2141)*F2141/100)</f>
        <v>44970</v>
      </c>
      <c r="H2141" s="108"/>
      <c r="I2141" s="71"/>
    </row>
    <row r="2142" spans="1:9" s="65" customFormat="1" ht="25.5">
      <c r="A2142" s="125" t="s">
        <v>461</v>
      </c>
      <c r="B2142" s="78" t="s">
        <v>522</v>
      </c>
      <c r="C2142" s="127" t="s">
        <v>426</v>
      </c>
      <c r="D2142" s="107">
        <v>14990</v>
      </c>
      <c r="E2142" s="79">
        <v>0.5</v>
      </c>
      <c r="F2142" s="79">
        <v>0</v>
      </c>
      <c r="G2142" s="107">
        <f>(D2142*E2142)+((D2142*E2142)*F2142/100)</f>
        <v>7495</v>
      </c>
      <c r="H2142" s="108"/>
      <c r="I2142" s="71"/>
    </row>
    <row r="2143" spans="1:9" s="65" customFormat="1">
      <c r="A2143" s="90"/>
      <c r="B2143" s="91"/>
      <c r="C2143" s="91"/>
      <c r="D2143" s="91"/>
      <c r="E2143" s="91"/>
      <c r="F2143"/>
      <c r="G2143" s="93" t="s">
        <v>407</v>
      </c>
      <c r="H2143" s="107">
        <f>SUM(G2141:G2142)</f>
        <v>52465</v>
      </c>
      <c r="I2143" s="71"/>
    </row>
    <row r="2144" spans="1:9" s="65" customFormat="1">
      <c r="A2144" s="72" t="s">
        <v>411</v>
      </c>
      <c r="B2144" s="73"/>
      <c r="C2144" s="73"/>
      <c r="D2144" s="73"/>
      <c r="E2144" s="73"/>
      <c r="F2144"/>
      <c r="G2144" s="74"/>
      <c r="H2144" s="108"/>
      <c r="I2144" s="71"/>
    </row>
    <row r="2145" spans="1:9" s="65" customFormat="1">
      <c r="A2145" s="75" t="s">
        <v>391</v>
      </c>
      <c r="B2145" s="76" t="s">
        <v>392</v>
      </c>
      <c r="C2145" s="76" t="s">
        <v>393</v>
      </c>
      <c r="D2145" s="76" t="s">
        <v>394</v>
      </c>
      <c r="E2145" s="76" t="s">
        <v>395</v>
      </c>
      <c r="F2145" s="76" t="s">
        <v>396</v>
      </c>
      <c r="G2145" s="76" t="s">
        <v>397</v>
      </c>
      <c r="H2145" s="108"/>
      <c r="I2145" s="71"/>
    </row>
    <row r="2146" spans="1:9" s="65" customFormat="1">
      <c r="A2146" s="87" t="s">
        <v>409</v>
      </c>
      <c r="B2146" s="114" t="s">
        <v>409</v>
      </c>
      <c r="C2146" s="114" t="s">
        <v>409</v>
      </c>
      <c r="D2146" s="114" t="s">
        <v>409</v>
      </c>
      <c r="E2146" s="114" t="s">
        <v>409</v>
      </c>
      <c r="F2146" s="79" t="s">
        <v>409</v>
      </c>
      <c r="G2146" s="89" t="s">
        <v>409</v>
      </c>
      <c r="H2146" s="108"/>
      <c r="I2146" s="71"/>
    </row>
    <row r="2147" spans="1:9" s="65" customFormat="1">
      <c r="A2147" s="94"/>
      <c r="B2147" s="95"/>
      <c r="C2147" s="95"/>
      <c r="D2147" s="95"/>
      <c r="E2147" s="95"/>
      <c r="F2147"/>
      <c r="G2147" s="93" t="s">
        <v>407</v>
      </c>
      <c r="H2147" s="107">
        <f>SUM(G2145:G2146)</f>
        <v>0</v>
      </c>
      <c r="I2147" s="71"/>
    </row>
    <row r="2148" spans="1:9" s="65" customFormat="1">
      <c r="A2148" s="94"/>
      <c r="B2148" s="95"/>
      <c r="C2148" s="95"/>
      <c r="D2148" s="95"/>
      <c r="E2148" s="95"/>
      <c r="F2148"/>
      <c r="G2148" s="74"/>
      <c r="H2148" s="74"/>
      <c r="I2148" s="71"/>
    </row>
    <row r="2149" spans="1:9" s="65" customFormat="1">
      <c r="A2149" s="96"/>
      <c r="B2149" s="97"/>
      <c r="C2149" s="98"/>
      <c r="D2149" s="98"/>
      <c r="E2149" s="98"/>
      <c r="F2149"/>
      <c r="G2149" s="99" t="s">
        <v>412</v>
      </c>
      <c r="H2149" s="115">
        <f>SUM(H2126:H2147)</f>
        <v>152549.76450000002</v>
      </c>
      <c r="I2149" s="71"/>
    </row>
    <row r="2150" spans="1:9" s="65" customFormat="1">
      <c r="A2150" s="96"/>
      <c r="B2150" s="97"/>
      <c r="C2150" s="98"/>
      <c r="D2150" s="98"/>
      <c r="E2150" s="98"/>
      <c r="F2150" s="101"/>
      <c r="G2150" s="116"/>
      <c r="H2150" s="70"/>
      <c r="I2150" s="71"/>
    </row>
    <row r="2151" spans="1:9" s="65" customFormat="1" ht="15.75" thickBot="1">
      <c r="A2151" s="624" t="s">
        <v>414</v>
      </c>
      <c r="B2151" s="625"/>
      <c r="C2151" s="625"/>
      <c r="D2151" s="625"/>
      <c r="E2151" s="625"/>
      <c r="F2151" s="625"/>
      <c r="G2151" s="626"/>
      <c r="H2151" s="208">
        <f>+ROUND(H2149,0)</f>
        <v>152550</v>
      </c>
      <c r="I2151" s="103"/>
    </row>
    <row r="2152" spans="1:9" s="65" customFormat="1" ht="15.75" thickBot="1">
      <c r="A2152"/>
      <c r="B2152"/>
      <c r="C2152"/>
      <c r="D2152"/>
      <c r="E2152"/>
      <c r="F2152"/>
      <c r="G2152"/>
      <c r="H2152"/>
      <c r="I2152"/>
    </row>
    <row r="2153" spans="1:9" s="65" customFormat="1">
      <c r="A2153" s="627">
        <v>220407</v>
      </c>
      <c r="B2153" s="629" t="s">
        <v>638</v>
      </c>
      <c r="C2153" s="630"/>
      <c r="D2153" s="630"/>
      <c r="E2153" s="630"/>
      <c r="F2153" s="630"/>
      <c r="G2153" s="630"/>
      <c r="H2153" s="630"/>
      <c r="I2153" s="66" t="s">
        <v>389</v>
      </c>
    </row>
    <row r="2154" spans="1:9" s="65" customFormat="1">
      <c r="A2154" s="628"/>
      <c r="B2154" s="631"/>
      <c r="C2154" s="632"/>
      <c r="D2154" s="632"/>
      <c r="E2154" s="632"/>
      <c r="F2154" s="632"/>
      <c r="G2154" s="632"/>
      <c r="H2154" s="632"/>
      <c r="I2154" s="67" t="s">
        <v>7</v>
      </c>
    </row>
    <row r="2155" spans="1:9" s="65" customFormat="1">
      <c r="A2155" s="68"/>
      <c r="B2155" s="69" t="s">
        <v>533</v>
      </c>
      <c r="C2155" s="69"/>
      <c r="D2155" s="69"/>
      <c r="E2155" s="69"/>
      <c r="F2155" s="70"/>
      <c r="G2155" s="70"/>
      <c r="H2155" s="70"/>
      <c r="I2155" s="71"/>
    </row>
    <row r="2156" spans="1:9" s="65" customFormat="1">
      <c r="A2156" s="72" t="s">
        <v>390</v>
      </c>
      <c r="B2156" s="73"/>
      <c r="C2156" s="73"/>
      <c r="D2156" s="73"/>
      <c r="E2156" s="73"/>
      <c r="F2156" s="74"/>
      <c r="G2156" s="74"/>
      <c r="H2156" s="70"/>
      <c r="I2156" s="71"/>
    </row>
    <row r="2157" spans="1:9" s="65" customFormat="1">
      <c r="A2157" s="75" t="s">
        <v>391</v>
      </c>
      <c r="B2157" s="76" t="s">
        <v>392</v>
      </c>
      <c r="C2157" s="76" t="s">
        <v>393</v>
      </c>
      <c r="D2157" s="76" t="s">
        <v>394</v>
      </c>
      <c r="E2157" s="76" t="s">
        <v>395</v>
      </c>
      <c r="F2157" s="76" t="s">
        <v>396</v>
      </c>
      <c r="G2157" s="76" t="s">
        <v>397</v>
      </c>
      <c r="H2157" s="74"/>
      <c r="I2157" s="71"/>
    </row>
    <row r="2158" spans="1:9" s="65" customFormat="1">
      <c r="A2158" s="135" t="s">
        <v>404</v>
      </c>
      <c r="B2158" s="78" t="s">
        <v>405</v>
      </c>
      <c r="C2158" s="127" t="s">
        <v>523</v>
      </c>
      <c r="D2158" s="107">
        <v>1250</v>
      </c>
      <c r="E2158" s="79">
        <v>12</v>
      </c>
      <c r="F2158" s="79">
        <v>0</v>
      </c>
      <c r="G2158" s="107">
        <f>(D2158*E2158)+((D2158*E2158)*F2158/100)</f>
        <v>15000</v>
      </c>
      <c r="H2158" s="74"/>
      <c r="I2158" s="71"/>
    </row>
    <row r="2159" spans="1:9" s="65" customFormat="1">
      <c r="A2159" s="82"/>
      <c r="B2159" s="83"/>
      <c r="C2159" s="84"/>
      <c r="D2159" s="84"/>
      <c r="E2159" s="84"/>
      <c r="F2159"/>
      <c r="G2159" s="93" t="s">
        <v>407</v>
      </c>
      <c r="H2159" s="107">
        <f>SUM(G2158:G2158)</f>
        <v>15000</v>
      </c>
      <c r="I2159" s="71"/>
    </row>
    <row r="2160" spans="1:9" s="65" customFormat="1">
      <c r="A2160" s="72" t="s">
        <v>408</v>
      </c>
      <c r="B2160" s="73"/>
      <c r="C2160" s="73"/>
      <c r="D2160" s="73"/>
      <c r="E2160" s="73"/>
      <c r="F2160"/>
      <c r="G2160" s="74"/>
      <c r="H2160" s="108"/>
      <c r="I2160" s="71"/>
    </row>
    <row r="2161" spans="1:9" s="65" customFormat="1">
      <c r="A2161" s="75" t="s">
        <v>391</v>
      </c>
      <c r="B2161" s="76" t="s">
        <v>392</v>
      </c>
      <c r="C2161" s="76" t="s">
        <v>393</v>
      </c>
      <c r="D2161" s="76" t="s">
        <v>394</v>
      </c>
      <c r="E2161" s="76" t="s">
        <v>395</v>
      </c>
      <c r="F2161" s="76" t="s">
        <v>396</v>
      </c>
      <c r="G2161" s="76" t="s">
        <v>397</v>
      </c>
      <c r="H2161" s="108"/>
      <c r="I2161" s="71"/>
    </row>
    <row r="2162" spans="1:9" s="65" customFormat="1">
      <c r="A2162" s="135">
        <v>308</v>
      </c>
      <c r="B2162" s="78" t="s">
        <v>639</v>
      </c>
      <c r="C2162" s="127" t="s">
        <v>640</v>
      </c>
      <c r="D2162" s="107">
        <v>3480</v>
      </c>
      <c r="E2162" s="79">
        <v>6</v>
      </c>
      <c r="F2162" s="79">
        <v>0</v>
      </c>
      <c r="G2162" s="107">
        <f t="shared" ref="G2162:G2167" si="14">(D2162*E2162)+((D2162*E2162)*F2162/100)</f>
        <v>20880</v>
      </c>
      <c r="H2162" s="108"/>
      <c r="I2162" s="71"/>
    </row>
    <row r="2163" spans="1:9" s="65" customFormat="1">
      <c r="A2163" s="135">
        <v>1578</v>
      </c>
      <c r="B2163" s="78" t="s">
        <v>629</v>
      </c>
      <c r="C2163" s="127" t="s">
        <v>528</v>
      </c>
      <c r="D2163" s="107">
        <v>850</v>
      </c>
      <c r="E2163" s="79">
        <v>1</v>
      </c>
      <c r="F2163" s="79">
        <v>0</v>
      </c>
      <c r="G2163" s="107">
        <f t="shared" si="14"/>
        <v>850</v>
      </c>
      <c r="H2163" s="108"/>
      <c r="I2163" s="71"/>
    </row>
    <row r="2164" spans="1:9" s="65" customFormat="1">
      <c r="A2164" s="135">
        <v>3569</v>
      </c>
      <c r="B2164" s="78" t="s">
        <v>634</v>
      </c>
      <c r="C2164" s="127" t="s">
        <v>423</v>
      </c>
      <c r="D2164" s="107">
        <v>6199.04</v>
      </c>
      <c r="E2164" s="79">
        <v>0.08</v>
      </c>
      <c r="F2164" s="79">
        <v>0</v>
      </c>
      <c r="G2164" s="107">
        <f t="shared" si="14"/>
        <v>495.92320000000001</v>
      </c>
      <c r="H2164" s="108"/>
      <c r="I2164" s="71"/>
    </row>
    <row r="2165" spans="1:9" s="65" customFormat="1">
      <c r="A2165" s="135">
        <v>3923</v>
      </c>
      <c r="B2165" s="78" t="s">
        <v>641</v>
      </c>
      <c r="C2165" s="127" t="s">
        <v>157</v>
      </c>
      <c r="D2165" s="107">
        <v>64641</v>
      </c>
      <c r="E2165" s="79">
        <v>1.2</v>
      </c>
      <c r="F2165" s="79">
        <v>0</v>
      </c>
      <c r="G2165" s="107">
        <f t="shared" si="14"/>
        <v>77569.2</v>
      </c>
      <c r="H2165" s="108"/>
      <c r="I2165" s="71"/>
    </row>
    <row r="2166" spans="1:9" s="65" customFormat="1">
      <c r="A2166" s="135">
        <v>3927</v>
      </c>
      <c r="B2166" s="78" t="s">
        <v>529</v>
      </c>
      <c r="C2166" s="127" t="s">
        <v>474</v>
      </c>
      <c r="D2166" s="107">
        <v>37862.400000000001</v>
      </c>
      <c r="E2166" s="79">
        <v>0.06</v>
      </c>
      <c r="F2166" s="79">
        <v>0</v>
      </c>
      <c r="G2166" s="107">
        <f t="shared" si="14"/>
        <v>2271.7440000000001</v>
      </c>
      <c r="H2166" s="108"/>
      <c r="I2166" s="71"/>
    </row>
    <row r="2167" spans="1:9" s="65" customFormat="1" ht="25.5">
      <c r="A2167" s="135">
        <v>3929</v>
      </c>
      <c r="B2167" s="78" t="s">
        <v>631</v>
      </c>
      <c r="C2167" s="127" t="s">
        <v>530</v>
      </c>
      <c r="D2167" s="107">
        <v>37500</v>
      </c>
      <c r="E2167" s="79">
        <v>2E-3</v>
      </c>
      <c r="F2167" s="79">
        <v>0</v>
      </c>
      <c r="G2167" s="107">
        <f t="shared" si="14"/>
        <v>75</v>
      </c>
      <c r="H2167" s="108"/>
      <c r="I2167" s="71"/>
    </row>
    <row r="2168" spans="1:9" s="65" customFormat="1">
      <c r="A2168" s="90"/>
      <c r="B2168" s="91"/>
      <c r="C2168" s="91"/>
      <c r="D2168" s="91"/>
      <c r="E2168" s="91"/>
      <c r="F2168"/>
      <c r="G2168" s="85" t="s">
        <v>407</v>
      </c>
      <c r="H2168" s="107">
        <f>SUM(G2162:G2167)</f>
        <v>102141.86720000001</v>
      </c>
      <c r="I2168" s="71"/>
    </row>
    <row r="2169" spans="1:9" s="65" customFormat="1">
      <c r="A2169" s="72" t="s">
        <v>410</v>
      </c>
      <c r="B2169" s="73"/>
      <c r="C2169" s="73"/>
      <c r="D2169" s="73"/>
      <c r="E2169" s="73"/>
      <c r="F2169"/>
      <c r="G2169" s="74"/>
      <c r="H2169" s="108"/>
      <c r="I2169" s="71"/>
    </row>
    <row r="2170" spans="1:9" s="65" customFormat="1">
      <c r="A2170" s="75" t="s">
        <v>391</v>
      </c>
      <c r="B2170" s="76" t="s">
        <v>392</v>
      </c>
      <c r="C2170" s="76" t="s">
        <v>393</v>
      </c>
      <c r="D2170" s="76" t="s">
        <v>394</v>
      </c>
      <c r="E2170" s="76" t="s">
        <v>395</v>
      </c>
      <c r="F2170" s="76" t="s">
        <v>396</v>
      </c>
      <c r="G2170" s="76" t="s">
        <v>397</v>
      </c>
      <c r="H2170" s="108"/>
      <c r="I2170" s="71"/>
    </row>
    <row r="2171" spans="1:9" s="65" customFormat="1" ht="25.5">
      <c r="A2171" s="125" t="s">
        <v>531</v>
      </c>
      <c r="B2171" s="78" t="s">
        <v>532</v>
      </c>
      <c r="C2171" s="127" t="s">
        <v>426</v>
      </c>
      <c r="D2171" s="107">
        <v>17988</v>
      </c>
      <c r="E2171" s="79">
        <v>1.5</v>
      </c>
      <c r="F2171" s="79">
        <v>0</v>
      </c>
      <c r="G2171" s="107">
        <f>(D2171*E2171)+((D2171*E2171)*F2171/100)</f>
        <v>26982</v>
      </c>
      <c r="H2171" s="108"/>
      <c r="I2171" s="71"/>
    </row>
    <row r="2172" spans="1:9" s="65" customFormat="1">
      <c r="A2172" s="90"/>
      <c r="B2172" s="91"/>
      <c r="C2172" s="91"/>
      <c r="D2172" s="91"/>
      <c r="E2172" s="91"/>
      <c r="F2172"/>
      <c r="G2172" s="93" t="s">
        <v>407</v>
      </c>
      <c r="H2172" s="107">
        <f>SUM(G2171:G2171)</f>
        <v>26982</v>
      </c>
      <c r="I2172" s="71"/>
    </row>
    <row r="2173" spans="1:9" s="65" customFormat="1">
      <c r="A2173" s="72" t="s">
        <v>411</v>
      </c>
      <c r="B2173" s="73"/>
      <c r="C2173" s="73"/>
      <c r="D2173" s="73"/>
      <c r="E2173" s="73"/>
      <c r="F2173"/>
      <c r="G2173" s="74"/>
      <c r="H2173" s="108"/>
      <c r="I2173" s="71"/>
    </row>
    <row r="2174" spans="1:9" s="65" customFormat="1">
      <c r="A2174" s="75" t="s">
        <v>391</v>
      </c>
      <c r="B2174" s="76" t="s">
        <v>392</v>
      </c>
      <c r="C2174" s="76" t="s">
        <v>393</v>
      </c>
      <c r="D2174" s="76" t="s">
        <v>394</v>
      </c>
      <c r="E2174" s="76" t="s">
        <v>395</v>
      </c>
      <c r="F2174" s="76" t="s">
        <v>396</v>
      </c>
      <c r="G2174" s="76" t="s">
        <v>397</v>
      </c>
      <c r="H2174" s="108"/>
      <c r="I2174" s="71"/>
    </row>
    <row r="2175" spans="1:9" s="65" customFormat="1">
      <c r="A2175" s="87" t="s">
        <v>409</v>
      </c>
      <c r="B2175" s="114" t="s">
        <v>409</v>
      </c>
      <c r="C2175" s="114" t="s">
        <v>409</v>
      </c>
      <c r="D2175" s="114" t="s">
        <v>409</v>
      </c>
      <c r="E2175" s="114" t="s">
        <v>409</v>
      </c>
      <c r="F2175" s="79" t="s">
        <v>409</v>
      </c>
      <c r="G2175" s="89" t="s">
        <v>409</v>
      </c>
      <c r="H2175" s="108"/>
      <c r="I2175" s="71"/>
    </row>
    <row r="2176" spans="1:9" s="65" customFormat="1">
      <c r="A2176" s="94"/>
      <c r="B2176" s="95"/>
      <c r="C2176" s="95"/>
      <c r="D2176" s="95"/>
      <c r="E2176" s="95"/>
      <c r="F2176"/>
      <c r="G2176" s="93" t="s">
        <v>407</v>
      </c>
      <c r="H2176" s="107">
        <f>SUM(G2174:G2175)</f>
        <v>0</v>
      </c>
      <c r="I2176" s="71"/>
    </row>
    <row r="2177" spans="1:9" s="65" customFormat="1">
      <c r="A2177" s="94"/>
      <c r="B2177" s="95"/>
      <c r="C2177" s="95"/>
      <c r="D2177" s="95"/>
      <c r="E2177" s="95"/>
      <c r="F2177"/>
      <c r="G2177" s="74"/>
      <c r="H2177" s="74"/>
      <c r="I2177" s="71"/>
    </row>
    <row r="2178" spans="1:9" s="65" customFormat="1">
      <c r="A2178" s="96"/>
      <c r="B2178" s="97"/>
      <c r="C2178" s="98"/>
      <c r="D2178" s="98"/>
      <c r="E2178" s="98"/>
      <c r="F2178"/>
      <c r="G2178" s="99" t="s">
        <v>412</v>
      </c>
      <c r="H2178" s="115">
        <f>SUM(H2159:H2176)</f>
        <v>144123.86720000001</v>
      </c>
      <c r="I2178" s="71"/>
    </row>
    <row r="2179" spans="1:9" s="65" customFormat="1">
      <c r="A2179" s="96"/>
      <c r="B2179" s="97"/>
      <c r="C2179" s="98"/>
      <c r="D2179" s="98"/>
      <c r="E2179" s="98"/>
      <c r="F2179" s="101"/>
      <c r="G2179" s="116"/>
      <c r="H2179" s="70"/>
      <c r="I2179" s="71"/>
    </row>
    <row r="2180" spans="1:9" s="65" customFormat="1" ht="15.75" thickBot="1">
      <c r="A2180" s="624" t="s">
        <v>502</v>
      </c>
      <c r="B2180" s="625"/>
      <c r="C2180" s="625"/>
      <c r="D2180" s="625"/>
      <c r="E2180" s="625"/>
      <c r="F2180" s="625"/>
      <c r="G2180" s="626"/>
      <c r="H2180" s="208">
        <f>+ROUND(H2178,0)</f>
        <v>144124</v>
      </c>
      <c r="I2180" s="103"/>
    </row>
    <row r="2181" spans="1:9" s="65" customFormat="1" ht="15.75" thickBot="1">
      <c r="A2181"/>
      <c r="B2181"/>
      <c r="C2181"/>
      <c r="D2181"/>
      <c r="E2181"/>
      <c r="F2181"/>
      <c r="G2181"/>
      <c r="H2181"/>
      <c r="I2181"/>
    </row>
    <row r="2182" spans="1:9" s="65" customFormat="1">
      <c r="A2182" s="627">
        <v>220310</v>
      </c>
      <c r="B2182" s="629" t="s">
        <v>642</v>
      </c>
      <c r="C2182" s="630"/>
      <c r="D2182" s="630"/>
      <c r="E2182" s="630"/>
      <c r="F2182" s="630"/>
      <c r="G2182" s="630"/>
      <c r="H2182" s="630"/>
      <c r="I2182" s="66" t="s">
        <v>389</v>
      </c>
    </row>
    <row r="2183" spans="1:9" s="65" customFormat="1">
      <c r="A2183" s="628"/>
      <c r="B2183" s="631"/>
      <c r="C2183" s="632"/>
      <c r="D2183" s="632"/>
      <c r="E2183" s="632"/>
      <c r="F2183" s="632"/>
      <c r="G2183" s="632"/>
      <c r="H2183" s="632"/>
      <c r="I2183" s="67" t="s">
        <v>7</v>
      </c>
    </row>
    <row r="2184" spans="1:9" s="65" customFormat="1">
      <c r="A2184" s="68"/>
      <c r="B2184" s="69" t="s">
        <v>533</v>
      </c>
      <c r="C2184" s="69"/>
      <c r="D2184" s="69"/>
      <c r="E2184" s="69"/>
      <c r="F2184" s="70"/>
      <c r="G2184" s="70"/>
      <c r="H2184" s="70"/>
      <c r="I2184" s="71"/>
    </row>
    <row r="2185" spans="1:9" s="65" customFormat="1">
      <c r="A2185" s="72" t="s">
        <v>390</v>
      </c>
      <c r="B2185" s="73"/>
      <c r="C2185" s="73"/>
      <c r="D2185" s="73"/>
      <c r="E2185" s="73"/>
      <c r="F2185" s="74"/>
      <c r="G2185" s="74"/>
      <c r="H2185" s="70"/>
      <c r="I2185" s="71"/>
    </row>
    <row r="2186" spans="1:9" s="65" customFormat="1">
      <c r="A2186" s="75" t="s">
        <v>391</v>
      </c>
      <c r="B2186" s="76" t="s">
        <v>392</v>
      </c>
      <c r="C2186" s="76" t="s">
        <v>393</v>
      </c>
      <c r="D2186" s="76" t="s">
        <v>394</v>
      </c>
      <c r="E2186" s="76" t="s">
        <v>395</v>
      </c>
      <c r="F2186" s="76" t="s">
        <v>396</v>
      </c>
      <c r="G2186" s="76" t="s">
        <v>397</v>
      </c>
      <c r="H2186" s="74"/>
      <c r="I2186" s="71"/>
    </row>
    <row r="2187" spans="1:9" s="65" customFormat="1">
      <c r="A2187" s="135" t="s">
        <v>643</v>
      </c>
      <c r="B2187" s="78" t="s">
        <v>644</v>
      </c>
      <c r="C2187" s="127" t="s">
        <v>437</v>
      </c>
      <c r="D2187" s="107">
        <v>23200</v>
      </c>
      <c r="E2187" s="79">
        <v>0.2</v>
      </c>
      <c r="F2187" s="79">
        <v>0</v>
      </c>
      <c r="G2187" s="107">
        <f>(D2187*E2187)+((D2187*E2187)*F2187/100)</f>
        <v>4640</v>
      </c>
      <c r="H2187" s="74"/>
      <c r="I2187" s="71"/>
    </row>
    <row r="2188" spans="1:9" s="65" customFormat="1">
      <c r="A2188" s="135" t="s">
        <v>516</v>
      </c>
      <c r="B2188" s="78" t="s">
        <v>517</v>
      </c>
      <c r="C2188" s="127" t="s">
        <v>437</v>
      </c>
      <c r="D2188" s="107">
        <v>27000</v>
      </c>
      <c r="E2188" s="79">
        <v>0.35</v>
      </c>
      <c r="F2188" s="79">
        <v>0</v>
      </c>
      <c r="G2188" s="107">
        <f>(D2188*E2188)+((D2188*E2188)*F2188/100)</f>
        <v>9450</v>
      </c>
      <c r="H2188" s="74"/>
      <c r="I2188" s="71"/>
    </row>
    <row r="2189" spans="1:9" s="65" customFormat="1">
      <c r="A2189" s="135" t="s">
        <v>404</v>
      </c>
      <c r="B2189" s="78" t="s">
        <v>405</v>
      </c>
      <c r="C2189" s="127" t="s">
        <v>523</v>
      </c>
      <c r="D2189" s="107">
        <v>1250</v>
      </c>
      <c r="E2189" s="79">
        <v>1.5</v>
      </c>
      <c r="F2189" s="79">
        <v>0</v>
      </c>
      <c r="G2189" s="107">
        <f>(D2189*E2189)+((D2189*E2189)*F2189/100)</f>
        <v>1875</v>
      </c>
      <c r="H2189" s="74"/>
      <c r="I2189" s="71"/>
    </row>
    <row r="2190" spans="1:9" s="65" customFormat="1">
      <c r="A2190" s="135" t="s">
        <v>645</v>
      </c>
      <c r="B2190" s="78" t="s">
        <v>646</v>
      </c>
      <c r="C2190" s="127" t="s">
        <v>523</v>
      </c>
      <c r="D2190" s="107">
        <v>1</v>
      </c>
      <c r="E2190" s="79">
        <v>0.12</v>
      </c>
      <c r="F2190" s="79">
        <v>0</v>
      </c>
      <c r="G2190" s="107">
        <v>30930</v>
      </c>
      <c r="H2190" s="74"/>
      <c r="I2190" s="71"/>
    </row>
    <row r="2191" spans="1:9" s="65" customFormat="1">
      <c r="A2191" s="82"/>
      <c r="B2191" s="83"/>
      <c r="C2191" s="84"/>
      <c r="D2191" s="84"/>
      <c r="E2191" s="84"/>
      <c r="F2191"/>
      <c r="G2191" s="93" t="s">
        <v>407</v>
      </c>
      <c r="H2191" s="107">
        <f>SUM(G2187:G2190)</f>
        <v>46895</v>
      </c>
      <c r="I2191" s="71"/>
    </row>
    <row r="2192" spans="1:9" s="65" customFormat="1">
      <c r="A2192" s="72" t="s">
        <v>408</v>
      </c>
      <c r="B2192" s="73"/>
      <c r="C2192" s="73"/>
      <c r="D2192" s="73"/>
      <c r="E2192" s="73"/>
      <c r="F2192"/>
      <c r="G2192" s="74"/>
      <c r="H2192" s="108"/>
      <c r="I2192" s="71"/>
    </row>
    <row r="2193" spans="1:9" s="65" customFormat="1">
      <c r="A2193" s="75" t="s">
        <v>391</v>
      </c>
      <c r="B2193" s="76" t="s">
        <v>392</v>
      </c>
      <c r="C2193" s="76" t="s">
        <v>393</v>
      </c>
      <c r="D2193" s="76" t="s">
        <v>394</v>
      </c>
      <c r="E2193" s="76" t="s">
        <v>395</v>
      </c>
      <c r="F2193" s="76" t="s">
        <v>396</v>
      </c>
      <c r="G2193" s="76" t="s">
        <v>397</v>
      </c>
      <c r="H2193" s="108"/>
      <c r="I2193" s="71"/>
    </row>
    <row r="2194" spans="1:9" s="65" customFormat="1">
      <c r="A2194" s="135">
        <v>1578</v>
      </c>
      <c r="B2194" s="78" t="s">
        <v>629</v>
      </c>
      <c r="C2194" s="127" t="s">
        <v>528</v>
      </c>
      <c r="D2194" s="107">
        <v>850</v>
      </c>
      <c r="E2194" s="79">
        <v>3</v>
      </c>
      <c r="F2194" s="79">
        <v>0</v>
      </c>
      <c r="G2194" s="107">
        <f t="shared" ref="G2194:G2201" si="15">(D2194*E2194)+((D2194*E2194)*F2194/100)</f>
        <v>2550</v>
      </c>
      <c r="H2194" s="108"/>
      <c r="I2194" s="71"/>
    </row>
    <row r="2195" spans="1:9" s="65" customFormat="1">
      <c r="A2195" s="135">
        <v>1833</v>
      </c>
      <c r="B2195" s="78" t="s">
        <v>647</v>
      </c>
      <c r="C2195" s="127" t="s">
        <v>648</v>
      </c>
      <c r="D2195" s="107">
        <v>46108</v>
      </c>
      <c r="E2195" s="79">
        <v>0.18</v>
      </c>
      <c r="F2195" s="79">
        <v>0</v>
      </c>
      <c r="G2195" s="107">
        <f t="shared" si="15"/>
        <v>8299.44</v>
      </c>
      <c r="H2195" s="108"/>
      <c r="I2195" s="71"/>
    </row>
    <row r="2196" spans="1:9" s="65" customFormat="1">
      <c r="A2196" s="135">
        <v>2787</v>
      </c>
      <c r="B2196" s="78" t="s">
        <v>649</v>
      </c>
      <c r="C2196" s="127" t="s">
        <v>474</v>
      </c>
      <c r="D2196" s="107">
        <v>16500</v>
      </c>
      <c r="E2196" s="79">
        <v>2.5000000000000001E-2</v>
      </c>
      <c r="F2196" s="79">
        <v>0</v>
      </c>
      <c r="G2196" s="107">
        <f t="shared" si="15"/>
        <v>412.5</v>
      </c>
      <c r="H2196" s="108"/>
      <c r="I2196" s="71"/>
    </row>
    <row r="2197" spans="1:9" s="65" customFormat="1">
      <c r="A2197" s="135">
        <v>3569</v>
      </c>
      <c r="B2197" s="78" t="s">
        <v>618</v>
      </c>
      <c r="C2197" s="127" t="s">
        <v>423</v>
      </c>
      <c r="D2197" s="107">
        <v>6199.04</v>
      </c>
      <c r="E2197" s="79">
        <v>1.2</v>
      </c>
      <c r="F2197" s="79">
        <v>0</v>
      </c>
      <c r="G2197" s="107">
        <f t="shared" si="15"/>
        <v>7438.848</v>
      </c>
      <c r="H2197" s="108"/>
      <c r="I2197" s="71"/>
    </row>
    <row r="2198" spans="1:9" s="65" customFormat="1">
      <c r="A2198" s="135">
        <v>3923</v>
      </c>
      <c r="B2198" s="78" t="s">
        <v>650</v>
      </c>
      <c r="C2198" s="127" t="s">
        <v>157</v>
      </c>
      <c r="D2198" s="107">
        <v>64641</v>
      </c>
      <c r="E2198" s="79">
        <v>1.7</v>
      </c>
      <c r="F2198" s="79">
        <v>0</v>
      </c>
      <c r="G2198" s="107">
        <f t="shared" si="15"/>
        <v>109889.7</v>
      </c>
      <c r="H2198" s="108"/>
      <c r="I2198" s="71"/>
    </row>
    <row r="2199" spans="1:9" s="65" customFormat="1">
      <c r="A2199" s="135">
        <v>3927</v>
      </c>
      <c r="B2199" s="78" t="s">
        <v>529</v>
      </c>
      <c r="C2199" s="127" t="s">
        <v>474</v>
      </c>
      <c r="D2199" s="107">
        <v>37862.400000000001</v>
      </c>
      <c r="E2199" s="79">
        <v>0.2</v>
      </c>
      <c r="F2199" s="79">
        <v>0</v>
      </c>
      <c r="G2199" s="107">
        <f t="shared" si="15"/>
        <v>7572.4800000000005</v>
      </c>
      <c r="H2199" s="108"/>
      <c r="I2199" s="71"/>
    </row>
    <row r="2200" spans="1:9" s="65" customFormat="1">
      <c r="A2200" s="135">
        <v>3929</v>
      </c>
      <c r="B2200" s="78" t="s">
        <v>651</v>
      </c>
      <c r="C2200" s="127" t="s">
        <v>530</v>
      </c>
      <c r="D2200" s="107">
        <v>37500</v>
      </c>
      <c r="E2200" s="79">
        <v>0.1</v>
      </c>
      <c r="F2200" s="79">
        <v>0</v>
      </c>
      <c r="G2200" s="107">
        <f t="shared" si="15"/>
        <v>3750</v>
      </c>
      <c r="H2200" s="108"/>
      <c r="I2200" s="71"/>
    </row>
    <row r="2201" spans="1:9" s="65" customFormat="1">
      <c r="A2201" s="135">
        <v>3958</v>
      </c>
      <c r="B2201" s="78" t="s">
        <v>652</v>
      </c>
      <c r="C2201" s="127" t="s">
        <v>157</v>
      </c>
      <c r="D2201" s="107">
        <v>5000</v>
      </c>
      <c r="E2201" s="79">
        <v>1</v>
      </c>
      <c r="F2201" s="79">
        <v>0</v>
      </c>
      <c r="G2201" s="107">
        <f t="shared" si="15"/>
        <v>5000</v>
      </c>
      <c r="H2201" s="108"/>
      <c r="I2201" s="71"/>
    </row>
    <row r="2202" spans="1:9" s="65" customFormat="1">
      <c r="A2202" s="90"/>
      <c r="B2202" s="91"/>
      <c r="C2202" s="91"/>
      <c r="D2202" s="91"/>
      <c r="E2202" s="91"/>
      <c r="F2202"/>
      <c r="G2202" s="85" t="s">
        <v>407</v>
      </c>
      <c r="H2202" s="107">
        <f>SUM(G2194:G2201)</f>
        <v>144912.96799999999</v>
      </c>
      <c r="I2202" s="71"/>
    </row>
    <row r="2203" spans="1:9" s="65" customFormat="1">
      <c r="A2203" s="72" t="s">
        <v>410</v>
      </c>
      <c r="B2203" s="73"/>
      <c r="C2203" s="73"/>
      <c r="D2203" s="73"/>
      <c r="E2203" s="73"/>
      <c r="F2203"/>
      <c r="G2203" s="74"/>
      <c r="H2203" s="108"/>
      <c r="I2203" s="71"/>
    </row>
    <row r="2204" spans="1:9" s="65" customFormat="1">
      <c r="A2204" s="75" t="s">
        <v>391</v>
      </c>
      <c r="B2204" s="76" t="s">
        <v>392</v>
      </c>
      <c r="C2204" s="76" t="s">
        <v>393</v>
      </c>
      <c r="D2204" s="76" t="s">
        <v>394</v>
      </c>
      <c r="E2204" s="76" t="s">
        <v>395</v>
      </c>
      <c r="F2204" s="76" t="s">
        <v>396</v>
      </c>
      <c r="G2204" s="76" t="s">
        <v>397</v>
      </c>
      <c r="H2204" s="108"/>
      <c r="I2204" s="71"/>
    </row>
    <row r="2205" spans="1:9" s="65" customFormat="1" ht="25.5">
      <c r="A2205" s="125" t="s">
        <v>531</v>
      </c>
      <c r="B2205" s="78" t="s">
        <v>532</v>
      </c>
      <c r="C2205" s="127" t="s">
        <v>426</v>
      </c>
      <c r="D2205" s="107">
        <v>17988</v>
      </c>
      <c r="E2205" s="79">
        <v>4.5</v>
      </c>
      <c r="F2205" s="79">
        <v>0</v>
      </c>
      <c r="G2205" s="107">
        <f>(D2205*E2205)+((D2205*E2205)*F2205/100)</f>
        <v>80946</v>
      </c>
      <c r="H2205" s="108"/>
      <c r="I2205" s="71"/>
    </row>
    <row r="2206" spans="1:9" s="65" customFormat="1" ht="25.5">
      <c r="A2206" s="125" t="s">
        <v>598</v>
      </c>
      <c r="B2206" s="78" t="s">
        <v>614</v>
      </c>
      <c r="C2206" s="127" t="s">
        <v>426</v>
      </c>
      <c r="D2206" s="107">
        <v>15927</v>
      </c>
      <c r="E2206" s="79">
        <v>1</v>
      </c>
      <c r="F2206" s="79">
        <v>0</v>
      </c>
      <c r="G2206" s="107">
        <f>(D2206*E2206)+((D2206*E2206)*F2206/100)</f>
        <v>15927</v>
      </c>
      <c r="H2206" s="108"/>
      <c r="I2206" s="71"/>
    </row>
    <row r="2207" spans="1:9" s="65" customFormat="1">
      <c r="A2207" s="90"/>
      <c r="B2207" s="91"/>
      <c r="C2207" s="91"/>
      <c r="D2207" s="91"/>
      <c r="E2207" s="91"/>
      <c r="F2207"/>
      <c r="G2207" s="93" t="s">
        <v>407</v>
      </c>
      <c r="H2207" s="107">
        <f>SUM(G2205:G2206)</f>
        <v>96873</v>
      </c>
      <c r="I2207" s="71"/>
    </row>
    <row r="2208" spans="1:9" s="65" customFormat="1">
      <c r="A2208" s="72" t="s">
        <v>411</v>
      </c>
      <c r="B2208" s="73"/>
      <c r="C2208" s="73"/>
      <c r="D2208" s="73"/>
      <c r="E2208" s="73"/>
      <c r="F2208"/>
      <c r="G2208" s="74"/>
      <c r="H2208" s="108"/>
      <c r="I2208" s="71"/>
    </row>
    <row r="2209" spans="1:9" s="65" customFormat="1">
      <c r="A2209" s="75" t="s">
        <v>391</v>
      </c>
      <c r="B2209" s="76" t="s">
        <v>392</v>
      </c>
      <c r="C2209" s="76" t="s">
        <v>393</v>
      </c>
      <c r="D2209" s="76" t="s">
        <v>394</v>
      </c>
      <c r="E2209" s="76" t="s">
        <v>395</v>
      </c>
      <c r="F2209" s="76" t="s">
        <v>396</v>
      </c>
      <c r="G2209" s="76" t="s">
        <v>397</v>
      </c>
      <c r="H2209" s="108"/>
      <c r="I2209" s="71"/>
    </row>
    <row r="2210" spans="1:9" s="65" customFormat="1">
      <c r="A2210" s="87" t="s">
        <v>409</v>
      </c>
      <c r="B2210" s="114" t="s">
        <v>409</v>
      </c>
      <c r="C2210" s="114" t="s">
        <v>409</v>
      </c>
      <c r="D2210" s="114" t="s">
        <v>409</v>
      </c>
      <c r="E2210" s="114" t="s">
        <v>409</v>
      </c>
      <c r="F2210" s="79" t="s">
        <v>409</v>
      </c>
      <c r="G2210" s="89" t="s">
        <v>409</v>
      </c>
      <c r="H2210" s="108"/>
      <c r="I2210" s="71"/>
    </row>
    <row r="2211" spans="1:9" s="65" customFormat="1">
      <c r="A2211" s="94"/>
      <c r="B2211" s="95"/>
      <c r="C2211" s="95"/>
      <c r="D2211" s="95"/>
      <c r="E2211" s="95"/>
      <c r="F2211"/>
      <c r="G2211" s="93" t="s">
        <v>407</v>
      </c>
      <c r="H2211" s="107">
        <f>SUM(G2209:G2210)</f>
        <v>0</v>
      </c>
      <c r="I2211" s="71"/>
    </row>
    <row r="2212" spans="1:9" s="65" customFormat="1">
      <c r="A2212" s="94"/>
      <c r="B2212" s="95"/>
      <c r="C2212" s="95"/>
      <c r="D2212" s="95"/>
      <c r="E2212" s="95"/>
      <c r="F2212"/>
      <c r="G2212" s="74"/>
      <c r="H2212" s="74"/>
      <c r="I2212" s="71"/>
    </row>
    <row r="2213" spans="1:9" s="65" customFormat="1">
      <c r="A2213" s="96"/>
      <c r="B2213" s="97"/>
      <c r="C2213" s="98"/>
      <c r="D2213" s="98"/>
      <c r="E2213" s="98"/>
      <c r="F2213"/>
      <c r="G2213" s="99" t="s">
        <v>412</v>
      </c>
      <c r="H2213" s="115">
        <f>SUM(H2191:H2211)</f>
        <v>288680.96799999999</v>
      </c>
      <c r="I2213" s="71"/>
    </row>
    <row r="2214" spans="1:9" s="65" customFormat="1">
      <c r="A2214" s="96"/>
      <c r="B2214" s="97"/>
      <c r="C2214" s="98"/>
      <c r="D2214" s="98"/>
      <c r="E2214" s="98"/>
      <c r="F2214" s="101"/>
      <c r="G2214" s="116"/>
      <c r="H2214" s="70"/>
      <c r="I2214" s="71"/>
    </row>
    <row r="2215" spans="1:9" s="65" customFormat="1" ht="15.75" thickBot="1">
      <c r="A2215" s="624" t="s">
        <v>502</v>
      </c>
      <c r="B2215" s="625"/>
      <c r="C2215" s="625"/>
      <c r="D2215" s="625"/>
      <c r="E2215" s="625"/>
      <c r="F2215" s="625"/>
      <c r="G2215" s="626"/>
      <c r="H2215" s="208">
        <f>+ROUND(H2213,0)</f>
        <v>288681</v>
      </c>
      <c r="I2215" s="103"/>
    </row>
    <row r="2216" spans="1:9" s="65" customFormat="1" ht="15.75" thickBot="1">
      <c r="A2216"/>
      <c r="B2216"/>
      <c r="C2216"/>
      <c r="D2216"/>
      <c r="E2216"/>
      <c r="F2216"/>
      <c r="G2216"/>
      <c r="H2216"/>
      <c r="I2216"/>
    </row>
    <row r="2217" spans="1:9" s="65" customFormat="1">
      <c r="A2217" s="627">
        <v>250503</v>
      </c>
      <c r="B2217" s="629" t="s">
        <v>653</v>
      </c>
      <c r="C2217" s="630"/>
      <c r="D2217" s="630"/>
      <c r="E2217" s="630"/>
      <c r="F2217" s="630"/>
      <c r="G2217" s="630"/>
      <c r="H2217" s="630"/>
      <c r="I2217" s="66" t="s">
        <v>389</v>
      </c>
    </row>
    <row r="2218" spans="1:9" s="65" customFormat="1">
      <c r="A2218" s="628"/>
      <c r="B2218" s="631"/>
      <c r="C2218" s="632"/>
      <c r="D2218" s="632"/>
      <c r="E2218" s="632"/>
      <c r="F2218" s="632"/>
      <c r="G2218" s="632"/>
      <c r="H2218" s="632"/>
      <c r="I2218" s="67" t="s">
        <v>7</v>
      </c>
    </row>
    <row r="2219" spans="1:9" s="65" customFormat="1">
      <c r="A2219" s="68"/>
      <c r="B2219" s="69" t="s">
        <v>533</v>
      </c>
      <c r="C2219" s="69"/>
      <c r="D2219" s="69"/>
      <c r="E2219" s="69"/>
      <c r="F2219" s="70"/>
      <c r="G2219" s="70"/>
      <c r="H2219" s="70"/>
      <c r="I2219" s="71"/>
    </row>
    <row r="2220" spans="1:9" s="65" customFormat="1">
      <c r="A2220" s="72" t="s">
        <v>390</v>
      </c>
      <c r="B2220" s="73"/>
      <c r="C2220" s="73"/>
      <c r="D2220" s="73"/>
      <c r="E2220" s="73"/>
      <c r="F2220" s="74"/>
      <c r="G2220" s="74"/>
      <c r="H2220" s="70"/>
      <c r="I2220" s="71"/>
    </row>
    <row r="2221" spans="1:9" s="65" customFormat="1">
      <c r="A2221" s="75" t="s">
        <v>391</v>
      </c>
      <c r="B2221" s="76" t="s">
        <v>392</v>
      </c>
      <c r="C2221" s="76" t="s">
        <v>393</v>
      </c>
      <c r="D2221" s="76" t="s">
        <v>394</v>
      </c>
      <c r="E2221" s="76" t="s">
        <v>395</v>
      </c>
      <c r="F2221" s="76" t="s">
        <v>396</v>
      </c>
      <c r="G2221" s="76" t="s">
        <v>397</v>
      </c>
      <c r="H2221" s="74"/>
      <c r="I2221" s="71"/>
    </row>
    <row r="2222" spans="1:9" s="65" customFormat="1">
      <c r="A2222" s="135" t="s">
        <v>404</v>
      </c>
      <c r="B2222" s="78" t="s">
        <v>405</v>
      </c>
      <c r="C2222" s="127" t="s">
        <v>523</v>
      </c>
      <c r="D2222" s="107">
        <v>1250</v>
      </c>
      <c r="E2222" s="79">
        <v>0.1</v>
      </c>
      <c r="F2222" s="79">
        <v>0</v>
      </c>
      <c r="G2222" s="107">
        <f>(D2222*E2222)+((D2222*E2222)*F2222/100)</f>
        <v>125</v>
      </c>
      <c r="H2222" s="74"/>
      <c r="I2222" s="71"/>
    </row>
    <row r="2223" spans="1:9" s="65" customFormat="1">
      <c r="A2223" s="82"/>
      <c r="B2223" s="83"/>
      <c r="C2223" s="84"/>
      <c r="D2223" s="84"/>
      <c r="E2223" s="84"/>
      <c r="F2223"/>
      <c r="G2223" s="93" t="s">
        <v>407</v>
      </c>
      <c r="H2223" s="107">
        <f>SUM(G2222:G2222)</f>
        <v>125</v>
      </c>
      <c r="I2223" s="71"/>
    </row>
    <row r="2224" spans="1:9" s="65" customFormat="1">
      <c r="A2224" s="72" t="s">
        <v>408</v>
      </c>
      <c r="B2224" s="73"/>
      <c r="C2224" s="73"/>
      <c r="D2224" s="73"/>
      <c r="E2224" s="73"/>
      <c r="F2224"/>
      <c r="G2224" s="74"/>
      <c r="H2224" s="108"/>
      <c r="I2224" s="71"/>
    </row>
    <row r="2225" spans="1:9" s="65" customFormat="1">
      <c r="A2225" s="75" t="s">
        <v>391</v>
      </c>
      <c r="B2225" s="76" t="s">
        <v>392</v>
      </c>
      <c r="C2225" s="76" t="s">
        <v>393</v>
      </c>
      <c r="D2225" s="76" t="s">
        <v>394</v>
      </c>
      <c r="E2225" s="76" t="s">
        <v>395</v>
      </c>
      <c r="F2225" s="76" t="s">
        <v>396</v>
      </c>
      <c r="G2225" s="76" t="s">
        <v>397</v>
      </c>
      <c r="H2225" s="108"/>
      <c r="I2225" s="71"/>
    </row>
    <row r="2226" spans="1:9" s="65" customFormat="1">
      <c r="A2226" s="135">
        <v>3824</v>
      </c>
      <c r="B2226" s="78" t="s">
        <v>654</v>
      </c>
      <c r="C2226" s="127" t="s">
        <v>157</v>
      </c>
      <c r="D2226" s="107">
        <v>72000</v>
      </c>
      <c r="E2226" s="79">
        <v>1</v>
      </c>
      <c r="F2226" s="79">
        <v>0</v>
      </c>
      <c r="G2226" s="107">
        <f>(D2226*E2226)+((D2226*E2226)*F2226/100)</f>
        <v>72000</v>
      </c>
      <c r="H2226" s="108"/>
      <c r="I2226" s="71"/>
    </row>
    <row r="2227" spans="1:9" s="65" customFormat="1">
      <c r="A2227" s="135">
        <v>4608</v>
      </c>
      <c r="B2227" s="78" t="s">
        <v>655</v>
      </c>
      <c r="C2227" s="127" t="s">
        <v>157</v>
      </c>
      <c r="D2227" s="107">
        <v>500</v>
      </c>
      <c r="E2227" s="79">
        <v>0.12</v>
      </c>
      <c r="F2227" s="79">
        <v>0</v>
      </c>
      <c r="G2227" s="107">
        <f>(D2227*E2227)+((D2227*E2227)*F2227/100)</f>
        <v>60</v>
      </c>
      <c r="H2227" s="108"/>
      <c r="I2227" s="71"/>
    </row>
    <row r="2228" spans="1:9" s="65" customFormat="1">
      <c r="A2228" s="90"/>
      <c r="B2228" s="91"/>
      <c r="C2228" s="91"/>
      <c r="D2228" s="91"/>
      <c r="E2228" s="91"/>
      <c r="F2228"/>
      <c r="G2228" s="85" t="s">
        <v>407</v>
      </c>
      <c r="H2228" s="107">
        <f>SUM(G2226:G2227)</f>
        <v>72060</v>
      </c>
      <c r="I2228" s="71"/>
    </row>
    <row r="2229" spans="1:9" s="65" customFormat="1">
      <c r="A2229" s="72" t="s">
        <v>410</v>
      </c>
      <c r="B2229" s="73"/>
      <c r="C2229" s="73"/>
      <c r="D2229" s="73"/>
      <c r="E2229" s="73"/>
      <c r="F2229"/>
      <c r="G2229" s="74"/>
      <c r="H2229" s="108"/>
      <c r="I2229" s="71"/>
    </row>
    <row r="2230" spans="1:9" s="65" customFormat="1">
      <c r="A2230" s="75" t="s">
        <v>391</v>
      </c>
      <c r="B2230" s="76" t="s">
        <v>392</v>
      </c>
      <c r="C2230" s="76" t="s">
        <v>393</v>
      </c>
      <c r="D2230" s="76" t="s">
        <v>394</v>
      </c>
      <c r="E2230" s="76" t="s">
        <v>395</v>
      </c>
      <c r="F2230" s="76" t="s">
        <v>396</v>
      </c>
      <c r="G2230" s="76" t="s">
        <v>397</v>
      </c>
      <c r="H2230" s="108"/>
      <c r="I2230" s="71"/>
    </row>
    <row r="2231" spans="1:9" s="65" customFormat="1" ht="25.5">
      <c r="A2231" s="125" t="s">
        <v>494</v>
      </c>
      <c r="B2231" s="78" t="s">
        <v>515</v>
      </c>
      <c r="C2231" s="127" t="s">
        <v>426</v>
      </c>
      <c r="D2231" s="107">
        <v>15927</v>
      </c>
      <c r="E2231" s="79">
        <v>1</v>
      </c>
      <c r="F2231" s="79">
        <v>0</v>
      </c>
      <c r="G2231" s="107">
        <f>(D2231*E2231)+((D2231*E2231)*F2231/100)</f>
        <v>15927</v>
      </c>
      <c r="H2231" s="108"/>
      <c r="I2231" s="71"/>
    </row>
    <row r="2232" spans="1:9" s="65" customFormat="1">
      <c r="A2232" s="90"/>
      <c r="B2232" s="91"/>
      <c r="C2232" s="91"/>
      <c r="D2232" s="91"/>
      <c r="E2232" s="91"/>
      <c r="F2232"/>
      <c r="G2232" s="93" t="s">
        <v>407</v>
      </c>
      <c r="H2232" s="107">
        <f>SUM(G2231:G2231)</f>
        <v>15927</v>
      </c>
      <c r="I2232" s="71"/>
    </row>
    <row r="2233" spans="1:9" s="65" customFormat="1">
      <c r="A2233" s="72" t="s">
        <v>411</v>
      </c>
      <c r="B2233" s="73"/>
      <c r="C2233" s="73"/>
      <c r="D2233" s="73"/>
      <c r="E2233" s="73"/>
      <c r="F2233"/>
      <c r="G2233" s="74"/>
      <c r="H2233" s="108"/>
      <c r="I2233" s="71"/>
    </row>
    <row r="2234" spans="1:9" s="65" customFormat="1">
      <c r="A2234" s="75" t="s">
        <v>391</v>
      </c>
      <c r="B2234" s="76" t="s">
        <v>392</v>
      </c>
      <c r="C2234" s="76" t="s">
        <v>393</v>
      </c>
      <c r="D2234" s="76" t="s">
        <v>394</v>
      </c>
      <c r="E2234" s="76" t="s">
        <v>395</v>
      </c>
      <c r="F2234" s="76" t="s">
        <v>396</v>
      </c>
      <c r="G2234" s="76" t="s">
        <v>397</v>
      </c>
      <c r="H2234" s="108"/>
      <c r="I2234" s="71"/>
    </row>
    <row r="2235" spans="1:9" s="65" customFormat="1">
      <c r="A2235" s="87" t="s">
        <v>409</v>
      </c>
      <c r="B2235" s="114" t="s">
        <v>409</v>
      </c>
      <c r="C2235" s="114" t="s">
        <v>409</v>
      </c>
      <c r="D2235" s="114" t="s">
        <v>409</v>
      </c>
      <c r="E2235" s="114" t="s">
        <v>409</v>
      </c>
      <c r="F2235" s="79" t="s">
        <v>409</v>
      </c>
      <c r="G2235" s="89" t="s">
        <v>409</v>
      </c>
      <c r="H2235" s="108"/>
      <c r="I2235" s="71"/>
    </row>
    <row r="2236" spans="1:9" s="65" customFormat="1">
      <c r="A2236" s="94"/>
      <c r="B2236" s="95"/>
      <c r="C2236" s="95"/>
      <c r="D2236" s="95"/>
      <c r="E2236" s="95"/>
      <c r="F2236"/>
      <c r="G2236" s="93" t="s">
        <v>407</v>
      </c>
      <c r="H2236" s="107">
        <f>SUM(G2234:G2235)</f>
        <v>0</v>
      </c>
      <c r="I2236" s="71"/>
    </row>
    <row r="2237" spans="1:9" s="65" customFormat="1">
      <c r="A2237" s="94"/>
      <c r="B2237" s="95"/>
      <c r="C2237" s="95"/>
      <c r="D2237" s="95"/>
      <c r="E2237" s="95"/>
      <c r="F2237"/>
      <c r="G2237" s="74"/>
      <c r="H2237" s="74"/>
      <c r="I2237" s="71"/>
    </row>
    <row r="2238" spans="1:9" s="65" customFormat="1">
      <c r="A2238" s="96"/>
      <c r="B2238" s="97"/>
      <c r="C2238" s="98"/>
      <c r="D2238" s="98"/>
      <c r="E2238" s="98"/>
      <c r="F2238"/>
      <c r="G2238" s="99" t="s">
        <v>412</v>
      </c>
      <c r="H2238" s="115">
        <f>SUM(H2223:H2236)</f>
        <v>88112</v>
      </c>
      <c r="I2238" s="71"/>
    </row>
    <row r="2239" spans="1:9" s="65" customFormat="1">
      <c r="A2239" s="96"/>
      <c r="B2239" s="97"/>
      <c r="C2239" s="98"/>
      <c r="D2239" s="98"/>
      <c r="E2239" s="98"/>
      <c r="F2239" s="101"/>
      <c r="G2239" s="116"/>
      <c r="H2239" s="70"/>
      <c r="I2239" s="71"/>
    </row>
    <row r="2240" spans="1:9" s="65" customFormat="1" ht="15.75" thickBot="1">
      <c r="A2240" s="624" t="s">
        <v>502</v>
      </c>
      <c r="B2240" s="625"/>
      <c r="C2240" s="625"/>
      <c r="D2240" s="625"/>
      <c r="E2240" s="625"/>
      <c r="F2240" s="625"/>
      <c r="G2240" s="626"/>
      <c r="H2240" s="208">
        <f>+ROUND(H2238,0)</f>
        <v>88112</v>
      </c>
      <c r="I2240" s="103"/>
    </row>
    <row r="2241" spans="1:9" s="65" customFormat="1" ht="15.75" thickBot="1">
      <c r="A2241"/>
      <c r="B2241"/>
      <c r="C2241"/>
      <c r="D2241"/>
      <c r="E2241"/>
      <c r="F2241"/>
      <c r="G2241"/>
      <c r="H2241"/>
      <c r="I2241"/>
    </row>
    <row r="2242" spans="1:9" s="65" customFormat="1">
      <c r="A2242" s="627">
        <v>250112</v>
      </c>
      <c r="B2242" s="629" t="s">
        <v>656</v>
      </c>
      <c r="C2242" s="630"/>
      <c r="D2242" s="630"/>
      <c r="E2242" s="630"/>
      <c r="F2242" s="630"/>
      <c r="G2242" s="630"/>
      <c r="H2242" s="630"/>
      <c r="I2242" s="66" t="s">
        <v>389</v>
      </c>
    </row>
    <row r="2243" spans="1:9" s="65" customFormat="1">
      <c r="A2243" s="628"/>
      <c r="B2243" s="631"/>
      <c r="C2243" s="632"/>
      <c r="D2243" s="632"/>
      <c r="E2243" s="632"/>
      <c r="F2243" s="632"/>
      <c r="G2243" s="632"/>
      <c r="H2243" s="632"/>
      <c r="I2243" s="67" t="s">
        <v>7</v>
      </c>
    </row>
    <row r="2244" spans="1:9" s="65" customFormat="1">
      <c r="A2244" s="68"/>
      <c r="B2244" s="69" t="s">
        <v>533</v>
      </c>
      <c r="C2244" s="69"/>
      <c r="D2244" s="69"/>
      <c r="E2244" s="69"/>
      <c r="F2244" s="70"/>
      <c r="G2244" s="70"/>
      <c r="H2244" s="70"/>
      <c r="I2244" s="71"/>
    </row>
    <row r="2245" spans="1:9" s="65" customFormat="1">
      <c r="A2245" s="72" t="s">
        <v>390</v>
      </c>
      <c r="B2245" s="73"/>
      <c r="C2245" s="73"/>
      <c r="D2245" s="73"/>
      <c r="E2245" s="73"/>
      <c r="F2245" s="74"/>
      <c r="G2245" s="74"/>
      <c r="H2245" s="70"/>
      <c r="I2245" s="71"/>
    </row>
    <row r="2246" spans="1:9" s="65" customFormat="1">
      <c r="A2246" s="75" t="s">
        <v>391</v>
      </c>
      <c r="B2246" s="76" t="s">
        <v>392</v>
      </c>
      <c r="C2246" s="76" t="s">
        <v>393</v>
      </c>
      <c r="D2246" s="76" t="s">
        <v>394</v>
      </c>
      <c r="E2246" s="76" t="s">
        <v>395</v>
      </c>
      <c r="F2246" s="76" t="s">
        <v>396</v>
      </c>
      <c r="G2246" s="76" t="s">
        <v>397</v>
      </c>
      <c r="H2246" s="74"/>
      <c r="I2246" s="71"/>
    </row>
    <row r="2247" spans="1:9" s="65" customFormat="1">
      <c r="A2247" s="135" t="s">
        <v>404</v>
      </c>
      <c r="B2247" s="78" t="s">
        <v>405</v>
      </c>
      <c r="C2247" s="127" t="s">
        <v>523</v>
      </c>
      <c r="D2247" s="107">
        <v>1250</v>
      </c>
      <c r="E2247" s="79">
        <v>0.5</v>
      </c>
      <c r="F2247" s="79">
        <v>0</v>
      </c>
      <c r="G2247" s="107">
        <f>(D2247*E2247)+((D2247*E2247)*F2247/100)</f>
        <v>625</v>
      </c>
      <c r="H2247" s="74"/>
      <c r="I2247" s="71"/>
    </row>
    <row r="2248" spans="1:9" s="65" customFormat="1">
      <c r="A2248" s="82"/>
      <c r="B2248" s="83"/>
      <c r="C2248" s="84"/>
      <c r="D2248" s="84"/>
      <c r="E2248" s="84"/>
      <c r="F2248"/>
      <c r="G2248" s="93" t="s">
        <v>407</v>
      </c>
      <c r="H2248" s="107">
        <f>SUM(G2247:G2247)</f>
        <v>625</v>
      </c>
      <c r="I2248" s="71"/>
    </row>
    <row r="2249" spans="1:9" s="65" customFormat="1">
      <c r="A2249" s="72" t="s">
        <v>408</v>
      </c>
      <c r="B2249" s="73"/>
      <c r="C2249" s="73"/>
      <c r="D2249" s="73"/>
      <c r="E2249" s="73"/>
      <c r="F2249"/>
      <c r="G2249" s="74"/>
      <c r="H2249" s="108"/>
      <c r="I2249" s="71"/>
    </row>
    <row r="2250" spans="1:9" s="65" customFormat="1">
      <c r="A2250" s="75" t="s">
        <v>391</v>
      </c>
      <c r="B2250" s="76" t="s">
        <v>392</v>
      </c>
      <c r="C2250" s="76" t="s">
        <v>393</v>
      </c>
      <c r="D2250" s="76" t="s">
        <v>394</v>
      </c>
      <c r="E2250" s="76" t="s">
        <v>395</v>
      </c>
      <c r="F2250" s="76" t="s">
        <v>396</v>
      </c>
      <c r="G2250" s="76" t="s">
        <v>397</v>
      </c>
      <c r="H2250" s="108"/>
      <c r="I2250" s="71"/>
    </row>
    <row r="2251" spans="1:9" s="65" customFormat="1">
      <c r="A2251" s="135">
        <v>5561</v>
      </c>
      <c r="B2251" s="78" t="s">
        <v>657</v>
      </c>
      <c r="C2251" s="127" t="s">
        <v>157</v>
      </c>
      <c r="D2251" s="107">
        <v>13350</v>
      </c>
      <c r="E2251" s="79">
        <v>1</v>
      </c>
      <c r="F2251" s="79">
        <v>0</v>
      </c>
      <c r="G2251" s="107">
        <f>(D2251*E2251)+((D2251*E2251)*F2251/100)</f>
        <v>13350</v>
      </c>
      <c r="H2251" s="108"/>
      <c r="I2251" s="71"/>
    </row>
    <row r="2252" spans="1:9" s="65" customFormat="1">
      <c r="A2252" s="90"/>
      <c r="B2252" s="91"/>
      <c r="C2252" s="91"/>
      <c r="D2252" s="91"/>
      <c r="E2252" s="91"/>
      <c r="F2252"/>
      <c r="G2252" s="85" t="s">
        <v>407</v>
      </c>
      <c r="H2252" s="107">
        <f>SUM(G2251:G2251)</f>
        <v>13350</v>
      </c>
      <c r="I2252" s="71"/>
    </row>
    <row r="2253" spans="1:9" s="65" customFormat="1">
      <c r="A2253" s="72" t="s">
        <v>410</v>
      </c>
      <c r="B2253" s="73"/>
      <c r="C2253" s="73"/>
      <c r="D2253" s="73"/>
      <c r="E2253" s="73"/>
      <c r="F2253"/>
      <c r="G2253" s="74"/>
      <c r="H2253" s="108"/>
      <c r="I2253" s="71"/>
    </row>
    <row r="2254" spans="1:9" s="65" customFormat="1">
      <c r="A2254" s="75" t="s">
        <v>391</v>
      </c>
      <c r="B2254" s="76" t="s">
        <v>392</v>
      </c>
      <c r="C2254" s="76" t="s">
        <v>393</v>
      </c>
      <c r="D2254" s="76" t="s">
        <v>394</v>
      </c>
      <c r="E2254" s="76" t="s">
        <v>395</v>
      </c>
      <c r="F2254" s="76" t="s">
        <v>396</v>
      </c>
      <c r="G2254" s="76" t="s">
        <v>397</v>
      </c>
      <c r="H2254" s="108"/>
      <c r="I2254" s="71"/>
    </row>
    <row r="2255" spans="1:9" s="65" customFormat="1" ht="25.5">
      <c r="A2255" s="125" t="s">
        <v>600</v>
      </c>
      <c r="B2255" s="78" t="s">
        <v>625</v>
      </c>
      <c r="C2255" s="127" t="s">
        <v>426</v>
      </c>
      <c r="D2255" s="107">
        <v>16863</v>
      </c>
      <c r="E2255" s="79">
        <v>0.1</v>
      </c>
      <c r="F2255" s="79">
        <v>0</v>
      </c>
      <c r="G2255" s="107">
        <f>(D2255*E2255)+((D2255*E2255)*F2255/100)</f>
        <v>1686.3000000000002</v>
      </c>
      <c r="H2255" s="108"/>
      <c r="I2255" s="71"/>
    </row>
    <row r="2256" spans="1:9" s="65" customFormat="1">
      <c r="A2256" s="90"/>
      <c r="B2256" s="91"/>
      <c r="C2256" s="91"/>
      <c r="D2256" s="91"/>
      <c r="E2256" s="91"/>
      <c r="F2256"/>
      <c r="G2256" s="93" t="s">
        <v>407</v>
      </c>
      <c r="H2256" s="107">
        <f>SUM(G2255:G2255)</f>
        <v>1686.3000000000002</v>
      </c>
      <c r="I2256" s="71"/>
    </row>
    <row r="2257" spans="1:9" s="65" customFormat="1">
      <c r="A2257" s="72" t="s">
        <v>411</v>
      </c>
      <c r="B2257" s="73"/>
      <c r="C2257" s="73"/>
      <c r="D2257" s="73"/>
      <c r="E2257" s="73"/>
      <c r="F2257"/>
      <c r="G2257" s="74"/>
      <c r="H2257" s="108"/>
      <c r="I2257" s="71"/>
    </row>
    <row r="2258" spans="1:9" s="65" customFormat="1">
      <c r="A2258" s="75" t="s">
        <v>391</v>
      </c>
      <c r="B2258" s="76" t="s">
        <v>392</v>
      </c>
      <c r="C2258" s="76" t="s">
        <v>393</v>
      </c>
      <c r="D2258" s="76" t="s">
        <v>394</v>
      </c>
      <c r="E2258" s="76" t="s">
        <v>395</v>
      </c>
      <c r="F2258" s="76" t="s">
        <v>396</v>
      </c>
      <c r="G2258" s="76" t="s">
        <v>397</v>
      </c>
      <c r="H2258" s="108"/>
      <c r="I2258" s="71"/>
    </row>
    <row r="2259" spans="1:9" s="65" customFormat="1">
      <c r="A2259" s="87" t="s">
        <v>409</v>
      </c>
      <c r="B2259" s="114" t="s">
        <v>409</v>
      </c>
      <c r="C2259" s="114" t="s">
        <v>409</v>
      </c>
      <c r="D2259" s="114" t="s">
        <v>409</v>
      </c>
      <c r="E2259" s="114" t="s">
        <v>409</v>
      </c>
      <c r="F2259" s="79" t="s">
        <v>409</v>
      </c>
      <c r="G2259" s="89" t="s">
        <v>409</v>
      </c>
      <c r="H2259" s="108"/>
      <c r="I2259" s="71"/>
    </row>
    <row r="2260" spans="1:9" s="65" customFormat="1">
      <c r="A2260" s="94"/>
      <c r="B2260" s="95"/>
      <c r="C2260" s="95"/>
      <c r="D2260" s="95"/>
      <c r="E2260" s="95"/>
      <c r="F2260"/>
      <c r="G2260" s="93" t="s">
        <v>407</v>
      </c>
      <c r="H2260" s="107">
        <f>SUM(G2258:G2259)</f>
        <v>0</v>
      </c>
      <c r="I2260" s="71"/>
    </row>
    <row r="2261" spans="1:9" s="65" customFormat="1">
      <c r="A2261" s="94"/>
      <c r="B2261" s="95"/>
      <c r="C2261" s="95"/>
      <c r="D2261" s="95"/>
      <c r="E2261" s="95"/>
      <c r="F2261"/>
      <c r="G2261" s="74"/>
      <c r="H2261" s="74"/>
      <c r="I2261" s="71"/>
    </row>
    <row r="2262" spans="1:9" s="65" customFormat="1">
      <c r="A2262" s="96"/>
      <c r="B2262" s="97"/>
      <c r="C2262" s="98"/>
      <c r="D2262" s="98"/>
      <c r="E2262" s="98"/>
      <c r="F2262"/>
      <c r="G2262" s="99" t="s">
        <v>412</v>
      </c>
      <c r="H2262" s="115">
        <f>SUM(H2248:H2260)</f>
        <v>15661.3</v>
      </c>
      <c r="I2262" s="71"/>
    </row>
    <row r="2263" spans="1:9" s="65" customFormat="1">
      <c r="A2263" s="96"/>
      <c r="B2263" s="97"/>
      <c r="C2263" s="98"/>
      <c r="D2263" s="98"/>
      <c r="E2263" s="98"/>
      <c r="F2263" s="101"/>
      <c r="G2263" s="116"/>
      <c r="H2263" s="70"/>
      <c r="I2263" s="71"/>
    </row>
    <row r="2264" spans="1:9" s="65" customFormat="1" ht="15.75" thickBot="1">
      <c r="A2264" s="624" t="s">
        <v>502</v>
      </c>
      <c r="B2264" s="625"/>
      <c r="C2264" s="625"/>
      <c r="D2264" s="625"/>
      <c r="E2264" s="625"/>
      <c r="F2264" s="625"/>
      <c r="G2264" s="626"/>
      <c r="H2264" s="208">
        <f>+ROUND(H2262,0)</f>
        <v>15661</v>
      </c>
      <c r="I2264" s="103"/>
    </row>
    <row r="2265" spans="1:9" s="65" customFormat="1" ht="15.75" thickBot="1">
      <c r="A2265"/>
      <c r="B2265"/>
      <c r="C2265"/>
      <c r="D2265"/>
      <c r="E2265"/>
      <c r="F2265"/>
      <c r="G2265"/>
      <c r="H2265"/>
      <c r="I2265"/>
    </row>
    <row r="2266" spans="1:9" s="65" customFormat="1">
      <c r="A2266" s="627">
        <v>250110</v>
      </c>
      <c r="B2266" s="629" t="s">
        <v>658</v>
      </c>
      <c r="C2266" s="630"/>
      <c r="D2266" s="630"/>
      <c r="E2266" s="630"/>
      <c r="F2266" s="630"/>
      <c r="G2266" s="630"/>
      <c r="H2266" s="630"/>
      <c r="I2266" s="66" t="s">
        <v>389</v>
      </c>
    </row>
    <row r="2267" spans="1:9" s="65" customFormat="1">
      <c r="A2267" s="628"/>
      <c r="B2267" s="631"/>
      <c r="C2267" s="632"/>
      <c r="D2267" s="632"/>
      <c r="E2267" s="632"/>
      <c r="F2267" s="632"/>
      <c r="G2267" s="632"/>
      <c r="H2267" s="632"/>
      <c r="I2267" s="67" t="s">
        <v>7</v>
      </c>
    </row>
    <row r="2268" spans="1:9" s="65" customFormat="1">
      <c r="A2268" s="68"/>
      <c r="B2268" s="69" t="s">
        <v>533</v>
      </c>
      <c r="C2268" s="69"/>
      <c r="D2268" s="69"/>
      <c r="E2268" s="69"/>
      <c r="F2268" s="70"/>
      <c r="G2268" s="70"/>
      <c r="H2268" s="70"/>
      <c r="I2268" s="71"/>
    </row>
    <row r="2269" spans="1:9" s="65" customFormat="1">
      <c r="A2269" s="72" t="s">
        <v>390</v>
      </c>
      <c r="B2269" s="73"/>
      <c r="C2269" s="73"/>
      <c r="D2269" s="73"/>
      <c r="E2269" s="73"/>
      <c r="F2269" s="74"/>
      <c r="G2269" s="74"/>
      <c r="H2269" s="70"/>
      <c r="I2269" s="71"/>
    </row>
    <row r="2270" spans="1:9" s="65" customFormat="1">
      <c r="A2270" s="75" t="s">
        <v>391</v>
      </c>
      <c r="B2270" s="76" t="s">
        <v>392</v>
      </c>
      <c r="C2270" s="76" t="s">
        <v>393</v>
      </c>
      <c r="D2270" s="76" t="s">
        <v>394</v>
      </c>
      <c r="E2270" s="76" t="s">
        <v>395</v>
      </c>
      <c r="F2270" s="76" t="s">
        <v>396</v>
      </c>
      <c r="G2270" s="76" t="s">
        <v>397</v>
      </c>
      <c r="H2270" s="74"/>
      <c r="I2270" s="71"/>
    </row>
    <row r="2271" spans="1:9" s="65" customFormat="1">
      <c r="A2271" s="135" t="s">
        <v>404</v>
      </c>
      <c r="B2271" s="78" t="s">
        <v>405</v>
      </c>
      <c r="C2271" s="127" t="s">
        <v>523</v>
      </c>
      <c r="D2271" s="107">
        <v>1250</v>
      </c>
      <c r="E2271" s="79">
        <v>0.5</v>
      </c>
      <c r="F2271" s="79">
        <v>0</v>
      </c>
      <c r="G2271" s="107">
        <f>(D2271*E2271)+((D2271*E2271)*F2271/100)</f>
        <v>625</v>
      </c>
      <c r="H2271" s="74"/>
      <c r="I2271" s="71"/>
    </row>
    <row r="2272" spans="1:9" s="65" customFormat="1">
      <c r="A2272" s="82"/>
      <c r="B2272" s="83"/>
      <c r="C2272" s="84"/>
      <c r="D2272" s="84"/>
      <c r="E2272" s="84"/>
      <c r="F2272"/>
      <c r="G2272" s="93" t="s">
        <v>407</v>
      </c>
      <c r="H2272" s="107">
        <f>SUM(G2271:G2271)</f>
        <v>625</v>
      </c>
      <c r="I2272" s="71"/>
    </row>
    <row r="2273" spans="1:9" s="65" customFormat="1">
      <c r="A2273" s="72" t="s">
        <v>408</v>
      </c>
      <c r="B2273" s="73"/>
      <c r="C2273" s="73"/>
      <c r="D2273" s="73"/>
      <c r="E2273" s="73"/>
      <c r="F2273"/>
      <c r="G2273" s="74"/>
      <c r="H2273" s="108"/>
      <c r="I2273" s="71"/>
    </row>
    <row r="2274" spans="1:9" s="65" customFormat="1">
      <c r="A2274" s="75" t="s">
        <v>391</v>
      </c>
      <c r="B2274" s="76" t="s">
        <v>392</v>
      </c>
      <c r="C2274" s="76" t="s">
        <v>393</v>
      </c>
      <c r="D2274" s="76" t="s">
        <v>394</v>
      </c>
      <c r="E2274" s="76" t="s">
        <v>395</v>
      </c>
      <c r="F2274" s="76" t="s">
        <v>396</v>
      </c>
      <c r="G2274" s="76" t="s">
        <v>397</v>
      </c>
      <c r="H2274" s="108"/>
      <c r="I2274" s="71"/>
    </row>
    <row r="2275" spans="1:9" s="65" customFormat="1">
      <c r="A2275" s="135">
        <v>5564</v>
      </c>
      <c r="B2275" s="78" t="s">
        <v>659</v>
      </c>
      <c r="C2275" s="127" t="s">
        <v>157</v>
      </c>
      <c r="D2275" s="107">
        <v>18600</v>
      </c>
      <c r="E2275" s="79">
        <v>1</v>
      </c>
      <c r="F2275" s="79">
        <v>0</v>
      </c>
      <c r="G2275" s="107">
        <f>(D2275*E2275)+((D2275*E2275)*F2275/100)</f>
        <v>18600</v>
      </c>
      <c r="H2275" s="108"/>
      <c r="I2275" s="71"/>
    </row>
    <row r="2276" spans="1:9" s="65" customFormat="1">
      <c r="A2276" s="90"/>
      <c r="B2276" s="91"/>
      <c r="C2276" s="91"/>
      <c r="D2276" s="91"/>
      <c r="E2276" s="91"/>
      <c r="F2276"/>
      <c r="G2276" s="85" t="s">
        <v>407</v>
      </c>
      <c r="H2276" s="107">
        <f>SUM(G2275:G2275)</f>
        <v>18600</v>
      </c>
      <c r="I2276" s="71"/>
    </row>
    <row r="2277" spans="1:9" s="65" customFormat="1">
      <c r="A2277" s="72" t="s">
        <v>410</v>
      </c>
      <c r="B2277" s="73"/>
      <c r="C2277" s="73"/>
      <c r="D2277" s="73"/>
      <c r="E2277" s="73"/>
      <c r="F2277"/>
      <c r="G2277" s="74"/>
      <c r="H2277" s="108"/>
      <c r="I2277" s="71"/>
    </row>
    <row r="2278" spans="1:9" s="65" customFormat="1">
      <c r="A2278" s="75" t="s">
        <v>391</v>
      </c>
      <c r="B2278" s="76" t="s">
        <v>392</v>
      </c>
      <c r="C2278" s="76" t="s">
        <v>393</v>
      </c>
      <c r="D2278" s="76" t="s">
        <v>394</v>
      </c>
      <c r="E2278" s="76" t="s">
        <v>395</v>
      </c>
      <c r="F2278" s="76" t="s">
        <v>396</v>
      </c>
      <c r="G2278" s="76" t="s">
        <v>397</v>
      </c>
      <c r="H2278" s="108"/>
      <c r="I2278" s="71"/>
    </row>
    <row r="2279" spans="1:9" s="65" customFormat="1" ht="25.5">
      <c r="A2279" s="125" t="s">
        <v>600</v>
      </c>
      <c r="B2279" s="78" t="s">
        <v>625</v>
      </c>
      <c r="C2279" s="127" t="s">
        <v>426</v>
      </c>
      <c r="D2279" s="107">
        <v>16863</v>
      </c>
      <c r="E2279" s="79">
        <v>0.15</v>
      </c>
      <c r="F2279" s="79">
        <v>0</v>
      </c>
      <c r="G2279" s="107">
        <f>(D2279*E2279)+((D2279*E2279)*F2279/100)</f>
        <v>2529.4499999999998</v>
      </c>
      <c r="H2279" s="108"/>
      <c r="I2279" s="71"/>
    </row>
    <row r="2280" spans="1:9" s="65" customFormat="1">
      <c r="A2280" s="90"/>
      <c r="B2280" s="91"/>
      <c r="C2280" s="91"/>
      <c r="D2280" s="91"/>
      <c r="E2280" s="91"/>
      <c r="F2280"/>
      <c r="G2280" s="93" t="s">
        <v>407</v>
      </c>
      <c r="H2280" s="107">
        <f>SUM(G2279:G2279)</f>
        <v>2529.4499999999998</v>
      </c>
      <c r="I2280" s="71"/>
    </row>
    <row r="2281" spans="1:9" s="65" customFormat="1">
      <c r="A2281" s="72" t="s">
        <v>411</v>
      </c>
      <c r="B2281" s="73"/>
      <c r="C2281" s="73"/>
      <c r="D2281" s="73"/>
      <c r="E2281" s="73"/>
      <c r="F2281"/>
      <c r="G2281" s="74"/>
      <c r="H2281" s="108"/>
      <c r="I2281" s="71"/>
    </row>
    <row r="2282" spans="1:9" s="65" customFormat="1">
      <c r="A2282" s="75" t="s">
        <v>391</v>
      </c>
      <c r="B2282" s="76" t="s">
        <v>392</v>
      </c>
      <c r="C2282" s="76" t="s">
        <v>393</v>
      </c>
      <c r="D2282" s="76" t="s">
        <v>394</v>
      </c>
      <c r="E2282" s="76" t="s">
        <v>395</v>
      </c>
      <c r="F2282" s="76" t="s">
        <v>396</v>
      </c>
      <c r="G2282" s="76" t="s">
        <v>397</v>
      </c>
      <c r="H2282" s="108"/>
      <c r="I2282" s="71"/>
    </row>
    <row r="2283" spans="1:9" s="65" customFormat="1">
      <c r="A2283" s="87" t="s">
        <v>409</v>
      </c>
      <c r="B2283" s="114" t="s">
        <v>409</v>
      </c>
      <c r="C2283" s="114" t="s">
        <v>409</v>
      </c>
      <c r="D2283" s="114" t="s">
        <v>409</v>
      </c>
      <c r="E2283" s="114" t="s">
        <v>409</v>
      </c>
      <c r="F2283" s="79" t="s">
        <v>409</v>
      </c>
      <c r="G2283" s="89" t="s">
        <v>409</v>
      </c>
      <c r="H2283" s="108"/>
      <c r="I2283" s="71"/>
    </row>
    <row r="2284" spans="1:9" s="65" customFormat="1">
      <c r="A2284" s="94"/>
      <c r="B2284" s="95"/>
      <c r="C2284" s="95"/>
      <c r="D2284" s="95"/>
      <c r="E2284" s="95"/>
      <c r="F2284"/>
      <c r="G2284" s="93" t="s">
        <v>407</v>
      </c>
      <c r="H2284" s="107">
        <f>SUM(G2282:G2283)</f>
        <v>0</v>
      </c>
      <c r="I2284" s="71"/>
    </row>
    <row r="2285" spans="1:9" s="65" customFormat="1">
      <c r="A2285" s="94"/>
      <c r="B2285" s="95"/>
      <c r="C2285" s="95"/>
      <c r="D2285" s="95"/>
      <c r="E2285" s="95"/>
      <c r="F2285"/>
      <c r="G2285" s="74"/>
      <c r="H2285" s="74"/>
      <c r="I2285" s="71"/>
    </row>
    <row r="2286" spans="1:9" s="65" customFormat="1">
      <c r="A2286" s="96"/>
      <c r="B2286" s="97"/>
      <c r="C2286" s="98"/>
      <c r="D2286" s="98"/>
      <c r="E2286" s="98"/>
      <c r="F2286"/>
      <c r="G2286" s="99" t="s">
        <v>412</v>
      </c>
      <c r="H2286" s="115">
        <f>SUM(H2272:H2284)</f>
        <v>21754.45</v>
      </c>
      <c r="I2286" s="71"/>
    </row>
    <row r="2287" spans="1:9" s="65" customFormat="1">
      <c r="A2287" s="96"/>
      <c r="B2287" s="97"/>
      <c r="C2287" s="98"/>
      <c r="D2287" s="98"/>
      <c r="E2287" s="98"/>
      <c r="F2287" s="101"/>
      <c r="G2287" s="116"/>
      <c r="H2287" s="70"/>
      <c r="I2287" s="71"/>
    </row>
    <row r="2288" spans="1:9" s="65" customFormat="1" ht="15.75" thickBot="1">
      <c r="A2288" s="624" t="s">
        <v>502</v>
      </c>
      <c r="B2288" s="625"/>
      <c r="C2288" s="625"/>
      <c r="D2288" s="625"/>
      <c r="E2288" s="625"/>
      <c r="F2288" s="625"/>
      <c r="G2288" s="626"/>
      <c r="H2288" s="208">
        <f>+ROUND(H2286,0)</f>
        <v>21754</v>
      </c>
      <c r="I2288" s="103"/>
    </row>
    <row r="2289" spans="1:9" s="65" customFormat="1" ht="15.75" thickBot="1">
      <c r="A2289"/>
      <c r="B2289"/>
      <c r="C2289"/>
      <c r="D2289"/>
      <c r="E2289"/>
      <c r="F2289"/>
      <c r="G2289"/>
      <c r="H2289"/>
      <c r="I2289"/>
    </row>
    <row r="2290" spans="1:9" s="65" customFormat="1">
      <c r="A2290" s="627">
        <v>250109</v>
      </c>
      <c r="B2290" s="629" t="s">
        <v>660</v>
      </c>
      <c r="C2290" s="630"/>
      <c r="D2290" s="630"/>
      <c r="E2290" s="630"/>
      <c r="F2290" s="630"/>
      <c r="G2290" s="630"/>
      <c r="H2290" s="630"/>
      <c r="I2290" s="66" t="s">
        <v>389</v>
      </c>
    </row>
    <row r="2291" spans="1:9" s="65" customFormat="1">
      <c r="A2291" s="628"/>
      <c r="B2291" s="631"/>
      <c r="C2291" s="632"/>
      <c r="D2291" s="632"/>
      <c r="E2291" s="632"/>
      <c r="F2291" s="632"/>
      <c r="G2291" s="632"/>
      <c r="H2291" s="632"/>
      <c r="I2291" s="67" t="s">
        <v>7</v>
      </c>
    </row>
    <row r="2292" spans="1:9" s="65" customFormat="1">
      <c r="A2292" s="68"/>
      <c r="B2292" s="69" t="s">
        <v>533</v>
      </c>
      <c r="C2292" s="69"/>
      <c r="D2292" s="69"/>
      <c r="E2292" s="69"/>
      <c r="F2292" s="70"/>
      <c r="G2292" s="70"/>
      <c r="H2292" s="70"/>
      <c r="I2292" s="71"/>
    </row>
    <row r="2293" spans="1:9" s="65" customFormat="1">
      <c r="A2293" s="72" t="s">
        <v>390</v>
      </c>
      <c r="B2293" s="73"/>
      <c r="C2293" s="73"/>
      <c r="D2293" s="73"/>
      <c r="E2293" s="73"/>
      <c r="F2293" s="74"/>
      <c r="G2293" s="74"/>
      <c r="H2293" s="70"/>
      <c r="I2293" s="71"/>
    </row>
    <row r="2294" spans="1:9" s="65" customFormat="1">
      <c r="A2294" s="75" t="s">
        <v>391</v>
      </c>
      <c r="B2294" s="76" t="s">
        <v>392</v>
      </c>
      <c r="C2294" s="76" t="s">
        <v>393</v>
      </c>
      <c r="D2294" s="76" t="s">
        <v>394</v>
      </c>
      <c r="E2294" s="76" t="s">
        <v>395</v>
      </c>
      <c r="F2294" s="76" t="s">
        <v>396</v>
      </c>
      <c r="G2294" s="76" t="s">
        <v>397</v>
      </c>
      <c r="H2294" s="74"/>
      <c r="I2294" s="71"/>
    </row>
    <row r="2295" spans="1:9" s="65" customFormat="1">
      <c r="A2295" s="135" t="s">
        <v>404</v>
      </c>
      <c r="B2295" s="78" t="s">
        <v>405</v>
      </c>
      <c r="C2295" s="127" t="s">
        <v>523</v>
      </c>
      <c r="D2295" s="107">
        <v>1250</v>
      </c>
      <c r="E2295" s="79">
        <v>0.5</v>
      </c>
      <c r="F2295" s="79">
        <v>0</v>
      </c>
      <c r="G2295" s="107">
        <f>(D2295*E2295)+((D2295*E2295)*F2295/100)</f>
        <v>625</v>
      </c>
      <c r="H2295" s="74"/>
      <c r="I2295" s="71"/>
    </row>
    <row r="2296" spans="1:9" s="65" customFormat="1">
      <c r="A2296" s="82"/>
      <c r="B2296" s="83"/>
      <c r="C2296" s="84"/>
      <c r="D2296" s="84"/>
      <c r="E2296" s="84"/>
      <c r="F2296"/>
      <c r="G2296" s="93" t="s">
        <v>407</v>
      </c>
      <c r="H2296" s="107">
        <f>SUM(G2295:G2295)</f>
        <v>625</v>
      </c>
      <c r="I2296" s="71"/>
    </row>
    <row r="2297" spans="1:9" s="65" customFormat="1">
      <c r="A2297" s="72" t="s">
        <v>408</v>
      </c>
      <c r="B2297" s="73"/>
      <c r="C2297" s="73"/>
      <c r="D2297" s="73"/>
      <c r="E2297" s="73"/>
      <c r="F2297"/>
      <c r="G2297" s="74"/>
      <c r="H2297" s="108"/>
      <c r="I2297" s="71"/>
    </row>
    <row r="2298" spans="1:9" s="65" customFormat="1">
      <c r="A2298" s="75" t="s">
        <v>391</v>
      </c>
      <c r="B2298" s="76" t="s">
        <v>392</v>
      </c>
      <c r="C2298" s="76" t="s">
        <v>393</v>
      </c>
      <c r="D2298" s="76" t="s">
        <v>394</v>
      </c>
      <c r="E2298" s="76" t="s">
        <v>395</v>
      </c>
      <c r="F2298" s="76" t="s">
        <v>396</v>
      </c>
      <c r="G2298" s="76" t="s">
        <v>397</v>
      </c>
      <c r="H2298" s="108"/>
      <c r="I2298" s="71"/>
    </row>
    <row r="2299" spans="1:9" s="65" customFormat="1">
      <c r="A2299" s="135">
        <v>5562</v>
      </c>
      <c r="B2299" s="78" t="s">
        <v>661</v>
      </c>
      <c r="C2299" s="127" t="s">
        <v>157</v>
      </c>
      <c r="D2299" s="107">
        <v>7500</v>
      </c>
      <c r="E2299" s="79">
        <v>1</v>
      </c>
      <c r="F2299" s="79">
        <v>0</v>
      </c>
      <c r="G2299" s="107">
        <f>(D2299*E2299)+((D2299*E2299)*F2299/100)</f>
        <v>7500</v>
      </c>
      <c r="H2299" s="108"/>
      <c r="I2299" s="71"/>
    </row>
    <row r="2300" spans="1:9" s="65" customFormat="1">
      <c r="A2300" s="90"/>
      <c r="B2300" s="91"/>
      <c r="C2300" s="91"/>
      <c r="D2300" s="91"/>
      <c r="E2300" s="91"/>
      <c r="F2300"/>
      <c r="G2300" s="85" t="s">
        <v>407</v>
      </c>
      <c r="H2300" s="107">
        <f>SUM(G2299:G2299)</f>
        <v>7500</v>
      </c>
      <c r="I2300" s="71"/>
    </row>
    <row r="2301" spans="1:9" s="65" customFormat="1">
      <c r="A2301" s="72" t="s">
        <v>410</v>
      </c>
      <c r="B2301" s="73"/>
      <c r="C2301" s="73"/>
      <c r="D2301" s="73"/>
      <c r="E2301" s="73"/>
      <c r="F2301"/>
      <c r="G2301" s="74"/>
      <c r="H2301" s="108"/>
      <c r="I2301" s="71"/>
    </row>
    <row r="2302" spans="1:9" s="65" customFormat="1">
      <c r="A2302" s="75" t="s">
        <v>391</v>
      </c>
      <c r="B2302" s="76" t="s">
        <v>392</v>
      </c>
      <c r="C2302" s="76" t="s">
        <v>393</v>
      </c>
      <c r="D2302" s="76" t="s">
        <v>394</v>
      </c>
      <c r="E2302" s="76" t="s">
        <v>395</v>
      </c>
      <c r="F2302" s="76" t="s">
        <v>396</v>
      </c>
      <c r="G2302" s="76" t="s">
        <v>397</v>
      </c>
      <c r="H2302" s="108"/>
      <c r="I2302" s="71"/>
    </row>
    <row r="2303" spans="1:9" s="65" customFormat="1" ht="25.5">
      <c r="A2303" s="125" t="s">
        <v>600</v>
      </c>
      <c r="B2303" s="78" t="s">
        <v>625</v>
      </c>
      <c r="C2303" s="127" t="s">
        <v>426</v>
      </c>
      <c r="D2303" s="107">
        <v>16863</v>
      </c>
      <c r="E2303" s="79">
        <v>0.1</v>
      </c>
      <c r="F2303" s="79">
        <v>0</v>
      </c>
      <c r="G2303" s="107">
        <f>(D2303*E2303)+((D2303*E2303)*F2303/100)</f>
        <v>1686.3000000000002</v>
      </c>
      <c r="H2303" s="108"/>
      <c r="I2303" s="71"/>
    </row>
    <row r="2304" spans="1:9" s="65" customFormat="1">
      <c r="A2304" s="90"/>
      <c r="B2304" s="91"/>
      <c r="C2304" s="91"/>
      <c r="D2304" s="91"/>
      <c r="E2304" s="91"/>
      <c r="F2304"/>
      <c r="G2304" s="93" t="s">
        <v>407</v>
      </c>
      <c r="H2304" s="107">
        <f>SUM(G2303:G2303)</f>
        <v>1686.3000000000002</v>
      </c>
      <c r="I2304" s="71"/>
    </row>
    <row r="2305" spans="1:9" s="65" customFormat="1">
      <c r="A2305" s="72" t="s">
        <v>411</v>
      </c>
      <c r="B2305" s="73"/>
      <c r="C2305" s="73"/>
      <c r="D2305" s="73"/>
      <c r="E2305" s="73"/>
      <c r="F2305"/>
      <c r="G2305" s="74"/>
      <c r="H2305" s="108"/>
      <c r="I2305" s="71"/>
    </row>
    <row r="2306" spans="1:9" s="65" customFormat="1">
      <c r="A2306" s="75" t="s">
        <v>391</v>
      </c>
      <c r="B2306" s="76" t="s">
        <v>392</v>
      </c>
      <c r="C2306" s="76" t="s">
        <v>393</v>
      </c>
      <c r="D2306" s="76" t="s">
        <v>394</v>
      </c>
      <c r="E2306" s="76" t="s">
        <v>395</v>
      </c>
      <c r="F2306" s="76" t="s">
        <v>396</v>
      </c>
      <c r="G2306" s="76" t="s">
        <v>397</v>
      </c>
      <c r="H2306" s="108"/>
      <c r="I2306" s="71"/>
    </row>
    <row r="2307" spans="1:9" s="65" customFormat="1">
      <c r="A2307" s="87" t="s">
        <v>409</v>
      </c>
      <c r="B2307" s="114" t="s">
        <v>409</v>
      </c>
      <c r="C2307" s="114" t="s">
        <v>409</v>
      </c>
      <c r="D2307" s="114" t="s">
        <v>409</v>
      </c>
      <c r="E2307" s="114" t="s">
        <v>409</v>
      </c>
      <c r="F2307" s="79" t="s">
        <v>409</v>
      </c>
      <c r="G2307" s="89" t="s">
        <v>409</v>
      </c>
      <c r="H2307" s="108"/>
      <c r="I2307" s="71"/>
    </row>
    <row r="2308" spans="1:9" s="65" customFormat="1">
      <c r="A2308" s="94"/>
      <c r="B2308" s="95"/>
      <c r="C2308" s="95"/>
      <c r="D2308" s="95"/>
      <c r="E2308" s="95"/>
      <c r="F2308"/>
      <c r="G2308" s="93" t="s">
        <v>407</v>
      </c>
      <c r="H2308" s="107">
        <f>SUM(G2306:G2307)</f>
        <v>0</v>
      </c>
      <c r="I2308" s="71"/>
    </row>
    <row r="2309" spans="1:9" s="65" customFormat="1">
      <c r="A2309" s="94"/>
      <c r="B2309" s="95"/>
      <c r="C2309" s="95"/>
      <c r="D2309" s="95"/>
      <c r="E2309" s="95"/>
      <c r="F2309"/>
      <c r="G2309" s="74"/>
      <c r="H2309" s="74"/>
      <c r="I2309" s="71"/>
    </row>
    <row r="2310" spans="1:9" s="65" customFormat="1">
      <c r="A2310" s="96"/>
      <c r="B2310" s="97"/>
      <c r="C2310" s="98"/>
      <c r="D2310" s="98"/>
      <c r="E2310" s="98"/>
      <c r="F2310"/>
      <c r="G2310" s="99" t="s">
        <v>412</v>
      </c>
      <c r="H2310" s="115">
        <f>SUM(H2296:H2308)</f>
        <v>9811.2999999999993</v>
      </c>
      <c r="I2310" s="71"/>
    </row>
    <row r="2311" spans="1:9" s="65" customFormat="1">
      <c r="A2311" s="96"/>
      <c r="B2311" s="97"/>
      <c r="C2311" s="98"/>
      <c r="D2311" s="98"/>
      <c r="E2311" s="98"/>
      <c r="F2311" s="101"/>
      <c r="G2311" s="116"/>
      <c r="H2311" s="70"/>
      <c r="I2311" s="71"/>
    </row>
    <row r="2312" spans="1:9" s="65" customFormat="1" ht="15.75" thickBot="1">
      <c r="A2312" s="624" t="s">
        <v>502</v>
      </c>
      <c r="B2312" s="625"/>
      <c r="C2312" s="625"/>
      <c r="D2312" s="625"/>
      <c r="E2312" s="625"/>
      <c r="F2312" s="625"/>
      <c r="G2312" s="626"/>
      <c r="H2312" s="208">
        <f>+ROUND(H2310,0)</f>
        <v>9811</v>
      </c>
      <c r="I2312" s="103"/>
    </row>
    <row r="2313" spans="1:9" s="65" customFormat="1" ht="15.75" thickBot="1">
      <c r="A2313"/>
      <c r="B2313"/>
      <c r="C2313"/>
      <c r="D2313"/>
      <c r="E2313"/>
      <c r="F2313"/>
      <c r="G2313"/>
      <c r="H2313"/>
      <c r="I2313"/>
    </row>
    <row r="2314" spans="1:9" s="65" customFormat="1">
      <c r="A2314" s="627">
        <v>190707</v>
      </c>
      <c r="B2314" s="629" t="s">
        <v>662</v>
      </c>
      <c r="C2314" s="630"/>
      <c r="D2314" s="630"/>
      <c r="E2314" s="630"/>
      <c r="F2314" s="630"/>
      <c r="G2314" s="630"/>
      <c r="H2314" s="630"/>
      <c r="I2314" s="66" t="s">
        <v>389</v>
      </c>
    </row>
    <row r="2315" spans="1:9" s="65" customFormat="1">
      <c r="A2315" s="628"/>
      <c r="B2315" s="631"/>
      <c r="C2315" s="632"/>
      <c r="D2315" s="632"/>
      <c r="E2315" s="632"/>
      <c r="F2315" s="632"/>
      <c r="G2315" s="632"/>
      <c r="H2315" s="632"/>
      <c r="I2315" s="67" t="s">
        <v>526</v>
      </c>
    </row>
    <row r="2316" spans="1:9" s="65" customFormat="1">
      <c r="A2316" s="68"/>
      <c r="B2316" s="69" t="s">
        <v>533</v>
      </c>
      <c r="C2316" s="69"/>
      <c r="D2316" s="69"/>
      <c r="E2316" s="69"/>
      <c r="F2316" s="70"/>
      <c r="G2316" s="70"/>
      <c r="H2316" s="70"/>
      <c r="I2316" s="71"/>
    </row>
    <row r="2317" spans="1:9" s="65" customFormat="1">
      <c r="A2317" s="72" t="s">
        <v>390</v>
      </c>
      <c r="B2317" s="73"/>
      <c r="C2317" s="73"/>
      <c r="D2317" s="73"/>
      <c r="E2317" s="73"/>
      <c r="F2317" s="74"/>
      <c r="G2317" s="74"/>
      <c r="H2317" s="70"/>
      <c r="I2317" s="71"/>
    </row>
    <row r="2318" spans="1:9" s="65" customFormat="1">
      <c r="A2318" s="75" t="s">
        <v>391</v>
      </c>
      <c r="B2318" s="76" t="s">
        <v>392</v>
      </c>
      <c r="C2318" s="76" t="s">
        <v>393</v>
      </c>
      <c r="D2318" s="76" t="s">
        <v>394</v>
      </c>
      <c r="E2318" s="76" t="s">
        <v>395</v>
      </c>
      <c r="F2318" s="76" t="s">
        <v>396</v>
      </c>
      <c r="G2318" s="76" t="s">
        <v>397</v>
      </c>
      <c r="H2318" s="74"/>
      <c r="I2318" s="71"/>
    </row>
    <row r="2319" spans="1:9" s="65" customFormat="1">
      <c r="A2319" s="135" t="s">
        <v>404</v>
      </c>
      <c r="B2319" s="78" t="s">
        <v>405</v>
      </c>
      <c r="C2319" s="127" t="s">
        <v>523</v>
      </c>
      <c r="D2319" s="107">
        <v>1250</v>
      </c>
      <c r="E2319" s="79">
        <v>0.04</v>
      </c>
      <c r="F2319" s="79">
        <v>0</v>
      </c>
      <c r="G2319" s="107">
        <f>(D2319*E2319)+((D2319*E2319)*F2319/100)</f>
        <v>50</v>
      </c>
      <c r="H2319" s="74"/>
      <c r="I2319" s="71"/>
    </row>
    <row r="2320" spans="1:9" s="65" customFormat="1">
      <c r="A2320" s="135" t="s">
        <v>615</v>
      </c>
      <c r="B2320" s="78" t="s">
        <v>616</v>
      </c>
      <c r="C2320" s="127" t="s">
        <v>437</v>
      </c>
      <c r="D2320" s="107">
        <v>26000</v>
      </c>
      <c r="E2320" s="79">
        <v>0.2</v>
      </c>
      <c r="F2320" s="79">
        <v>0</v>
      </c>
      <c r="G2320" s="107">
        <f>(D2320*E2320)+((D2320*E2320)*F2320/100)</f>
        <v>5200</v>
      </c>
      <c r="H2320" s="74"/>
      <c r="I2320" s="71"/>
    </row>
    <row r="2321" spans="1:9" s="65" customFormat="1">
      <c r="A2321" s="82"/>
      <c r="B2321" s="83"/>
      <c r="C2321" s="84"/>
      <c r="D2321" s="84"/>
      <c r="E2321" s="84"/>
      <c r="F2321"/>
      <c r="G2321" s="93" t="s">
        <v>407</v>
      </c>
      <c r="H2321" s="107">
        <f>SUM(G2319:G2320)</f>
        <v>5250</v>
      </c>
      <c r="I2321" s="71"/>
    </row>
    <row r="2322" spans="1:9" s="65" customFormat="1">
      <c r="A2322" s="72" t="s">
        <v>408</v>
      </c>
      <c r="B2322" s="73"/>
      <c r="C2322" s="73"/>
      <c r="D2322" s="73"/>
      <c r="E2322" s="73"/>
      <c r="F2322"/>
      <c r="G2322" s="74"/>
      <c r="H2322" s="108"/>
      <c r="I2322" s="71"/>
    </row>
    <row r="2323" spans="1:9" s="65" customFormat="1">
      <c r="A2323" s="75" t="s">
        <v>391</v>
      </c>
      <c r="B2323" s="76" t="s">
        <v>392</v>
      </c>
      <c r="C2323" s="76" t="s">
        <v>393</v>
      </c>
      <c r="D2323" s="76" t="s">
        <v>394</v>
      </c>
      <c r="E2323" s="76" t="s">
        <v>395</v>
      </c>
      <c r="F2323" s="76" t="s">
        <v>396</v>
      </c>
      <c r="G2323" s="76" t="s">
        <v>397</v>
      </c>
      <c r="H2323" s="108"/>
      <c r="I2323" s="71"/>
    </row>
    <row r="2324" spans="1:9" s="65" customFormat="1">
      <c r="A2324" s="135">
        <v>33</v>
      </c>
      <c r="B2324" s="78" t="s">
        <v>663</v>
      </c>
      <c r="C2324" s="127" t="s">
        <v>474</v>
      </c>
      <c r="D2324" s="107">
        <v>4850</v>
      </c>
      <c r="E2324" s="79">
        <v>0.06</v>
      </c>
      <c r="F2324" s="79">
        <v>0</v>
      </c>
      <c r="G2324" s="107">
        <f t="shared" ref="G2324:G2331" si="16">(D2324*E2324)+((D2324*E2324)*F2324/100)</f>
        <v>291</v>
      </c>
      <c r="H2324" s="108"/>
      <c r="I2324" s="71"/>
    </row>
    <row r="2325" spans="1:9" s="65" customFormat="1">
      <c r="A2325" s="135">
        <v>1796</v>
      </c>
      <c r="B2325" s="78" t="s">
        <v>664</v>
      </c>
      <c r="C2325" s="127" t="s">
        <v>593</v>
      </c>
      <c r="D2325" s="107">
        <v>3206</v>
      </c>
      <c r="E2325" s="79">
        <v>0.12</v>
      </c>
      <c r="F2325" s="79">
        <v>0</v>
      </c>
      <c r="G2325" s="107">
        <f t="shared" si="16"/>
        <v>384.71999999999997</v>
      </c>
      <c r="H2325" s="108"/>
      <c r="I2325" s="71"/>
    </row>
    <row r="2326" spans="1:9" s="65" customFormat="1">
      <c r="A2326" s="135">
        <v>3168</v>
      </c>
      <c r="B2326" s="78" t="s">
        <v>665</v>
      </c>
      <c r="C2326" s="127" t="s">
        <v>157</v>
      </c>
      <c r="D2326" s="107">
        <v>1400</v>
      </c>
      <c r="E2326" s="79">
        <v>1.2</v>
      </c>
      <c r="F2326" s="79">
        <v>0</v>
      </c>
      <c r="G2326" s="107">
        <f t="shared" si="16"/>
        <v>1680</v>
      </c>
      <c r="H2326" s="108"/>
      <c r="I2326" s="71"/>
    </row>
    <row r="2327" spans="1:9" s="65" customFormat="1">
      <c r="A2327" s="135">
        <v>3333</v>
      </c>
      <c r="B2327" s="78" t="s">
        <v>592</v>
      </c>
      <c r="C2327" s="127" t="s">
        <v>593</v>
      </c>
      <c r="D2327" s="107">
        <v>36000</v>
      </c>
      <c r="E2327" s="79">
        <v>0.12</v>
      </c>
      <c r="F2327" s="79">
        <v>0</v>
      </c>
      <c r="G2327" s="107">
        <f t="shared" si="16"/>
        <v>4320</v>
      </c>
      <c r="H2327" s="108"/>
      <c r="I2327" s="71"/>
    </row>
    <row r="2328" spans="1:9" s="65" customFormat="1">
      <c r="A2328" s="135">
        <v>3527</v>
      </c>
      <c r="B2328" s="78" t="s">
        <v>666</v>
      </c>
      <c r="C2328" s="127" t="s">
        <v>593</v>
      </c>
      <c r="D2328" s="107">
        <v>2800</v>
      </c>
      <c r="E2328" s="79">
        <v>0.4</v>
      </c>
      <c r="F2328" s="79">
        <v>0</v>
      </c>
      <c r="G2328" s="107">
        <f t="shared" si="16"/>
        <v>1120</v>
      </c>
      <c r="H2328" s="108"/>
      <c r="I2328" s="71"/>
    </row>
    <row r="2329" spans="1:9" s="65" customFormat="1">
      <c r="A2329" s="135">
        <v>3530</v>
      </c>
      <c r="B2329" s="78" t="s">
        <v>667</v>
      </c>
      <c r="C2329" s="127" t="s">
        <v>493</v>
      </c>
      <c r="D2329" s="107">
        <v>7000</v>
      </c>
      <c r="E2329" s="79">
        <v>1.2</v>
      </c>
      <c r="F2329" s="79">
        <v>0</v>
      </c>
      <c r="G2329" s="107">
        <f t="shared" si="16"/>
        <v>8400</v>
      </c>
      <c r="H2329" s="108"/>
      <c r="I2329" s="71"/>
    </row>
    <row r="2330" spans="1:9" s="65" customFormat="1" ht="25.5">
      <c r="A2330" s="135">
        <v>3895</v>
      </c>
      <c r="B2330" s="78" t="s">
        <v>668</v>
      </c>
      <c r="C2330" s="127" t="s">
        <v>669</v>
      </c>
      <c r="D2330" s="107">
        <v>48600</v>
      </c>
      <c r="E2330" s="79">
        <v>0.03</v>
      </c>
      <c r="F2330" s="79">
        <v>0</v>
      </c>
      <c r="G2330" s="107">
        <f t="shared" si="16"/>
        <v>1458</v>
      </c>
      <c r="H2330" s="108"/>
      <c r="I2330" s="71"/>
    </row>
    <row r="2331" spans="1:9" s="65" customFormat="1">
      <c r="A2331" s="135">
        <v>4601</v>
      </c>
      <c r="B2331" s="78" t="s">
        <v>670</v>
      </c>
      <c r="C2331" s="127" t="s">
        <v>474</v>
      </c>
      <c r="D2331" s="107">
        <v>14000</v>
      </c>
      <c r="E2331" s="79">
        <v>0.06</v>
      </c>
      <c r="F2331" s="79">
        <v>0</v>
      </c>
      <c r="G2331" s="107">
        <f t="shared" si="16"/>
        <v>840</v>
      </c>
      <c r="H2331" s="108"/>
      <c r="I2331" s="71"/>
    </row>
    <row r="2332" spans="1:9" s="65" customFormat="1">
      <c r="A2332" s="90"/>
      <c r="B2332" s="91"/>
      <c r="C2332" s="91"/>
      <c r="D2332" s="91"/>
      <c r="E2332" s="91"/>
      <c r="F2332"/>
      <c r="G2332" s="85" t="s">
        <v>407</v>
      </c>
      <c r="H2332" s="107">
        <f>SUM(G2324:G2331)</f>
        <v>18493.72</v>
      </c>
      <c r="I2332" s="71"/>
    </row>
    <row r="2333" spans="1:9" s="65" customFormat="1">
      <c r="A2333" s="72" t="s">
        <v>410</v>
      </c>
      <c r="B2333" s="73"/>
      <c r="C2333" s="73"/>
      <c r="D2333" s="73"/>
      <c r="E2333" s="73"/>
      <c r="F2333"/>
      <c r="G2333" s="74"/>
      <c r="H2333" s="108"/>
      <c r="I2333" s="71"/>
    </row>
    <row r="2334" spans="1:9" s="65" customFormat="1">
      <c r="A2334" s="75" t="s">
        <v>391</v>
      </c>
      <c r="B2334" s="76" t="s">
        <v>392</v>
      </c>
      <c r="C2334" s="76" t="s">
        <v>393</v>
      </c>
      <c r="D2334" s="76" t="s">
        <v>394</v>
      </c>
      <c r="E2334" s="76" t="s">
        <v>395</v>
      </c>
      <c r="F2334" s="76" t="s">
        <v>396</v>
      </c>
      <c r="G2334" s="76" t="s">
        <v>397</v>
      </c>
      <c r="H2334" s="108"/>
      <c r="I2334" s="71"/>
    </row>
    <row r="2335" spans="1:9" s="65" customFormat="1" ht="25.5">
      <c r="A2335" s="125" t="s">
        <v>600</v>
      </c>
      <c r="B2335" s="78" t="s">
        <v>625</v>
      </c>
      <c r="C2335" s="127" t="s">
        <v>426</v>
      </c>
      <c r="D2335" s="107">
        <v>16863</v>
      </c>
      <c r="E2335" s="79">
        <v>3</v>
      </c>
      <c r="F2335" s="79">
        <v>0</v>
      </c>
      <c r="G2335" s="107">
        <f>(D2335*E2335)+((D2335*E2335)*F2335/100)</f>
        <v>50589</v>
      </c>
      <c r="H2335" s="108"/>
      <c r="I2335" s="71"/>
    </row>
    <row r="2336" spans="1:9" s="65" customFormat="1" ht="25.5">
      <c r="A2336" s="125" t="s">
        <v>461</v>
      </c>
      <c r="B2336" s="78" t="s">
        <v>522</v>
      </c>
      <c r="C2336" s="127" t="s">
        <v>426</v>
      </c>
      <c r="D2336" s="107">
        <v>14990</v>
      </c>
      <c r="E2336" s="79">
        <v>1</v>
      </c>
      <c r="F2336" s="79">
        <v>0</v>
      </c>
      <c r="G2336" s="107">
        <f>(D2336*E2336)+((D2336*E2336)*F2336/100)</f>
        <v>14990</v>
      </c>
      <c r="H2336" s="108"/>
      <c r="I2336" s="71"/>
    </row>
    <row r="2337" spans="1:9" s="65" customFormat="1">
      <c r="A2337" s="90"/>
      <c r="B2337" s="91"/>
      <c r="C2337" s="91"/>
      <c r="D2337" s="91"/>
      <c r="E2337" s="91"/>
      <c r="F2337"/>
      <c r="G2337" s="93" t="s">
        <v>407</v>
      </c>
      <c r="H2337" s="107">
        <f>SUM(G2335:G2336)</f>
        <v>65579</v>
      </c>
      <c r="I2337" s="71"/>
    </row>
    <row r="2338" spans="1:9" s="65" customFormat="1">
      <c r="A2338" s="72" t="s">
        <v>411</v>
      </c>
      <c r="B2338" s="73"/>
      <c r="C2338" s="73"/>
      <c r="D2338" s="73"/>
      <c r="E2338" s="73"/>
      <c r="F2338"/>
      <c r="G2338" s="74"/>
      <c r="H2338" s="108"/>
      <c r="I2338" s="71"/>
    </row>
    <row r="2339" spans="1:9" s="65" customFormat="1">
      <c r="A2339" s="75" t="s">
        <v>391</v>
      </c>
      <c r="B2339" s="76" t="s">
        <v>392</v>
      </c>
      <c r="C2339" s="76" t="s">
        <v>393</v>
      </c>
      <c r="D2339" s="76" t="s">
        <v>394</v>
      </c>
      <c r="E2339" s="76" t="s">
        <v>395</v>
      </c>
      <c r="F2339" s="76" t="s">
        <v>396</v>
      </c>
      <c r="G2339" s="76" t="s">
        <v>397</v>
      </c>
      <c r="H2339" s="108"/>
      <c r="I2339" s="71"/>
    </row>
    <row r="2340" spans="1:9" s="65" customFormat="1">
      <c r="A2340" s="87" t="s">
        <v>409</v>
      </c>
      <c r="B2340" s="114" t="s">
        <v>409</v>
      </c>
      <c r="C2340" s="114" t="s">
        <v>409</v>
      </c>
      <c r="D2340" s="114" t="s">
        <v>409</v>
      </c>
      <c r="E2340" s="114" t="s">
        <v>409</v>
      </c>
      <c r="F2340" s="79" t="s">
        <v>409</v>
      </c>
      <c r="G2340" s="89" t="s">
        <v>409</v>
      </c>
      <c r="H2340" s="108"/>
      <c r="I2340" s="71"/>
    </row>
    <row r="2341" spans="1:9" s="65" customFormat="1">
      <c r="A2341" s="94"/>
      <c r="B2341" s="95"/>
      <c r="C2341" s="95"/>
      <c r="D2341" s="95"/>
      <c r="E2341" s="95"/>
      <c r="F2341"/>
      <c r="G2341" s="93" t="s">
        <v>407</v>
      </c>
      <c r="H2341" s="107">
        <f>SUM(G2339:G2340)</f>
        <v>0</v>
      </c>
      <c r="I2341" s="71"/>
    </row>
    <row r="2342" spans="1:9" s="65" customFormat="1">
      <c r="A2342" s="94"/>
      <c r="B2342" s="95"/>
      <c r="C2342" s="95"/>
      <c r="D2342" s="95"/>
      <c r="E2342" s="95"/>
      <c r="F2342"/>
      <c r="G2342" s="74"/>
      <c r="H2342" s="74"/>
      <c r="I2342" s="71"/>
    </row>
    <row r="2343" spans="1:9" s="65" customFormat="1">
      <c r="A2343" s="96"/>
      <c r="B2343" s="97"/>
      <c r="C2343" s="98"/>
      <c r="D2343" s="98"/>
      <c r="E2343" s="98"/>
      <c r="F2343"/>
      <c r="G2343" s="99" t="s">
        <v>412</v>
      </c>
      <c r="H2343" s="115">
        <f>SUM(H2321:H2341)</f>
        <v>89322.72</v>
      </c>
      <c r="I2343" s="71"/>
    </row>
    <row r="2344" spans="1:9" s="65" customFormat="1">
      <c r="A2344" s="96"/>
      <c r="B2344" s="97"/>
      <c r="C2344" s="98"/>
      <c r="D2344" s="98"/>
      <c r="E2344" s="98"/>
      <c r="F2344" s="101"/>
      <c r="G2344" s="116"/>
      <c r="H2344" s="70"/>
      <c r="I2344" s="71"/>
    </row>
    <row r="2345" spans="1:9" s="65" customFormat="1" ht="15.75" thickBot="1">
      <c r="A2345" s="624" t="s">
        <v>527</v>
      </c>
      <c r="B2345" s="625"/>
      <c r="C2345" s="625"/>
      <c r="D2345" s="625"/>
      <c r="E2345" s="625"/>
      <c r="F2345" s="625"/>
      <c r="G2345" s="626"/>
      <c r="H2345" s="208">
        <f>+ROUND(H2343,0)</f>
        <v>89323</v>
      </c>
      <c r="I2345" s="103"/>
    </row>
    <row r="2346" spans="1:9" s="65" customFormat="1" ht="15.75" thickBot="1">
      <c r="A2346"/>
      <c r="B2346"/>
      <c r="C2346"/>
      <c r="D2346"/>
      <c r="E2346"/>
      <c r="F2346"/>
      <c r="G2346"/>
      <c r="H2346"/>
      <c r="I2346"/>
    </row>
    <row r="2347" spans="1:9" s="65" customFormat="1">
      <c r="A2347" s="627">
        <v>240317</v>
      </c>
      <c r="B2347" s="629" t="s">
        <v>671</v>
      </c>
      <c r="C2347" s="630"/>
      <c r="D2347" s="630"/>
      <c r="E2347" s="630"/>
      <c r="F2347" s="630"/>
      <c r="G2347" s="630"/>
      <c r="H2347" s="630"/>
      <c r="I2347" s="66" t="s">
        <v>389</v>
      </c>
    </row>
    <row r="2348" spans="1:9" s="65" customFormat="1">
      <c r="A2348" s="628"/>
      <c r="B2348" s="631"/>
      <c r="C2348" s="632"/>
      <c r="D2348" s="632"/>
      <c r="E2348" s="632"/>
      <c r="F2348" s="632"/>
      <c r="G2348" s="632"/>
      <c r="H2348" s="632"/>
      <c r="I2348" s="67" t="s">
        <v>7</v>
      </c>
    </row>
    <row r="2349" spans="1:9" s="65" customFormat="1">
      <c r="A2349" s="68"/>
      <c r="B2349" s="69" t="s">
        <v>533</v>
      </c>
      <c r="C2349" s="69"/>
      <c r="D2349" s="69"/>
      <c r="E2349" s="69"/>
      <c r="F2349" s="70"/>
      <c r="G2349" s="70"/>
      <c r="H2349" s="70"/>
      <c r="I2349" s="71"/>
    </row>
    <row r="2350" spans="1:9" s="65" customFormat="1">
      <c r="A2350" s="72" t="s">
        <v>390</v>
      </c>
      <c r="B2350" s="73"/>
      <c r="C2350" s="73"/>
      <c r="D2350" s="73"/>
      <c r="E2350" s="73"/>
      <c r="F2350" s="74"/>
      <c r="G2350" s="74"/>
      <c r="H2350" s="70"/>
      <c r="I2350" s="71"/>
    </row>
    <row r="2351" spans="1:9" s="65" customFormat="1">
      <c r="A2351" s="75" t="s">
        <v>391</v>
      </c>
      <c r="B2351" s="76" t="s">
        <v>392</v>
      </c>
      <c r="C2351" s="76" t="s">
        <v>393</v>
      </c>
      <c r="D2351" s="76" t="s">
        <v>394</v>
      </c>
      <c r="E2351" s="76" t="s">
        <v>395</v>
      </c>
      <c r="F2351" s="76" t="s">
        <v>396</v>
      </c>
      <c r="G2351" s="76" t="s">
        <v>397</v>
      </c>
      <c r="H2351" s="74"/>
      <c r="I2351" s="71"/>
    </row>
    <row r="2352" spans="1:9" s="65" customFormat="1">
      <c r="A2352" s="135" t="s">
        <v>404</v>
      </c>
      <c r="B2352" s="78" t="s">
        <v>405</v>
      </c>
      <c r="C2352" s="127" t="s">
        <v>523</v>
      </c>
      <c r="D2352" s="107">
        <v>1250</v>
      </c>
      <c r="E2352" s="79">
        <v>1.5</v>
      </c>
      <c r="F2352" s="79">
        <v>0</v>
      </c>
      <c r="G2352" s="107">
        <f>(D2352*E2352)+((D2352*E2352)*F2352/100)</f>
        <v>1875</v>
      </c>
      <c r="H2352" s="74"/>
      <c r="I2352" s="71"/>
    </row>
    <row r="2353" spans="1:9" s="65" customFormat="1">
      <c r="A2353" s="82"/>
      <c r="B2353" s="83"/>
      <c r="C2353" s="84"/>
      <c r="D2353" s="84"/>
      <c r="E2353" s="84"/>
      <c r="F2353"/>
      <c r="G2353" s="93" t="s">
        <v>407</v>
      </c>
      <c r="H2353" s="107">
        <f>SUM(G2352:G2352)</f>
        <v>1875</v>
      </c>
      <c r="I2353" s="71"/>
    </row>
    <row r="2354" spans="1:9" s="65" customFormat="1">
      <c r="A2354" s="72" t="s">
        <v>408</v>
      </c>
      <c r="B2354" s="73"/>
      <c r="C2354" s="73"/>
      <c r="D2354" s="73"/>
      <c r="E2354" s="73"/>
      <c r="F2354"/>
      <c r="G2354" s="74"/>
      <c r="H2354" s="108"/>
      <c r="I2354" s="71"/>
    </row>
    <row r="2355" spans="1:9" s="65" customFormat="1">
      <c r="A2355" s="75" t="s">
        <v>391</v>
      </c>
      <c r="B2355" s="76" t="s">
        <v>392</v>
      </c>
      <c r="C2355" s="76" t="s">
        <v>393</v>
      </c>
      <c r="D2355" s="76" t="s">
        <v>394</v>
      </c>
      <c r="E2355" s="76" t="s">
        <v>395</v>
      </c>
      <c r="F2355" s="76" t="s">
        <v>396</v>
      </c>
      <c r="G2355" s="76" t="s">
        <v>397</v>
      </c>
      <c r="H2355" s="108"/>
      <c r="I2355" s="71"/>
    </row>
    <row r="2356" spans="1:9" s="65" customFormat="1" ht="25.5">
      <c r="A2356" s="135">
        <v>1815</v>
      </c>
      <c r="B2356" s="78" t="s">
        <v>672</v>
      </c>
      <c r="C2356" s="127" t="s">
        <v>157</v>
      </c>
      <c r="D2356" s="107">
        <v>63800</v>
      </c>
      <c r="E2356" s="79">
        <v>1</v>
      </c>
      <c r="F2356" s="79">
        <v>0</v>
      </c>
      <c r="G2356" s="107">
        <f>(D2356*E2356)+((D2356*E2356)*F2356/100)</f>
        <v>63800</v>
      </c>
      <c r="H2356" s="108"/>
      <c r="I2356" s="71"/>
    </row>
    <row r="2357" spans="1:9" s="65" customFormat="1">
      <c r="A2357" s="90"/>
      <c r="B2357" s="91"/>
      <c r="C2357" s="91"/>
      <c r="D2357" s="91"/>
      <c r="E2357" s="91"/>
      <c r="F2357"/>
      <c r="G2357" s="85" t="s">
        <v>407</v>
      </c>
      <c r="H2357" s="107">
        <f>SUM(G2356:G2356)</f>
        <v>63800</v>
      </c>
      <c r="I2357" s="71"/>
    </row>
    <row r="2358" spans="1:9" s="65" customFormat="1">
      <c r="A2358" s="72" t="s">
        <v>410</v>
      </c>
      <c r="B2358" s="73"/>
      <c r="C2358" s="73"/>
      <c r="D2358" s="73"/>
      <c r="E2358" s="73"/>
      <c r="F2358"/>
      <c r="G2358" s="74"/>
      <c r="H2358" s="108"/>
      <c r="I2358" s="71"/>
    </row>
    <row r="2359" spans="1:9" s="65" customFormat="1">
      <c r="A2359" s="75" t="s">
        <v>391</v>
      </c>
      <c r="B2359" s="76" t="s">
        <v>392</v>
      </c>
      <c r="C2359" s="76" t="s">
        <v>393</v>
      </c>
      <c r="D2359" s="76" t="s">
        <v>394</v>
      </c>
      <c r="E2359" s="76" t="s">
        <v>395</v>
      </c>
      <c r="F2359" s="76" t="s">
        <v>396</v>
      </c>
      <c r="G2359" s="76" t="s">
        <v>397</v>
      </c>
      <c r="H2359" s="108"/>
      <c r="I2359" s="71"/>
    </row>
    <row r="2360" spans="1:9" s="65" customFormat="1" ht="25.5">
      <c r="A2360" s="125" t="s">
        <v>531</v>
      </c>
      <c r="B2360" s="78" t="s">
        <v>532</v>
      </c>
      <c r="C2360" s="127" t="s">
        <v>426</v>
      </c>
      <c r="D2360" s="107">
        <v>17988</v>
      </c>
      <c r="E2360" s="79">
        <v>0.2</v>
      </c>
      <c r="F2360" s="79">
        <v>0</v>
      </c>
      <c r="G2360" s="107">
        <f>(D2360*E2360)+((D2360*E2360)*F2360/100)</f>
        <v>3597.6000000000004</v>
      </c>
      <c r="H2360" s="108"/>
      <c r="I2360" s="71"/>
    </row>
    <row r="2361" spans="1:9" s="65" customFormat="1">
      <c r="A2361" s="90"/>
      <c r="B2361" s="91"/>
      <c r="C2361" s="91"/>
      <c r="D2361" s="91"/>
      <c r="E2361" s="91"/>
      <c r="F2361"/>
      <c r="G2361" s="93" t="s">
        <v>407</v>
      </c>
      <c r="H2361" s="107">
        <f>SUM(G2360:G2360)</f>
        <v>3597.6000000000004</v>
      </c>
      <c r="I2361" s="71"/>
    </row>
    <row r="2362" spans="1:9" s="65" customFormat="1">
      <c r="A2362" s="72" t="s">
        <v>411</v>
      </c>
      <c r="B2362" s="73"/>
      <c r="C2362" s="73"/>
      <c r="D2362" s="73"/>
      <c r="E2362" s="73"/>
      <c r="F2362"/>
      <c r="G2362" s="74"/>
      <c r="H2362" s="108"/>
      <c r="I2362" s="71"/>
    </row>
    <row r="2363" spans="1:9" s="65" customFormat="1">
      <c r="A2363" s="75" t="s">
        <v>391</v>
      </c>
      <c r="B2363" s="76" t="s">
        <v>392</v>
      </c>
      <c r="C2363" s="76" t="s">
        <v>393</v>
      </c>
      <c r="D2363" s="76" t="s">
        <v>394</v>
      </c>
      <c r="E2363" s="76" t="s">
        <v>395</v>
      </c>
      <c r="F2363" s="76" t="s">
        <v>396</v>
      </c>
      <c r="G2363" s="76" t="s">
        <v>397</v>
      </c>
      <c r="H2363" s="108"/>
      <c r="I2363" s="71"/>
    </row>
    <row r="2364" spans="1:9" s="65" customFormat="1">
      <c r="A2364" s="87" t="s">
        <v>409</v>
      </c>
      <c r="B2364" s="114" t="s">
        <v>409</v>
      </c>
      <c r="C2364" s="114" t="s">
        <v>409</v>
      </c>
      <c r="D2364" s="114" t="s">
        <v>409</v>
      </c>
      <c r="E2364" s="114" t="s">
        <v>409</v>
      </c>
      <c r="F2364" s="79" t="s">
        <v>409</v>
      </c>
      <c r="G2364" s="89" t="s">
        <v>409</v>
      </c>
      <c r="H2364" s="108"/>
      <c r="I2364" s="71"/>
    </row>
    <row r="2365" spans="1:9" s="65" customFormat="1">
      <c r="A2365" s="94"/>
      <c r="B2365" s="95"/>
      <c r="C2365" s="95"/>
      <c r="D2365" s="95"/>
      <c r="E2365" s="95"/>
      <c r="F2365"/>
      <c r="G2365" s="93" t="s">
        <v>407</v>
      </c>
      <c r="H2365" s="107">
        <f>SUM(G2363:G2364)</f>
        <v>0</v>
      </c>
      <c r="I2365" s="71"/>
    </row>
    <row r="2366" spans="1:9" s="65" customFormat="1">
      <c r="A2366" s="94"/>
      <c r="B2366" s="95"/>
      <c r="C2366" s="95"/>
      <c r="D2366" s="95"/>
      <c r="E2366" s="95"/>
      <c r="F2366"/>
      <c r="G2366" s="74"/>
      <c r="H2366" s="74"/>
      <c r="I2366" s="71"/>
    </row>
    <row r="2367" spans="1:9" s="65" customFormat="1">
      <c r="A2367" s="96"/>
      <c r="B2367" s="97"/>
      <c r="C2367" s="98"/>
      <c r="D2367" s="98"/>
      <c r="E2367" s="98"/>
      <c r="F2367"/>
      <c r="G2367" s="99" t="s">
        <v>412</v>
      </c>
      <c r="H2367" s="115">
        <f>SUM(H2353:H2365)</f>
        <v>69272.600000000006</v>
      </c>
      <c r="I2367" s="71"/>
    </row>
    <row r="2368" spans="1:9" s="65" customFormat="1">
      <c r="A2368" s="96"/>
      <c r="B2368" s="97"/>
      <c r="C2368" s="98"/>
      <c r="D2368" s="98"/>
      <c r="E2368" s="98"/>
      <c r="F2368" s="101"/>
      <c r="G2368" s="116"/>
      <c r="H2368" s="70"/>
      <c r="I2368" s="71"/>
    </row>
    <row r="2369" spans="1:9" s="65" customFormat="1" ht="15.75" thickBot="1">
      <c r="A2369" s="624" t="s">
        <v>502</v>
      </c>
      <c r="B2369" s="625"/>
      <c r="C2369" s="625"/>
      <c r="D2369" s="625"/>
      <c r="E2369" s="625"/>
      <c r="F2369" s="625"/>
      <c r="G2369" s="626"/>
      <c r="H2369" s="208">
        <f>+ROUND(H2367,0)</f>
        <v>69273</v>
      </c>
      <c r="I2369" s="103"/>
    </row>
    <row r="2370" spans="1:9" s="65" customFormat="1">
      <c r="A2370" s="123"/>
      <c r="B2370" s="95"/>
      <c r="C2370" s="95"/>
      <c r="D2370" s="95"/>
      <c r="E2370" s="95"/>
      <c r="G2370" s="104"/>
      <c r="H2370" s="121"/>
    </row>
    <row r="2371" spans="1:9" s="65" customFormat="1" ht="15.75" thickBot="1">
      <c r="A2371" s="123"/>
      <c r="B2371" s="95"/>
      <c r="C2371" s="95"/>
      <c r="D2371" s="95"/>
      <c r="E2371" s="95"/>
      <c r="G2371" s="121"/>
      <c r="H2371" s="133"/>
    </row>
    <row r="2372" spans="1:9" s="65" customFormat="1">
      <c r="A2372" s="627">
        <v>250439</v>
      </c>
      <c r="B2372" s="629" t="s">
        <v>673</v>
      </c>
      <c r="C2372" s="630"/>
      <c r="D2372" s="630"/>
      <c r="E2372" s="630"/>
      <c r="F2372" s="630"/>
      <c r="G2372" s="630"/>
      <c r="H2372" s="630"/>
      <c r="I2372" s="66" t="s">
        <v>389</v>
      </c>
    </row>
    <row r="2373" spans="1:9" s="65" customFormat="1">
      <c r="A2373" s="628"/>
      <c r="B2373" s="631"/>
      <c r="C2373" s="632"/>
      <c r="D2373" s="632"/>
      <c r="E2373" s="632"/>
      <c r="F2373" s="632"/>
      <c r="G2373" s="632"/>
      <c r="H2373" s="632"/>
      <c r="I2373" s="67" t="s">
        <v>157</v>
      </c>
    </row>
    <row r="2374" spans="1:9" s="65" customFormat="1">
      <c r="A2374" s="68"/>
      <c r="B2374" s="69" t="s">
        <v>533</v>
      </c>
      <c r="C2374" s="69"/>
      <c r="D2374" s="69"/>
      <c r="E2374" s="69"/>
      <c r="F2374" s="70"/>
      <c r="G2374" s="70"/>
      <c r="H2374" s="70"/>
      <c r="I2374" s="71"/>
    </row>
    <row r="2375" spans="1:9" s="65" customFormat="1">
      <c r="A2375" s="72" t="s">
        <v>390</v>
      </c>
      <c r="B2375" s="73"/>
      <c r="C2375" s="73"/>
      <c r="D2375" s="73"/>
      <c r="E2375" s="73"/>
      <c r="F2375" s="74"/>
      <c r="G2375" s="74"/>
      <c r="H2375" s="70"/>
      <c r="I2375" s="71"/>
    </row>
    <row r="2376" spans="1:9" s="65" customFormat="1">
      <c r="A2376" s="75" t="s">
        <v>391</v>
      </c>
      <c r="B2376" s="76" t="s">
        <v>392</v>
      </c>
      <c r="C2376" s="76" t="s">
        <v>393</v>
      </c>
      <c r="D2376" s="76" t="s">
        <v>394</v>
      </c>
      <c r="E2376" s="76" t="s">
        <v>395</v>
      </c>
      <c r="F2376" s="76" t="s">
        <v>396</v>
      </c>
      <c r="G2376" s="76" t="s">
        <v>397</v>
      </c>
      <c r="H2376" s="74"/>
      <c r="I2376" s="71"/>
    </row>
    <row r="2377" spans="1:9" s="65" customFormat="1">
      <c r="A2377" s="135" t="s">
        <v>404</v>
      </c>
      <c r="B2377" s="78" t="s">
        <v>405</v>
      </c>
      <c r="C2377" s="127" t="s">
        <v>523</v>
      </c>
      <c r="D2377" s="107">
        <v>1250</v>
      </c>
      <c r="E2377" s="79">
        <v>0.2</v>
      </c>
      <c r="F2377" s="79">
        <v>0</v>
      </c>
      <c r="G2377" s="107">
        <f>(D2377*E2377)+((D2377*E2377)*F2377/100)</f>
        <v>250</v>
      </c>
      <c r="H2377" s="74"/>
      <c r="I2377" s="71"/>
    </row>
    <row r="2378" spans="1:9" s="65" customFormat="1">
      <c r="A2378" s="82"/>
      <c r="B2378" s="83"/>
      <c r="C2378" s="84"/>
      <c r="D2378" s="84"/>
      <c r="E2378" s="84"/>
      <c r="F2378"/>
      <c r="G2378" s="93" t="s">
        <v>407</v>
      </c>
      <c r="H2378" s="107">
        <f>SUM(G2377:G2377)</f>
        <v>250</v>
      </c>
      <c r="I2378" s="71"/>
    </row>
    <row r="2379" spans="1:9" s="65" customFormat="1">
      <c r="A2379" s="72" t="s">
        <v>408</v>
      </c>
      <c r="B2379" s="73"/>
      <c r="C2379" s="73"/>
      <c r="D2379" s="73"/>
      <c r="E2379" s="73"/>
      <c r="F2379"/>
      <c r="G2379" s="74"/>
      <c r="H2379" s="108"/>
      <c r="I2379" s="71"/>
    </row>
    <row r="2380" spans="1:9" s="65" customFormat="1">
      <c r="A2380" s="75" t="s">
        <v>391</v>
      </c>
      <c r="B2380" s="76" t="s">
        <v>392</v>
      </c>
      <c r="C2380" s="76" t="s">
        <v>393</v>
      </c>
      <c r="D2380" s="76" t="s">
        <v>394</v>
      </c>
      <c r="E2380" s="76" t="s">
        <v>395</v>
      </c>
      <c r="F2380" s="76" t="s">
        <v>396</v>
      </c>
      <c r="G2380" s="76" t="s">
        <v>397</v>
      </c>
      <c r="H2380" s="108"/>
      <c r="I2380" s="71"/>
    </row>
    <row r="2381" spans="1:9" s="65" customFormat="1">
      <c r="A2381" s="135">
        <v>214</v>
      </c>
      <c r="B2381" s="78" t="s">
        <v>1199</v>
      </c>
      <c r="C2381" s="127" t="s">
        <v>470</v>
      </c>
      <c r="D2381" s="107">
        <v>12</v>
      </c>
      <c r="E2381" s="79">
        <v>1</v>
      </c>
      <c r="F2381" s="79">
        <v>0</v>
      </c>
      <c r="G2381" s="107">
        <f>(D2381*E2381)+((D2381*E2381)*F2381/100)</f>
        <v>12</v>
      </c>
      <c r="H2381" s="108"/>
      <c r="I2381" s="71"/>
    </row>
    <row r="2382" spans="1:9" s="65" customFormat="1">
      <c r="A2382" s="135">
        <v>685</v>
      </c>
      <c r="B2382" s="78" t="s">
        <v>674</v>
      </c>
      <c r="C2382" s="127" t="s">
        <v>423</v>
      </c>
      <c r="D2382" s="107">
        <v>900</v>
      </c>
      <c r="E2382" s="79">
        <v>1</v>
      </c>
      <c r="F2382" s="79">
        <v>0</v>
      </c>
      <c r="G2382" s="107">
        <f>(D2382*E2382)+((D2382*E2382)*F2382/100)</f>
        <v>900</v>
      </c>
      <c r="H2382" s="108"/>
      <c r="I2382" s="71"/>
    </row>
    <row r="2383" spans="1:9" s="65" customFormat="1" ht="25.5">
      <c r="A2383" s="135">
        <v>802</v>
      </c>
      <c r="B2383" s="78" t="s">
        <v>675</v>
      </c>
      <c r="C2383" s="127" t="s">
        <v>676</v>
      </c>
      <c r="D2383" s="107">
        <v>279900</v>
      </c>
      <c r="E2383" s="79">
        <v>1</v>
      </c>
      <c r="F2383" s="79">
        <v>0</v>
      </c>
      <c r="G2383" s="107">
        <f>(D2383*E2383)+((D2383*E2383)*F2383/100)</f>
        <v>279900</v>
      </c>
      <c r="H2383" s="108"/>
      <c r="I2383" s="71"/>
    </row>
    <row r="2384" spans="1:9" s="65" customFormat="1" ht="25.5">
      <c r="A2384" s="135">
        <v>3285</v>
      </c>
      <c r="B2384" s="78" t="s">
        <v>677</v>
      </c>
      <c r="C2384" s="127" t="s">
        <v>157</v>
      </c>
      <c r="D2384" s="107">
        <v>2500</v>
      </c>
      <c r="E2384" s="79">
        <v>1</v>
      </c>
      <c r="F2384" s="79">
        <v>0</v>
      </c>
      <c r="G2384" s="107">
        <f>(D2384*E2384)+((D2384*E2384)*F2384/100)</f>
        <v>2500</v>
      </c>
      <c r="H2384" s="108"/>
      <c r="I2384" s="71"/>
    </row>
    <row r="2385" spans="1:9" s="65" customFormat="1">
      <c r="A2385" s="90"/>
      <c r="B2385" s="91"/>
      <c r="C2385" s="91"/>
      <c r="D2385" s="91"/>
      <c r="E2385" s="91"/>
      <c r="F2385"/>
      <c r="G2385" s="85" t="s">
        <v>407</v>
      </c>
      <c r="H2385" s="107">
        <f>SUM(G2381:G2384)</f>
        <v>283312</v>
      </c>
      <c r="I2385" s="71"/>
    </row>
    <row r="2386" spans="1:9" s="65" customFormat="1">
      <c r="A2386" s="72" t="s">
        <v>410</v>
      </c>
      <c r="B2386" s="73"/>
      <c r="C2386" s="73"/>
      <c r="D2386" s="73"/>
      <c r="E2386" s="73"/>
      <c r="F2386"/>
      <c r="G2386" s="74"/>
      <c r="H2386" s="108"/>
      <c r="I2386" s="71"/>
    </row>
    <row r="2387" spans="1:9" s="65" customFormat="1">
      <c r="A2387" s="75" t="s">
        <v>391</v>
      </c>
      <c r="B2387" s="76" t="s">
        <v>392</v>
      </c>
      <c r="C2387" s="76" t="s">
        <v>393</v>
      </c>
      <c r="D2387" s="76" t="s">
        <v>394</v>
      </c>
      <c r="E2387" s="76" t="s">
        <v>395</v>
      </c>
      <c r="F2387" s="76" t="s">
        <v>396</v>
      </c>
      <c r="G2387" s="76" t="s">
        <v>397</v>
      </c>
      <c r="H2387" s="108"/>
      <c r="I2387" s="71"/>
    </row>
    <row r="2388" spans="1:9" s="65" customFormat="1" ht="25.5">
      <c r="A2388" s="125" t="s">
        <v>600</v>
      </c>
      <c r="B2388" s="78" t="s">
        <v>625</v>
      </c>
      <c r="C2388" s="127" t="s">
        <v>426</v>
      </c>
      <c r="D2388" s="107">
        <v>16863</v>
      </c>
      <c r="E2388" s="79">
        <v>1.3</v>
      </c>
      <c r="F2388" s="79">
        <v>0</v>
      </c>
      <c r="G2388" s="107">
        <f>(D2388*E2388)+((D2388*E2388)*F2388/100)</f>
        <v>21921.9</v>
      </c>
      <c r="H2388" s="108"/>
      <c r="I2388" s="71"/>
    </row>
    <row r="2389" spans="1:9" s="65" customFormat="1">
      <c r="A2389" s="90"/>
      <c r="B2389" s="91"/>
      <c r="C2389" s="91"/>
      <c r="D2389" s="91"/>
      <c r="E2389" s="91"/>
      <c r="F2389"/>
      <c r="G2389" s="93" t="s">
        <v>407</v>
      </c>
      <c r="H2389" s="107">
        <f>SUM(G2388:G2388)</f>
        <v>21921.9</v>
      </c>
      <c r="I2389" s="71"/>
    </row>
    <row r="2390" spans="1:9" s="65" customFormat="1">
      <c r="A2390" s="72" t="s">
        <v>411</v>
      </c>
      <c r="B2390" s="73"/>
      <c r="C2390" s="73"/>
      <c r="D2390" s="73"/>
      <c r="E2390" s="73"/>
      <c r="F2390"/>
      <c r="G2390" s="74"/>
      <c r="H2390" s="108"/>
      <c r="I2390" s="71"/>
    </row>
    <row r="2391" spans="1:9" s="65" customFormat="1">
      <c r="A2391" s="75" t="s">
        <v>391</v>
      </c>
      <c r="B2391" s="76" t="s">
        <v>392</v>
      </c>
      <c r="C2391" s="76" t="s">
        <v>393</v>
      </c>
      <c r="D2391" s="76" t="s">
        <v>394</v>
      </c>
      <c r="E2391" s="76" t="s">
        <v>395</v>
      </c>
      <c r="F2391" s="76" t="s">
        <v>396</v>
      </c>
      <c r="G2391" s="76" t="s">
        <v>397</v>
      </c>
      <c r="H2391" s="108"/>
      <c r="I2391" s="71"/>
    </row>
    <row r="2392" spans="1:9" s="65" customFormat="1">
      <c r="A2392" s="87" t="s">
        <v>409</v>
      </c>
      <c r="B2392" s="114" t="s">
        <v>409</v>
      </c>
      <c r="C2392" s="114" t="s">
        <v>409</v>
      </c>
      <c r="D2392" s="114" t="s">
        <v>409</v>
      </c>
      <c r="E2392" s="114" t="s">
        <v>409</v>
      </c>
      <c r="F2392" s="79" t="s">
        <v>409</v>
      </c>
      <c r="G2392" s="89" t="s">
        <v>409</v>
      </c>
      <c r="H2392" s="108"/>
      <c r="I2392" s="71"/>
    </row>
    <row r="2393" spans="1:9" s="65" customFormat="1">
      <c r="A2393" s="94"/>
      <c r="B2393" s="95"/>
      <c r="C2393" s="95"/>
      <c r="D2393" s="95"/>
      <c r="E2393" s="95"/>
      <c r="F2393"/>
      <c r="G2393" s="93" t="s">
        <v>407</v>
      </c>
      <c r="H2393" s="107">
        <f>SUM(G2391:G2392)</f>
        <v>0</v>
      </c>
      <c r="I2393" s="71"/>
    </row>
    <row r="2394" spans="1:9" s="65" customFormat="1">
      <c r="A2394" s="94"/>
      <c r="B2394" s="95"/>
      <c r="C2394" s="95"/>
      <c r="D2394" s="95"/>
      <c r="E2394" s="95"/>
      <c r="F2394"/>
      <c r="G2394" s="74"/>
      <c r="H2394" s="74"/>
      <c r="I2394" s="71"/>
    </row>
    <row r="2395" spans="1:9" s="65" customFormat="1">
      <c r="A2395" s="96"/>
      <c r="B2395" s="97"/>
      <c r="C2395" s="98"/>
      <c r="D2395" s="98"/>
      <c r="E2395" s="98"/>
      <c r="F2395"/>
      <c r="G2395" s="99" t="s">
        <v>412</v>
      </c>
      <c r="H2395" s="115">
        <f>SUM(H2378:H2393)</f>
        <v>305483.90000000002</v>
      </c>
      <c r="I2395" s="71"/>
    </row>
    <row r="2396" spans="1:9" s="65" customFormat="1">
      <c r="A2396" s="96"/>
      <c r="B2396" s="97"/>
      <c r="C2396" s="98"/>
      <c r="D2396" s="98"/>
      <c r="E2396" s="98"/>
      <c r="F2396" s="101"/>
      <c r="G2396" s="116"/>
      <c r="H2396" s="70"/>
      <c r="I2396" s="71"/>
    </row>
    <row r="2397" spans="1:9" s="65" customFormat="1" ht="15.75" thickBot="1">
      <c r="A2397" s="624" t="s">
        <v>761</v>
      </c>
      <c r="B2397" s="625"/>
      <c r="C2397" s="625"/>
      <c r="D2397" s="625"/>
      <c r="E2397" s="625"/>
      <c r="F2397" s="625"/>
      <c r="G2397" s="626"/>
      <c r="H2397" s="208">
        <v>305480</v>
      </c>
      <c r="I2397" s="103"/>
    </row>
    <row r="2398" spans="1:9" s="65" customFormat="1" ht="15.75" thickBot="1">
      <c r="A2398"/>
      <c r="B2398"/>
      <c r="C2398"/>
      <c r="D2398"/>
      <c r="E2398"/>
      <c r="F2398"/>
      <c r="G2398"/>
      <c r="H2398"/>
      <c r="I2398"/>
    </row>
    <row r="2399" spans="1:9" s="65" customFormat="1">
      <c r="A2399" s="627">
        <v>250445</v>
      </c>
      <c r="B2399" s="629" t="s">
        <v>678</v>
      </c>
      <c r="C2399" s="630"/>
      <c r="D2399" s="630"/>
      <c r="E2399" s="630"/>
      <c r="F2399" s="630"/>
      <c r="G2399" s="630"/>
      <c r="H2399" s="630"/>
      <c r="I2399" s="66" t="s">
        <v>389</v>
      </c>
    </row>
    <row r="2400" spans="1:9" s="65" customFormat="1">
      <c r="A2400" s="628"/>
      <c r="B2400" s="631"/>
      <c r="C2400" s="632"/>
      <c r="D2400" s="632"/>
      <c r="E2400" s="632"/>
      <c r="F2400" s="632"/>
      <c r="G2400" s="632"/>
      <c r="H2400" s="632"/>
      <c r="I2400" s="67" t="s">
        <v>7</v>
      </c>
    </row>
    <row r="2401" spans="1:9" s="65" customFormat="1">
      <c r="A2401" s="68"/>
      <c r="B2401" s="69" t="s">
        <v>533</v>
      </c>
      <c r="C2401" s="69"/>
      <c r="D2401" s="69"/>
      <c r="E2401" s="69"/>
      <c r="F2401" s="70"/>
      <c r="G2401" s="70"/>
      <c r="H2401" s="70"/>
      <c r="I2401" s="71"/>
    </row>
    <row r="2402" spans="1:9" s="65" customFormat="1">
      <c r="A2402" s="72" t="s">
        <v>390</v>
      </c>
      <c r="B2402" s="73"/>
      <c r="C2402" s="73"/>
      <c r="D2402" s="73"/>
      <c r="E2402" s="73"/>
      <c r="F2402" s="74"/>
      <c r="G2402" s="74"/>
      <c r="H2402" s="70"/>
      <c r="I2402" s="71"/>
    </row>
    <row r="2403" spans="1:9" s="65" customFormat="1">
      <c r="A2403" s="75" t="s">
        <v>391</v>
      </c>
      <c r="B2403" s="76" t="s">
        <v>392</v>
      </c>
      <c r="C2403" s="76" t="s">
        <v>393</v>
      </c>
      <c r="D2403" s="76" t="s">
        <v>394</v>
      </c>
      <c r="E2403" s="76" t="s">
        <v>395</v>
      </c>
      <c r="F2403" s="76" t="s">
        <v>396</v>
      </c>
      <c r="G2403" s="76" t="s">
        <v>397</v>
      </c>
      <c r="H2403" s="74"/>
      <c r="I2403" s="71"/>
    </row>
    <row r="2404" spans="1:9" s="65" customFormat="1">
      <c r="A2404" s="135" t="s">
        <v>404</v>
      </c>
      <c r="B2404" s="78" t="s">
        <v>405</v>
      </c>
      <c r="C2404" s="127" t="s">
        <v>523</v>
      </c>
      <c r="D2404" s="107">
        <v>1250</v>
      </c>
      <c r="E2404" s="79">
        <v>0.1</v>
      </c>
      <c r="F2404" s="79">
        <v>0</v>
      </c>
      <c r="G2404" s="107">
        <f>(D2404*E2404)+((D2404*E2404)*F2404/100)</f>
        <v>125</v>
      </c>
      <c r="H2404" s="74"/>
      <c r="I2404" s="71"/>
    </row>
    <row r="2405" spans="1:9" s="65" customFormat="1">
      <c r="A2405" s="82"/>
      <c r="B2405" s="83"/>
      <c r="C2405" s="84"/>
      <c r="D2405" s="84"/>
      <c r="E2405" s="84"/>
      <c r="F2405"/>
      <c r="G2405" s="93" t="s">
        <v>407</v>
      </c>
      <c r="H2405" s="107">
        <f>SUM(G2404:G2404)</f>
        <v>125</v>
      </c>
      <c r="I2405" s="71"/>
    </row>
    <row r="2406" spans="1:9" s="65" customFormat="1">
      <c r="A2406" s="72" t="s">
        <v>408</v>
      </c>
      <c r="B2406" s="73"/>
      <c r="C2406" s="73"/>
      <c r="D2406" s="73"/>
      <c r="E2406" s="73"/>
      <c r="F2406"/>
      <c r="G2406" s="74"/>
      <c r="H2406" s="108"/>
      <c r="I2406" s="71"/>
    </row>
    <row r="2407" spans="1:9" s="65" customFormat="1">
      <c r="A2407" s="75" t="s">
        <v>391</v>
      </c>
      <c r="B2407" s="76" t="s">
        <v>392</v>
      </c>
      <c r="C2407" s="76" t="s">
        <v>393</v>
      </c>
      <c r="D2407" s="76" t="s">
        <v>394</v>
      </c>
      <c r="E2407" s="76" t="s">
        <v>395</v>
      </c>
      <c r="F2407" s="76" t="s">
        <v>396</v>
      </c>
      <c r="G2407" s="76" t="s">
        <v>397</v>
      </c>
      <c r="H2407" s="108"/>
      <c r="I2407" s="71"/>
    </row>
    <row r="2408" spans="1:9" s="65" customFormat="1">
      <c r="A2408" s="135">
        <v>214</v>
      </c>
      <c r="B2408" s="78" t="s">
        <v>555</v>
      </c>
      <c r="C2408" s="127" t="s">
        <v>470</v>
      </c>
      <c r="D2408" s="107">
        <v>12</v>
      </c>
      <c r="E2408" s="79">
        <v>0.5</v>
      </c>
      <c r="F2408" s="79">
        <v>0</v>
      </c>
      <c r="G2408" s="107">
        <f>(D2408*E2408)+((D2408*E2408)*F2408/100)</f>
        <v>6</v>
      </c>
      <c r="H2408" s="108"/>
      <c r="I2408" s="71"/>
    </row>
    <row r="2409" spans="1:9" s="65" customFormat="1">
      <c r="A2409" s="135">
        <v>685</v>
      </c>
      <c r="B2409" s="78" t="s">
        <v>674</v>
      </c>
      <c r="C2409" s="127" t="s">
        <v>423</v>
      </c>
      <c r="D2409" s="107">
        <v>900</v>
      </c>
      <c r="E2409" s="79">
        <v>0.5</v>
      </c>
      <c r="F2409" s="79">
        <v>0</v>
      </c>
      <c r="G2409" s="107">
        <f>(D2409*E2409)+((D2409*E2409)*F2409/100)</f>
        <v>450</v>
      </c>
      <c r="H2409" s="108"/>
      <c r="I2409" s="71"/>
    </row>
    <row r="2410" spans="1:9" s="65" customFormat="1" ht="25.5">
      <c r="A2410" s="135">
        <v>1554</v>
      </c>
      <c r="B2410" s="78" t="s">
        <v>679</v>
      </c>
      <c r="C2410" s="127" t="s">
        <v>157</v>
      </c>
      <c r="D2410" s="107">
        <v>148000</v>
      </c>
      <c r="E2410" s="79">
        <v>1</v>
      </c>
      <c r="F2410" s="79">
        <v>0</v>
      </c>
      <c r="G2410" s="107">
        <f>(D2410*E2410)+((D2410*E2410)*F2410/100)</f>
        <v>148000</v>
      </c>
      <c r="H2410" s="108"/>
      <c r="I2410" s="71"/>
    </row>
    <row r="2411" spans="1:9" s="65" customFormat="1">
      <c r="A2411" s="90"/>
      <c r="B2411" s="91"/>
      <c r="C2411" s="91"/>
      <c r="D2411" s="91"/>
      <c r="E2411" s="91"/>
      <c r="F2411"/>
      <c r="G2411" s="85" t="s">
        <v>407</v>
      </c>
      <c r="H2411" s="107">
        <f>SUM(G2408:G2410)</f>
        <v>148456</v>
      </c>
      <c r="I2411" s="71"/>
    </row>
    <row r="2412" spans="1:9" s="65" customFormat="1">
      <c r="A2412" s="72" t="s">
        <v>410</v>
      </c>
      <c r="B2412" s="73"/>
      <c r="C2412" s="73"/>
      <c r="D2412" s="73"/>
      <c r="E2412" s="73"/>
      <c r="F2412"/>
      <c r="G2412" s="74"/>
      <c r="H2412" s="108"/>
      <c r="I2412" s="71"/>
    </row>
    <row r="2413" spans="1:9" s="65" customFormat="1">
      <c r="A2413" s="75" t="s">
        <v>391</v>
      </c>
      <c r="B2413" s="76" t="s">
        <v>392</v>
      </c>
      <c r="C2413" s="76" t="s">
        <v>393</v>
      </c>
      <c r="D2413" s="76" t="s">
        <v>394</v>
      </c>
      <c r="E2413" s="76" t="s">
        <v>395</v>
      </c>
      <c r="F2413" s="76" t="s">
        <v>396</v>
      </c>
      <c r="G2413" s="76" t="s">
        <v>397</v>
      </c>
      <c r="H2413" s="108"/>
      <c r="I2413" s="71"/>
    </row>
    <row r="2414" spans="1:9" s="65" customFormat="1" ht="25.5">
      <c r="A2414" s="125" t="s">
        <v>600</v>
      </c>
      <c r="B2414" s="78" t="s">
        <v>625</v>
      </c>
      <c r="C2414" s="127" t="s">
        <v>426</v>
      </c>
      <c r="D2414" s="107">
        <v>16863</v>
      </c>
      <c r="E2414" s="79">
        <v>1.25</v>
      </c>
      <c r="F2414" s="79">
        <v>0</v>
      </c>
      <c r="G2414" s="107">
        <f>(D2414*E2414)+((D2414*E2414)*F2414/100)</f>
        <v>21078.75</v>
      </c>
      <c r="H2414" s="108"/>
      <c r="I2414" s="71"/>
    </row>
    <row r="2415" spans="1:9" s="65" customFormat="1">
      <c r="A2415" s="90"/>
      <c r="B2415" s="91"/>
      <c r="C2415" s="91"/>
      <c r="D2415" s="91"/>
      <c r="E2415" s="91"/>
      <c r="F2415"/>
      <c r="G2415" s="93" t="s">
        <v>407</v>
      </c>
      <c r="H2415" s="107">
        <f>SUM(G2414:G2414)</f>
        <v>21078.75</v>
      </c>
      <c r="I2415" s="71"/>
    </row>
    <row r="2416" spans="1:9" s="65" customFormat="1">
      <c r="A2416" s="72" t="s">
        <v>411</v>
      </c>
      <c r="B2416" s="73"/>
      <c r="C2416" s="73"/>
      <c r="D2416" s="73"/>
      <c r="E2416" s="73"/>
      <c r="F2416"/>
      <c r="G2416" s="74"/>
      <c r="H2416" s="108"/>
      <c r="I2416" s="71"/>
    </row>
    <row r="2417" spans="1:9" s="65" customFormat="1">
      <c r="A2417" s="75" t="s">
        <v>391</v>
      </c>
      <c r="B2417" s="76" t="s">
        <v>392</v>
      </c>
      <c r="C2417" s="76" t="s">
        <v>393</v>
      </c>
      <c r="D2417" s="76" t="s">
        <v>394</v>
      </c>
      <c r="E2417" s="76" t="s">
        <v>395</v>
      </c>
      <c r="F2417" s="76" t="s">
        <v>396</v>
      </c>
      <c r="G2417" s="76" t="s">
        <v>397</v>
      </c>
      <c r="H2417" s="108"/>
      <c r="I2417" s="71"/>
    </row>
    <row r="2418" spans="1:9" s="65" customFormat="1">
      <c r="A2418" s="87" t="s">
        <v>409</v>
      </c>
      <c r="B2418" s="114" t="s">
        <v>409</v>
      </c>
      <c r="C2418" s="114" t="s">
        <v>409</v>
      </c>
      <c r="D2418" s="114" t="s">
        <v>409</v>
      </c>
      <c r="E2418" s="114" t="s">
        <v>409</v>
      </c>
      <c r="F2418" s="79" t="s">
        <v>409</v>
      </c>
      <c r="G2418" s="89" t="s">
        <v>409</v>
      </c>
      <c r="H2418" s="108"/>
      <c r="I2418" s="71"/>
    </row>
    <row r="2419" spans="1:9" s="65" customFormat="1">
      <c r="A2419" s="94"/>
      <c r="B2419" s="95"/>
      <c r="C2419" s="95"/>
      <c r="D2419" s="95"/>
      <c r="E2419" s="95"/>
      <c r="F2419"/>
      <c r="G2419" s="93" t="s">
        <v>407</v>
      </c>
      <c r="H2419" s="107">
        <f>SUM(G2417:G2418)</f>
        <v>0</v>
      </c>
      <c r="I2419" s="71"/>
    </row>
    <row r="2420" spans="1:9" s="65" customFormat="1">
      <c r="A2420" s="94"/>
      <c r="B2420" s="95"/>
      <c r="C2420" s="95"/>
      <c r="D2420" s="95"/>
      <c r="E2420" s="95"/>
      <c r="F2420"/>
      <c r="G2420" s="74"/>
      <c r="H2420" s="74"/>
      <c r="I2420" s="71"/>
    </row>
    <row r="2421" spans="1:9" s="65" customFormat="1">
      <c r="A2421" s="96"/>
      <c r="B2421" s="97"/>
      <c r="C2421" s="98"/>
      <c r="D2421" s="98"/>
      <c r="E2421" s="98"/>
      <c r="F2421"/>
      <c r="G2421" s="99" t="s">
        <v>412</v>
      </c>
      <c r="H2421" s="115">
        <f>SUM(H2405:H2419)</f>
        <v>169659.75</v>
      </c>
      <c r="I2421" s="71"/>
    </row>
    <row r="2422" spans="1:9" s="65" customFormat="1">
      <c r="A2422" s="96"/>
      <c r="B2422" s="97"/>
      <c r="C2422" s="98"/>
      <c r="D2422" s="98"/>
      <c r="E2422" s="98"/>
      <c r="F2422" s="101"/>
      <c r="G2422" s="116"/>
      <c r="H2422" s="70"/>
      <c r="I2422" s="71"/>
    </row>
    <row r="2423" spans="1:9" s="65" customFormat="1" ht="15.75" thickBot="1">
      <c r="A2423" s="624" t="s">
        <v>502</v>
      </c>
      <c r="B2423" s="625"/>
      <c r="C2423" s="625"/>
      <c r="D2423" s="625"/>
      <c r="E2423" s="625"/>
      <c r="F2423" s="625"/>
      <c r="G2423" s="626"/>
      <c r="H2423" s="208">
        <v>169660</v>
      </c>
      <c r="I2423" s="103"/>
    </row>
    <row r="2424" spans="1:9" s="65" customFormat="1" ht="15.75" thickBot="1">
      <c r="A2424"/>
      <c r="B2424"/>
      <c r="C2424"/>
      <c r="D2424"/>
      <c r="E2424"/>
      <c r="F2424"/>
      <c r="G2424"/>
      <c r="H2424"/>
      <c r="I2424"/>
    </row>
    <row r="2425" spans="1:9" s="65" customFormat="1">
      <c r="A2425" s="627">
        <v>250708</v>
      </c>
      <c r="B2425" s="629" t="s">
        <v>680</v>
      </c>
      <c r="C2425" s="630"/>
      <c r="D2425" s="630"/>
      <c r="E2425" s="630"/>
      <c r="F2425" s="630"/>
      <c r="G2425" s="630"/>
      <c r="H2425" s="630"/>
      <c r="I2425" s="66" t="s">
        <v>389</v>
      </c>
    </row>
    <row r="2426" spans="1:9" s="65" customFormat="1">
      <c r="A2426" s="628"/>
      <c r="B2426" s="631"/>
      <c r="C2426" s="632"/>
      <c r="D2426" s="632"/>
      <c r="E2426" s="632"/>
      <c r="F2426" s="632"/>
      <c r="G2426" s="632"/>
      <c r="H2426" s="632"/>
      <c r="I2426" s="67" t="s">
        <v>7</v>
      </c>
    </row>
    <row r="2427" spans="1:9" s="65" customFormat="1">
      <c r="A2427" s="68"/>
      <c r="B2427" s="69" t="s">
        <v>533</v>
      </c>
      <c r="C2427" s="69"/>
      <c r="D2427" s="69"/>
      <c r="E2427" s="69"/>
      <c r="F2427" s="70"/>
      <c r="G2427" s="70"/>
      <c r="H2427" s="70"/>
      <c r="I2427" s="71"/>
    </row>
    <row r="2428" spans="1:9" s="65" customFormat="1">
      <c r="A2428" s="72" t="s">
        <v>390</v>
      </c>
      <c r="B2428" s="73"/>
      <c r="C2428" s="73"/>
      <c r="D2428" s="73"/>
      <c r="E2428" s="73"/>
      <c r="F2428" s="74"/>
      <c r="G2428" s="74"/>
      <c r="H2428" s="70"/>
      <c r="I2428" s="71"/>
    </row>
    <row r="2429" spans="1:9" s="65" customFormat="1">
      <c r="A2429" s="75" t="s">
        <v>391</v>
      </c>
      <c r="B2429" s="76" t="s">
        <v>392</v>
      </c>
      <c r="C2429" s="76" t="s">
        <v>393</v>
      </c>
      <c r="D2429" s="76" t="s">
        <v>394</v>
      </c>
      <c r="E2429" s="76" t="s">
        <v>395</v>
      </c>
      <c r="F2429" s="76" t="s">
        <v>396</v>
      </c>
      <c r="G2429" s="76" t="s">
        <v>397</v>
      </c>
      <c r="H2429" s="74"/>
      <c r="I2429" s="71"/>
    </row>
    <row r="2430" spans="1:9" s="65" customFormat="1">
      <c r="A2430" s="135" t="s">
        <v>404</v>
      </c>
      <c r="B2430" s="78" t="s">
        <v>405</v>
      </c>
      <c r="C2430" s="127" t="s">
        <v>523</v>
      </c>
      <c r="D2430" s="107">
        <v>1250</v>
      </c>
      <c r="E2430" s="79">
        <v>0.2</v>
      </c>
      <c r="F2430" s="79">
        <v>0</v>
      </c>
      <c r="G2430" s="107">
        <f>(D2430*E2430)+((D2430*E2430)*F2430/100)</f>
        <v>250</v>
      </c>
      <c r="H2430" s="74"/>
      <c r="I2430" s="71"/>
    </row>
    <row r="2431" spans="1:9" s="65" customFormat="1">
      <c r="A2431" s="82"/>
      <c r="B2431" s="83"/>
      <c r="C2431" s="84"/>
      <c r="D2431" s="84"/>
      <c r="E2431" s="84"/>
      <c r="F2431"/>
      <c r="G2431" s="93" t="s">
        <v>407</v>
      </c>
      <c r="H2431" s="107">
        <f>SUM(G2430:G2430)</f>
        <v>250</v>
      </c>
      <c r="I2431" s="71"/>
    </row>
    <row r="2432" spans="1:9" s="65" customFormat="1">
      <c r="A2432" s="72" t="s">
        <v>408</v>
      </c>
      <c r="B2432" s="73"/>
      <c r="C2432" s="73"/>
      <c r="D2432" s="73"/>
      <c r="E2432" s="73"/>
      <c r="F2432"/>
      <c r="G2432" s="74"/>
      <c r="H2432" s="108"/>
      <c r="I2432" s="71"/>
    </row>
    <row r="2433" spans="1:9" s="65" customFormat="1">
      <c r="A2433" s="75" t="s">
        <v>391</v>
      </c>
      <c r="B2433" s="76" t="s">
        <v>392</v>
      </c>
      <c r="C2433" s="76" t="s">
        <v>393</v>
      </c>
      <c r="D2433" s="76" t="s">
        <v>394</v>
      </c>
      <c r="E2433" s="76" t="s">
        <v>395</v>
      </c>
      <c r="F2433" s="76" t="s">
        <v>396</v>
      </c>
      <c r="G2433" s="76" t="s">
        <v>397</v>
      </c>
      <c r="H2433" s="108"/>
      <c r="I2433" s="71"/>
    </row>
    <row r="2434" spans="1:9" s="65" customFormat="1">
      <c r="A2434" s="135">
        <v>214</v>
      </c>
      <c r="B2434" s="78" t="s">
        <v>1199</v>
      </c>
      <c r="C2434" s="127" t="s">
        <v>470</v>
      </c>
      <c r="D2434" s="107">
        <v>12</v>
      </c>
      <c r="E2434" s="79">
        <v>3</v>
      </c>
      <c r="F2434" s="79">
        <v>0</v>
      </c>
      <c r="G2434" s="107">
        <f>(D2434*E2434)+((D2434*E2434)*F2434/100)</f>
        <v>36</v>
      </c>
      <c r="H2434" s="108"/>
      <c r="I2434" s="71"/>
    </row>
    <row r="2435" spans="1:9" s="65" customFormat="1">
      <c r="A2435" s="135">
        <v>685</v>
      </c>
      <c r="B2435" s="78" t="s">
        <v>674</v>
      </c>
      <c r="C2435" s="127" t="s">
        <v>423</v>
      </c>
      <c r="D2435" s="107">
        <v>900</v>
      </c>
      <c r="E2435" s="79">
        <v>2</v>
      </c>
      <c r="F2435" s="79">
        <v>0</v>
      </c>
      <c r="G2435" s="107">
        <f>(D2435*E2435)+((D2435*E2435)*F2435/100)</f>
        <v>1800</v>
      </c>
      <c r="H2435" s="108"/>
      <c r="I2435" s="71"/>
    </row>
    <row r="2436" spans="1:9" s="65" customFormat="1" ht="25.5">
      <c r="A2436" s="135">
        <v>1554</v>
      </c>
      <c r="B2436" s="78" t="s">
        <v>681</v>
      </c>
      <c r="C2436" s="127" t="s">
        <v>157</v>
      </c>
      <c r="D2436" s="107">
        <v>125300</v>
      </c>
      <c r="E2436" s="79">
        <v>1</v>
      </c>
      <c r="F2436" s="79">
        <v>0</v>
      </c>
      <c r="G2436" s="107">
        <f>(D2436*E2436)+((D2436*E2436)*F2436/100)</f>
        <v>125300</v>
      </c>
      <c r="H2436" s="108"/>
      <c r="I2436" s="71"/>
    </row>
    <row r="2437" spans="1:9" s="65" customFormat="1">
      <c r="A2437" s="90"/>
      <c r="B2437" s="91"/>
      <c r="C2437" s="91"/>
      <c r="D2437" s="91"/>
      <c r="E2437" s="91"/>
      <c r="F2437"/>
      <c r="G2437" s="85" t="s">
        <v>407</v>
      </c>
      <c r="H2437" s="107">
        <f>SUM(G2434:G2436)</f>
        <v>127136</v>
      </c>
      <c r="I2437" s="71"/>
    </row>
    <row r="2438" spans="1:9" s="65" customFormat="1">
      <c r="A2438" s="72" t="s">
        <v>410</v>
      </c>
      <c r="B2438" s="73"/>
      <c r="C2438" s="73"/>
      <c r="D2438" s="73"/>
      <c r="E2438" s="73"/>
      <c r="F2438"/>
      <c r="G2438" s="74"/>
      <c r="H2438" s="108"/>
      <c r="I2438" s="71"/>
    </row>
    <row r="2439" spans="1:9" s="65" customFormat="1">
      <c r="A2439" s="75" t="s">
        <v>391</v>
      </c>
      <c r="B2439" s="76" t="s">
        <v>392</v>
      </c>
      <c r="C2439" s="76" t="s">
        <v>393</v>
      </c>
      <c r="D2439" s="76" t="s">
        <v>394</v>
      </c>
      <c r="E2439" s="76" t="s">
        <v>395</v>
      </c>
      <c r="F2439" s="76" t="s">
        <v>396</v>
      </c>
      <c r="G2439" s="76" t="s">
        <v>397</v>
      </c>
      <c r="H2439" s="108"/>
      <c r="I2439" s="71"/>
    </row>
    <row r="2440" spans="1:9" s="65" customFormat="1" ht="25.5">
      <c r="A2440" s="125" t="s">
        <v>682</v>
      </c>
      <c r="B2440" s="78" t="s">
        <v>683</v>
      </c>
      <c r="C2440" s="127" t="s">
        <v>426</v>
      </c>
      <c r="D2440" s="107">
        <v>22489</v>
      </c>
      <c r="E2440" s="79">
        <v>0.85</v>
      </c>
      <c r="F2440" s="79">
        <v>0</v>
      </c>
      <c r="G2440" s="107">
        <f>(D2440*E2440)+((D2440*E2440)*F2440/100)</f>
        <v>19115.649999999998</v>
      </c>
      <c r="H2440" s="108"/>
      <c r="I2440" s="71"/>
    </row>
    <row r="2441" spans="1:9" s="65" customFormat="1">
      <c r="A2441" s="90"/>
      <c r="B2441" s="91"/>
      <c r="C2441" s="91"/>
      <c r="D2441" s="91"/>
      <c r="E2441" s="91"/>
      <c r="F2441"/>
      <c r="G2441" s="93" t="s">
        <v>407</v>
      </c>
      <c r="H2441" s="107">
        <f>SUM(G2440:G2440)</f>
        <v>19115.649999999998</v>
      </c>
      <c r="I2441" s="71"/>
    </row>
    <row r="2442" spans="1:9" s="65" customFormat="1">
      <c r="A2442" s="72" t="s">
        <v>411</v>
      </c>
      <c r="B2442" s="73"/>
      <c r="C2442" s="73"/>
      <c r="D2442" s="73"/>
      <c r="E2442" s="73"/>
      <c r="F2442"/>
      <c r="G2442" s="74"/>
      <c r="H2442" s="108"/>
      <c r="I2442" s="71"/>
    </row>
    <row r="2443" spans="1:9" s="65" customFormat="1">
      <c r="A2443" s="75" t="s">
        <v>391</v>
      </c>
      <c r="B2443" s="76" t="s">
        <v>392</v>
      </c>
      <c r="C2443" s="76" t="s">
        <v>393</v>
      </c>
      <c r="D2443" s="76" t="s">
        <v>394</v>
      </c>
      <c r="E2443" s="76" t="s">
        <v>395</v>
      </c>
      <c r="F2443" s="76" t="s">
        <v>396</v>
      </c>
      <c r="G2443" s="76" t="s">
        <v>397</v>
      </c>
      <c r="H2443" s="108"/>
      <c r="I2443" s="71"/>
    </row>
    <row r="2444" spans="1:9" s="65" customFormat="1">
      <c r="A2444" s="87" t="s">
        <v>409</v>
      </c>
      <c r="B2444" s="114" t="s">
        <v>409</v>
      </c>
      <c r="C2444" s="114" t="s">
        <v>409</v>
      </c>
      <c r="D2444" s="114" t="s">
        <v>409</v>
      </c>
      <c r="E2444" s="114" t="s">
        <v>409</v>
      </c>
      <c r="F2444" s="79" t="s">
        <v>409</v>
      </c>
      <c r="G2444" s="89" t="s">
        <v>409</v>
      </c>
      <c r="H2444" s="108"/>
      <c r="I2444" s="71"/>
    </row>
    <row r="2445" spans="1:9" s="65" customFormat="1">
      <c r="A2445" s="94"/>
      <c r="B2445" s="95"/>
      <c r="C2445" s="95"/>
      <c r="D2445" s="95"/>
      <c r="E2445" s="95"/>
      <c r="F2445"/>
      <c r="G2445" s="93" t="s">
        <v>407</v>
      </c>
      <c r="H2445" s="107">
        <f>SUM(G2443:G2444)</f>
        <v>0</v>
      </c>
      <c r="I2445" s="71"/>
    </row>
    <row r="2446" spans="1:9" s="65" customFormat="1">
      <c r="A2446" s="94"/>
      <c r="B2446" s="95"/>
      <c r="C2446" s="95"/>
      <c r="D2446" s="95"/>
      <c r="E2446" s="95"/>
      <c r="F2446"/>
      <c r="G2446" s="74"/>
      <c r="H2446" s="74"/>
      <c r="I2446" s="71"/>
    </row>
    <row r="2447" spans="1:9" s="65" customFormat="1">
      <c r="A2447" s="96"/>
      <c r="B2447" s="97"/>
      <c r="C2447" s="98"/>
      <c r="D2447" s="98"/>
      <c r="E2447" s="98"/>
      <c r="F2447"/>
      <c r="G2447" s="99" t="s">
        <v>412</v>
      </c>
      <c r="H2447" s="115">
        <f>SUM(H2431:H2445)</f>
        <v>146501.65</v>
      </c>
      <c r="I2447" s="71"/>
    </row>
    <row r="2448" spans="1:9" s="65" customFormat="1" ht="71.25" customHeight="1">
      <c r="A2448" s="96"/>
      <c r="B2448" s="97"/>
      <c r="C2448" s="98"/>
      <c r="D2448" s="98"/>
      <c r="E2448" s="98"/>
      <c r="F2448" s="101"/>
      <c r="G2448" s="116"/>
      <c r="H2448" s="70"/>
      <c r="I2448" s="71"/>
    </row>
    <row r="2449" spans="1:9" s="65" customFormat="1" ht="15.75" thickBot="1">
      <c r="A2449" s="624" t="s">
        <v>502</v>
      </c>
      <c r="B2449" s="625"/>
      <c r="C2449" s="625"/>
      <c r="D2449" s="625"/>
      <c r="E2449" s="625"/>
      <c r="F2449" s="625"/>
      <c r="G2449" s="626"/>
      <c r="H2449" s="208">
        <v>146500</v>
      </c>
      <c r="I2449" s="103"/>
    </row>
    <row r="2450" spans="1:9" s="65" customFormat="1">
      <c r="A2450"/>
      <c r="B2450"/>
      <c r="C2450"/>
      <c r="D2450"/>
      <c r="E2450"/>
      <c r="F2450"/>
      <c r="G2450"/>
      <c r="H2450"/>
      <c r="I2450"/>
    </row>
    <row r="2451" spans="1:9" s="65" customFormat="1" ht="15.75" thickBot="1">
      <c r="A2451"/>
      <c r="B2451"/>
      <c r="C2451"/>
      <c r="D2451"/>
      <c r="E2451"/>
      <c r="F2451"/>
      <c r="G2451"/>
      <c r="H2451"/>
      <c r="I2451"/>
    </row>
    <row r="2452" spans="1:9" s="65" customFormat="1">
      <c r="A2452" s="627">
        <v>250610</v>
      </c>
      <c r="B2452" s="629" t="s">
        <v>684</v>
      </c>
      <c r="C2452" s="630"/>
      <c r="D2452" s="630"/>
      <c r="E2452" s="630"/>
      <c r="F2452" s="630"/>
      <c r="G2452" s="630"/>
      <c r="H2452" s="630"/>
      <c r="I2452" s="66" t="s">
        <v>389</v>
      </c>
    </row>
    <row r="2453" spans="1:9" s="65" customFormat="1">
      <c r="A2453" s="628"/>
      <c r="B2453" s="631"/>
      <c r="C2453" s="632"/>
      <c r="D2453" s="632"/>
      <c r="E2453" s="632"/>
      <c r="F2453" s="632"/>
      <c r="G2453" s="632"/>
      <c r="H2453" s="632"/>
      <c r="I2453" s="67" t="s">
        <v>7</v>
      </c>
    </row>
    <row r="2454" spans="1:9" s="65" customFormat="1">
      <c r="A2454" s="68"/>
      <c r="B2454" s="69" t="s">
        <v>533</v>
      </c>
      <c r="C2454" s="69"/>
      <c r="D2454" s="69"/>
      <c r="E2454" s="69"/>
      <c r="F2454" s="70"/>
      <c r="G2454" s="70"/>
      <c r="H2454" s="70"/>
      <c r="I2454" s="71"/>
    </row>
    <row r="2455" spans="1:9" s="65" customFormat="1">
      <c r="A2455" s="72" t="s">
        <v>390</v>
      </c>
      <c r="B2455" s="73"/>
      <c r="C2455" s="73"/>
      <c r="D2455" s="73"/>
      <c r="E2455" s="73"/>
      <c r="F2455" s="74"/>
      <c r="G2455" s="74"/>
      <c r="H2455" s="70"/>
      <c r="I2455" s="71"/>
    </row>
    <row r="2456" spans="1:9" s="65" customFormat="1">
      <c r="A2456" s="75" t="s">
        <v>391</v>
      </c>
      <c r="B2456" s="76" t="s">
        <v>392</v>
      </c>
      <c r="C2456" s="76" t="s">
        <v>393</v>
      </c>
      <c r="D2456" s="76" t="s">
        <v>394</v>
      </c>
      <c r="E2456" s="76" t="s">
        <v>395</v>
      </c>
      <c r="F2456" s="76" t="s">
        <v>396</v>
      </c>
      <c r="G2456" s="76" t="s">
        <v>397</v>
      </c>
      <c r="H2456" s="74"/>
      <c r="I2456" s="71"/>
    </row>
    <row r="2457" spans="1:9" s="65" customFormat="1">
      <c r="A2457" s="135" t="s">
        <v>404</v>
      </c>
      <c r="B2457" s="78" t="s">
        <v>405</v>
      </c>
      <c r="C2457" s="127" t="s">
        <v>523</v>
      </c>
      <c r="D2457" s="107">
        <v>1250</v>
      </c>
      <c r="E2457" s="79">
        <v>0.01</v>
      </c>
      <c r="F2457" s="79">
        <v>0</v>
      </c>
      <c r="G2457" s="107">
        <f>(D2457*E2457)+((D2457*E2457)*F2457/100)</f>
        <v>12.5</v>
      </c>
      <c r="H2457" s="74"/>
      <c r="I2457" s="71"/>
    </row>
    <row r="2458" spans="1:9" s="65" customFormat="1">
      <c r="A2458" s="82"/>
      <c r="B2458" s="83"/>
      <c r="C2458" s="84"/>
      <c r="D2458" s="84"/>
      <c r="E2458" s="84"/>
      <c r="F2458"/>
      <c r="G2458" s="93" t="s">
        <v>407</v>
      </c>
      <c r="H2458" s="107">
        <f>SUM(G2457:G2457)</f>
        <v>12.5</v>
      </c>
      <c r="I2458" s="71"/>
    </row>
    <row r="2459" spans="1:9" s="65" customFormat="1">
      <c r="A2459" s="72" t="s">
        <v>408</v>
      </c>
      <c r="B2459" s="73"/>
      <c r="C2459" s="73"/>
      <c r="D2459" s="73"/>
      <c r="E2459" s="73"/>
      <c r="F2459"/>
      <c r="G2459" s="74"/>
      <c r="H2459" s="108"/>
      <c r="I2459" s="71"/>
    </row>
    <row r="2460" spans="1:9" s="65" customFormat="1">
      <c r="A2460" s="75" t="s">
        <v>391</v>
      </c>
      <c r="B2460" s="76" t="s">
        <v>392</v>
      </c>
      <c r="C2460" s="76" t="s">
        <v>393</v>
      </c>
      <c r="D2460" s="76" t="s">
        <v>394</v>
      </c>
      <c r="E2460" s="76" t="s">
        <v>395</v>
      </c>
      <c r="F2460" s="76" t="s">
        <v>396</v>
      </c>
      <c r="G2460" s="76" t="s">
        <v>397</v>
      </c>
      <c r="H2460" s="108"/>
      <c r="I2460" s="71"/>
    </row>
    <row r="2461" spans="1:9" s="65" customFormat="1">
      <c r="A2461" s="135">
        <v>214</v>
      </c>
      <c r="B2461" s="78" t="s">
        <v>469</v>
      </c>
      <c r="C2461" s="127" t="s">
        <v>470</v>
      </c>
      <c r="D2461" s="107">
        <v>12</v>
      </c>
      <c r="E2461" s="79">
        <v>0.1</v>
      </c>
      <c r="F2461" s="79">
        <v>0</v>
      </c>
      <c r="G2461" s="107">
        <f>(D2461*E2461)+((D2461*E2461)*F2461/100)</f>
        <v>1.2000000000000002</v>
      </c>
      <c r="H2461" s="108"/>
      <c r="I2461" s="71"/>
    </row>
    <row r="2462" spans="1:9" s="65" customFormat="1">
      <c r="A2462" s="135">
        <v>3331</v>
      </c>
      <c r="B2462" s="78" t="s">
        <v>685</v>
      </c>
      <c r="C2462" s="127" t="s">
        <v>423</v>
      </c>
      <c r="D2462" s="107">
        <v>468</v>
      </c>
      <c r="E2462" s="79">
        <v>0.1</v>
      </c>
      <c r="F2462" s="79">
        <v>0</v>
      </c>
      <c r="G2462" s="107">
        <f>(D2462*E2462)+((D2462*E2462)*F2462/100)</f>
        <v>46.800000000000004</v>
      </c>
      <c r="H2462" s="108"/>
      <c r="I2462" s="71"/>
    </row>
    <row r="2463" spans="1:9" s="65" customFormat="1">
      <c r="A2463" s="135">
        <v>5745</v>
      </c>
      <c r="B2463" s="78" t="s">
        <v>686</v>
      </c>
      <c r="C2463" s="127" t="s">
        <v>157</v>
      </c>
      <c r="D2463" s="107">
        <v>10200</v>
      </c>
      <c r="E2463" s="79">
        <v>1</v>
      </c>
      <c r="F2463" s="79">
        <v>0</v>
      </c>
      <c r="G2463" s="107">
        <f>(D2463*E2463)+((D2463*E2463)*F2463/100)</f>
        <v>10200</v>
      </c>
      <c r="H2463" s="108"/>
      <c r="I2463" s="71"/>
    </row>
    <row r="2464" spans="1:9" s="65" customFormat="1">
      <c r="A2464" s="90"/>
      <c r="B2464" s="91"/>
      <c r="C2464" s="91"/>
      <c r="D2464" s="91"/>
      <c r="E2464" s="91"/>
      <c r="F2464"/>
      <c r="G2464" s="85" t="s">
        <v>407</v>
      </c>
      <c r="H2464" s="107">
        <f>SUM(G2461:G2463)</f>
        <v>10248</v>
      </c>
      <c r="I2464" s="71"/>
    </row>
    <row r="2465" spans="1:9" s="65" customFormat="1">
      <c r="A2465" s="72" t="s">
        <v>410</v>
      </c>
      <c r="B2465" s="73"/>
      <c r="C2465" s="73"/>
      <c r="D2465" s="73"/>
      <c r="E2465" s="73"/>
      <c r="F2465"/>
      <c r="G2465" s="74"/>
      <c r="H2465" s="108"/>
      <c r="I2465" s="71"/>
    </row>
    <row r="2466" spans="1:9" s="65" customFormat="1">
      <c r="A2466" s="75" t="s">
        <v>391</v>
      </c>
      <c r="B2466" s="76" t="s">
        <v>392</v>
      </c>
      <c r="C2466" s="76" t="s">
        <v>393</v>
      </c>
      <c r="D2466" s="76" t="s">
        <v>394</v>
      </c>
      <c r="E2466" s="76" t="s">
        <v>395</v>
      </c>
      <c r="F2466" s="76" t="s">
        <v>396</v>
      </c>
      <c r="G2466" s="76" t="s">
        <v>397</v>
      </c>
      <c r="H2466" s="108"/>
      <c r="I2466" s="71"/>
    </row>
    <row r="2467" spans="1:9" s="65" customFormat="1" ht="25.5">
      <c r="A2467" s="125" t="s">
        <v>461</v>
      </c>
      <c r="B2467" s="78" t="s">
        <v>522</v>
      </c>
      <c r="C2467" s="127" t="s">
        <v>426</v>
      </c>
      <c r="D2467" s="107">
        <v>14990</v>
      </c>
      <c r="E2467" s="79">
        <v>0.25</v>
      </c>
      <c r="F2467" s="79">
        <v>0</v>
      </c>
      <c r="G2467" s="107">
        <f>(D2467*E2467)+((D2467*E2467)*F2467/100)</f>
        <v>3747.5</v>
      </c>
      <c r="H2467" s="108"/>
      <c r="I2467" s="71"/>
    </row>
    <row r="2468" spans="1:9" s="65" customFormat="1">
      <c r="A2468" s="90"/>
      <c r="B2468" s="91"/>
      <c r="C2468" s="91"/>
      <c r="D2468" s="91"/>
      <c r="E2468" s="91"/>
      <c r="F2468"/>
      <c r="G2468" s="93" t="s">
        <v>407</v>
      </c>
      <c r="H2468" s="107">
        <f>SUM(G2467:G2467)</f>
        <v>3747.5</v>
      </c>
      <c r="I2468" s="71"/>
    </row>
    <row r="2469" spans="1:9" s="65" customFormat="1">
      <c r="A2469" s="72" t="s">
        <v>411</v>
      </c>
      <c r="B2469" s="73"/>
      <c r="C2469" s="73"/>
      <c r="D2469" s="73"/>
      <c r="E2469" s="73"/>
      <c r="F2469"/>
      <c r="G2469" s="74"/>
      <c r="H2469" s="108"/>
      <c r="I2469" s="71"/>
    </row>
    <row r="2470" spans="1:9" s="65" customFormat="1">
      <c r="A2470" s="75" t="s">
        <v>391</v>
      </c>
      <c r="B2470" s="76" t="s">
        <v>392</v>
      </c>
      <c r="C2470" s="76" t="s">
        <v>393</v>
      </c>
      <c r="D2470" s="76" t="s">
        <v>394</v>
      </c>
      <c r="E2470" s="76" t="s">
        <v>395</v>
      </c>
      <c r="F2470" s="76" t="s">
        <v>396</v>
      </c>
      <c r="G2470" s="76" t="s">
        <v>397</v>
      </c>
      <c r="H2470" s="108"/>
      <c r="I2470" s="71"/>
    </row>
    <row r="2471" spans="1:9" s="65" customFormat="1">
      <c r="A2471" s="87" t="s">
        <v>409</v>
      </c>
      <c r="B2471" s="114" t="s">
        <v>409</v>
      </c>
      <c r="C2471" s="114" t="s">
        <v>409</v>
      </c>
      <c r="D2471" s="114" t="s">
        <v>409</v>
      </c>
      <c r="E2471" s="114" t="s">
        <v>409</v>
      </c>
      <c r="F2471" s="79" t="s">
        <v>409</v>
      </c>
      <c r="G2471" s="89" t="s">
        <v>409</v>
      </c>
      <c r="H2471" s="108"/>
      <c r="I2471" s="71"/>
    </row>
    <row r="2472" spans="1:9" s="65" customFormat="1">
      <c r="A2472" s="94"/>
      <c r="B2472" s="95"/>
      <c r="C2472" s="95"/>
      <c r="D2472" s="95"/>
      <c r="E2472" s="95"/>
      <c r="F2472"/>
      <c r="G2472" s="93" t="s">
        <v>407</v>
      </c>
      <c r="H2472" s="107">
        <f>SUM(G2470:G2471)</f>
        <v>0</v>
      </c>
      <c r="I2472" s="71"/>
    </row>
    <row r="2473" spans="1:9" s="65" customFormat="1">
      <c r="A2473" s="94"/>
      <c r="B2473" s="95"/>
      <c r="C2473" s="95"/>
      <c r="D2473" s="95"/>
      <c r="E2473" s="95"/>
      <c r="F2473"/>
      <c r="G2473" s="74"/>
      <c r="H2473" s="74"/>
      <c r="I2473" s="71"/>
    </row>
    <row r="2474" spans="1:9" s="65" customFormat="1">
      <c r="A2474" s="96"/>
      <c r="B2474" s="97"/>
      <c r="C2474" s="98"/>
      <c r="D2474" s="98"/>
      <c r="E2474" s="98"/>
      <c r="F2474"/>
      <c r="G2474" s="99" t="s">
        <v>412</v>
      </c>
      <c r="H2474" s="115">
        <f>SUM(H2458:H2472)</f>
        <v>14008</v>
      </c>
      <c r="I2474" s="71"/>
    </row>
    <row r="2475" spans="1:9" s="65" customFormat="1">
      <c r="A2475" s="96"/>
      <c r="B2475" s="97"/>
      <c r="C2475" s="98"/>
      <c r="D2475" s="98"/>
      <c r="E2475" s="98"/>
      <c r="F2475" s="101"/>
      <c r="G2475" s="116"/>
      <c r="H2475" s="70"/>
      <c r="I2475" s="71"/>
    </row>
    <row r="2476" spans="1:9" s="65" customFormat="1" ht="15.75" thickBot="1">
      <c r="A2476" s="624" t="s">
        <v>502</v>
      </c>
      <c r="B2476" s="625"/>
      <c r="C2476" s="625"/>
      <c r="D2476" s="625"/>
      <c r="E2476" s="625"/>
      <c r="F2476" s="625"/>
      <c r="G2476" s="626"/>
      <c r="H2476" s="208">
        <v>14010</v>
      </c>
      <c r="I2476" s="103"/>
    </row>
    <row r="2477" spans="1:9" s="65" customFormat="1">
      <c r="A2477" s="123"/>
      <c r="B2477" s="95"/>
      <c r="C2477" s="95"/>
      <c r="D2477" s="95"/>
      <c r="E2477" s="95"/>
      <c r="G2477" s="121"/>
      <c r="H2477" s="133"/>
    </row>
    <row r="2478" spans="1:9" s="65" customFormat="1" ht="15.75" thickBot="1">
      <c r="B2478" s="97"/>
      <c r="C2478" s="98"/>
      <c r="D2478" s="98"/>
      <c r="E2478" s="98"/>
      <c r="G2478" s="128"/>
    </row>
    <row r="2479" spans="1:9" s="65" customFormat="1">
      <c r="A2479" s="627">
        <v>250445</v>
      </c>
      <c r="B2479" s="629" t="s">
        <v>1200</v>
      </c>
      <c r="C2479" s="630"/>
      <c r="D2479" s="630"/>
      <c r="E2479" s="630"/>
      <c r="F2479" s="630"/>
      <c r="G2479" s="630"/>
      <c r="H2479" s="630"/>
      <c r="I2479" s="66" t="s">
        <v>389</v>
      </c>
    </row>
    <row r="2480" spans="1:9" s="65" customFormat="1">
      <c r="A2480" s="628"/>
      <c r="B2480" s="631"/>
      <c r="C2480" s="632"/>
      <c r="D2480" s="632"/>
      <c r="E2480" s="632"/>
      <c r="F2480" s="632"/>
      <c r="G2480" s="632"/>
      <c r="H2480" s="632"/>
      <c r="I2480" s="67" t="s">
        <v>7</v>
      </c>
    </row>
    <row r="2481" spans="1:9" s="65" customFormat="1">
      <c r="A2481" s="68"/>
      <c r="B2481" s="69" t="s">
        <v>533</v>
      </c>
      <c r="C2481" s="69"/>
      <c r="D2481" s="69"/>
      <c r="E2481" s="69"/>
      <c r="F2481" s="70"/>
      <c r="G2481" s="70"/>
      <c r="H2481" s="70"/>
      <c r="I2481" s="71"/>
    </row>
    <row r="2482" spans="1:9" s="65" customFormat="1">
      <c r="A2482" s="72" t="s">
        <v>390</v>
      </c>
      <c r="B2482" s="73"/>
      <c r="C2482" s="73"/>
      <c r="D2482" s="73"/>
      <c r="E2482" s="73"/>
      <c r="F2482" s="74"/>
      <c r="G2482" s="74"/>
      <c r="H2482" s="70"/>
      <c r="I2482" s="71"/>
    </row>
    <row r="2483" spans="1:9" s="65" customFormat="1">
      <c r="A2483" s="75" t="s">
        <v>391</v>
      </c>
      <c r="B2483" s="76" t="s">
        <v>392</v>
      </c>
      <c r="C2483" s="76" t="s">
        <v>393</v>
      </c>
      <c r="D2483" s="76" t="s">
        <v>394</v>
      </c>
      <c r="E2483" s="76" t="s">
        <v>395</v>
      </c>
      <c r="F2483" s="76" t="s">
        <v>396</v>
      </c>
      <c r="G2483" s="76" t="s">
        <v>397</v>
      </c>
      <c r="H2483" s="74"/>
      <c r="I2483" s="71"/>
    </row>
    <row r="2484" spans="1:9" s="65" customFormat="1">
      <c r="A2484" s="135" t="s">
        <v>404</v>
      </c>
      <c r="B2484" s="78" t="s">
        <v>405</v>
      </c>
      <c r="C2484" s="127" t="s">
        <v>523</v>
      </c>
      <c r="D2484" s="107">
        <v>1250</v>
      </c>
      <c r="E2484" s="79">
        <v>0.1</v>
      </c>
      <c r="F2484" s="79">
        <v>0</v>
      </c>
      <c r="G2484" s="107">
        <f>(D2484*E2484)+((D2484*E2484)*F2484/100)</f>
        <v>125</v>
      </c>
      <c r="H2484" s="74"/>
      <c r="I2484" s="71"/>
    </row>
    <row r="2485" spans="1:9" s="65" customFormat="1">
      <c r="A2485" s="82"/>
      <c r="B2485" s="83"/>
      <c r="C2485" s="84"/>
      <c r="D2485" s="84"/>
      <c r="E2485" s="84"/>
      <c r="F2485"/>
      <c r="G2485" s="93" t="s">
        <v>407</v>
      </c>
      <c r="H2485" s="107">
        <f>SUM(G2484:G2484)</f>
        <v>125</v>
      </c>
      <c r="I2485" s="71"/>
    </row>
    <row r="2486" spans="1:9" s="65" customFormat="1">
      <c r="A2486" s="72" t="s">
        <v>408</v>
      </c>
      <c r="B2486" s="73"/>
      <c r="C2486" s="73"/>
      <c r="D2486" s="73"/>
      <c r="E2486" s="73"/>
      <c r="F2486"/>
      <c r="G2486" s="74"/>
      <c r="H2486" s="108"/>
      <c r="I2486" s="71"/>
    </row>
    <row r="2487" spans="1:9" s="65" customFormat="1">
      <c r="A2487" s="75" t="s">
        <v>391</v>
      </c>
      <c r="B2487" s="76" t="s">
        <v>392</v>
      </c>
      <c r="C2487" s="76" t="s">
        <v>393</v>
      </c>
      <c r="D2487" s="76" t="s">
        <v>394</v>
      </c>
      <c r="E2487" s="76" t="s">
        <v>395</v>
      </c>
      <c r="F2487" s="76" t="s">
        <v>396</v>
      </c>
      <c r="G2487" s="76" t="s">
        <v>397</v>
      </c>
      <c r="H2487" s="108"/>
      <c r="I2487" s="71"/>
    </row>
    <row r="2488" spans="1:9" s="65" customFormat="1">
      <c r="A2488" s="135">
        <v>214</v>
      </c>
      <c r="B2488" s="78" t="s">
        <v>555</v>
      </c>
      <c r="C2488" s="127" t="s">
        <v>470</v>
      </c>
      <c r="D2488" s="107">
        <v>12</v>
      </c>
      <c r="E2488" s="79">
        <v>0.5</v>
      </c>
      <c r="F2488" s="79">
        <v>0</v>
      </c>
      <c r="G2488" s="107">
        <f>(D2488*E2488)+((D2488*E2488)*F2488/100)</f>
        <v>6</v>
      </c>
      <c r="H2488" s="108"/>
      <c r="I2488" s="71"/>
    </row>
    <row r="2489" spans="1:9" s="65" customFormat="1">
      <c r="A2489" s="135">
        <v>685</v>
      </c>
      <c r="B2489" s="78" t="s">
        <v>674</v>
      </c>
      <c r="C2489" s="127" t="s">
        <v>423</v>
      </c>
      <c r="D2489" s="107">
        <v>900</v>
      </c>
      <c r="E2489" s="79">
        <v>0.5</v>
      </c>
      <c r="F2489" s="79">
        <v>0</v>
      </c>
      <c r="G2489" s="107">
        <f>(D2489*E2489)+((D2489*E2489)*F2489/100)</f>
        <v>450</v>
      </c>
      <c r="H2489" s="108"/>
      <c r="I2489" s="71"/>
    </row>
    <row r="2490" spans="1:9" s="65" customFormat="1">
      <c r="A2490" s="135">
        <v>1554</v>
      </c>
      <c r="B2490" s="78" t="s">
        <v>1201</v>
      </c>
      <c r="C2490" s="127" t="s">
        <v>157</v>
      </c>
      <c r="D2490" s="107">
        <v>242000</v>
      </c>
      <c r="E2490" s="79">
        <v>1</v>
      </c>
      <c r="F2490" s="79">
        <v>0</v>
      </c>
      <c r="G2490" s="107">
        <f>(D2490*E2490)+((D2490*E2490)*F2490/100)</f>
        <v>242000</v>
      </c>
      <c r="H2490" s="108"/>
      <c r="I2490" s="71"/>
    </row>
    <row r="2491" spans="1:9" s="65" customFormat="1">
      <c r="A2491" s="90"/>
      <c r="B2491" s="91"/>
      <c r="C2491" s="91"/>
      <c r="D2491" s="91"/>
      <c r="E2491" s="91"/>
      <c r="F2491"/>
      <c r="G2491" s="85" t="s">
        <v>407</v>
      </c>
      <c r="H2491" s="107">
        <f>SUM(G2488:G2490)</f>
        <v>242456</v>
      </c>
      <c r="I2491" s="71"/>
    </row>
    <row r="2492" spans="1:9" s="65" customFormat="1">
      <c r="A2492" s="72" t="s">
        <v>410</v>
      </c>
      <c r="B2492" s="73"/>
      <c r="C2492" s="73"/>
      <c r="D2492" s="73"/>
      <c r="E2492" s="73"/>
      <c r="F2492"/>
      <c r="G2492" s="74"/>
      <c r="H2492" s="108"/>
      <c r="I2492" s="71"/>
    </row>
    <row r="2493" spans="1:9" s="65" customFormat="1">
      <c r="A2493" s="75" t="s">
        <v>391</v>
      </c>
      <c r="B2493" s="76" t="s">
        <v>392</v>
      </c>
      <c r="C2493" s="76" t="s">
        <v>393</v>
      </c>
      <c r="D2493" s="76" t="s">
        <v>394</v>
      </c>
      <c r="E2493" s="76" t="s">
        <v>395</v>
      </c>
      <c r="F2493" s="76" t="s">
        <v>396</v>
      </c>
      <c r="G2493" s="76" t="s">
        <v>397</v>
      </c>
      <c r="H2493" s="108"/>
      <c r="I2493" s="71"/>
    </row>
    <row r="2494" spans="1:9" s="65" customFormat="1" ht="25.5">
      <c r="A2494" s="125" t="s">
        <v>600</v>
      </c>
      <c r="B2494" s="78" t="s">
        <v>625</v>
      </c>
      <c r="C2494" s="127" t="s">
        <v>426</v>
      </c>
      <c r="D2494" s="107">
        <v>16863</v>
      </c>
      <c r="E2494" s="79">
        <v>1.25</v>
      </c>
      <c r="F2494" s="79">
        <v>0</v>
      </c>
      <c r="G2494" s="107">
        <f>(D2494*E2494)+((D2494*E2494)*F2494/100)</f>
        <v>21078.75</v>
      </c>
      <c r="H2494" s="108"/>
      <c r="I2494" s="71"/>
    </row>
    <row r="2495" spans="1:9" s="65" customFormat="1">
      <c r="A2495" s="90"/>
      <c r="B2495" s="91"/>
      <c r="C2495" s="91"/>
      <c r="D2495" s="91"/>
      <c r="E2495" s="91"/>
      <c r="F2495"/>
      <c r="G2495" s="93" t="s">
        <v>407</v>
      </c>
      <c r="H2495" s="107">
        <f>SUM(G2494:G2494)</f>
        <v>21078.75</v>
      </c>
      <c r="I2495" s="71"/>
    </row>
    <row r="2496" spans="1:9" s="65" customFormat="1">
      <c r="A2496" s="72" t="s">
        <v>411</v>
      </c>
      <c r="B2496" s="73"/>
      <c r="C2496" s="73"/>
      <c r="D2496" s="73"/>
      <c r="E2496" s="73"/>
      <c r="F2496"/>
      <c r="G2496" s="74"/>
      <c r="H2496" s="108"/>
      <c r="I2496" s="71"/>
    </row>
    <row r="2497" spans="1:9" s="65" customFormat="1">
      <c r="A2497" s="75" t="s">
        <v>391</v>
      </c>
      <c r="B2497" s="76" t="s">
        <v>392</v>
      </c>
      <c r="C2497" s="76" t="s">
        <v>393</v>
      </c>
      <c r="D2497" s="76" t="s">
        <v>394</v>
      </c>
      <c r="E2497" s="76" t="s">
        <v>395</v>
      </c>
      <c r="F2497" s="76" t="s">
        <v>396</v>
      </c>
      <c r="G2497" s="76" t="s">
        <v>397</v>
      </c>
      <c r="H2497" s="108"/>
      <c r="I2497" s="71"/>
    </row>
    <row r="2498" spans="1:9" s="65" customFormat="1">
      <c r="A2498" s="87" t="s">
        <v>409</v>
      </c>
      <c r="B2498" s="114" t="s">
        <v>409</v>
      </c>
      <c r="C2498" s="114" t="s">
        <v>409</v>
      </c>
      <c r="D2498" s="114" t="s">
        <v>409</v>
      </c>
      <c r="E2498" s="114" t="s">
        <v>409</v>
      </c>
      <c r="F2498" s="79" t="s">
        <v>409</v>
      </c>
      <c r="G2498" s="89" t="s">
        <v>409</v>
      </c>
      <c r="H2498" s="108"/>
      <c r="I2498" s="71"/>
    </row>
    <row r="2499" spans="1:9" s="65" customFormat="1">
      <c r="A2499" s="94"/>
      <c r="B2499" s="95"/>
      <c r="C2499" s="95"/>
      <c r="D2499" s="95"/>
      <c r="E2499" s="95"/>
      <c r="F2499"/>
      <c r="G2499" s="93" t="s">
        <v>407</v>
      </c>
      <c r="H2499" s="107">
        <f>SUM(G2497:G2498)</f>
        <v>0</v>
      </c>
      <c r="I2499" s="71"/>
    </row>
    <row r="2500" spans="1:9" s="65" customFormat="1">
      <c r="A2500" s="94"/>
      <c r="B2500" s="95"/>
      <c r="C2500" s="95"/>
      <c r="D2500" s="95"/>
      <c r="E2500" s="95"/>
      <c r="F2500"/>
      <c r="G2500" s="74"/>
      <c r="H2500" s="74"/>
      <c r="I2500" s="71"/>
    </row>
    <row r="2501" spans="1:9" s="65" customFormat="1">
      <c r="A2501" s="96"/>
      <c r="B2501" s="97"/>
      <c r="C2501" s="98"/>
      <c r="D2501" s="98"/>
      <c r="E2501" s="98"/>
      <c r="F2501"/>
      <c r="G2501" s="99" t="s">
        <v>412</v>
      </c>
      <c r="H2501" s="115">
        <f>SUM(H2485:H2499)</f>
        <v>263659.75</v>
      </c>
      <c r="I2501" s="71"/>
    </row>
    <row r="2502" spans="1:9" s="65" customFormat="1">
      <c r="A2502" s="96"/>
      <c r="B2502" s="97"/>
      <c r="C2502" s="98"/>
      <c r="D2502" s="98"/>
      <c r="E2502" s="98"/>
      <c r="F2502" s="101"/>
      <c r="G2502" s="116"/>
      <c r="H2502" s="70"/>
      <c r="I2502" s="71"/>
    </row>
    <row r="2503" spans="1:9" s="65" customFormat="1" ht="15.75" thickBot="1">
      <c r="A2503" s="624" t="s">
        <v>502</v>
      </c>
      <c r="B2503" s="625"/>
      <c r="C2503" s="625"/>
      <c r="D2503" s="625"/>
      <c r="E2503" s="625"/>
      <c r="F2503" s="625"/>
      <c r="G2503" s="626"/>
      <c r="H2503" s="208">
        <f>+ROUND(H2501,0)</f>
        <v>263660</v>
      </c>
      <c r="I2503" s="103"/>
    </row>
    <row r="2504" spans="1:9" s="65" customFormat="1">
      <c r="B2504" s="97"/>
      <c r="C2504" s="98"/>
      <c r="D2504" s="98"/>
      <c r="E2504" s="98"/>
      <c r="G2504" s="128"/>
    </row>
    <row r="2505" spans="1:9" s="65" customFormat="1" ht="15.75" thickBot="1">
      <c r="B2505" s="97"/>
      <c r="C2505" s="98"/>
      <c r="D2505" s="98"/>
      <c r="E2505" s="98"/>
      <c r="F2505" s="128"/>
      <c r="G2505" s="133"/>
      <c r="H2505" s="134"/>
    </row>
    <row r="2506" spans="1:9" s="65" customFormat="1">
      <c r="A2506" s="627">
        <v>250445</v>
      </c>
      <c r="B2506" s="629" t="s">
        <v>729</v>
      </c>
      <c r="C2506" s="630"/>
      <c r="D2506" s="630"/>
      <c r="E2506" s="630"/>
      <c r="F2506" s="630"/>
      <c r="G2506" s="630"/>
      <c r="H2506" s="630"/>
      <c r="I2506" s="66" t="s">
        <v>389</v>
      </c>
    </row>
    <row r="2507" spans="1:9" s="65" customFormat="1">
      <c r="A2507" s="628"/>
      <c r="B2507" s="631"/>
      <c r="C2507" s="632"/>
      <c r="D2507" s="632"/>
      <c r="E2507" s="632"/>
      <c r="F2507" s="632"/>
      <c r="G2507" s="632"/>
      <c r="H2507" s="632"/>
      <c r="I2507" s="67" t="s">
        <v>7</v>
      </c>
    </row>
    <row r="2508" spans="1:9" s="65" customFormat="1">
      <c r="A2508" s="68"/>
      <c r="B2508" s="69" t="s">
        <v>533</v>
      </c>
      <c r="C2508" s="69"/>
      <c r="D2508" s="69"/>
      <c r="E2508" s="69"/>
      <c r="F2508" s="70"/>
      <c r="G2508" s="70"/>
      <c r="H2508" s="70"/>
      <c r="I2508" s="71"/>
    </row>
    <row r="2509" spans="1:9" s="65" customFormat="1">
      <c r="A2509" s="72" t="s">
        <v>390</v>
      </c>
      <c r="B2509" s="73"/>
      <c r="C2509" s="73"/>
      <c r="D2509" s="73"/>
      <c r="E2509" s="73"/>
      <c r="F2509" s="74"/>
      <c r="G2509" s="74"/>
      <c r="H2509" s="70"/>
      <c r="I2509" s="71"/>
    </row>
    <row r="2510" spans="1:9" s="65" customFormat="1">
      <c r="A2510" s="75" t="s">
        <v>391</v>
      </c>
      <c r="B2510" s="76" t="s">
        <v>392</v>
      </c>
      <c r="C2510" s="76" t="s">
        <v>393</v>
      </c>
      <c r="D2510" s="76" t="s">
        <v>394</v>
      </c>
      <c r="E2510" s="76" t="s">
        <v>395</v>
      </c>
      <c r="F2510" s="76" t="s">
        <v>396</v>
      </c>
      <c r="G2510" s="76" t="s">
        <v>397</v>
      </c>
      <c r="H2510" s="74"/>
      <c r="I2510" s="71"/>
    </row>
    <row r="2511" spans="1:9" s="65" customFormat="1">
      <c r="A2511" s="135" t="s">
        <v>404</v>
      </c>
      <c r="B2511" s="78" t="s">
        <v>405</v>
      </c>
      <c r="C2511" s="127" t="s">
        <v>523</v>
      </c>
      <c r="D2511" s="107">
        <v>1250</v>
      </c>
      <c r="E2511" s="79">
        <v>0.1</v>
      </c>
      <c r="F2511" s="79">
        <v>0</v>
      </c>
      <c r="G2511" s="107">
        <f>(D2511*E2511)+((D2511*E2511)*F2511/100)</f>
        <v>125</v>
      </c>
      <c r="H2511" s="74"/>
      <c r="I2511" s="71"/>
    </row>
    <row r="2512" spans="1:9" s="65" customFormat="1">
      <c r="A2512" s="82"/>
      <c r="B2512" s="83"/>
      <c r="C2512" s="84"/>
      <c r="D2512" s="84"/>
      <c r="E2512" s="84"/>
      <c r="F2512"/>
      <c r="G2512" s="93" t="s">
        <v>407</v>
      </c>
      <c r="H2512" s="107">
        <f>SUM(G2511:G2511)</f>
        <v>125</v>
      </c>
      <c r="I2512" s="71"/>
    </row>
    <row r="2513" spans="1:9" s="65" customFormat="1">
      <c r="A2513" s="72" t="s">
        <v>408</v>
      </c>
      <c r="B2513" s="73"/>
      <c r="C2513" s="73"/>
      <c r="D2513" s="73"/>
      <c r="E2513" s="73"/>
      <c r="F2513"/>
      <c r="G2513" s="74"/>
      <c r="H2513" s="108"/>
      <c r="I2513" s="71"/>
    </row>
    <row r="2514" spans="1:9" s="65" customFormat="1">
      <c r="A2514" s="75" t="s">
        <v>391</v>
      </c>
      <c r="B2514" s="76" t="s">
        <v>392</v>
      </c>
      <c r="C2514" s="76" t="s">
        <v>393</v>
      </c>
      <c r="D2514" s="76" t="s">
        <v>394</v>
      </c>
      <c r="E2514" s="76" t="s">
        <v>395</v>
      </c>
      <c r="F2514" s="76" t="s">
        <v>396</v>
      </c>
      <c r="G2514" s="76" t="s">
        <v>397</v>
      </c>
      <c r="H2514" s="108"/>
      <c r="I2514" s="71"/>
    </row>
    <row r="2515" spans="1:9" s="65" customFormat="1">
      <c r="A2515" s="135">
        <v>214</v>
      </c>
      <c r="B2515" s="78" t="s">
        <v>555</v>
      </c>
      <c r="C2515" s="127" t="s">
        <v>470</v>
      </c>
      <c r="D2515" s="107">
        <v>12</v>
      </c>
      <c r="E2515" s="79">
        <v>0.5</v>
      </c>
      <c r="F2515" s="79">
        <v>0</v>
      </c>
      <c r="G2515" s="107">
        <f>(D2515*E2515)+((D2515*E2515)*F2515/100)</f>
        <v>6</v>
      </c>
      <c r="H2515" s="108"/>
      <c r="I2515" s="71"/>
    </row>
    <row r="2516" spans="1:9" s="65" customFormat="1">
      <c r="A2516" s="135">
        <v>685</v>
      </c>
      <c r="B2516" s="78" t="s">
        <v>674</v>
      </c>
      <c r="C2516" s="127" t="s">
        <v>423</v>
      </c>
      <c r="D2516" s="107">
        <v>900</v>
      </c>
      <c r="E2516" s="79">
        <v>0.5</v>
      </c>
      <c r="F2516" s="79">
        <v>0</v>
      </c>
      <c r="G2516" s="107">
        <f>(D2516*E2516)+((D2516*E2516)*F2516/100)</f>
        <v>450</v>
      </c>
      <c r="H2516" s="108"/>
      <c r="I2516" s="71"/>
    </row>
    <row r="2517" spans="1:9" s="65" customFormat="1">
      <c r="A2517" s="135">
        <v>1554</v>
      </c>
      <c r="B2517" s="78" t="s">
        <v>35</v>
      </c>
      <c r="C2517" s="127" t="s">
        <v>157</v>
      </c>
      <c r="D2517" s="107">
        <v>350000</v>
      </c>
      <c r="E2517" s="79">
        <v>1</v>
      </c>
      <c r="F2517" s="79">
        <v>0</v>
      </c>
      <c r="G2517" s="107">
        <f>(D2517*E2517)+((D2517*E2517)*F2517/100)</f>
        <v>350000</v>
      </c>
      <c r="H2517" s="108"/>
      <c r="I2517" s="71"/>
    </row>
    <row r="2518" spans="1:9" s="65" customFormat="1">
      <c r="A2518" s="90"/>
      <c r="B2518" s="91"/>
      <c r="C2518" s="91"/>
      <c r="D2518" s="91"/>
      <c r="E2518" s="91"/>
      <c r="F2518"/>
      <c r="G2518" s="85" t="s">
        <v>407</v>
      </c>
      <c r="H2518" s="107">
        <f>SUM(G2515:G2517)</f>
        <v>350456</v>
      </c>
      <c r="I2518" s="71"/>
    </row>
    <row r="2519" spans="1:9" s="65" customFormat="1">
      <c r="A2519" s="72" t="s">
        <v>410</v>
      </c>
      <c r="B2519" s="73"/>
      <c r="C2519" s="73"/>
      <c r="D2519" s="73"/>
      <c r="E2519" s="73"/>
      <c r="F2519"/>
      <c r="G2519" s="74"/>
      <c r="H2519" s="108"/>
      <c r="I2519" s="71"/>
    </row>
    <row r="2520" spans="1:9" s="65" customFormat="1">
      <c r="A2520" s="75" t="s">
        <v>391</v>
      </c>
      <c r="B2520" s="76" t="s">
        <v>392</v>
      </c>
      <c r="C2520" s="76" t="s">
        <v>393</v>
      </c>
      <c r="D2520" s="76" t="s">
        <v>394</v>
      </c>
      <c r="E2520" s="76" t="s">
        <v>395</v>
      </c>
      <c r="F2520" s="76" t="s">
        <v>396</v>
      </c>
      <c r="G2520" s="76" t="s">
        <v>397</v>
      </c>
      <c r="H2520" s="108"/>
      <c r="I2520" s="71"/>
    </row>
    <row r="2521" spans="1:9" s="65" customFormat="1" ht="25.5">
      <c r="A2521" s="125" t="s">
        <v>600</v>
      </c>
      <c r="B2521" s="78" t="s">
        <v>625</v>
      </c>
      <c r="C2521" s="127" t="s">
        <v>426</v>
      </c>
      <c r="D2521" s="107">
        <v>16863</v>
      </c>
      <c r="E2521" s="79">
        <v>1.25</v>
      </c>
      <c r="F2521" s="79">
        <v>0</v>
      </c>
      <c r="G2521" s="107">
        <f>(D2521*E2521)+((D2521*E2521)*F2521/100)</f>
        <v>21078.75</v>
      </c>
      <c r="H2521" s="108"/>
      <c r="I2521" s="71"/>
    </row>
    <row r="2522" spans="1:9" s="65" customFormat="1">
      <c r="A2522" s="90"/>
      <c r="B2522" s="91"/>
      <c r="C2522" s="91"/>
      <c r="D2522" s="91"/>
      <c r="E2522" s="91"/>
      <c r="F2522"/>
      <c r="G2522" s="93" t="s">
        <v>407</v>
      </c>
      <c r="H2522" s="107">
        <f>SUM(G2521:G2521)</f>
        <v>21078.75</v>
      </c>
      <c r="I2522" s="71"/>
    </row>
    <row r="2523" spans="1:9" s="65" customFormat="1">
      <c r="A2523" s="72" t="s">
        <v>411</v>
      </c>
      <c r="B2523" s="73"/>
      <c r="C2523" s="73"/>
      <c r="D2523" s="73"/>
      <c r="E2523" s="73"/>
      <c r="F2523"/>
      <c r="G2523" s="74"/>
      <c r="H2523" s="108"/>
      <c r="I2523" s="71"/>
    </row>
    <row r="2524" spans="1:9" s="65" customFormat="1">
      <c r="A2524" s="75" t="s">
        <v>391</v>
      </c>
      <c r="B2524" s="76" t="s">
        <v>392</v>
      </c>
      <c r="C2524" s="76" t="s">
        <v>393</v>
      </c>
      <c r="D2524" s="76" t="s">
        <v>394</v>
      </c>
      <c r="E2524" s="76" t="s">
        <v>395</v>
      </c>
      <c r="F2524" s="76" t="s">
        <v>396</v>
      </c>
      <c r="G2524" s="76" t="s">
        <v>397</v>
      </c>
      <c r="H2524" s="108"/>
      <c r="I2524" s="71"/>
    </row>
    <row r="2525" spans="1:9" s="65" customFormat="1">
      <c r="A2525" s="87" t="s">
        <v>409</v>
      </c>
      <c r="B2525" s="114" t="s">
        <v>409</v>
      </c>
      <c r="C2525" s="114" t="s">
        <v>409</v>
      </c>
      <c r="D2525" s="114" t="s">
        <v>409</v>
      </c>
      <c r="E2525" s="114" t="s">
        <v>409</v>
      </c>
      <c r="F2525" s="79" t="s">
        <v>409</v>
      </c>
      <c r="G2525" s="89" t="s">
        <v>409</v>
      </c>
      <c r="H2525" s="108"/>
      <c r="I2525" s="71"/>
    </row>
    <row r="2526" spans="1:9" s="65" customFormat="1">
      <c r="A2526" s="94"/>
      <c r="B2526" s="95"/>
      <c r="C2526" s="95"/>
      <c r="D2526" s="95"/>
      <c r="E2526" s="95"/>
      <c r="F2526"/>
      <c r="G2526" s="93" t="s">
        <v>407</v>
      </c>
      <c r="H2526" s="107">
        <f>SUM(G2524:G2525)</f>
        <v>0</v>
      </c>
      <c r="I2526" s="71"/>
    </row>
    <row r="2527" spans="1:9" s="65" customFormat="1">
      <c r="A2527" s="94"/>
      <c r="B2527" s="95"/>
      <c r="C2527" s="95"/>
      <c r="D2527" s="95"/>
      <c r="E2527" s="95"/>
      <c r="F2527"/>
      <c r="G2527" s="74"/>
      <c r="H2527" s="74"/>
      <c r="I2527" s="71"/>
    </row>
    <row r="2528" spans="1:9" s="65" customFormat="1">
      <c r="A2528" s="96"/>
      <c r="B2528" s="97"/>
      <c r="C2528" s="98"/>
      <c r="D2528" s="98"/>
      <c r="E2528" s="98"/>
      <c r="F2528"/>
      <c r="G2528" s="99" t="s">
        <v>412</v>
      </c>
      <c r="H2528" s="115">
        <f>SUM(H2512:H2526)</f>
        <v>371659.75</v>
      </c>
      <c r="I2528" s="71"/>
    </row>
    <row r="2529" spans="1:9" s="65" customFormat="1">
      <c r="A2529" s="96"/>
      <c r="B2529" s="97"/>
      <c r="C2529" s="98"/>
      <c r="D2529" s="98"/>
      <c r="E2529" s="98"/>
      <c r="F2529" s="101"/>
      <c r="G2529" s="116"/>
      <c r="H2529" s="70"/>
      <c r="I2529" s="71"/>
    </row>
    <row r="2530" spans="1:9" s="65" customFormat="1" ht="15.75" thickBot="1">
      <c r="A2530" s="624" t="s">
        <v>502</v>
      </c>
      <c r="B2530" s="625"/>
      <c r="C2530" s="625"/>
      <c r="D2530" s="625"/>
      <c r="E2530" s="625"/>
      <c r="F2530" s="625"/>
      <c r="G2530" s="626"/>
      <c r="H2530" s="208">
        <f>+ROUND(H2528,0)</f>
        <v>371660</v>
      </c>
      <c r="I2530" s="103"/>
    </row>
    <row r="2531" spans="1:9" s="65" customFormat="1">
      <c r="H2531" s="138"/>
      <c r="I2531" s="151"/>
    </row>
    <row r="2532" spans="1:9" s="65" customFormat="1">
      <c r="A2532" s="645"/>
      <c r="B2532" s="138"/>
      <c r="C2532" s="138"/>
      <c r="D2532" s="138"/>
      <c r="E2532" s="138"/>
      <c r="F2532" s="138"/>
      <c r="G2532" s="138"/>
      <c r="H2532" s="138"/>
      <c r="I2532" s="152"/>
    </row>
    <row r="2533" spans="1:9" s="65" customFormat="1">
      <c r="A2533" s="645"/>
      <c r="B2533" s="138"/>
      <c r="C2533" s="138"/>
      <c r="D2533" s="138"/>
      <c r="E2533" s="138"/>
      <c r="F2533" s="138"/>
      <c r="G2533" s="138"/>
    </row>
    <row r="2534" spans="1:9" s="65" customFormat="1" ht="15.75" thickBot="1">
      <c r="A2534" s="69"/>
      <c r="B2534" s="69"/>
      <c r="C2534" s="69"/>
      <c r="D2534" s="69"/>
      <c r="E2534" s="69"/>
    </row>
    <row r="2535" spans="1:9" s="65" customFormat="1">
      <c r="A2535" s="627">
        <v>250445</v>
      </c>
      <c r="B2535" s="629" t="s">
        <v>1202</v>
      </c>
      <c r="C2535" s="630"/>
      <c r="D2535" s="630"/>
      <c r="E2535" s="630"/>
      <c r="F2535" s="630"/>
      <c r="G2535" s="630"/>
      <c r="H2535" s="630"/>
      <c r="I2535" s="66" t="s">
        <v>389</v>
      </c>
    </row>
    <row r="2536" spans="1:9" s="65" customFormat="1">
      <c r="A2536" s="628"/>
      <c r="B2536" s="631"/>
      <c r="C2536" s="632"/>
      <c r="D2536" s="632"/>
      <c r="E2536" s="632"/>
      <c r="F2536" s="632"/>
      <c r="G2536" s="632"/>
      <c r="H2536" s="632"/>
      <c r="I2536" s="67" t="s">
        <v>7</v>
      </c>
    </row>
    <row r="2537" spans="1:9" s="65" customFormat="1">
      <c r="A2537" s="68"/>
      <c r="B2537" s="69" t="s">
        <v>533</v>
      </c>
      <c r="C2537" s="69"/>
      <c r="D2537" s="69"/>
      <c r="E2537" s="69"/>
      <c r="F2537" s="70"/>
      <c r="G2537" s="70"/>
      <c r="H2537" s="70"/>
      <c r="I2537" s="71"/>
    </row>
    <row r="2538" spans="1:9" s="65" customFormat="1">
      <c r="A2538" s="72" t="s">
        <v>390</v>
      </c>
      <c r="B2538" s="73"/>
      <c r="C2538" s="73"/>
      <c r="D2538" s="73"/>
      <c r="E2538" s="73"/>
      <c r="F2538" s="74"/>
      <c r="G2538" s="74"/>
      <c r="H2538" s="70"/>
      <c r="I2538" s="71"/>
    </row>
    <row r="2539" spans="1:9" s="65" customFormat="1">
      <c r="A2539" s="75" t="s">
        <v>391</v>
      </c>
      <c r="B2539" s="76" t="s">
        <v>392</v>
      </c>
      <c r="C2539" s="76" t="s">
        <v>393</v>
      </c>
      <c r="D2539" s="76" t="s">
        <v>394</v>
      </c>
      <c r="E2539" s="76" t="s">
        <v>395</v>
      </c>
      <c r="F2539" s="76" t="s">
        <v>396</v>
      </c>
      <c r="G2539" s="76" t="s">
        <v>397</v>
      </c>
      <c r="H2539" s="74"/>
      <c r="I2539" s="71"/>
    </row>
    <row r="2540" spans="1:9" s="65" customFormat="1">
      <c r="A2540" s="135" t="s">
        <v>404</v>
      </c>
      <c r="B2540" s="78" t="s">
        <v>405</v>
      </c>
      <c r="C2540" s="127" t="s">
        <v>523</v>
      </c>
      <c r="D2540" s="107">
        <v>1250</v>
      </c>
      <c r="E2540" s="79">
        <v>0.1</v>
      </c>
      <c r="F2540" s="79">
        <v>0</v>
      </c>
      <c r="G2540" s="107">
        <f>(D2540*E2540)+((D2540*E2540)*F2540/100)</f>
        <v>125</v>
      </c>
      <c r="H2540" s="74"/>
      <c r="I2540" s="71"/>
    </row>
    <row r="2541" spans="1:9" s="65" customFormat="1">
      <c r="A2541" s="82"/>
      <c r="B2541" s="83"/>
      <c r="C2541" s="84"/>
      <c r="D2541" s="84"/>
      <c r="E2541" s="84"/>
      <c r="F2541"/>
      <c r="G2541" s="93" t="s">
        <v>407</v>
      </c>
      <c r="H2541" s="107">
        <f>SUM(G2540:G2540)</f>
        <v>125</v>
      </c>
      <c r="I2541" s="71"/>
    </row>
    <row r="2542" spans="1:9" s="65" customFormat="1">
      <c r="A2542" s="72" t="s">
        <v>408</v>
      </c>
      <c r="B2542" s="73"/>
      <c r="C2542" s="73"/>
      <c r="D2542" s="73"/>
      <c r="E2542" s="73"/>
      <c r="F2542"/>
      <c r="G2542" s="74"/>
      <c r="H2542" s="108"/>
      <c r="I2542" s="71"/>
    </row>
    <row r="2543" spans="1:9" s="65" customFormat="1">
      <c r="A2543" s="75" t="s">
        <v>391</v>
      </c>
      <c r="B2543" s="76" t="s">
        <v>392</v>
      </c>
      <c r="C2543" s="76" t="s">
        <v>393</v>
      </c>
      <c r="D2543" s="76" t="s">
        <v>394</v>
      </c>
      <c r="E2543" s="76" t="s">
        <v>395</v>
      </c>
      <c r="F2543" s="76" t="s">
        <v>396</v>
      </c>
      <c r="G2543" s="76" t="s">
        <v>397</v>
      </c>
      <c r="H2543" s="108"/>
      <c r="I2543" s="71"/>
    </row>
    <row r="2544" spans="1:9" s="65" customFormat="1">
      <c r="A2544" s="135">
        <v>214</v>
      </c>
      <c r="B2544" s="78" t="s">
        <v>555</v>
      </c>
      <c r="C2544" s="127" t="s">
        <v>470</v>
      </c>
      <c r="D2544" s="107">
        <v>12</v>
      </c>
      <c r="E2544" s="79">
        <v>0.5</v>
      </c>
      <c r="F2544" s="79">
        <v>0</v>
      </c>
      <c r="G2544" s="107">
        <f>(D2544*E2544)+((D2544*E2544)*F2544/100)</f>
        <v>6</v>
      </c>
      <c r="H2544" s="108"/>
      <c r="I2544" s="71"/>
    </row>
    <row r="2545" spans="1:9" s="65" customFormat="1">
      <c r="A2545" s="135">
        <v>685</v>
      </c>
      <c r="B2545" s="78" t="s">
        <v>674</v>
      </c>
      <c r="C2545" s="127" t="s">
        <v>423</v>
      </c>
      <c r="D2545" s="107">
        <v>900</v>
      </c>
      <c r="E2545" s="79">
        <v>0.5</v>
      </c>
      <c r="F2545" s="79">
        <v>0</v>
      </c>
      <c r="G2545" s="107">
        <f>(D2545*E2545)+((D2545*E2545)*F2545/100)</f>
        <v>450</v>
      </c>
      <c r="H2545" s="108"/>
      <c r="I2545" s="71"/>
    </row>
    <row r="2546" spans="1:9" s="65" customFormat="1">
      <c r="A2546" s="135">
        <v>1554</v>
      </c>
      <c r="B2546" s="78" t="s">
        <v>85</v>
      </c>
      <c r="C2546" s="127" t="s">
        <v>157</v>
      </c>
      <c r="D2546" s="107">
        <v>150000</v>
      </c>
      <c r="E2546" s="79">
        <v>1</v>
      </c>
      <c r="F2546" s="79">
        <v>0</v>
      </c>
      <c r="G2546" s="107">
        <f>(D2546*E2546)+((D2546*E2546)*F2546/100)</f>
        <v>150000</v>
      </c>
      <c r="H2546" s="108"/>
      <c r="I2546" s="71"/>
    </row>
    <row r="2547" spans="1:9" s="65" customFormat="1">
      <c r="A2547" s="90"/>
      <c r="B2547" s="91"/>
      <c r="C2547" s="91"/>
      <c r="D2547" s="91"/>
      <c r="E2547" s="91"/>
      <c r="F2547"/>
      <c r="G2547" s="85" t="s">
        <v>407</v>
      </c>
      <c r="H2547" s="107">
        <f>SUM(G2544:G2546)</f>
        <v>150456</v>
      </c>
      <c r="I2547" s="71"/>
    </row>
    <row r="2548" spans="1:9" s="65" customFormat="1">
      <c r="A2548" s="72" t="s">
        <v>410</v>
      </c>
      <c r="B2548" s="73"/>
      <c r="C2548" s="73"/>
      <c r="D2548" s="73"/>
      <c r="E2548" s="73"/>
      <c r="F2548"/>
      <c r="G2548" s="74"/>
      <c r="H2548" s="108"/>
      <c r="I2548" s="71"/>
    </row>
    <row r="2549" spans="1:9" s="65" customFormat="1">
      <c r="A2549" s="75" t="s">
        <v>391</v>
      </c>
      <c r="B2549" s="76" t="s">
        <v>392</v>
      </c>
      <c r="C2549" s="76" t="s">
        <v>393</v>
      </c>
      <c r="D2549" s="76" t="s">
        <v>394</v>
      </c>
      <c r="E2549" s="76" t="s">
        <v>395</v>
      </c>
      <c r="F2549" s="76" t="s">
        <v>396</v>
      </c>
      <c r="G2549" s="76" t="s">
        <v>397</v>
      </c>
      <c r="H2549" s="108"/>
      <c r="I2549" s="71"/>
    </row>
    <row r="2550" spans="1:9" s="65" customFormat="1" ht="25.5">
      <c r="A2550" s="125" t="s">
        <v>600</v>
      </c>
      <c r="B2550" s="78" t="s">
        <v>625</v>
      </c>
      <c r="C2550" s="127" t="s">
        <v>426</v>
      </c>
      <c r="D2550" s="107">
        <v>16863</v>
      </c>
      <c r="E2550" s="79">
        <v>1.25</v>
      </c>
      <c r="F2550" s="79">
        <v>0</v>
      </c>
      <c r="G2550" s="107">
        <f>(D2550*E2550)+((D2550*E2550)*F2550/100)</f>
        <v>21078.75</v>
      </c>
      <c r="H2550" s="108"/>
      <c r="I2550" s="71"/>
    </row>
    <row r="2551" spans="1:9" s="65" customFormat="1">
      <c r="A2551" s="90"/>
      <c r="B2551" s="91"/>
      <c r="C2551" s="91"/>
      <c r="D2551" s="91"/>
      <c r="E2551" s="91"/>
      <c r="F2551"/>
      <c r="G2551" s="93" t="s">
        <v>407</v>
      </c>
      <c r="H2551" s="107">
        <f>SUM(G2550:G2550)</f>
        <v>21078.75</v>
      </c>
      <c r="I2551" s="71"/>
    </row>
    <row r="2552" spans="1:9" s="65" customFormat="1">
      <c r="A2552" s="72" t="s">
        <v>411</v>
      </c>
      <c r="B2552" s="73"/>
      <c r="C2552" s="73"/>
      <c r="D2552" s="73"/>
      <c r="E2552" s="73"/>
      <c r="F2552"/>
      <c r="G2552" s="74"/>
      <c r="H2552" s="108"/>
      <c r="I2552" s="71"/>
    </row>
    <row r="2553" spans="1:9" s="65" customFormat="1">
      <c r="A2553" s="75" t="s">
        <v>391</v>
      </c>
      <c r="B2553" s="76" t="s">
        <v>392</v>
      </c>
      <c r="C2553" s="76" t="s">
        <v>393</v>
      </c>
      <c r="D2553" s="76" t="s">
        <v>394</v>
      </c>
      <c r="E2553" s="76" t="s">
        <v>395</v>
      </c>
      <c r="F2553" s="76" t="s">
        <v>396</v>
      </c>
      <c r="G2553" s="76" t="s">
        <v>397</v>
      </c>
      <c r="H2553" s="108"/>
      <c r="I2553" s="71"/>
    </row>
    <row r="2554" spans="1:9" s="65" customFormat="1">
      <c r="A2554" s="87" t="s">
        <v>409</v>
      </c>
      <c r="B2554" s="114" t="s">
        <v>409</v>
      </c>
      <c r="C2554" s="114" t="s">
        <v>409</v>
      </c>
      <c r="D2554" s="114" t="s">
        <v>409</v>
      </c>
      <c r="E2554" s="114" t="s">
        <v>409</v>
      </c>
      <c r="F2554" s="79" t="s">
        <v>409</v>
      </c>
      <c r="G2554" s="89" t="s">
        <v>409</v>
      </c>
      <c r="H2554" s="108"/>
      <c r="I2554" s="71"/>
    </row>
    <row r="2555" spans="1:9" s="65" customFormat="1">
      <c r="A2555" s="94"/>
      <c r="B2555" s="95"/>
      <c r="C2555" s="95"/>
      <c r="D2555" s="95"/>
      <c r="E2555" s="95"/>
      <c r="F2555"/>
      <c r="G2555" s="93" t="s">
        <v>407</v>
      </c>
      <c r="H2555" s="107">
        <f>SUM(G2553:G2554)</f>
        <v>0</v>
      </c>
      <c r="I2555" s="71"/>
    </row>
    <row r="2556" spans="1:9" s="65" customFormat="1">
      <c r="A2556" s="94"/>
      <c r="B2556" s="95"/>
      <c r="C2556" s="95"/>
      <c r="D2556" s="95"/>
      <c r="E2556" s="95"/>
      <c r="F2556"/>
      <c r="G2556" s="74"/>
      <c r="H2556" s="74"/>
      <c r="I2556" s="71"/>
    </row>
    <row r="2557" spans="1:9" s="65" customFormat="1">
      <c r="A2557" s="96"/>
      <c r="B2557" s="97"/>
      <c r="C2557" s="98"/>
      <c r="D2557" s="98"/>
      <c r="E2557" s="98"/>
      <c r="F2557"/>
      <c r="G2557" s="99" t="s">
        <v>412</v>
      </c>
      <c r="H2557" s="115">
        <f>SUM(H2541:H2555)</f>
        <v>171659.75</v>
      </c>
      <c r="I2557" s="71"/>
    </row>
    <row r="2558" spans="1:9" s="65" customFormat="1">
      <c r="A2558" s="96"/>
      <c r="B2558" s="97"/>
      <c r="C2558" s="98"/>
      <c r="D2558" s="98"/>
      <c r="E2558" s="98"/>
      <c r="F2558" s="101"/>
      <c r="G2558" s="116"/>
      <c r="H2558" s="70"/>
      <c r="I2558" s="71"/>
    </row>
    <row r="2559" spans="1:9" s="65" customFormat="1" ht="15.75" thickBot="1">
      <c r="A2559" s="624" t="s">
        <v>502</v>
      </c>
      <c r="B2559" s="625"/>
      <c r="C2559" s="625"/>
      <c r="D2559" s="625"/>
      <c r="E2559" s="625"/>
      <c r="F2559" s="625"/>
      <c r="G2559" s="626"/>
      <c r="H2559" s="208">
        <f>+ROUND(H2557,0)</f>
        <v>171660</v>
      </c>
      <c r="I2559" s="103"/>
    </row>
    <row r="2560" spans="1:9" s="65" customFormat="1">
      <c r="A2560" s="128"/>
      <c r="B2560" s="141"/>
      <c r="C2560" s="141"/>
      <c r="D2560" s="141"/>
      <c r="E2560" s="141"/>
      <c r="F2560" s="141"/>
      <c r="G2560" s="141"/>
      <c r="H2560" s="121"/>
    </row>
    <row r="2561" spans="1:9" s="65" customFormat="1" ht="15.75" thickBot="1">
      <c r="A2561" s="150"/>
      <c r="B2561" s="84"/>
      <c r="C2561" s="148"/>
      <c r="D2561" s="84"/>
      <c r="E2561" s="84"/>
      <c r="F2561" s="84"/>
      <c r="G2561" s="144"/>
      <c r="H2561" s="145"/>
    </row>
    <row r="2562" spans="1:9" s="65" customFormat="1">
      <c r="A2562" s="627">
        <v>180622</v>
      </c>
      <c r="B2562" s="629" t="s">
        <v>619</v>
      </c>
      <c r="C2562" s="630"/>
      <c r="D2562" s="630"/>
      <c r="E2562" s="630"/>
      <c r="F2562" s="630"/>
      <c r="G2562" s="630"/>
      <c r="H2562" s="630"/>
      <c r="I2562" s="66" t="s">
        <v>389</v>
      </c>
    </row>
    <row r="2563" spans="1:9" s="65" customFormat="1">
      <c r="A2563" s="628"/>
      <c r="B2563" s="631"/>
      <c r="C2563" s="632"/>
      <c r="D2563" s="632"/>
      <c r="E2563" s="632"/>
      <c r="F2563" s="632"/>
      <c r="G2563" s="632"/>
      <c r="H2563" s="632"/>
      <c r="I2563" s="67" t="s">
        <v>7</v>
      </c>
    </row>
    <row r="2564" spans="1:9" s="65" customFormat="1">
      <c r="A2564" s="68"/>
      <c r="B2564" s="69" t="s">
        <v>533</v>
      </c>
      <c r="C2564" s="69"/>
      <c r="D2564" s="69"/>
      <c r="E2564" s="69"/>
      <c r="F2564" s="70"/>
      <c r="G2564" s="70"/>
      <c r="H2564" s="70"/>
      <c r="I2564" s="71"/>
    </row>
    <row r="2565" spans="1:9" s="65" customFormat="1">
      <c r="A2565" s="72" t="s">
        <v>390</v>
      </c>
      <c r="B2565" s="73"/>
      <c r="C2565" s="73"/>
      <c r="D2565" s="73"/>
      <c r="E2565" s="73"/>
      <c r="F2565" s="74"/>
      <c r="G2565" s="74"/>
      <c r="H2565" s="70"/>
      <c r="I2565" s="71"/>
    </row>
    <row r="2566" spans="1:9" s="65" customFormat="1">
      <c r="A2566" s="75" t="s">
        <v>391</v>
      </c>
      <c r="B2566" s="76" t="s">
        <v>392</v>
      </c>
      <c r="C2566" s="76" t="s">
        <v>393</v>
      </c>
      <c r="D2566" s="76" t="s">
        <v>394</v>
      </c>
      <c r="E2566" s="76" t="s">
        <v>395</v>
      </c>
      <c r="F2566" s="76" t="s">
        <v>396</v>
      </c>
      <c r="G2566" s="76" t="s">
        <v>397</v>
      </c>
      <c r="H2566" s="74"/>
      <c r="I2566" s="71"/>
    </row>
    <row r="2567" spans="1:9" s="65" customFormat="1">
      <c r="A2567" s="135" t="s">
        <v>512</v>
      </c>
      <c r="B2567" s="78" t="s">
        <v>513</v>
      </c>
      <c r="C2567" s="127" t="s">
        <v>514</v>
      </c>
      <c r="D2567" s="107">
        <v>714</v>
      </c>
      <c r="E2567" s="79">
        <v>0.2</v>
      </c>
      <c r="F2567" s="79">
        <v>0</v>
      </c>
      <c r="G2567" s="107">
        <f>(D2567*E2567)+((D2567*E2567)*F2567/100)</f>
        <v>142.80000000000001</v>
      </c>
      <c r="H2567" s="74"/>
      <c r="I2567" s="71"/>
    </row>
    <row r="2568" spans="1:9" s="65" customFormat="1">
      <c r="A2568" s="135" t="s">
        <v>540</v>
      </c>
      <c r="B2568" s="78" t="s">
        <v>541</v>
      </c>
      <c r="C2568" s="127" t="s">
        <v>437</v>
      </c>
      <c r="D2568" s="107">
        <v>100</v>
      </c>
      <c r="E2568" s="79">
        <v>0.2</v>
      </c>
      <c r="F2568" s="79">
        <v>0</v>
      </c>
      <c r="G2568" s="107">
        <f>(D2568*E2568)+((D2568*E2568)*F2568/100)</f>
        <v>20</v>
      </c>
      <c r="H2568" s="74"/>
      <c r="I2568" s="71"/>
    </row>
    <row r="2569" spans="1:9" s="65" customFormat="1">
      <c r="A2569" s="135" t="s">
        <v>404</v>
      </c>
      <c r="B2569" s="78" t="s">
        <v>405</v>
      </c>
      <c r="C2569" s="127" t="s">
        <v>523</v>
      </c>
      <c r="D2569" s="107">
        <v>1250</v>
      </c>
      <c r="E2569" s="79">
        <v>0.2</v>
      </c>
      <c r="F2569" s="79">
        <v>0</v>
      </c>
      <c r="G2569" s="107">
        <f>(D2569*E2569)+((D2569*E2569)*F2569/100)</f>
        <v>250</v>
      </c>
      <c r="H2569" s="74"/>
      <c r="I2569" s="71"/>
    </row>
    <row r="2570" spans="1:9" s="65" customFormat="1">
      <c r="A2570" s="82"/>
      <c r="B2570" s="83"/>
      <c r="C2570" s="84"/>
      <c r="D2570" s="84"/>
      <c r="E2570" s="84"/>
      <c r="F2570"/>
      <c r="G2570" s="93" t="s">
        <v>407</v>
      </c>
      <c r="H2570" s="107">
        <f>SUM(G2567:G2569)</f>
        <v>412.8</v>
      </c>
      <c r="I2570" s="71"/>
    </row>
    <row r="2571" spans="1:9" s="65" customFormat="1">
      <c r="A2571" s="72" t="s">
        <v>408</v>
      </c>
      <c r="B2571" s="73"/>
      <c r="C2571" s="73"/>
      <c r="D2571" s="73"/>
      <c r="E2571" s="73"/>
      <c r="F2571"/>
      <c r="G2571" s="74"/>
      <c r="H2571" s="108"/>
      <c r="I2571" s="71"/>
    </row>
    <row r="2572" spans="1:9" s="65" customFormat="1">
      <c r="A2572" s="75" t="s">
        <v>391</v>
      </c>
      <c r="B2572" s="76" t="s">
        <v>392</v>
      </c>
      <c r="C2572" s="76" t="s">
        <v>393</v>
      </c>
      <c r="D2572" s="76" t="s">
        <v>394</v>
      </c>
      <c r="E2572" s="76" t="s">
        <v>395</v>
      </c>
      <c r="F2572" s="76" t="s">
        <v>396</v>
      </c>
      <c r="G2572" s="76" t="s">
        <v>397</v>
      </c>
      <c r="H2572" s="108"/>
      <c r="I2572" s="71"/>
    </row>
    <row r="2573" spans="1:9" s="65" customFormat="1">
      <c r="A2573" s="135">
        <v>1322</v>
      </c>
      <c r="B2573" s="78" t="s">
        <v>620</v>
      </c>
      <c r="C2573" s="127" t="s">
        <v>157</v>
      </c>
      <c r="D2573" s="107">
        <v>353</v>
      </c>
      <c r="E2573" s="79">
        <v>2</v>
      </c>
      <c r="F2573" s="79">
        <v>0</v>
      </c>
      <c r="G2573" s="107">
        <f>(D2573*E2573)+((D2573*E2573)*F2573/100)</f>
        <v>706</v>
      </c>
      <c r="H2573" s="108"/>
      <c r="I2573" s="71"/>
    </row>
    <row r="2574" spans="1:9" s="65" customFormat="1" ht="25.5">
      <c r="A2574" s="135">
        <v>2752</v>
      </c>
      <c r="B2574" s="78" t="s">
        <v>621</v>
      </c>
      <c r="C2574" s="127" t="s">
        <v>157</v>
      </c>
      <c r="D2574" s="107">
        <v>14050</v>
      </c>
      <c r="E2574" s="79">
        <v>1</v>
      </c>
      <c r="F2574" s="79">
        <v>0</v>
      </c>
      <c r="G2574" s="107">
        <f>(D2574*E2574)+((D2574*E2574)*F2574/100)</f>
        <v>14050</v>
      </c>
      <c r="H2574" s="108"/>
      <c r="I2574" s="71"/>
    </row>
    <row r="2575" spans="1:9" s="65" customFormat="1">
      <c r="A2575" s="90"/>
      <c r="B2575" s="91"/>
      <c r="C2575" s="91"/>
      <c r="D2575" s="91"/>
      <c r="E2575" s="91"/>
      <c r="F2575"/>
      <c r="G2575" s="85" t="s">
        <v>407</v>
      </c>
      <c r="H2575" s="107">
        <f>SUM(G2573:G2574)</f>
        <v>14756</v>
      </c>
      <c r="I2575" s="71"/>
    </row>
    <row r="2576" spans="1:9" s="65" customFormat="1">
      <c r="A2576" s="72" t="s">
        <v>410</v>
      </c>
      <c r="B2576" s="73"/>
      <c r="C2576" s="73"/>
      <c r="D2576" s="73"/>
      <c r="E2576" s="73"/>
      <c r="F2576"/>
      <c r="G2576" s="74"/>
      <c r="H2576" s="108"/>
      <c r="I2576" s="71"/>
    </row>
    <row r="2577" spans="1:9" s="65" customFormat="1">
      <c r="A2577" s="75" t="s">
        <v>391</v>
      </c>
      <c r="B2577" s="76" t="s">
        <v>392</v>
      </c>
      <c r="C2577" s="76" t="s">
        <v>393</v>
      </c>
      <c r="D2577" s="76" t="s">
        <v>394</v>
      </c>
      <c r="E2577" s="76" t="s">
        <v>395</v>
      </c>
      <c r="F2577" s="76" t="s">
        <v>396</v>
      </c>
      <c r="G2577" s="76" t="s">
        <v>397</v>
      </c>
      <c r="H2577" s="108"/>
      <c r="I2577" s="71"/>
    </row>
    <row r="2578" spans="1:9" s="65" customFormat="1" ht="25.5">
      <c r="A2578" s="125" t="s">
        <v>461</v>
      </c>
      <c r="B2578" s="78" t="s">
        <v>522</v>
      </c>
      <c r="C2578" s="127" t="s">
        <v>426</v>
      </c>
      <c r="D2578" s="107">
        <v>14990</v>
      </c>
      <c r="E2578" s="79">
        <v>0.2</v>
      </c>
      <c r="F2578" s="79">
        <v>0</v>
      </c>
      <c r="G2578" s="107">
        <f>(D2578*E2578)+((D2578*E2578)*F2578/100)</f>
        <v>2998</v>
      </c>
      <c r="H2578" s="108"/>
      <c r="I2578" s="71"/>
    </row>
    <row r="2579" spans="1:9" s="65" customFormat="1">
      <c r="A2579" s="90"/>
      <c r="B2579" s="91"/>
      <c r="C2579" s="91"/>
      <c r="D2579" s="91"/>
      <c r="E2579" s="91"/>
      <c r="F2579"/>
      <c r="G2579" s="93" t="s">
        <v>407</v>
      </c>
      <c r="H2579" s="107">
        <f>SUM(G2578:G2578)</f>
        <v>2998</v>
      </c>
      <c r="I2579" s="71"/>
    </row>
    <row r="2580" spans="1:9" s="65" customFormat="1">
      <c r="A2580" s="72" t="s">
        <v>411</v>
      </c>
      <c r="B2580" s="73"/>
      <c r="C2580" s="73"/>
      <c r="D2580" s="73"/>
      <c r="E2580" s="73"/>
      <c r="F2580"/>
      <c r="G2580" s="74"/>
      <c r="H2580" s="108"/>
      <c r="I2580" s="71"/>
    </row>
    <row r="2581" spans="1:9" s="65" customFormat="1">
      <c r="A2581" s="75" t="s">
        <v>391</v>
      </c>
      <c r="B2581" s="76" t="s">
        <v>392</v>
      </c>
      <c r="C2581" s="76" t="s">
        <v>393</v>
      </c>
      <c r="D2581" s="76" t="s">
        <v>394</v>
      </c>
      <c r="E2581" s="76" t="s">
        <v>395</v>
      </c>
      <c r="F2581" s="76" t="s">
        <v>396</v>
      </c>
      <c r="G2581" s="76" t="s">
        <v>397</v>
      </c>
      <c r="H2581" s="108"/>
      <c r="I2581" s="71"/>
    </row>
    <row r="2582" spans="1:9" s="65" customFormat="1">
      <c r="A2582" s="87" t="s">
        <v>409</v>
      </c>
      <c r="B2582" s="114" t="s">
        <v>409</v>
      </c>
      <c r="C2582" s="114" t="s">
        <v>409</v>
      </c>
      <c r="D2582" s="114" t="s">
        <v>409</v>
      </c>
      <c r="E2582" s="114" t="s">
        <v>409</v>
      </c>
      <c r="F2582" s="79" t="s">
        <v>409</v>
      </c>
      <c r="G2582" s="89" t="s">
        <v>409</v>
      </c>
      <c r="H2582" s="108"/>
      <c r="I2582" s="71"/>
    </row>
    <row r="2583" spans="1:9" s="65" customFormat="1">
      <c r="A2583" s="94"/>
      <c r="B2583" s="95"/>
      <c r="C2583" s="95"/>
      <c r="D2583" s="95"/>
      <c r="E2583" s="95"/>
      <c r="F2583"/>
      <c r="G2583" s="93" t="s">
        <v>407</v>
      </c>
      <c r="H2583" s="107">
        <f>SUM(G2581:G2582)</f>
        <v>0</v>
      </c>
      <c r="I2583" s="71"/>
    </row>
    <row r="2584" spans="1:9" s="65" customFormat="1">
      <c r="A2584" s="94"/>
      <c r="B2584" s="95"/>
      <c r="C2584" s="95"/>
      <c r="D2584" s="95"/>
      <c r="E2584" s="95"/>
      <c r="F2584"/>
      <c r="G2584" s="74"/>
      <c r="H2584" s="74"/>
      <c r="I2584" s="71"/>
    </row>
    <row r="2585" spans="1:9" s="65" customFormat="1">
      <c r="A2585" s="96"/>
      <c r="B2585" s="97"/>
      <c r="C2585" s="98"/>
      <c r="D2585" s="98"/>
      <c r="E2585" s="98"/>
      <c r="F2585"/>
      <c r="G2585" s="99" t="s">
        <v>412</v>
      </c>
      <c r="H2585" s="115">
        <f>SUM(H2570:H2583)</f>
        <v>18166.8</v>
      </c>
      <c r="I2585" s="71"/>
    </row>
    <row r="2586" spans="1:9" s="65" customFormat="1">
      <c r="A2586" s="96"/>
      <c r="B2586" s="97"/>
      <c r="C2586" s="98"/>
      <c r="D2586" s="98"/>
      <c r="E2586" s="98"/>
      <c r="F2586" s="101"/>
      <c r="G2586" s="116"/>
      <c r="H2586" s="70"/>
      <c r="I2586" s="71"/>
    </row>
    <row r="2587" spans="1:9" s="65" customFormat="1" ht="15.75" thickBot="1">
      <c r="A2587" s="624" t="s">
        <v>502</v>
      </c>
      <c r="B2587" s="625"/>
      <c r="C2587" s="625"/>
      <c r="D2587" s="625"/>
      <c r="E2587" s="625"/>
      <c r="F2587" s="625"/>
      <c r="G2587" s="626"/>
      <c r="H2587" s="208">
        <f>+ROUND(H2585,0)</f>
        <v>18167</v>
      </c>
      <c r="I2587" s="103"/>
    </row>
    <row r="2588" spans="1:9" s="65" customFormat="1" ht="15.75" thickBot="1">
      <c r="A2588"/>
      <c r="B2588"/>
      <c r="C2588"/>
      <c r="D2588"/>
      <c r="E2588"/>
      <c r="F2588"/>
      <c r="G2588"/>
      <c r="H2588"/>
      <c r="I2588"/>
    </row>
    <row r="2589" spans="1:9" s="65" customFormat="1">
      <c r="A2589" s="627">
        <v>180631</v>
      </c>
      <c r="B2589" s="629" t="s">
        <v>622</v>
      </c>
      <c r="C2589" s="630"/>
      <c r="D2589" s="630"/>
      <c r="E2589" s="630"/>
      <c r="F2589" s="630"/>
      <c r="G2589" s="630"/>
      <c r="H2589" s="630"/>
      <c r="I2589" s="66" t="s">
        <v>389</v>
      </c>
    </row>
    <row r="2590" spans="1:9" s="65" customFormat="1">
      <c r="A2590" s="628"/>
      <c r="B2590" s="631"/>
      <c r="C2590" s="632"/>
      <c r="D2590" s="632"/>
      <c r="E2590" s="632"/>
      <c r="F2590" s="632"/>
      <c r="G2590" s="632"/>
      <c r="H2590" s="632"/>
      <c r="I2590" s="67" t="s">
        <v>526</v>
      </c>
    </row>
    <row r="2591" spans="1:9" s="65" customFormat="1">
      <c r="A2591" s="68"/>
      <c r="B2591" s="69" t="s">
        <v>533</v>
      </c>
      <c r="C2591" s="69"/>
      <c r="D2591" s="69"/>
      <c r="E2591" s="69"/>
      <c r="F2591" s="70"/>
      <c r="G2591" s="70"/>
      <c r="H2591" s="70"/>
      <c r="I2591" s="71"/>
    </row>
    <row r="2592" spans="1:9" s="65" customFormat="1">
      <c r="A2592" s="72" t="s">
        <v>390</v>
      </c>
      <c r="B2592" s="73"/>
      <c r="C2592" s="73"/>
      <c r="D2592" s="73"/>
      <c r="E2592" s="73"/>
      <c r="F2592" s="74"/>
      <c r="G2592" s="74"/>
      <c r="H2592" s="70"/>
      <c r="I2592" s="71"/>
    </row>
    <row r="2593" spans="1:9" s="65" customFormat="1">
      <c r="A2593" s="75" t="s">
        <v>391</v>
      </c>
      <c r="B2593" s="76" t="s">
        <v>392</v>
      </c>
      <c r="C2593" s="76" t="s">
        <v>393</v>
      </c>
      <c r="D2593" s="76" t="s">
        <v>394</v>
      </c>
      <c r="E2593" s="76" t="s">
        <v>395</v>
      </c>
      <c r="F2593" s="76" t="s">
        <v>396</v>
      </c>
      <c r="G2593" s="76" t="s">
        <v>397</v>
      </c>
      <c r="H2593" s="74"/>
      <c r="I2593" s="71"/>
    </row>
    <row r="2594" spans="1:9" s="65" customFormat="1">
      <c r="A2594" s="135" t="s">
        <v>404</v>
      </c>
      <c r="B2594" s="78" t="s">
        <v>405</v>
      </c>
      <c r="C2594" s="127" t="s">
        <v>523</v>
      </c>
      <c r="D2594" s="107">
        <v>1250</v>
      </c>
      <c r="E2594" s="79">
        <v>0.5</v>
      </c>
      <c r="F2594" s="79">
        <v>0</v>
      </c>
      <c r="G2594" s="107">
        <f>(D2594*E2594)+((D2594*E2594)*F2594/100)</f>
        <v>625</v>
      </c>
      <c r="H2594" s="74"/>
      <c r="I2594" s="71"/>
    </row>
    <row r="2595" spans="1:9" s="65" customFormat="1">
      <c r="A2595" s="82"/>
      <c r="B2595" s="83"/>
      <c r="C2595" s="84"/>
      <c r="D2595" s="84"/>
      <c r="E2595" s="84"/>
      <c r="F2595"/>
      <c r="G2595" s="93" t="s">
        <v>407</v>
      </c>
      <c r="H2595" s="107">
        <f>SUM(G2594:G2594)</f>
        <v>625</v>
      </c>
      <c r="I2595" s="71"/>
    </row>
    <row r="2596" spans="1:9" s="65" customFormat="1">
      <c r="A2596" s="72" t="s">
        <v>408</v>
      </c>
      <c r="B2596" s="73"/>
      <c r="C2596" s="73"/>
      <c r="D2596" s="73"/>
      <c r="E2596" s="73"/>
      <c r="F2596"/>
      <c r="G2596" s="74"/>
      <c r="H2596" s="108"/>
      <c r="I2596" s="71"/>
    </row>
    <row r="2597" spans="1:9" s="65" customFormat="1">
      <c r="A2597" s="75" t="s">
        <v>391</v>
      </c>
      <c r="B2597" s="76" t="s">
        <v>392</v>
      </c>
      <c r="C2597" s="76" t="s">
        <v>393</v>
      </c>
      <c r="D2597" s="76" t="s">
        <v>394</v>
      </c>
      <c r="E2597" s="76" t="s">
        <v>395</v>
      </c>
      <c r="F2597" s="76" t="s">
        <v>396</v>
      </c>
      <c r="G2597" s="76" t="s">
        <v>397</v>
      </c>
      <c r="H2597" s="108"/>
      <c r="I2597" s="71"/>
    </row>
    <row r="2598" spans="1:9" s="65" customFormat="1">
      <c r="A2598" s="135">
        <v>1317</v>
      </c>
      <c r="B2598" s="78" t="s">
        <v>542</v>
      </c>
      <c r="C2598" s="127" t="s">
        <v>157</v>
      </c>
      <c r="D2598" s="107">
        <v>353</v>
      </c>
      <c r="E2598" s="79">
        <v>2</v>
      </c>
      <c r="F2598" s="79">
        <v>0</v>
      </c>
      <c r="G2598" s="107">
        <f>(D2598*E2598)+((D2598*E2598)*F2598/100)</f>
        <v>706</v>
      </c>
      <c r="H2598" s="108"/>
      <c r="I2598" s="71"/>
    </row>
    <row r="2599" spans="1:9" s="65" customFormat="1">
      <c r="A2599" s="135">
        <v>1412</v>
      </c>
      <c r="B2599" s="78" t="s">
        <v>623</v>
      </c>
      <c r="C2599" s="127" t="s">
        <v>423</v>
      </c>
      <c r="D2599" s="107">
        <v>12500</v>
      </c>
      <c r="E2599" s="79">
        <v>0.1</v>
      </c>
      <c r="F2599" s="79">
        <v>0</v>
      </c>
      <c r="G2599" s="107">
        <f>(D2599*E2599)+((D2599*E2599)*F2599/100)</f>
        <v>1250</v>
      </c>
      <c r="H2599" s="108"/>
      <c r="I2599" s="71"/>
    </row>
    <row r="2600" spans="1:9" s="65" customFormat="1" ht="25.5">
      <c r="A2600" s="135">
        <v>2194</v>
      </c>
      <c r="B2600" s="78" t="s">
        <v>624</v>
      </c>
      <c r="C2600" s="127" t="s">
        <v>157</v>
      </c>
      <c r="D2600" s="107">
        <v>17400</v>
      </c>
      <c r="E2600" s="79">
        <v>1.1499999999999999</v>
      </c>
      <c r="F2600" s="79">
        <v>0</v>
      </c>
      <c r="G2600" s="107">
        <f>(D2600*E2600)+((D2600*E2600)*F2600/100)</f>
        <v>20010</v>
      </c>
      <c r="H2600" s="108"/>
      <c r="I2600" s="71"/>
    </row>
    <row r="2601" spans="1:9" s="65" customFormat="1">
      <c r="A2601" s="90"/>
      <c r="B2601" s="91"/>
      <c r="C2601" s="91"/>
      <c r="D2601" s="91"/>
      <c r="E2601" s="91"/>
      <c r="F2601"/>
      <c r="G2601" s="85" t="s">
        <v>407</v>
      </c>
      <c r="H2601" s="107">
        <f>SUM(G2598:G2600)</f>
        <v>21966</v>
      </c>
      <c r="I2601" s="71"/>
    </row>
    <row r="2602" spans="1:9" s="65" customFormat="1">
      <c r="A2602" s="72" t="s">
        <v>410</v>
      </c>
      <c r="B2602" s="73"/>
      <c r="C2602" s="73"/>
      <c r="D2602" s="73"/>
      <c r="E2602" s="73"/>
      <c r="F2602"/>
      <c r="G2602" s="74"/>
      <c r="H2602" s="108"/>
      <c r="I2602" s="71"/>
    </row>
    <row r="2603" spans="1:9" s="65" customFormat="1">
      <c r="A2603" s="75" t="s">
        <v>391</v>
      </c>
      <c r="B2603" s="76" t="s">
        <v>392</v>
      </c>
      <c r="C2603" s="76" t="s">
        <v>393</v>
      </c>
      <c r="D2603" s="76" t="s">
        <v>394</v>
      </c>
      <c r="E2603" s="76" t="s">
        <v>395</v>
      </c>
      <c r="F2603" s="76" t="s">
        <v>396</v>
      </c>
      <c r="G2603" s="76" t="s">
        <v>397</v>
      </c>
      <c r="H2603" s="108"/>
      <c r="I2603" s="71"/>
    </row>
    <row r="2604" spans="1:9" s="65" customFormat="1" ht="25.5">
      <c r="A2604" s="125" t="s">
        <v>461</v>
      </c>
      <c r="B2604" s="78" t="s">
        <v>522</v>
      </c>
      <c r="C2604" s="127" t="s">
        <v>426</v>
      </c>
      <c r="D2604" s="107">
        <v>14990</v>
      </c>
      <c r="E2604" s="79">
        <v>0.25</v>
      </c>
      <c r="F2604" s="79">
        <v>0</v>
      </c>
      <c r="G2604" s="107">
        <f>(D2604*E2604)+((D2604*E2604)*F2604/100)</f>
        <v>3747.5</v>
      </c>
      <c r="H2604" s="108"/>
      <c r="I2604" s="71"/>
    </row>
    <row r="2605" spans="1:9" s="65" customFormat="1">
      <c r="A2605" s="90"/>
      <c r="B2605" s="91"/>
      <c r="C2605" s="91"/>
      <c r="D2605" s="91"/>
      <c r="E2605" s="91"/>
      <c r="F2605"/>
      <c r="G2605" s="93" t="s">
        <v>407</v>
      </c>
      <c r="H2605" s="107">
        <f>SUM(G2604:G2604)</f>
        <v>3747.5</v>
      </c>
      <c r="I2605" s="71"/>
    </row>
    <row r="2606" spans="1:9" s="65" customFormat="1">
      <c r="A2606" s="72" t="s">
        <v>411</v>
      </c>
      <c r="B2606" s="73"/>
      <c r="C2606" s="73"/>
      <c r="D2606" s="73"/>
      <c r="E2606" s="73"/>
      <c r="F2606"/>
      <c r="G2606" s="74"/>
      <c r="H2606" s="108"/>
      <c r="I2606" s="71"/>
    </row>
    <row r="2607" spans="1:9" s="65" customFormat="1">
      <c r="A2607" s="75" t="s">
        <v>391</v>
      </c>
      <c r="B2607" s="76" t="s">
        <v>392</v>
      </c>
      <c r="C2607" s="76" t="s">
        <v>393</v>
      </c>
      <c r="D2607" s="76" t="s">
        <v>394</v>
      </c>
      <c r="E2607" s="76" t="s">
        <v>395</v>
      </c>
      <c r="F2607" s="76" t="s">
        <v>396</v>
      </c>
      <c r="G2607" s="76" t="s">
        <v>397</v>
      </c>
      <c r="H2607" s="108"/>
      <c r="I2607" s="71"/>
    </row>
    <row r="2608" spans="1:9" s="65" customFormat="1">
      <c r="A2608" s="87" t="s">
        <v>409</v>
      </c>
      <c r="B2608" s="114" t="s">
        <v>409</v>
      </c>
      <c r="C2608" s="114" t="s">
        <v>409</v>
      </c>
      <c r="D2608" s="114" t="s">
        <v>409</v>
      </c>
      <c r="E2608" s="114" t="s">
        <v>409</v>
      </c>
      <c r="F2608" s="79" t="s">
        <v>409</v>
      </c>
      <c r="G2608" s="89" t="s">
        <v>409</v>
      </c>
      <c r="H2608" s="108"/>
      <c r="I2608" s="71"/>
    </row>
    <row r="2609" spans="1:9" s="65" customFormat="1">
      <c r="A2609" s="94"/>
      <c r="B2609" s="95"/>
      <c r="C2609" s="95"/>
      <c r="D2609" s="95"/>
      <c r="E2609" s="95"/>
      <c r="F2609"/>
      <c r="G2609" s="93" t="s">
        <v>407</v>
      </c>
      <c r="H2609" s="107">
        <f>SUM(G2607:G2608)</f>
        <v>0</v>
      </c>
      <c r="I2609" s="71"/>
    </row>
    <row r="2610" spans="1:9" s="65" customFormat="1">
      <c r="A2610" s="94"/>
      <c r="B2610" s="95"/>
      <c r="C2610" s="95"/>
      <c r="D2610" s="95"/>
      <c r="E2610" s="95"/>
      <c r="F2610"/>
      <c r="G2610" s="74"/>
      <c r="H2610" s="74"/>
      <c r="I2610" s="71"/>
    </row>
    <row r="2611" spans="1:9" s="65" customFormat="1">
      <c r="A2611" s="96"/>
      <c r="B2611" s="97"/>
      <c r="C2611" s="98"/>
      <c r="D2611" s="98"/>
      <c r="E2611" s="98"/>
      <c r="F2611"/>
      <c r="G2611" s="99" t="s">
        <v>412</v>
      </c>
      <c r="H2611" s="115">
        <f>SUM(H2595:H2609)</f>
        <v>26338.5</v>
      </c>
      <c r="I2611" s="71"/>
    </row>
    <row r="2612" spans="1:9" s="65" customFormat="1">
      <c r="A2612" s="96"/>
      <c r="B2612" s="97"/>
      <c r="C2612" s="98"/>
      <c r="D2612" s="98"/>
      <c r="E2612" s="98"/>
      <c r="F2612" s="101"/>
      <c r="G2612" s="116"/>
      <c r="H2612" s="70"/>
      <c r="I2612" s="71"/>
    </row>
    <row r="2613" spans="1:9" s="65" customFormat="1" ht="15.75" thickBot="1">
      <c r="A2613" s="624" t="s">
        <v>527</v>
      </c>
      <c r="B2613" s="625"/>
      <c r="C2613" s="625"/>
      <c r="D2613" s="625"/>
      <c r="E2613" s="625"/>
      <c r="F2613" s="625"/>
      <c r="G2613" s="626"/>
      <c r="H2613" s="208">
        <f>+ROUND(H2611,0)</f>
        <v>26339</v>
      </c>
      <c r="I2613" s="103"/>
    </row>
    <row r="2614" spans="1:9" s="65" customFormat="1">
      <c r="A2614" s="91"/>
      <c r="B2614" s="91"/>
      <c r="C2614" s="91"/>
      <c r="D2614" s="91"/>
      <c r="E2614" s="91"/>
      <c r="G2614" s="104"/>
      <c r="H2614" s="140"/>
    </row>
    <row r="2615" spans="1:9" s="65" customFormat="1" ht="15.75" thickBot="1">
      <c r="A2615" s="120"/>
      <c r="B2615" s="73"/>
      <c r="C2615" s="73"/>
      <c r="D2615" s="73"/>
      <c r="E2615" s="73"/>
      <c r="G2615" s="121"/>
      <c r="H2615" s="140"/>
    </row>
    <row r="2616" spans="1:9" s="65" customFormat="1">
      <c r="A2616" s="627"/>
      <c r="B2616" s="629" t="s">
        <v>1203</v>
      </c>
      <c r="C2616" s="630"/>
      <c r="D2616" s="630"/>
      <c r="E2616" s="630"/>
      <c r="F2616" s="630"/>
      <c r="G2616" s="630"/>
      <c r="H2616" s="630"/>
      <c r="I2616" s="66" t="s">
        <v>389</v>
      </c>
    </row>
    <row r="2617" spans="1:9" s="65" customFormat="1">
      <c r="A2617" s="628"/>
      <c r="B2617" s="631"/>
      <c r="C2617" s="632"/>
      <c r="D2617" s="632"/>
      <c r="E2617" s="632"/>
      <c r="F2617" s="632"/>
      <c r="G2617" s="632"/>
      <c r="H2617" s="632"/>
      <c r="I2617" s="67" t="s">
        <v>7</v>
      </c>
    </row>
    <row r="2618" spans="1:9" s="65" customFormat="1">
      <c r="A2618" s="68"/>
      <c r="B2618" s="69"/>
      <c r="C2618" s="69"/>
      <c r="D2618" s="69"/>
      <c r="E2618" s="69"/>
      <c r="F2618" s="70"/>
      <c r="G2618" s="70"/>
      <c r="H2618" s="70"/>
      <c r="I2618" s="71"/>
    </row>
    <row r="2619" spans="1:9" s="65" customFormat="1">
      <c r="A2619" s="72" t="s">
        <v>390</v>
      </c>
      <c r="B2619" s="73"/>
      <c r="C2619" s="73"/>
      <c r="D2619" s="73"/>
      <c r="E2619" s="73"/>
      <c r="F2619" s="74"/>
      <c r="G2619" s="74"/>
      <c r="H2619" s="70"/>
      <c r="I2619" s="71"/>
    </row>
    <row r="2620" spans="1:9" s="65" customFormat="1">
      <c r="A2620" s="75" t="s">
        <v>391</v>
      </c>
      <c r="B2620" s="76" t="s">
        <v>392</v>
      </c>
      <c r="C2620" s="76" t="s">
        <v>393</v>
      </c>
      <c r="D2620" s="76" t="s">
        <v>394</v>
      </c>
      <c r="E2620" s="76" t="s">
        <v>395</v>
      </c>
      <c r="F2620" s="76" t="s">
        <v>396</v>
      </c>
      <c r="G2620" s="76" t="s">
        <v>397</v>
      </c>
      <c r="H2620" s="74"/>
      <c r="I2620" s="71"/>
    </row>
    <row r="2621" spans="1:9" s="65" customFormat="1" ht="16.5">
      <c r="A2621" s="135" t="s">
        <v>404</v>
      </c>
      <c r="B2621" s="204" t="s">
        <v>405</v>
      </c>
      <c r="C2621" s="127" t="s">
        <v>523</v>
      </c>
      <c r="D2621" s="107">
        <v>1250</v>
      </c>
      <c r="E2621" s="79">
        <v>0.5</v>
      </c>
      <c r="F2621" s="79">
        <v>0</v>
      </c>
      <c r="G2621" s="107">
        <f>(D2621*E2621)+((D2621*E2621)*F2621/100)</f>
        <v>625</v>
      </c>
      <c r="H2621" s="74"/>
      <c r="I2621" s="71"/>
    </row>
    <row r="2622" spans="1:9" s="65" customFormat="1">
      <c r="A2622" s="82"/>
      <c r="B2622" s="83"/>
      <c r="C2622" s="84"/>
      <c r="D2622" s="84"/>
      <c r="E2622" s="84"/>
      <c r="F2622"/>
      <c r="G2622" s="93" t="s">
        <v>407</v>
      </c>
      <c r="H2622" s="107">
        <f>SUM(G2621:G2621)</f>
        <v>625</v>
      </c>
      <c r="I2622" s="71"/>
    </row>
    <row r="2623" spans="1:9" s="65" customFormat="1">
      <c r="A2623" s="72" t="s">
        <v>408</v>
      </c>
      <c r="B2623" s="73"/>
      <c r="C2623" s="73"/>
      <c r="D2623" s="73"/>
      <c r="E2623" s="73"/>
      <c r="F2623"/>
      <c r="G2623" s="74"/>
      <c r="H2623" s="108"/>
      <c r="I2623" s="71"/>
    </row>
    <row r="2624" spans="1:9" s="65" customFormat="1">
      <c r="A2624" s="75" t="s">
        <v>391</v>
      </c>
      <c r="B2624" s="76" t="s">
        <v>392</v>
      </c>
      <c r="C2624" s="76" t="s">
        <v>393</v>
      </c>
      <c r="D2624" s="76" t="s">
        <v>394</v>
      </c>
      <c r="E2624" s="76" t="s">
        <v>395</v>
      </c>
      <c r="F2624" s="76" t="s">
        <v>396</v>
      </c>
      <c r="G2624" s="76" t="s">
        <v>397</v>
      </c>
      <c r="H2624" s="108"/>
      <c r="I2624" s="71"/>
    </row>
    <row r="2625" spans="1:9" s="65" customFormat="1" ht="16.5">
      <c r="A2625" s="135">
        <v>889</v>
      </c>
      <c r="B2625" s="204" t="s">
        <v>562</v>
      </c>
      <c r="C2625" s="127" t="s">
        <v>157</v>
      </c>
      <c r="D2625" s="107">
        <v>1779.44</v>
      </c>
      <c r="E2625" s="79">
        <v>2</v>
      </c>
      <c r="F2625" s="79">
        <v>0</v>
      </c>
      <c r="G2625" s="107">
        <f>(D2625*E2625)+((D2625*E2625)*F2625/100)</f>
        <v>3558.88</v>
      </c>
      <c r="H2625" s="108"/>
      <c r="I2625" s="71"/>
    </row>
    <row r="2626" spans="1:9" s="65" customFormat="1" ht="16.5">
      <c r="A2626" s="135">
        <v>2511</v>
      </c>
      <c r="B2626" s="204" t="s">
        <v>563</v>
      </c>
      <c r="C2626" s="127" t="s">
        <v>157</v>
      </c>
      <c r="D2626" s="107">
        <v>48100</v>
      </c>
      <c r="E2626" s="79">
        <v>4.0000000000000001E-3</v>
      </c>
      <c r="F2626" s="79">
        <v>5</v>
      </c>
      <c r="G2626" s="107">
        <f>(D2626*E2626)+((D2626*E2626)*F2626/100)</f>
        <v>202.02</v>
      </c>
      <c r="H2626" s="108"/>
      <c r="I2626" s="71"/>
    </row>
    <row r="2627" spans="1:9" s="65" customFormat="1" ht="16.5">
      <c r="A2627" s="135">
        <v>3030</v>
      </c>
      <c r="B2627" s="204" t="s">
        <v>564</v>
      </c>
      <c r="C2627" s="127" t="s">
        <v>493</v>
      </c>
      <c r="D2627" s="107">
        <v>7403.12</v>
      </c>
      <c r="E2627" s="79">
        <v>1</v>
      </c>
      <c r="F2627" s="79">
        <v>5</v>
      </c>
      <c r="G2627" s="107">
        <f>(D2627*E2627)+((D2627*E2627)*F2627/100)</f>
        <v>7773.2759999999998</v>
      </c>
      <c r="H2627" s="108"/>
      <c r="I2627" s="71"/>
    </row>
    <row r="2628" spans="1:9" s="65" customFormat="1" ht="16.5">
      <c r="A2628" s="135">
        <v>3246</v>
      </c>
      <c r="B2628" s="204" t="s">
        <v>565</v>
      </c>
      <c r="C2628" s="127" t="s">
        <v>423</v>
      </c>
      <c r="D2628" s="107">
        <v>4100</v>
      </c>
      <c r="E2628" s="79">
        <v>0.04</v>
      </c>
      <c r="F2628" s="79">
        <v>5</v>
      </c>
      <c r="G2628" s="107">
        <f>(D2628*E2628)+((D2628*E2628)*F2628/100)</f>
        <v>172.2</v>
      </c>
      <c r="H2628" s="108"/>
      <c r="I2628" s="71"/>
    </row>
    <row r="2629" spans="1:9" s="65" customFormat="1" ht="16.5">
      <c r="A2629" s="135">
        <v>4066</v>
      </c>
      <c r="B2629" s="204" t="s">
        <v>566</v>
      </c>
      <c r="C2629" s="127" t="s">
        <v>157</v>
      </c>
      <c r="D2629" s="107">
        <v>23195</v>
      </c>
      <c r="E2629" s="79">
        <v>4.0000000000000001E-3</v>
      </c>
      <c r="F2629" s="79">
        <v>0</v>
      </c>
      <c r="G2629" s="107">
        <f>(D2629*E2629)+((D2629*E2629)*F2629/100)</f>
        <v>92.78</v>
      </c>
      <c r="H2629" s="108"/>
      <c r="I2629" s="71"/>
    </row>
    <row r="2630" spans="1:9" s="65" customFormat="1">
      <c r="A2630" s="90"/>
      <c r="B2630" s="91"/>
      <c r="C2630" s="91"/>
      <c r="D2630" s="91"/>
      <c r="E2630" s="91"/>
      <c r="F2630"/>
      <c r="G2630" s="85" t="s">
        <v>407</v>
      </c>
      <c r="H2630" s="107">
        <f>SUM(G2625:G2629)</f>
        <v>11799.156000000001</v>
      </c>
      <c r="I2630" s="71"/>
    </row>
    <row r="2631" spans="1:9" s="65" customFormat="1">
      <c r="A2631" s="72" t="s">
        <v>410</v>
      </c>
      <c r="B2631" s="73"/>
      <c r="C2631" s="73"/>
      <c r="D2631" s="73"/>
      <c r="E2631" s="73"/>
      <c r="F2631"/>
      <c r="G2631" s="74"/>
      <c r="H2631" s="108"/>
      <c r="I2631" s="71"/>
    </row>
    <row r="2632" spans="1:9" s="65" customFormat="1">
      <c r="A2632" s="75" t="s">
        <v>391</v>
      </c>
      <c r="B2632" s="76" t="s">
        <v>392</v>
      </c>
      <c r="C2632" s="76" t="s">
        <v>393</v>
      </c>
      <c r="D2632" s="76" t="s">
        <v>394</v>
      </c>
      <c r="E2632" s="76" t="s">
        <v>395</v>
      </c>
      <c r="F2632" s="76" t="s">
        <v>396</v>
      </c>
      <c r="G2632" s="76" t="s">
        <v>397</v>
      </c>
      <c r="H2632" s="108"/>
      <c r="I2632" s="71"/>
    </row>
    <row r="2633" spans="1:9" s="65" customFormat="1" ht="33">
      <c r="A2633" s="135" t="s">
        <v>536</v>
      </c>
      <c r="B2633" s="204" t="s">
        <v>537</v>
      </c>
      <c r="C2633" s="127" t="s">
        <v>426</v>
      </c>
      <c r="D2633" s="107">
        <v>22021</v>
      </c>
      <c r="E2633" s="79">
        <v>0.4</v>
      </c>
      <c r="F2633" s="79">
        <v>0</v>
      </c>
      <c r="G2633" s="107">
        <f>(D2633*E2633)+((D2633*E2633)*F2633/100)</f>
        <v>8808.4</v>
      </c>
      <c r="H2633" s="108"/>
      <c r="I2633" s="71"/>
    </row>
    <row r="2634" spans="1:9" s="65" customFormat="1">
      <c r="A2634" s="90"/>
      <c r="B2634" s="91"/>
      <c r="C2634" s="91"/>
      <c r="D2634" s="91"/>
      <c r="E2634" s="91"/>
      <c r="F2634"/>
      <c r="G2634" s="93" t="s">
        <v>407</v>
      </c>
      <c r="H2634" s="107">
        <f>SUM(G2633:G2633)</f>
        <v>8808.4</v>
      </c>
      <c r="I2634" s="71"/>
    </row>
    <row r="2635" spans="1:9" s="65" customFormat="1">
      <c r="A2635" s="72" t="s">
        <v>411</v>
      </c>
      <c r="B2635" s="73"/>
      <c r="C2635" s="73"/>
      <c r="D2635" s="73"/>
      <c r="E2635" s="73"/>
      <c r="F2635"/>
      <c r="G2635" s="74"/>
      <c r="H2635" s="108"/>
      <c r="I2635" s="71"/>
    </row>
    <row r="2636" spans="1:9" s="65" customFormat="1">
      <c r="A2636" s="75" t="s">
        <v>391</v>
      </c>
      <c r="B2636" s="76" t="s">
        <v>392</v>
      </c>
      <c r="C2636" s="76" t="s">
        <v>393</v>
      </c>
      <c r="D2636" s="76" t="s">
        <v>394</v>
      </c>
      <c r="E2636" s="76" t="s">
        <v>395</v>
      </c>
      <c r="F2636" s="76" t="s">
        <v>396</v>
      </c>
      <c r="G2636" s="76" t="s">
        <v>397</v>
      </c>
      <c r="H2636" s="108"/>
      <c r="I2636" s="71"/>
    </row>
    <row r="2637" spans="1:9" s="65" customFormat="1">
      <c r="A2637" s="87" t="s">
        <v>409</v>
      </c>
      <c r="B2637" s="114" t="s">
        <v>409</v>
      </c>
      <c r="C2637" s="114" t="s">
        <v>409</v>
      </c>
      <c r="D2637" s="114" t="s">
        <v>409</v>
      </c>
      <c r="E2637" s="114" t="s">
        <v>409</v>
      </c>
      <c r="F2637" s="79" t="s">
        <v>409</v>
      </c>
      <c r="G2637" s="89" t="s">
        <v>409</v>
      </c>
      <c r="H2637" s="108"/>
      <c r="I2637" s="71"/>
    </row>
    <row r="2638" spans="1:9" s="65" customFormat="1">
      <c r="A2638" s="94"/>
      <c r="B2638" s="95"/>
      <c r="C2638" s="95"/>
      <c r="D2638" s="95"/>
      <c r="E2638" s="95"/>
      <c r="F2638"/>
      <c r="G2638" s="93" t="s">
        <v>407</v>
      </c>
      <c r="H2638" s="107">
        <f>SUM(G2636:G2637)</f>
        <v>0</v>
      </c>
      <c r="I2638" s="71"/>
    </row>
    <row r="2639" spans="1:9" s="65" customFormat="1">
      <c r="A2639" s="94"/>
      <c r="B2639" s="95"/>
      <c r="C2639" s="95"/>
      <c r="D2639" s="95"/>
      <c r="E2639" s="95"/>
      <c r="F2639"/>
      <c r="G2639" s="74"/>
      <c r="H2639" s="74"/>
      <c r="I2639" s="71"/>
    </row>
    <row r="2640" spans="1:9" s="65" customFormat="1">
      <c r="A2640" s="96"/>
      <c r="B2640" s="97"/>
      <c r="C2640" s="98"/>
      <c r="D2640" s="98"/>
      <c r="E2640" s="98"/>
      <c r="F2640"/>
      <c r="G2640" s="99" t="s">
        <v>412</v>
      </c>
      <c r="H2640" s="115">
        <f>SUM(H2622:H2638)</f>
        <v>21232.556</v>
      </c>
      <c r="I2640" s="71"/>
    </row>
    <row r="2641" spans="1:9" s="65" customFormat="1">
      <c r="A2641" s="96"/>
      <c r="B2641" s="97"/>
      <c r="C2641" s="98"/>
      <c r="D2641" s="98"/>
      <c r="E2641" s="98"/>
      <c r="F2641" s="101"/>
      <c r="G2641" s="116"/>
      <c r="H2641" s="70"/>
      <c r="I2641" s="71"/>
    </row>
    <row r="2642" spans="1:9" s="65" customFormat="1" ht="15.75" thickBot="1">
      <c r="A2642" s="624" t="s">
        <v>502</v>
      </c>
      <c r="B2642" s="625"/>
      <c r="C2642" s="625"/>
      <c r="D2642" s="625"/>
      <c r="E2642" s="625"/>
      <c r="F2642" s="625"/>
      <c r="G2642" s="626"/>
      <c r="H2642" s="117">
        <f>+ROUND(H2640,0)</f>
        <v>21233</v>
      </c>
      <c r="I2642" s="103"/>
    </row>
    <row r="2643" spans="1:9" s="65" customFormat="1" ht="15.75" thickBot="1">
      <c r="A2643"/>
      <c r="B2643"/>
      <c r="C2643"/>
      <c r="D2643"/>
      <c r="E2643"/>
      <c r="F2643"/>
      <c r="G2643"/>
      <c r="H2643"/>
      <c r="I2643"/>
    </row>
    <row r="2644" spans="1:9" s="65" customFormat="1">
      <c r="A2644" s="627"/>
      <c r="B2644" s="629" t="s">
        <v>1204</v>
      </c>
      <c r="C2644" s="630"/>
      <c r="D2644" s="630"/>
      <c r="E2644" s="630"/>
      <c r="F2644" s="630"/>
      <c r="G2644" s="630"/>
      <c r="H2644" s="630"/>
      <c r="I2644" s="66" t="s">
        <v>389</v>
      </c>
    </row>
    <row r="2645" spans="1:9" s="65" customFormat="1">
      <c r="A2645" s="628"/>
      <c r="B2645" s="631"/>
      <c r="C2645" s="632"/>
      <c r="D2645" s="632"/>
      <c r="E2645" s="632"/>
      <c r="F2645" s="632"/>
      <c r="G2645" s="632"/>
      <c r="H2645" s="632"/>
      <c r="I2645" s="67" t="s">
        <v>7</v>
      </c>
    </row>
    <row r="2646" spans="1:9" s="65" customFormat="1">
      <c r="A2646" s="68"/>
      <c r="B2646" s="69"/>
      <c r="C2646" s="69"/>
      <c r="D2646" s="69"/>
      <c r="E2646" s="69"/>
      <c r="F2646" s="70"/>
      <c r="G2646" s="70"/>
      <c r="H2646" s="70"/>
      <c r="I2646" s="71"/>
    </row>
    <row r="2647" spans="1:9" s="65" customFormat="1">
      <c r="A2647" s="72" t="s">
        <v>390</v>
      </c>
      <c r="B2647" s="73"/>
      <c r="C2647" s="73"/>
      <c r="D2647" s="73"/>
      <c r="E2647" s="73"/>
      <c r="F2647" s="74"/>
      <c r="G2647" s="74"/>
      <c r="H2647" s="70"/>
      <c r="I2647" s="71"/>
    </row>
    <row r="2648" spans="1:9" s="65" customFormat="1">
      <c r="A2648" s="75" t="s">
        <v>391</v>
      </c>
      <c r="B2648" s="76" t="s">
        <v>392</v>
      </c>
      <c r="C2648" s="76" t="s">
        <v>393</v>
      </c>
      <c r="D2648" s="76" t="s">
        <v>394</v>
      </c>
      <c r="E2648" s="76" t="s">
        <v>395</v>
      </c>
      <c r="F2648" s="76" t="s">
        <v>396</v>
      </c>
      <c r="G2648" s="76" t="s">
        <v>397</v>
      </c>
      <c r="H2648" s="74"/>
      <c r="I2648" s="71"/>
    </row>
    <row r="2649" spans="1:9" s="65" customFormat="1" ht="16.5">
      <c r="A2649" s="135" t="s">
        <v>404</v>
      </c>
      <c r="B2649" s="204" t="s">
        <v>405</v>
      </c>
      <c r="C2649" s="127" t="s">
        <v>523</v>
      </c>
      <c r="D2649" s="107">
        <v>1250</v>
      </c>
      <c r="E2649" s="79">
        <v>0.4</v>
      </c>
      <c r="F2649" s="79">
        <v>0</v>
      </c>
      <c r="G2649" s="107">
        <f>(D2649*E2649)+((D2649*E2649)*F2649/100)</f>
        <v>500</v>
      </c>
      <c r="H2649" s="74"/>
      <c r="I2649" s="71"/>
    </row>
    <row r="2650" spans="1:9" s="65" customFormat="1">
      <c r="A2650" s="82"/>
      <c r="B2650" s="83"/>
      <c r="C2650" s="84"/>
      <c r="D2650" s="84"/>
      <c r="E2650" s="84"/>
      <c r="F2650"/>
      <c r="G2650" s="93" t="s">
        <v>407</v>
      </c>
      <c r="H2650" s="107">
        <f>SUM(G2649:G2649)</f>
        <v>500</v>
      </c>
      <c r="I2650" s="71"/>
    </row>
    <row r="2651" spans="1:9" s="65" customFormat="1">
      <c r="A2651" s="72" t="s">
        <v>408</v>
      </c>
      <c r="B2651" s="73"/>
      <c r="C2651" s="73"/>
      <c r="D2651" s="73"/>
      <c r="E2651" s="73"/>
      <c r="F2651"/>
      <c r="G2651" s="74"/>
      <c r="H2651" s="108"/>
      <c r="I2651" s="71"/>
    </row>
    <row r="2652" spans="1:9" s="65" customFormat="1">
      <c r="A2652" s="75" t="s">
        <v>391</v>
      </c>
      <c r="B2652" s="76" t="s">
        <v>392</v>
      </c>
      <c r="C2652" s="76" t="s">
        <v>393</v>
      </c>
      <c r="D2652" s="76" t="s">
        <v>394</v>
      </c>
      <c r="E2652" s="76" t="s">
        <v>395</v>
      </c>
      <c r="F2652" s="76" t="s">
        <v>396</v>
      </c>
      <c r="G2652" s="76" t="s">
        <v>397</v>
      </c>
      <c r="H2652" s="108"/>
      <c r="I2652" s="71"/>
    </row>
    <row r="2653" spans="1:9" s="65" customFormat="1" ht="16.5">
      <c r="A2653" s="135">
        <v>889</v>
      </c>
      <c r="B2653" s="204" t="s">
        <v>567</v>
      </c>
      <c r="C2653" s="127" t="s">
        <v>157</v>
      </c>
      <c r="D2653" s="107">
        <v>4122.6400000000003</v>
      </c>
      <c r="E2653" s="79">
        <v>1</v>
      </c>
      <c r="F2653" s="79">
        <v>0</v>
      </c>
      <c r="G2653" s="107">
        <f>(D2653*E2653)+((D2653*E2653)*F2653/100)</f>
        <v>4122.6400000000003</v>
      </c>
      <c r="H2653" s="108"/>
      <c r="I2653" s="71"/>
    </row>
    <row r="2654" spans="1:9" s="65" customFormat="1" ht="16.5">
      <c r="A2654" s="135">
        <v>2511</v>
      </c>
      <c r="B2654" s="204" t="s">
        <v>563</v>
      </c>
      <c r="C2654" s="127" t="s">
        <v>157</v>
      </c>
      <c r="D2654" s="107">
        <v>48100</v>
      </c>
      <c r="E2654" s="79">
        <v>4.0000000000000001E-3</v>
      </c>
      <c r="F2654" s="79">
        <v>0</v>
      </c>
      <c r="G2654" s="107">
        <f>(D2654*E2654)+((D2654*E2654)*F2654/100)</f>
        <v>192.4</v>
      </c>
      <c r="H2654" s="108"/>
      <c r="I2654" s="71"/>
    </row>
    <row r="2655" spans="1:9" s="65" customFormat="1" ht="16.5">
      <c r="A2655" s="135">
        <v>3030</v>
      </c>
      <c r="B2655" s="204" t="s">
        <v>568</v>
      </c>
      <c r="C2655" s="127" t="s">
        <v>493</v>
      </c>
      <c r="D2655" s="107">
        <v>11057.12</v>
      </c>
      <c r="E2655" s="79">
        <v>1</v>
      </c>
      <c r="F2655" s="79">
        <v>0.02</v>
      </c>
      <c r="G2655" s="107">
        <f>(D2655*E2655)+((D2655*E2655)*F2655/100)</f>
        <v>11059.331424</v>
      </c>
      <c r="H2655" s="108"/>
      <c r="I2655" s="71"/>
    </row>
    <row r="2656" spans="1:9" s="65" customFormat="1" ht="16.5">
      <c r="A2656" s="135">
        <v>4066</v>
      </c>
      <c r="B2656" s="204" t="s">
        <v>566</v>
      </c>
      <c r="C2656" s="127" t="s">
        <v>157</v>
      </c>
      <c r="D2656" s="107">
        <v>23195</v>
      </c>
      <c r="E2656" s="79">
        <v>4.0000000000000001E-3</v>
      </c>
      <c r="F2656" s="79">
        <v>0</v>
      </c>
      <c r="G2656" s="107">
        <f>(D2656*E2656)+((D2656*E2656)*F2656/100)</f>
        <v>92.78</v>
      </c>
      <c r="H2656" s="108"/>
      <c r="I2656" s="71"/>
    </row>
    <row r="2657" spans="1:9" s="65" customFormat="1">
      <c r="A2657" s="90"/>
      <c r="B2657" s="91"/>
      <c r="C2657" s="91"/>
      <c r="D2657" s="91"/>
      <c r="E2657" s="91"/>
      <c r="F2657"/>
      <c r="G2657" s="85" t="s">
        <v>407</v>
      </c>
      <c r="H2657" s="107">
        <f>SUM(G2653:G2656)</f>
        <v>15467.151424000001</v>
      </c>
      <c r="I2657" s="71"/>
    </row>
    <row r="2658" spans="1:9" s="65" customFormat="1">
      <c r="A2658" s="72" t="s">
        <v>410</v>
      </c>
      <c r="B2658" s="73"/>
      <c r="C2658" s="73"/>
      <c r="D2658" s="73"/>
      <c r="E2658" s="73"/>
      <c r="F2658"/>
      <c r="G2658" s="74"/>
      <c r="H2658" s="108"/>
      <c r="I2658" s="71"/>
    </row>
    <row r="2659" spans="1:9" s="65" customFormat="1">
      <c r="A2659" s="75" t="s">
        <v>391</v>
      </c>
      <c r="B2659" s="76" t="s">
        <v>392</v>
      </c>
      <c r="C2659" s="76" t="s">
        <v>393</v>
      </c>
      <c r="D2659" s="76" t="s">
        <v>394</v>
      </c>
      <c r="E2659" s="76" t="s">
        <v>395</v>
      </c>
      <c r="F2659" s="76" t="s">
        <v>396</v>
      </c>
      <c r="G2659" s="76" t="s">
        <v>397</v>
      </c>
      <c r="H2659" s="108"/>
      <c r="I2659" s="71"/>
    </row>
    <row r="2660" spans="1:9" s="65" customFormat="1" ht="33">
      <c r="A2660" s="135" t="s">
        <v>536</v>
      </c>
      <c r="B2660" s="204" t="s">
        <v>537</v>
      </c>
      <c r="C2660" s="127" t="s">
        <v>426</v>
      </c>
      <c r="D2660" s="107">
        <v>22021</v>
      </c>
      <c r="E2660" s="79">
        <v>0.6</v>
      </c>
      <c r="F2660" s="79">
        <v>0</v>
      </c>
      <c r="G2660" s="107">
        <f>(D2660*E2660)+((D2660*E2660)*F2660/100)</f>
        <v>13212.6</v>
      </c>
      <c r="H2660" s="108"/>
      <c r="I2660" s="71"/>
    </row>
    <row r="2661" spans="1:9" s="65" customFormat="1">
      <c r="A2661" s="90"/>
      <c r="B2661" s="91"/>
      <c r="C2661" s="91"/>
      <c r="D2661" s="91"/>
      <c r="E2661" s="91"/>
      <c r="F2661"/>
      <c r="G2661" s="93" t="s">
        <v>407</v>
      </c>
      <c r="H2661" s="107">
        <f>SUM(G2660:G2660)</f>
        <v>13212.6</v>
      </c>
      <c r="I2661" s="71"/>
    </row>
    <row r="2662" spans="1:9" s="65" customFormat="1">
      <c r="A2662" s="72" t="s">
        <v>411</v>
      </c>
      <c r="B2662" s="73"/>
      <c r="C2662" s="73"/>
      <c r="D2662" s="73"/>
      <c r="E2662" s="73"/>
      <c r="F2662"/>
      <c r="G2662" s="74"/>
      <c r="H2662" s="108"/>
      <c r="I2662" s="71"/>
    </row>
    <row r="2663" spans="1:9" s="65" customFormat="1">
      <c r="A2663" s="75" t="s">
        <v>391</v>
      </c>
      <c r="B2663" s="76" t="s">
        <v>392</v>
      </c>
      <c r="C2663" s="76" t="s">
        <v>393</v>
      </c>
      <c r="D2663" s="76" t="s">
        <v>394</v>
      </c>
      <c r="E2663" s="76" t="s">
        <v>395</v>
      </c>
      <c r="F2663" s="76" t="s">
        <v>396</v>
      </c>
      <c r="G2663" s="76" t="s">
        <v>397</v>
      </c>
      <c r="H2663" s="108"/>
      <c r="I2663" s="71"/>
    </row>
    <row r="2664" spans="1:9" s="65" customFormat="1">
      <c r="A2664" s="87" t="s">
        <v>409</v>
      </c>
      <c r="B2664" s="114" t="s">
        <v>409</v>
      </c>
      <c r="C2664" s="114" t="s">
        <v>409</v>
      </c>
      <c r="D2664" s="114" t="s">
        <v>409</v>
      </c>
      <c r="E2664" s="114" t="s">
        <v>409</v>
      </c>
      <c r="F2664" s="79" t="s">
        <v>409</v>
      </c>
      <c r="G2664" s="89" t="s">
        <v>409</v>
      </c>
      <c r="H2664" s="108"/>
      <c r="I2664" s="71"/>
    </row>
    <row r="2665" spans="1:9" s="65" customFormat="1">
      <c r="A2665" s="94"/>
      <c r="B2665" s="95"/>
      <c r="C2665" s="95"/>
      <c r="D2665" s="95"/>
      <c r="E2665" s="95"/>
      <c r="F2665"/>
      <c r="G2665" s="93" t="s">
        <v>407</v>
      </c>
      <c r="H2665" s="107">
        <f>SUM(G2663:G2664)</f>
        <v>0</v>
      </c>
      <c r="I2665" s="71"/>
    </row>
    <row r="2666" spans="1:9" s="65" customFormat="1">
      <c r="A2666" s="94"/>
      <c r="B2666" s="95"/>
      <c r="C2666" s="95"/>
      <c r="D2666" s="95"/>
      <c r="E2666" s="95"/>
      <c r="F2666"/>
      <c r="G2666" s="74"/>
      <c r="H2666" s="74"/>
      <c r="I2666" s="71"/>
    </row>
    <row r="2667" spans="1:9" s="65" customFormat="1">
      <c r="A2667" s="96"/>
      <c r="B2667" s="97"/>
      <c r="C2667" s="98"/>
      <c r="D2667" s="98"/>
      <c r="E2667" s="98"/>
      <c r="F2667"/>
      <c r="G2667" s="99" t="s">
        <v>412</v>
      </c>
      <c r="H2667" s="115">
        <f>SUM(H2650:H2665)</f>
        <v>29179.751424000002</v>
      </c>
      <c r="I2667" s="71"/>
    </row>
    <row r="2668" spans="1:9" s="65" customFormat="1">
      <c r="A2668" s="96"/>
      <c r="B2668" s="97"/>
      <c r="C2668" s="98"/>
      <c r="D2668" s="98"/>
      <c r="E2668" s="98"/>
      <c r="F2668" s="101"/>
      <c r="G2668" s="116"/>
      <c r="H2668" s="70"/>
      <c r="I2668" s="71"/>
    </row>
    <row r="2669" spans="1:9" s="65" customFormat="1" ht="15.75" thickBot="1">
      <c r="A2669" s="624" t="s">
        <v>502</v>
      </c>
      <c r="B2669" s="625"/>
      <c r="C2669" s="625"/>
      <c r="D2669" s="625"/>
      <c r="E2669" s="625"/>
      <c r="F2669" s="625"/>
      <c r="G2669" s="626"/>
      <c r="H2669" s="117">
        <f>+ROUND(H2667,0)</f>
        <v>29180</v>
      </c>
      <c r="I2669" s="103"/>
    </row>
    <row r="2670" spans="1:9" s="65" customFormat="1" ht="15.75" thickBot="1">
      <c r="A2670"/>
      <c r="B2670"/>
      <c r="C2670"/>
      <c r="D2670"/>
      <c r="E2670"/>
      <c r="F2670"/>
      <c r="G2670"/>
      <c r="H2670"/>
      <c r="I2670"/>
    </row>
    <row r="2671" spans="1:9" s="65" customFormat="1">
      <c r="A2671" s="627"/>
      <c r="B2671" s="629" t="s">
        <v>1205</v>
      </c>
      <c r="C2671" s="630"/>
      <c r="D2671" s="630"/>
      <c r="E2671" s="630"/>
      <c r="F2671" s="630"/>
      <c r="G2671" s="630"/>
      <c r="H2671" s="630"/>
      <c r="I2671" s="66" t="s">
        <v>389</v>
      </c>
    </row>
    <row r="2672" spans="1:9" s="65" customFormat="1">
      <c r="A2672" s="628"/>
      <c r="B2672" s="631"/>
      <c r="C2672" s="632"/>
      <c r="D2672" s="632"/>
      <c r="E2672" s="632"/>
      <c r="F2672" s="632"/>
      <c r="G2672" s="632"/>
      <c r="H2672" s="632"/>
      <c r="I2672" s="67" t="s">
        <v>7</v>
      </c>
    </row>
    <row r="2673" spans="1:9" s="65" customFormat="1">
      <c r="A2673" s="68"/>
      <c r="B2673" s="69"/>
      <c r="C2673" s="69"/>
      <c r="D2673" s="69"/>
      <c r="E2673" s="69"/>
      <c r="F2673" s="70"/>
      <c r="G2673" s="70"/>
      <c r="H2673" s="70"/>
      <c r="I2673" s="71"/>
    </row>
    <row r="2674" spans="1:9" s="65" customFormat="1">
      <c r="A2674" s="72" t="s">
        <v>390</v>
      </c>
      <c r="B2674" s="73"/>
      <c r="C2674" s="73"/>
      <c r="D2674" s="73"/>
      <c r="E2674" s="73"/>
      <c r="F2674" s="74"/>
      <c r="G2674" s="74"/>
      <c r="H2674" s="70"/>
      <c r="I2674" s="71"/>
    </row>
    <row r="2675" spans="1:9" s="65" customFormat="1">
      <c r="A2675" s="75" t="s">
        <v>391</v>
      </c>
      <c r="B2675" s="76" t="s">
        <v>392</v>
      </c>
      <c r="C2675" s="76" t="s">
        <v>393</v>
      </c>
      <c r="D2675" s="76" t="s">
        <v>394</v>
      </c>
      <c r="E2675" s="76" t="s">
        <v>395</v>
      </c>
      <c r="F2675" s="76" t="s">
        <v>396</v>
      </c>
      <c r="G2675" s="76" t="s">
        <v>397</v>
      </c>
      <c r="H2675" s="74"/>
      <c r="I2675" s="71"/>
    </row>
    <row r="2676" spans="1:9" s="65" customFormat="1" ht="16.5">
      <c r="A2676" s="135" t="s">
        <v>404</v>
      </c>
      <c r="B2676" s="204" t="s">
        <v>405</v>
      </c>
      <c r="C2676" s="127" t="s">
        <v>523</v>
      </c>
      <c r="D2676" s="107">
        <v>1250</v>
      </c>
      <c r="E2676" s="79">
        <v>0.4</v>
      </c>
      <c r="F2676" s="79">
        <v>0</v>
      </c>
      <c r="G2676" s="107">
        <f>(D2676*E2676)+((D2676*E2676)*F2676/100)</f>
        <v>500</v>
      </c>
      <c r="H2676" s="74"/>
      <c r="I2676" s="71"/>
    </row>
    <row r="2677" spans="1:9" s="65" customFormat="1">
      <c r="A2677" s="82"/>
      <c r="B2677" s="83"/>
      <c r="C2677" s="84"/>
      <c r="D2677" s="84"/>
      <c r="E2677" s="84"/>
      <c r="F2677"/>
      <c r="G2677" s="93" t="s">
        <v>407</v>
      </c>
      <c r="H2677" s="107">
        <f>SUM(G2676:G2676)</f>
        <v>500</v>
      </c>
      <c r="I2677" s="71"/>
    </row>
    <row r="2678" spans="1:9" s="65" customFormat="1">
      <c r="A2678" s="72" t="s">
        <v>408</v>
      </c>
      <c r="B2678" s="73"/>
      <c r="C2678" s="73"/>
      <c r="D2678" s="73"/>
      <c r="E2678" s="73"/>
      <c r="F2678"/>
      <c r="G2678" s="74"/>
      <c r="H2678" s="108"/>
      <c r="I2678" s="71"/>
    </row>
    <row r="2679" spans="1:9" s="65" customFormat="1">
      <c r="A2679" s="75" t="s">
        <v>391</v>
      </c>
      <c r="B2679" s="76" t="s">
        <v>392</v>
      </c>
      <c r="C2679" s="76" t="s">
        <v>393</v>
      </c>
      <c r="D2679" s="76" t="s">
        <v>394</v>
      </c>
      <c r="E2679" s="76" t="s">
        <v>395</v>
      </c>
      <c r="F2679" s="76" t="s">
        <v>396</v>
      </c>
      <c r="G2679" s="76" t="s">
        <v>397</v>
      </c>
      <c r="H2679" s="108"/>
      <c r="I2679" s="71"/>
    </row>
    <row r="2680" spans="1:9" s="65" customFormat="1" ht="16.5">
      <c r="A2680" s="135">
        <v>889</v>
      </c>
      <c r="B2680" s="204" t="s">
        <v>569</v>
      </c>
      <c r="C2680" s="127" t="s">
        <v>157</v>
      </c>
      <c r="D2680" s="107">
        <v>7102.68</v>
      </c>
      <c r="E2680" s="79">
        <v>1</v>
      </c>
      <c r="F2680" s="79">
        <v>0</v>
      </c>
      <c r="G2680" s="107">
        <f>(D2680*E2680)+((D2680*E2680)*F2680/100)</f>
        <v>7102.68</v>
      </c>
      <c r="H2680" s="108"/>
      <c r="I2680" s="71"/>
    </row>
    <row r="2681" spans="1:9" s="65" customFormat="1" ht="16.5">
      <c r="A2681" s="135">
        <v>2511</v>
      </c>
      <c r="B2681" s="204" t="s">
        <v>563</v>
      </c>
      <c r="C2681" s="127" t="s">
        <v>157</v>
      </c>
      <c r="D2681" s="107">
        <v>48100</v>
      </c>
      <c r="E2681" s="79">
        <v>6.0000000000000001E-3</v>
      </c>
      <c r="F2681" s="79">
        <v>0</v>
      </c>
      <c r="G2681" s="107">
        <f>(D2681*E2681)+((D2681*E2681)*F2681/100)</f>
        <v>288.60000000000002</v>
      </c>
      <c r="H2681" s="108"/>
      <c r="I2681" s="71"/>
    </row>
    <row r="2682" spans="1:9" s="65" customFormat="1" ht="16.5">
      <c r="A2682" s="135">
        <v>3030</v>
      </c>
      <c r="B2682" s="204" t="s">
        <v>570</v>
      </c>
      <c r="C2682" s="127" t="s">
        <v>493</v>
      </c>
      <c r="D2682" s="107">
        <v>15409.44</v>
      </c>
      <c r="E2682" s="79">
        <v>1</v>
      </c>
      <c r="F2682" s="79">
        <v>3</v>
      </c>
      <c r="G2682" s="107">
        <f>(D2682*E2682)+((D2682*E2682)*F2682/100)</f>
        <v>15871.7232</v>
      </c>
      <c r="H2682" s="108"/>
      <c r="I2682" s="71"/>
    </row>
    <row r="2683" spans="1:9" s="65" customFormat="1" ht="16.5">
      <c r="A2683" s="135">
        <v>4066</v>
      </c>
      <c r="B2683" s="204" t="s">
        <v>566</v>
      </c>
      <c r="C2683" s="127" t="s">
        <v>157</v>
      </c>
      <c r="D2683" s="107">
        <v>23195</v>
      </c>
      <c r="E2683" s="79">
        <v>6.0000000000000001E-3</v>
      </c>
      <c r="F2683" s="79">
        <v>0</v>
      </c>
      <c r="G2683" s="107">
        <f>(D2683*E2683)+((D2683*E2683)*F2683/100)</f>
        <v>139.17000000000002</v>
      </c>
      <c r="H2683" s="108"/>
      <c r="I2683" s="71"/>
    </row>
    <row r="2684" spans="1:9" s="65" customFormat="1">
      <c r="A2684" s="90"/>
      <c r="B2684" s="91"/>
      <c r="C2684" s="91"/>
      <c r="D2684" s="91"/>
      <c r="E2684" s="91"/>
      <c r="F2684"/>
      <c r="G2684" s="85" t="s">
        <v>407</v>
      </c>
      <c r="H2684" s="107">
        <f>SUM(G2680:G2683)</f>
        <v>23402.173199999997</v>
      </c>
      <c r="I2684" s="71"/>
    </row>
    <row r="2685" spans="1:9" s="65" customFormat="1">
      <c r="A2685" s="72" t="s">
        <v>410</v>
      </c>
      <c r="B2685" s="73"/>
      <c r="C2685" s="73"/>
      <c r="D2685" s="73"/>
      <c r="E2685" s="73"/>
      <c r="F2685"/>
      <c r="G2685" s="74"/>
      <c r="H2685" s="108"/>
      <c r="I2685" s="71"/>
    </row>
    <row r="2686" spans="1:9" s="65" customFormat="1">
      <c r="A2686" s="75" t="s">
        <v>391</v>
      </c>
      <c r="B2686" s="76" t="s">
        <v>392</v>
      </c>
      <c r="C2686" s="76" t="s">
        <v>393</v>
      </c>
      <c r="D2686" s="76" t="s">
        <v>394</v>
      </c>
      <c r="E2686" s="76" t="s">
        <v>395</v>
      </c>
      <c r="F2686" s="76" t="s">
        <v>396</v>
      </c>
      <c r="G2686" s="76" t="s">
        <v>397</v>
      </c>
      <c r="H2686" s="108"/>
      <c r="I2686" s="71"/>
    </row>
    <row r="2687" spans="1:9" s="65" customFormat="1" ht="33">
      <c r="A2687" s="135" t="s">
        <v>536</v>
      </c>
      <c r="B2687" s="204" t="s">
        <v>537</v>
      </c>
      <c r="C2687" s="127" t="s">
        <v>426</v>
      </c>
      <c r="D2687" s="107">
        <v>22021</v>
      </c>
      <c r="E2687" s="79">
        <v>0.8</v>
      </c>
      <c r="F2687" s="79">
        <v>0</v>
      </c>
      <c r="G2687" s="107">
        <f>(D2687*E2687)+((D2687*E2687)*F2687/100)</f>
        <v>17616.8</v>
      </c>
      <c r="H2687" s="108"/>
      <c r="I2687" s="71"/>
    </row>
    <row r="2688" spans="1:9" s="65" customFormat="1">
      <c r="A2688" s="90"/>
      <c r="B2688" s="91"/>
      <c r="C2688" s="91"/>
      <c r="D2688" s="91"/>
      <c r="E2688" s="91"/>
      <c r="F2688"/>
      <c r="G2688" s="93" t="s">
        <v>407</v>
      </c>
      <c r="H2688" s="107">
        <f>SUM(G2687:G2687)</f>
        <v>17616.8</v>
      </c>
      <c r="I2688" s="71"/>
    </row>
    <row r="2689" spans="1:9" s="65" customFormat="1">
      <c r="A2689" s="72" t="s">
        <v>411</v>
      </c>
      <c r="B2689" s="73"/>
      <c r="C2689" s="73"/>
      <c r="D2689" s="73"/>
      <c r="E2689" s="73"/>
      <c r="F2689"/>
      <c r="G2689" s="74"/>
      <c r="H2689" s="108"/>
      <c r="I2689" s="71"/>
    </row>
    <row r="2690" spans="1:9" s="65" customFormat="1">
      <c r="A2690" s="75" t="s">
        <v>391</v>
      </c>
      <c r="B2690" s="76" t="s">
        <v>392</v>
      </c>
      <c r="C2690" s="76" t="s">
        <v>393</v>
      </c>
      <c r="D2690" s="76" t="s">
        <v>394</v>
      </c>
      <c r="E2690" s="76" t="s">
        <v>395</v>
      </c>
      <c r="F2690" s="76" t="s">
        <v>396</v>
      </c>
      <c r="G2690" s="76" t="s">
        <v>397</v>
      </c>
      <c r="H2690" s="108"/>
      <c r="I2690" s="71"/>
    </row>
    <row r="2691" spans="1:9" s="65" customFormat="1">
      <c r="A2691" s="87" t="s">
        <v>409</v>
      </c>
      <c r="B2691" s="114" t="s">
        <v>409</v>
      </c>
      <c r="C2691" s="114" t="s">
        <v>409</v>
      </c>
      <c r="D2691" s="114" t="s">
        <v>409</v>
      </c>
      <c r="E2691" s="114" t="s">
        <v>409</v>
      </c>
      <c r="F2691" s="79" t="s">
        <v>409</v>
      </c>
      <c r="G2691" s="89" t="s">
        <v>409</v>
      </c>
      <c r="H2691" s="108"/>
      <c r="I2691" s="71"/>
    </row>
    <row r="2692" spans="1:9" s="65" customFormat="1">
      <c r="A2692" s="94"/>
      <c r="B2692" s="95"/>
      <c r="C2692" s="95"/>
      <c r="D2692" s="95"/>
      <c r="E2692" s="95"/>
      <c r="F2692"/>
      <c r="G2692" s="93" t="s">
        <v>407</v>
      </c>
      <c r="H2692" s="107">
        <f>SUM(G2690:G2691)</f>
        <v>0</v>
      </c>
      <c r="I2692" s="71"/>
    </row>
    <row r="2693" spans="1:9" s="65" customFormat="1">
      <c r="A2693" s="94"/>
      <c r="B2693" s="95"/>
      <c r="C2693" s="95"/>
      <c r="D2693" s="95"/>
      <c r="E2693" s="95"/>
      <c r="F2693"/>
      <c r="G2693" s="74"/>
      <c r="H2693" s="74"/>
      <c r="I2693" s="71"/>
    </row>
    <row r="2694" spans="1:9" s="65" customFormat="1">
      <c r="A2694" s="96"/>
      <c r="B2694" s="97"/>
      <c r="C2694" s="98"/>
      <c r="D2694" s="98"/>
      <c r="E2694" s="98"/>
      <c r="F2694"/>
      <c r="G2694" s="99" t="s">
        <v>412</v>
      </c>
      <c r="H2694" s="115">
        <f>SUM(H2677:H2692)</f>
        <v>41518.973199999993</v>
      </c>
      <c r="I2694" s="71"/>
    </row>
    <row r="2695" spans="1:9" s="65" customFormat="1">
      <c r="A2695" s="96"/>
      <c r="B2695" s="97"/>
      <c r="C2695" s="98"/>
      <c r="D2695" s="98"/>
      <c r="E2695" s="98"/>
      <c r="F2695" s="101"/>
      <c r="G2695" s="116"/>
      <c r="H2695" s="70"/>
      <c r="I2695" s="71"/>
    </row>
    <row r="2696" spans="1:9" s="65" customFormat="1" ht="15.75" thickBot="1">
      <c r="A2696" s="624" t="s">
        <v>502</v>
      </c>
      <c r="B2696" s="625"/>
      <c r="C2696" s="625"/>
      <c r="D2696" s="625"/>
      <c r="E2696" s="625"/>
      <c r="F2696" s="625"/>
      <c r="G2696" s="626"/>
      <c r="H2696" s="117">
        <f>+ROUND(H2694,0)</f>
        <v>41519</v>
      </c>
      <c r="I2696" s="103"/>
    </row>
    <row r="2697" spans="1:9" s="65" customFormat="1">
      <c r="B2697" s="97"/>
      <c r="C2697" s="98"/>
      <c r="D2697" s="98"/>
      <c r="E2697" s="98"/>
      <c r="G2697" s="128"/>
    </row>
    <row r="2698" spans="1:9" s="65" customFormat="1" ht="15.75" thickBot="1">
      <c r="B2698" s="97"/>
      <c r="C2698" s="98"/>
      <c r="D2698" s="98"/>
      <c r="E2698" s="98"/>
      <c r="F2698" s="128"/>
      <c r="G2698" s="133"/>
      <c r="H2698" s="134"/>
    </row>
    <row r="2699" spans="1:9" s="65" customFormat="1">
      <c r="A2699" s="647"/>
      <c r="B2699" s="649" t="s">
        <v>1206</v>
      </c>
      <c r="C2699" s="650"/>
      <c r="D2699" s="650"/>
      <c r="E2699" s="650"/>
      <c r="F2699" s="650"/>
      <c r="G2699" s="650"/>
      <c r="H2699" s="650"/>
      <c r="I2699" s="283" t="s">
        <v>389</v>
      </c>
    </row>
    <row r="2700" spans="1:9" s="65" customFormat="1">
      <c r="A2700" s="648"/>
      <c r="B2700" s="651"/>
      <c r="C2700" s="652"/>
      <c r="D2700" s="652"/>
      <c r="E2700" s="652"/>
      <c r="F2700" s="652"/>
      <c r="G2700" s="652"/>
      <c r="H2700" s="652"/>
      <c r="I2700" s="284" t="s">
        <v>7</v>
      </c>
    </row>
    <row r="2701" spans="1:9" s="65" customFormat="1">
      <c r="A2701" s="68"/>
      <c r="B2701" s="69"/>
      <c r="C2701" s="69"/>
      <c r="D2701" s="69"/>
      <c r="E2701" s="69"/>
      <c r="F2701" s="218"/>
      <c r="G2701" s="218"/>
      <c r="H2701" s="218"/>
      <c r="I2701" s="285"/>
    </row>
    <row r="2702" spans="1:9" s="65" customFormat="1">
      <c r="A2702" s="72" t="s">
        <v>390</v>
      </c>
      <c r="B2702" s="73"/>
      <c r="C2702" s="73"/>
      <c r="D2702" s="73"/>
      <c r="E2702" s="73"/>
      <c r="F2702" s="217"/>
      <c r="G2702" s="217"/>
      <c r="H2702" s="218"/>
      <c r="I2702" s="285"/>
    </row>
    <row r="2703" spans="1:9" s="65" customFormat="1">
      <c r="A2703" s="286" t="s">
        <v>391</v>
      </c>
      <c r="B2703" s="76" t="s">
        <v>392</v>
      </c>
      <c r="C2703" s="76" t="s">
        <v>393</v>
      </c>
      <c r="D2703" s="76" t="s">
        <v>394</v>
      </c>
      <c r="E2703" s="76" t="s">
        <v>395</v>
      </c>
      <c r="F2703" s="76" t="s">
        <v>396</v>
      </c>
      <c r="G2703" s="76" t="s">
        <v>397</v>
      </c>
      <c r="H2703" s="217"/>
      <c r="I2703" s="285"/>
    </row>
    <row r="2704" spans="1:9" s="65" customFormat="1">
      <c r="A2704" s="77" t="s">
        <v>404</v>
      </c>
      <c r="B2704" s="78" t="s">
        <v>416</v>
      </c>
      <c r="C2704" s="79" t="s">
        <v>406</v>
      </c>
      <c r="D2704" s="287">
        <v>1250</v>
      </c>
      <c r="E2704" s="79">
        <v>1</v>
      </c>
      <c r="F2704" s="79">
        <v>0</v>
      </c>
      <c r="G2704" s="287">
        <f>(D2704*E2704)+((D2704*E2704)*F2704/100)</f>
        <v>1250</v>
      </c>
      <c r="H2704" s="217"/>
      <c r="I2704" s="285"/>
    </row>
    <row r="2705" spans="1:9" s="65" customFormat="1">
      <c r="A2705" s="82"/>
      <c r="B2705" s="83"/>
      <c r="C2705" s="84"/>
      <c r="D2705" s="84"/>
      <c r="E2705" s="84"/>
      <c r="F2705" s="216"/>
      <c r="G2705" s="288" t="s">
        <v>407</v>
      </c>
      <c r="H2705" s="287">
        <f>SUM(G2704:G2704)</f>
        <v>1250</v>
      </c>
      <c r="I2705" s="285"/>
    </row>
    <row r="2706" spans="1:9" s="65" customFormat="1">
      <c r="A2706" s="72" t="s">
        <v>408</v>
      </c>
      <c r="B2706" s="73"/>
      <c r="C2706" s="73"/>
      <c r="D2706" s="73"/>
      <c r="E2706" s="73"/>
      <c r="F2706" s="216"/>
      <c r="G2706" s="217"/>
      <c r="H2706" s="289"/>
      <c r="I2706" s="285"/>
    </row>
    <row r="2707" spans="1:9" s="65" customFormat="1">
      <c r="A2707" s="286" t="s">
        <v>391</v>
      </c>
      <c r="B2707" s="76" t="s">
        <v>392</v>
      </c>
      <c r="C2707" s="76" t="s">
        <v>393</v>
      </c>
      <c r="D2707" s="76" t="s">
        <v>394</v>
      </c>
      <c r="E2707" s="76" t="s">
        <v>395</v>
      </c>
      <c r="F2707" s="76" t="s">
        <v>396</v>
      </c>
      <c r="G2707" s="76" t="s">
        <v>397</v>
      </c>
      <c r="H2707" s="289"/>
      <c r="I2707" s="285"/>
    </row>
    <row r="2708" spans="1:9" s="65" customFormat="1">
      <c r="A2708" s="87" t="s">
        <v>409</v>
      </c>
      <c r="B2708" s="114" t="s">
        <v>1207</v>
      </c>
      <c r="C2708" s="114" t="s">
        <v>7</v>
      </c>
      <c r="D2708" s="287">
        <f>8163*1.2</f>
        <v>9795.6</v>
      </c>
      <c r="E2708" s="114">
        <v>1</v>
      </c>
      <c r="F2708" s="79"/>
      <c r="G2708" s="287">
        <f>(D2708*E2708)+((D2708*E2708)*F2708/100)</f>
        <v>9795.6</v>
      </c>
      <c r="H2708" s="289"/>
      <c r="I2708" s="285"/>
    </row>
    <row r="2709" spans="1:9" s="65" customFormat="1">
      <c r="A2709" s="88"/>
      <c r="B2709" s="114" t="s">
        <v>731</v>
      </c>
      <c r="C2709" s="114" t="s">
        <v>7</v>
      </c>
      <c r="D2709" s="287">
        <f>31652*1.2</f>
        <v>37982.400000000001</v>
      </c>
      <c r="E2709" s="114">
        <v>3.0000000000000001E-3</v>
      </c>
      <c r="F2709" s="79"/>
      <c r="G2709" s="287">
        <f>(D2709*E2709)+((D2709*E2709)*F2709/100)</f>
        <v>113.94720000000001</v>
      </c>
      <c r="H2709" s="289"/>
      <c r="I2709" s="285"/>
    </row>
    <row r="2710" spans="1:9" s="65" customFormat="1">
      <c r="A2710" s="88"/>
      <c r="B2710" s="114" t="s">
        <v>732</v>
      </c>
      <c r="C2710" s="114" t="s">
        <v>7</v>
      </c>
      <c r="D2710" s="287">
        <f>65646*1.2</f>
        <v>78775.199999999997</v>
      </c>
      <c r="E2710" s="114">
        <v>2E-3</v>
      </c>
      <c r="F2710" s="79"/>
      <c r="G2710" s="287">
        <f>(D2710*E2710)+((D2710*E2710)*F2710/100)</f>
        <v>157.5504</v>
      </c>
      <c r="H2710" s="289"/>
      <c r="I2710" s="285"/>
    </row>
    <row r="2711" spans="1:9" s="65" customFormat="1">
      <c r="A2711" s="90"/>
      <c r="B2711" s="91"/>
      <c r="C2711" s="91"/>
      <c r="D2711" s="91"/>
      <c r="E2711" s="91"/>
      <c r="F2711" s="216"/>
      <c r="G2711" s="290" t="s">
        <v>407</v>
      </c>
      <c r="H2711" s="287">
        <f>SUM(G2708:G2710)</f>
        <v>10067.097600000001</v>
      </c>
      <c r="I2711" s="285"/>
    </row>
    <row r="2712" spans="1:9" s="65" customFormat="1">
      <c r="A2712" s="72" t="s">
        <v>410</v>
      </c>
      <c r="B2712" s="73"/>
      <c r="C2712" s="73"/>
      <c r="D2712" s="73"/>
      <c r="E2712" s="73"/>
      <c r="F2712" s="216"/>
      <c r="G2712" s="217"/>
      <c r="H2712" s="289"/>
      <c r="I2712" s="285"/>
    </row>
    <row r="2713" spans="1:9" s="65" customFormat="1">
      <c r="A2713" s="286" t="s">
        <v>391</v>
      </c>
      <c r="B2713" s="76" t="s">
        <v>392</v>
      </c>
      <c r="C2713" s="76" t="s">
        <v>393</v>
      </c>
      <c r="D2713" s="76" t="s">
        <v>394</v>
      </c>
      <c r="E2713" s="76" t="s">
        <v>395</v>
      </c>
      <c r="F2713" s="76" t="s">
        <v>396</v>
      </c>
      <c r="G2713" s="76" t="s">
        <v>397</v>
      </c>
      <c r="H2713" s="289"/>
      <c r="I2713" s="285"/>
    </row>
    <row r="2714" spans="1:9" s="65" customFormat="1">
      <c r="A2714" s="125" t="s">
        <v>438</v>
      </c>
      <c r="B2714" s="126" t="s">
        <v>439</v>
      </c>
      <c r="C2714" s="127" t="s">
        <v>426</v>
      </c>
      <c r="D2714" s="287">
        <v>5627</v>
      </c>
      <c r="E2714" s="79">
        <v>6</v>
      </c>
      <c r="F2714" s="79">
        <v>0</v>
      </c>
      <c r="G2714" s="287">
        <f>(D2714*E2714)+((D2714*E2714)*F2714/100)</f>
        <v>33762</v>
      </c>
      <c r="H2714" s="289"/>
      <c r="I2714" s="285"/>
    </row>
    <row r="2715" spans="1:9" s="65" customFormat="1">
      <c r="A2715" s="90"/>
      <c r="B2715" s="91"/>
      <c r="C2715" s="91"/>
      <c r="D2715" s="91"/>
      <c r="E2715" s="91"/>
      <c r="F2715" s="216"/>
      <c r="G2715" s="288" t="s">
        <v>407</v>
      </c>
      <c r="H2715" s="287">
        <f>SUM(G2714:G2714)</f>
        <v>33762</v>
      </c>
      <c r="I2715" s="285"/>
    </row>
    <row r="2716" spans="1:9" s="65" customFormat="1">
      <c r="A2716" s="72" t="s">
        <v>411</v>
      </c>
      <c r="B2716" s="73"/>
      <c r="C2716" s="73"/>
      <c r="D2716" s="73"/>
      <c r="E2716" s="73"/>
      <c r="F2716" s="216"/>
      <c r="G2716" s="217"/>
      <c r="H2716" s="289"/>
      <c r="I2716" s="285"/>
    </row>
    <row r="2717" spans="1:9" s="65" customFormat="1">
      <c r="A2717" s="286" t="s">
        <v>391</v>
      </c>
      <c r="B2717" s="76" t="s">
        <v>392</v>
      </c>
      <c r="C2717" s="76" t="s">
        <v>393</v>
      </c>
      <c r="D2717" s="76" t="s">
        <v>394</v>
      </c>
      <c r="E2717" s="76" t="s">
        <v>395</v>
      </c>
      <c r="F2717" s="76" t="s">
        <v>396</v>
      </c>
      <c r="G2717" s="76" t="s">
        <v>397</v>
      </c>
      <c r="H2717" s="289"/>
      <c r="I2717" s="285"/>
    </row>
    <row r="2718" spans="1:9" s="65" customFormat="1">
      <c r="A2718" s="87" t="s">
        <v>409</v>
      </c>
      <c r="B2718" s="114" t="s">
        <v>409</v>
      </c>
      <c r="C2718" s="114" t="s">
        <v>409</v>
      </c>
      <c r="D2718" s="114" t="s">
        <v>409</v>
      </c>
      <c r="E2718" s="114" t="s">
        <v>409</v>
      </c>
      <c r="F2718" s="79" t="s">
        <v>409</v>
      </c>
      <c r="G2718" s="302" t="s">
        <v>409</v>
      </c>
      <c r="H2718" s="289"/>
      <c r="I2718" s="285"/>
    </row>
    <row r="2719" spans="1:9" s="65" customFormat="1">
      <c r="A2719" s="94"/>
      <c r="B2719" s="95"/>
      <c r="C2719" s="95"/>
      <c r="D2719" s="95"/>
      <c r="E2719" s="95"/>
      <c r="F2719" s="216"/>
      <c r="G2719" s="288" t="s">
        <v>407</v>
      </c>
      <c r="H2719" s="287">
        <f>SUM(G2717:G2718)</f>
        <v>0</v>
      </c>
      <c r="I2719" s="285"/>
    </row>
    <row r="2720" spans="1:9" s="65" customFormat="1">
      <c r="A2720" s="94"/>
      <c r="B2720" s="95"/>
      <c r="C2720" s="95"/>
      <c r="D2720" s="95"/>
      <c r="E2720" s="95"/>
      <c r="F2720" s="216"/>
      <c r="G2720" s="217"/>
      <c r="H2720" s="217"/>
      <c r="I2720" s="285"/>
    </row>
    <row r="2721" spans="1:9" s="65" customFormat="1">
      <c r="A2721" s="292"/>
      <c r="B2721" s="97"/>
      <c r="C2721" s="98"/>
      <c r="D2721" s="98"/>
      <c r="E2721" s="98"/>
      <c r="F2721" s="216"/>
      <c r="G2721" s="293" t="s">
        <v>412</v>
      </c>
      <c r="H2721" s="294">
        <f>SUM(H2705:H2719)</f>
        <v>45079.097600000001</v>
      </c>
      <c r="I2721" s="285"/>
    </row>
    <row r="2722" spans="1:9" s="65" customFormat="1">
      <c r="A2722" s="292"/>
      <c r="B2722" s="97"/>
      <c r="C2722" s="98"/>
      <c r="D2722" s="98"/>
      <c r="E2722" s="98"/>
      <c r="F2722" s="295"/>
      <c r="G2722" s="296"/>
      <c r="H2722" s="218"/>
      <c r="I2722" s="285"/>
    </row>
    <row r="2723" spans="1:9" s="65" customFormat="1" ht="15.75" thickBot="1">
      <c r="A2723" s="624" t="s">
        <v>502</v>
      </c>
      <c r="B2723" s="625"/>
      <c r="C2723" s="625"/>
      <c r="D2723" s="625"/>
      <c r="E2723" s="625"/>
      <c r="F2723" s="625"/>
      <c r="G2723" s="626"/>
      <c r="H2723" s="297">
        <f>+ROUND(H2721,0)</f>
        <v>45079</v>
      </c>
      <c r="I2723" s="298"/>
    </row>
    <row r="2724" spans="1:9" s="65" customFormat="1">
      <c r="H2724" s="138"/>
      <c r="I2724" s="151"/>
    </row>
    <row r="2725" spans="1:9" s="65" customFormat="1">
      <c r="A2725" s="645"/>
      <c r="B2725" s="138"/>
      <c r="C2725" s="138"/>
      <c r="D2725" s="138"/>
      <c r="E2725" s="138"/>
      <c r="F2725" s="138"/>
      <c r="G2725" s="138"/>
      <c r="H2725" s="138"/>
      <c r="I2725" s="152"/>
    </row>
    <row r="2726" spans="1:9" s="65" customFormat="1" ht="15.75" thickBot="1">
      <c r="A2726" s="645"/>
      <c r="B2726" s="138"/>
      <c r="C2726" s="138"/>
      <c r="D2726" s="138"/>
      <c r="E2726" s="138"/>
      <c r="F2726" s="138"/>
      <c r="G2726" s="138"/>
    </row>
    <row r="2727" spans="1:9" s="65" customFormat="1">
      <c r="A2727" s="647"/>
      <c r="B2727" s="649" t="s">
        <v>1208</v>
      </c>
      <c r="C2727" s="650"/>
      <c r="D2727" s="650"/>
      <c r="E2727" s="650"/>
      <c r="F2727" s="650"/>
      <c r="G2727" s="650"/>
      <c r="H2727" s="650"/>
      <c r="I2727" s="283" t="s">
        <v>389</v>
      </c>
    </row>
    <row r="2728" spans="1:9" s="65" customFormat="1">
      <c r="A2728" s="648"/>
      <c r="B2728" s="651"/>
      <c r="C2728" s="652"/>
      <c r="D2728" s="652"/>
      <c r="E2728" s="652"/>
      <c r="F2728" s="652"/>
      <c r="G2728" s="652"/>
      <c r="H2728" s="652"/>
      <c r="I2728" s="284" t="s">
        <v>7</v>
      </c>
    </row>
    <row r="2729" spans="1:9" s="65" customFormat="1">
      <c r="A2729" s="68"/>
      <c r="B2729" s="69"/>
      <c r="C2729" s="69"/>
      <c r="D2729" s="69"/>
      <c r="E2729" s="69"/>
      <c r="F2729" s="218"/>
      <c r="G2729" s="218"/>
      <c r="H2729" s="218"/>
      <c r="I2729" s="285"/>
    </row>
    <row r="2730" spans="1:9" s="65" customFormat="1">
      <c r="A2730" s="72" t="s">
        <v>390</v>
      </c>
      <c r="B2730" s="73"/>
      <c r="C2730" s="73"/>
      <c r="D2730" s="73"/>
      <c r="E2730" s="73"/>
      <c r="F2730" s="217"/>
      <c r="G2730" s="217"/>
      <c r="H2730" s="218"/>
      <c r="I2730" s="285"/>
    </row>
    <row r="2731" spans="1:9" s="65" customFormat="1">
      <c r="A2731" s="286" t="s">
        <v>391</v>
      </c>
      <c r="B2731" s="76" t="s">
        <v>392</v>
      </c>
      <c r="C2731" s="76" t="s">
        <v>393</v>
      </c>
      <c r="D2731" s="76" t="s">
        <v>394</v>
      </c>
      <c r="E2731" s="76" t="s">
        <v>395</v>
      </c>
      <c r="F2731" s="76" t="s">
        <v>396</v>
      </c>
      <c r="G2731" s="76" t="s">
        <v>397</v>
      </c>
      <c r="H2731" s="217"/>
      <c r="I2731" s="285"/>
    </row>
    <row r="2732" spans="1:9" s="65" customFormat="1">
      <c r="A2732" s="77" t="s">
        <v>404</v>
      </c>
      <c r="B2732" s="78" t="s">
        <v>416</v>
      </c>
      <c r="C2732" s="79" t="s">
        <v>406</v>
      </c>
      <c r="D2732" s="287">
        <v>1250</v>
      </c>
      <c r="E2732" s="79">
        <v>1</v>
      </c>
      <c r="F2732" s="79">
        <v>0</v>
      </c>
      <c r="G2732" s="287">
        <f>(D2732*E2732)+((D2732*E2732)*F2732/100)</f>
        <v>1250</v>
      </c>
      <c r="H2732" s="217"/>
      <c r="I2732" s="285"/>
    </row>
    <row r="2733" spans="1:9" s="65" customFormat="1">
      <c r="A2733" s="82"/>
      <c r="B2733" s="83"/>
      <c r="C2733" s="84"/>
      <c r="D2733" s="84"/>
      <c r="E2733" s="84"/>
      <c r="F2733" s="216"/>
      <c r="G2733" s="288" t="s">
        <v>407</v>
      </c>
      <c r="H2733" s="287">
        <f>SUM(G2732:G2732)</f>
        <v>1250</v>
      </c>
      <c r="I2733" s="285"/>
    </row>
    <row r="2734" spans="1:9" s="65" customFormat="1">
      <c r="A2734" s="72" t="s">
        <v>408</v>
      </c>
      <c r="B2734" s="73"/>
      <c r="C2734" s="73"/>
      <c r="D2734" s="73"/>
      <c r="E2734" s="73"/>
      <c r="F2734" s="216"/>
      <c r="G2734" s="217"/>
      <c r="H2734" s="289"/>
      <c r="I2734" s="285"/>
    </row>
    <row r="2735" spans="1:9" s="65" customFormat="1">
      <c r="A2735" s="286" t="s">
        <v>391</v>
      </c>
      <c r="B2735" s="76" t="s">
        <v>392</v>
      </c>
      <c r="C2735" s="76" t="s">
        <v>393</v>
      </c>
      <c r="D2735" s="76" t="s">
        <v>394</v>
      </c>
      <c r="E2735" s="76" t="s">
        <v>395</v>
      </c>
      <c r="F2735" s="76" t="s">
        <v>396</v>
      </c>
      <c r="G2735" s="76" t="s">
        <v>397</v>
      </c>
      <c r="H2735" s="289"/>
      <c r="I2735" s="285"/>
    </row>
    <row r="2736" spans="1:9" s="65" customFormat="1">
      <c r="A2736" s="87" t="s">
        <v>409</v>
      </c>
      <c r="B2736" s="114" t="s">
        <v>1211</v>
      </c>
      <c r="C2736" s="114" t="s">
        <v>7</v>
      </c>
      <c r="D2736" s="287">
        <f>25811*1.2</f>
        <v>30973.199999999997</v>
      </c>
      <c r="E2736" s="114">
        <v>1</v>
      </c>
      <c r="F2736" s="79"/>
      <c r="G2736" s="287">
        <f>(D2736*E2736)+((D2736*E2736)*F2736/100)</f>
        <v>30973.199999999997</v>
      </c>
      <c r="H2736" s="289"/>
      <c r="I2736" s="285"/>
    </row>
    <row r="2737" spans="1:9" s="65" customFormat="1">
      <c r="A2737" s="88"/>
      <c r="B2737" s="114" t="s">
        <v>731</v>
      </c>
      <c r="C2737" s="114" t="s">
        <v>7</v>
      </c>
      <c r="D2737" s="287">
        <f>31652*1.2</f>
        <v>37982.400000000001</v>
      </c>
      <c r="E2737" s="114">
        <v>3.0000000000000001E-3</v>
      </c>
      <c r="F2737" s="79"/>
      <c r="G2737" s="287">
        <f>(D2737*E2737)+((D2737*E2737)*F2737/100)</f>
        <v>113.94720000000001</v>
      </c>
      <c r="H2737" s="289"/>
      <c r="I2737" s="285"/>
    </row>
    <row r="2738" spans="1:9" s="65" customFormat="1">
      <c r="A2738" s="88"/>
      <c r="B2738" s="114" t="s">
        <v>732</v>
      </c>
      <c r="C2738" s="114" t="s">
        <v>7</v>
      </c>
      <c r="D2738" s="287">
        <f>65646*1.2</f>
        <v>78775.199999999997</v>
      </c>
      <c r="E2738" s="114">
        <v>2E-3</v>
      </c>
      <c r="F2738" s="79"/>
      <c r="G2738" s="287">
        <f>(D2738*E2738)+((D2738*E2738)*F2738/100)</f>
        <v>157.5504</v>
      </c>
      <c r="H2738" s="289"/>
      <c r="I2738" s="285"/>
    </row>
    <row r="2739" spans="1:9" s="65" customFormat="1">
      <c r="A2739" s="90"/>
      <c r="B2739" s="91"/>
      <c r="C2739" s="91"/>
      <c r="D2739" s="91"/>
      <c r="E2739" s="91"/>
      <c r="F2739" s="216"/>
      <c r="G2739" s="290" t="s">
        <v>407</v>
      </c>
      <c r="H2739" s="287">
        <f>SUM(G2736:G2738)</f>
        <v>31244.697599999996</v>
      </c>
      <c r="I2739" s="285"/>
    </row>
    <row r="2740" spans="1:9" s="65" customFormat="1">
      <c r="A2740" s="72" t="s">
        <v>410</v>
      </c>
      <c r="B2740" s="73"/>
      <c r="C2740" s="73"/>
      <c r="D2740" s="73"/>
      <c r="E2740" s="73"/>
      <c r="F2740" s="216"/>
      <c r="G2740" s="217"/>
      <c r="H2740" s="289"/>
      <c r="I2740" s="285"/>
    </row>
    <row r="2741" spans="1:9" s="65" customFormat="1">
      <c r="A2741" s="286" t="s">
        <v>391</v>
      </c>
      <c r="B2741" s="76" t="s">
        <v>392</v>
      </c>
      <c r="C2741" s="76" t="s">
        <v>393</v>
      </c>
      <c r="D2741" s="76" t="s">
        <v>394</v>
      </c>
      <c r="E2741" s="76" t="s">
        <v>395</v>
      </c>
      <c r="F2741" s="76" t="s">
        <v>396</v>
      </c>
      <c r="G2741" s="76" t="s">
        <v>397</v>
      </c>
      <c r="H2741" s="289"/>
      <c r="I2741" s="285"/>
    </row>
    <row r="2742" spans="1:9" s="65" customFormat="1">
      <c r="A2742" s="125" t="s">
        <v>438</v>
      </c>
      <c r="B2742" s="126" t="s">
        <v>439</v>
      </c>
      <c r="C2742" s="127" t="s">
        <v>426</v>
      </c>
      <c r="D2742" s="287">
        <v>5627</v>
      </c>
      <c r="E2742" s="79">
        <v>6</v>
      </c>
      <c r="F2742" s="79">
        <v>0</v>
      </c>
      <c r="G2742" s="287">
        <f>(D2742*E2742)+((D2742*E2742)*F2742/100)</f>
        <v>33762</v>
      </c>
      <c r="H2742" s="289"/>
      <c r="I2742" s="285"/>
    </row>
    <row r="2743" spans="1:9" s="65" customFormat="1">
      <c r="A2743" s="90"/>
      <c r="B2743" s="91"/>
      <c r="C2743" s="91"/>
      <c r="D2743" s="91"/>
      <c r="E2743" s="91"/>
      <c r="F2743" s="216"/>
      <c r="G2743" s="288" t="s">
        <v>407</v>
      </c>
      <c r="H2743" s="287">
        <f>SUM(G2742:G2742)</f>
        <v>33762</v>
      </c>
      <c r="I2743" s="285"/>
    </row>
    <row r="2744" spans="1:9" s="65" customFormat="1">
      <c r="A2744" s="72" t="s">
        <v>411</v>
      </c>
      <c r="B2744" s="73"/>
      <c r="C2744" s="73"/>
      <c r="D2744" s="73"/>
      <c r="E2744" s="73"/>
      <c r="F2744" s="216"/>
      <c r="G2744" s="217"/>
      <c r="H2744" s="289"/>
      <c r="I2744" s="285"/>
    </row>
    <row r="2745" spans="1:9" s="65" customFormat="1">
      <c r="A2745" s="286" t="s">
        <v>391</v>
      </c>
      <c r="B2745" s="76" t="s">
        <v>392</v>
      </c>
      <c r="C2745" s="76" t="s">
        <v>393</v>
      </c>
      <c r="D2745" s="76" t="s">
        <v>394</v>
      </c>
      <c r="E2745" s="76" t="s">
        <v>395</v>
      </c>
      <c r="F2745" s="76" t="s">
        <v>396</v>
      </c>
      <c r="G2745" s="76" t="s">
        <v>397</v>
      </c>
      <c r="H2745" s="289"/>
      <c r="I2745" s="285"/>
    </row>
    <row r="2746" spans="1:9" s="65" customFormat="1">
      <c r="A2746" s="87" t="s">
        <v>409</v>
      </c>
      <c r="B2746" s="114" t="s">
        <v>409</v>
      </c>
      <c r="C2746" s="114" t="s">
        <v>409</v>
      </c>
      <c r="D2746" s="114" t="s">
        <v>409</v>
      </c>
      <c r="E2746" s="114" t="s">
        <v>409</v>
      </c>
      <c r="F2746" s="79" t="s">
        <v>409</v>
      </c>
      <c r="G2746" s="302" t="s">
        <v>409</v>
      </c>
      <c r="H2746" s="289"/>
      <c r="I2746" s="285"/>
    </row>
    <row r="2747" spans="1:9" s="65" customFormat="1">
      <c r="A2747" s="94"/>
      <c r="B2747" s="95"/>
      <c r="C2747" s="95"/>
      <c r="D2747" s="95"/>
      <c r="E2747" s="95"/>
      <c r="F2747" s="216"/>
      <c r="G2747" s="288" t="s">
        <v>407</v>
      </c>
      <c r="H2747" s="287">
        <f>SUM(G2745:G2746)</f>
        <v>0</v>
      </c>
      <c r="I2747" s="285"/>
    </row>
    <row r="2748" spans="1:9" s="65" customFormat="1">
      <c r="A2748" s="94"/>
      <c r="B2748" s="95"/>
      <c r="C2748" s="95"/>
      <c r="D2748" s="95"/>
      <c r="E2748" s="95"/>
      <c r="F2748" s="216"/>
      <c r="G2748" s="217"/>
      <c r="H2748" s="217"/>
      <c r="I2748" s="285"/>
    </row>
    <row r="2749" spans="1:9" s="65" customFormat="1">
      <c r="A2749" s="292"/>
      <c r="B2749" s="97"/>
      <c r="C2749" s="98"/>
      <c r="D2749" s="98"/>
      <c r="E2749" s="98"/>
      <c r="F2749" s="216"/>
      <c r="G2749" s="293" t="s">
        <v>412</v>
      </c>
      <c r="H2749" s="294">
        <f>SUM(H2733:H2747)</f>
        <v>66256.6976</v>
      </c>
      <c r="I2749" s="285"/>
    </row>
    <row r="2750" spans="1:9" s="65" customFormat="1">
      <c r="A2750" s="292"/>
      <c r="B2750" s="97"/>
      <c r="C2750" s="98"/>
      <c r="D2750" s="98"/>
      <c r="E2750" s="98"/>
      <c r="F2750" s="295"/>
      <c r="G2750" s="296"/>
      <c r="H2750" s="218"/>
      <c r="I2750" s="285"/>
    </row>
    <row r="2751" spans="1:9" s="65" customFormat="1" ht="15.75" thickBot="1">
      <c r="A2751" s="624" t="s">
        <v>502</v>
      </c>
      <c r="B2751" s="625"/>
      <c r="C2751" s="625"/>
      <c r="D2751" s="625"/>
      <c r="E2751" s="625"/>
      <c r="F2751" s="625"/>
      <c r="G2751" s="626"/>
      <c r="H2751" s="297">
        <f>+ROUND(H2749,0)</f>
        <v>66257</v>
      </c>
      <c r="I2751" s="298"/>
    </row>
    <row r="2752" spans="1:9" s="65" customFormat="1">
      <c r="A2752" s="120"/>
      <c r="B2752" s="73"/>
      <c r="C2752" s="73"/>
      <c r="D2752" s="73"/>
      <c r="E2752" s="73"/>
      <c r="F2752" s="121"/>
      <c r="G2752" s="121"/>
      <c r="H2752" s="121"/>
    </row>
    <row r="2753" spans="1:9" s="65" customFormat="1" ht="15.75" thickBot="1">
      <c r="A2753" s="128"/>
      <c r="B2753" s="141"/>
      <c r="C2753" s="141"/>
      <c r="D2753" s="141"/>
      <c r="E2753" s="141"/>
      <c r="F2753" s="141"/>
      <c r="G2753" s="141"/>
      <c r="H2753" s="121"/>
    </row>
    <row r="2754" spans="1:9" s="65" customFormat="1">
      <c r="A2754" s="647"/>
      <c r="B2754" s="649" t="s">
        <v>1209</v>
      </c>
      <c r="C2754" s="650"/>
      <c r="D2754" s="650"/>
      <c r="E2754" s="650"/>
      <c r="F2754" s="650"/>
      <c r="G2754" s="650"/>
      <c r="H2754" s="650"/>
      <c r="I2754" s="283" t="s">
        <v>389</v>
      </c>
    </row>
    <row r="2755" spans="1:9" s="65" customFormat="1">
      <c r="A2755" s="648"/>
      <c r="B2755" s="651"/>
      <c r="C2755" s="652"/>
      <c r="D2755" s="652"/>
      <c r="E2755" s="652"/>
      <c r="F2755" s="652"/>
      <c r="G2755" s="652"/>
      <c r="H2755" s="652"/>
      <c r="I2755" s="284" t="s">
        <v>7</v>
      </c>
    </row>
    <row r="2756" spans="1:9" s="65" customFormat="1">
      <c r="A2756" s="68"/>
      <c r="B2756" s="69"/>
      <c r="C2756" s="69"/>
      <c r="D2756" s="69"/>
      <c r="E2756" s="69"/>
      <c r="F2756" s="218"/>
      <c r="G2756" s="218"/>
      <c r="H2756" s="218"/>
      <c r="I2756" s="285"/>
    </row>
    <row r="2757" spans="1:9" s="65" customFormat="1">
      <c r="A2757" s="72" t="s">
        <v>390</v>
      </c>
      <c r="B2757" s="73"/>
      <c r="C2757" s="73"/>
      <c r="D2757" s="73"/>
      <c r="E2757" s="73"/>
      <c r="F2757" s="217"/>
      <c r="G2757" s="217"/>
      <c r="H2757" s="218"/>
      <c r="I2757" s="285"/>
    </row>
    <row r="2758" spans="1:9" s="65" customFormat="1">
      <c r="A2758" s="286" t="s">
        <v>391</v>
      </c>
      <c r="B2758" s="76" t="s">
        <v>392</v>
      </c>
      <c r="C2758" s="76" t="s">
        <v>393</v>
      </c>
      <c r="D2758" s="76" t="s">
        <v>394</v>
      </c>
      <c r="E2758" s="76" t="s">
        <v>395</v>
      </c>
      <c r="F2758" s="76" t="s">
        <v>396</v>
      </c>
      <c r="G2758" s="76" t="s">
        <v>397</v>
      </c>
      <c r="H2758" s="217"/>
      <c r="I2758" s="285"/>
    </row>
    <row r="2759" spans="1:9" s="65" customFormat="1">
      <c r="A2759" s="77" t="s">
        <v>404</v>
      </c>
      <c r="B2759" s="78" t="s">
        <v>416</v>
      </c>
      <c r="C2759" s="79" t="s">
        <v>406</v>
      </c>
      <c r="D2759" s="287">
        <v>1250</v>
      </c>
      <c r="E2759" s="79">
        <v>1</v>
      </c>
      <c r="F2759" s="79">
        <v>0</v>
      </c>
      <c r="G2759" s="287">
        <f>(D2759*E2759)+((D2759*E2759)*F2759/100)</f>
        <v>1250</v>
      </c>
      <c r="H2759" s="217"/>
      <c r="I2759" s="285"/>
    </row>
    <row r="2760" spans="1:9" s="65" customFormat="1">
      <c r="A2760" s="82"/>
      <c r="B2760" s="83"/>
      <c r="C2760" s="84"/>
      <c r="D2760" s="84"/>
      <c r="E2760" s="84"/>
      <c r="F2760" s="216"/>
      <c r="G2760" s="288" t="s">
        <v>407</v>
      </c>
      <c r="H2760" s="287">
        <f>SUM(G2759:G2759)</f>
        <v>1250</v>
      </c>
      <c r="I2760" s="285"/>
    </row>
    <row r="2761" spans="1:9" s="65" customFormat="1">
      <c r="A2761" s="72" t="s">
        <v>408</v>
      </c>
      <c r="B2761" s="73"/>
      <c r="C2761" s="73"/>
      <c r="D2761" s="73"/>
      <c r="E2761" s="73"/>
      <c r="F2761" s="216"/>
      <c r="G2761" s="217"/>
      <c r="H2761" s="289"/>
      <c r="I2761" s="285"/>
    </row>
    <row r="2762" spans="1:9" s="65" customFormat="1">
      <c r="A2762" s="286" t="s">
        <v>391</v>
      </c>
      <c r="B2762" s="76" t="s">
        <v>392</v>
      </c>
      <c r="C2762" s="76" t="s">
        <v>393</v>
      </c>
      <c r="D2762" s="76" t="s">
        <v>394</v>
      </c>
      <c r="E2762" s="76" t="s">
        <v>395</v>
      </c>
      <c r="F2762" s="76" t="s">
        <v>396</v>
      </c>
      <c r="G2762" s="76" t="s">
        <v>397</v>
      </c>
      <c r="H2762" s="289"/>
      <c r="I2762" s="285"/>
    </row>
    <row r="2763" spans="1:9" s="65" customFormat="1">
      <c r="A2763" s="87" t="s">
        <v>409</v>
      </c>
      <c r="B2763" s="114" t="s">
        <v>1210</v>
      </c>
      <c r="C2763" s="114" t="s">
        <v>7</v>
      </c>
      <c r="D2763" s="287">
        <f>54912*1.2</f>
        <v>65894.399999999994</v>
      </c>
      <c r="E2763" s="114">
        <v>1</v>
      </c>
      <c r="F2763" s="79"/>
      <c r="G2763" s="287">
        <f>(D2763*E2763)+((D2763*E2763)*F2763/100)</f>
        <v>65894.399999999994</v>
      </c>
      <c r="H2763" s="289"/>
      <c r="I2763" s="285"/>
    </row>
    <row r="2764" spans="1:9" s="65" customFormat="1">
      <c r="A2764" s="88"/>
      <c r="B2764" s="114" t="s">
        <v>731</v>
      </c>
      <c r="C2764" s="114" t="s">
        <v>7</v>
      </c>
      <c r="D2764" s="287">
        <f>31652*1.2</f>
        <v>37982.400000000001</v>
      </c>
      <c r="E2764" s="114">
        <v>3.0000000000000001E-3</v>
      </c>
      <c r="F2764" s="79"/>
      <c r="G2764" s="287">
        <f>(D2764*E2764)+((D2764*E2764)*F2764/100)</f>
        <v>113.94720000000001</v>
      </c>
      <c r="H2764" s="289"/>
      <c r="I2764" s="285"/>
    </row>
    <row r="2765" spans="1:9" s="65" customFormat="1">
      <c r="A2765" s="88"/>
      <c r="B2765" s="114" t="s">
        <v>732</v>
      </c>
      <c r="C2765" s="114" t="s">
        <v>7</v>
      </c>
      <c r="D2765" s="287">
        <f>65646*1.2</f>
        <v>78775.199999999997</v>
      </c>
      <c r="E2765" s="114">
        <v>2E-3</v>
      </c>
      <c r="F2765" s="79"/>
      <c r="G2765" s="287">
        <f>(D2765*E2765)+((D2765*E2765)*F2765/100)</f>
        <v>157.5504</v>
      </c>
      <c r="H2765" s="289"/>
      <c r="I2765" s="285"/>
    </row>
    <row r="2766" spans="1:9" s="65" customFormat="1">
      <c r="A2766" s="90"/>
      <c r="B2766" s="91"/>
      <c r="C2766" s="91"/>
      <c r="D2766" s="91"/>
      <c r="E2766" s="91"/>
      <c r="F2766" s="216"/>
      <c r="G2766" s="290" t="s">
        <v>407</v>
      </c>
      <c r="H2766" s="287">
        <f>SUM(G2763:G2765)</f>
        <v>66165.897599999982</v>
      </c>
      <c r="I2766" s="285"/>
    </row>
    <row r="2767" spans="1:9" s="65" customFormat="1">
      <c r="A2767" s="72" t="s">
        <v>410</v>
      </c>
      <c r="B2767" s="73"/>
      <c r="C2767" s="73"/>
      <c r="D2767" s="73"/>
      <c r="E2767" s="73"/>
      <c r="F2767" s="216"/>
      <c r="G2767" s="217"/>
      <c r="H2767" s="289"/>
      <c r="I2767" s="285"/>
    </row>
    <row r="2768" spans="1:9" s="65" customFormat="1">
      <c r="A2768" s="286" t="s">
        <v>391</v>
      </c>
      <c r="B2768" s="76" t="s">
        <v>392</v>
      </c>
      <c r="C2768" s="76" t="s">
        <v>393</v>
      </c>
      <c r="D2768" s="76" t="s">
        <v>394</v>
      </c>
      <c r="E2768" s="76" t="s">
        <v>395</v>
      </c>
      <c r="F2768" s="76" t="s">
        <v>396</v>
      </c>
      <c r="G2768" s="76" t="s">
        <v>397</v>
      </c>
      <c r="H2768" s="289"/>
      <c r="I2768" s="285"/>
    </row>
    <row r="2769" spans="1:9" s="65" customFormat="1">
      <c r="A2769" s="125" t="s">
        <v>438</v>
      </c>
      <c r="B2769" s="126" t="s">
        <v>439</v>
      </c>
      <c r="C2769" s="127" t="s">
        <v>426</v>
      </c>
      <c r="D2769" s="287">
        <v>5627</v>
      </c>
      <c r="E2769" s="79">
        <v>6</v>
      </c>
      <c r="F2769" s="79">
        <v>0</v>
      </c>
      <c r="G2769" s="287">
        <f>(D2769*E2769)+((D2769*E2769)*F2769/100)</f>
        <v>33762</v>
      </c>
      <c r="H2769" s="289"/>
      <c r="I2769" s="285"/>
    </row>
    <row r="2770" spans="1:9" s="65" customFormat="1">
      <c r="A2770" s="90"/>
      <c r="B2770" s="91"/>
      <c r="C2770" s="91"/>
      <c r="D2770" s="91"/>
      <c r="E2770" s="91"/>
      <c r="F2770" s="216"/>
      <c r="G2770" s="288" t="s">
        <v>407</v>
      </c>
      <c r="H2770" s="287">
        <f>SUM(G2769:G2769)</f>
        <v>33762</v>
      </c>
      <c r="I2770" s="285"/>
    </row>
    <row r="2771" spans="1:9" s="65" customFormat="1">
      <c r="A2771" s="72" t="s">
        <v>411</v>
      </c>
      <c r="B2771" s="73"/>
      <c r="C2771" s="73"/>
      <c r="D2771" s="73"/>
      <c r="E2771" s="73"/>
      <c r="F2771" s="216"/>
      <c r="G2771" s="217"/>
      <c r="H2771" s="289"/>
      <c r="I2771" s="285"/>
    </row>
    <row r="2772" spans="1:9" s="65" customFormat="1">
      <c r="A2772" s="286" t="s">
        <v>391</v>
      </c>
      <c r="B2772" s="76" t="s">
        <v>392</v>
      </c>
      <c r="C2772" s="76" t="s">
        <v>393</v>
      </c>
      <c r="D2772" s="76" t="s">
        <v>394</v>
      </c>
      <c r="E2772" s="76" t="s">
        <v>395</v>
      </c>
      <c r="F2772" s="76" t="s">
        <v>396</v>
      </c>
      <c r="G2772" s="76" t="s">
        <v>397</v>
      </c>
      <c r="H2772" s="289"/>
      <c r="I2772" s="285"/>
    </row>
    <row r="2773" spans="1:9" s="65" customFormat="1">
      <c r="A2773" s="87" t="s">
        <v>409</v>
      </c>
      <c r="B2773" s="114" t="s">
        <v>409</v>
      </c>
      <c r="C2773" s="114" t="s">
        <v>409</v>
      </c>
      <c r="D2773" s="114" t="s">
        <v>409</v>
      </c>
      <c r="E2773" s="114" t="s">
        <v>409</v>
      </c>
      <c r="F2773" s="79" t="s">
        <v>409</v>
      </c>
      <c r="G2773" s="302" t="s">
        <v>409</v>
      </c>
      <c r="H2773" s="289"/>
      <c r="I2773" s="285"/>
    </row>
    <row r="2774" spans="1:9" s="65" customFormat="1">
      <c r="A2774" s="94"/>
      <c r="B2774" s="95"/>
      <c r="C2774" s="95"/>
      <c r="D2774" s="95"/>
      <c r="E2774" s="95"/>
      <c r="F2774" s="216"/>
      <c r="G2774" s="288" t="s">
        <v>407</v>
      </c>
      <c r="H2774" s="287">
        <f>SUM(G2772:G2773)</f>
        <v>0</v>
      </c>
      <c r="I2774" s="285"/>
    </row>
    <row r="2775" spans="1:9" s="65" customFormat="1">
      <c r="A2775" s="94"/>
      <c r="B2775" s="95"/>
      <c r="C2775" s="95"/>
      <c r="D2775" s="95"/>
      <c r="E2775" s="95"/>
      <c r="F2775" s="216"/>
      <c r="G2775" s="217"/>
      <c r="H2775" s="217"/>
      <c r="I2775" s="285"/>
    </row>
    <row r="2776" spans="1:9" s="65" customFormat="1">
      <c r="A2776" s="292"/>
      <c r="B2776" s="97"/>
      <c r="C2776" s="98"/>
      <c r="D2776" s="98"/>
      <c r="E2776" s="98"/>
      <c r="F2776" s="216"/>
      <c r="G2776" s="293" t="s">
        <v>412</v>
      </c>
      <c r="H2776" s="294">
        <f>SUM(H2760:H2774)</f>
        <v>101177.89759999998</v>
      </c>
      <c r="I2776" s="285"/>
    </row>
    <row r="2777" spans="1:9" s="65" customFormat="1">
      <c r="A2777" s="292"/>
      <c r="B2777" s="97"/>
      <c r="C2777" s="98"/>
      <c r="D2777" s="98"/>
      <c r="E2777" s="98"/>
      <c r="F2777" s="295"/>
      <c r="G2777" s="296"/>
      <c r="H2777" s="218"/>
      <c r="I2777" s="285"/>
    </row>
    <row r="2778" spans="1:9" s="65" customFormat="1" ht="15.75" thickBot="1">
      <c r="A2778" s="624" t="s">
        <v>502</v>
      </c>
      <c r="B2778" s="625"/>
      <c r="C2778" s="625"/>
      <c r="D2778" s="625"/>
      <c r="E2778" s="625"/>
      <c r="F2778" s="625"/>
      <c r="G2778" s="626"/>
      <c r="H2778" s="297">
        <f>+ROUND(H2776,0)</f>
        <v>101178</v>
      </c>
      <c r="I2778" s="298"/>
    </row>
    <row r="2779" spans="1:9" s="65" customFormat="1" ht="15.75" thickBot="1">
      <c r="A2779" s="84"/>
      <c r="B2779" s="83"/>
      <c r="C2779" s="84"/>
      <c r="D2779" s="84"/>
      <c r="E2779" s="84"/>
      <c r="G2779" s="104"/>
      <c r="H2779" s="140"/>
    </row>
    <row r="2780" spans="1:9" s="65" customFormat="1">
      <c r="A2780" s="647"/>
      <c r="B2780" s="649" t="s">
        <v>1212</v>
      </c>
      <c r="C2780" s="650"/>
      <c r="D2780" s="650"/>
      <c r="E2780" s="650"/>
      <c r="F2780" s="650"/>
      <c r="G2780" s="650"/>
      <c r="H2780" s="650"/>
      <c r="I2780" s="283" t="s">
        <v>389</v>
      </c>
    </row>
    <row r="2781" spans="1:9" s="65" customFormat="1">
      <c r="A2781" s="648"/>
      <c r="B2781" s="651"/>
      <c r="C2781" s="652"/>
      <c r="D2781" s="652"/>
      <c r="E2781" s="652"/>
      <c r="F2781" s="652"/>
      <c r="G2781" s="652"/>
      <c r="H2781" s="652"/>
      <c r="I2781" s="284" t="s">
        <v>7</v>
      </c>
    </row>
    <row r="2782" spans="1:9" s="65" customFormat="1">
      <c r="A2782" s="68"/>
      <c r="B2782" s="69"/>
      <c r="C2782" s="69"/>
      <c r="D2782" s="69"/>
      <c r="E2782" s="69"/>
      <c r="F2782" s="218"/>
      <c r="G2782" s="218"/>
      <c r="H2782" s="218"/>
      <c r="I2782" s="285"/>
    </row>
    <row r="2783" spans="1:9" s="65" customFormat="1">
      <c r="A2783" s="72" t="s">
        <v>390</v>
      </c>
      <c r="B2783" s="73"/>
      <c r="C2783" s="73"/>
      <c r="D2783" s="73"/>
      <c r="E2783" s="73"/>
      <c r="F2783" s="217"/>
      <c r="G2783" s="217"/>
      <c r="H2783" s="218"/>
      <c r="I2783" s="285"/>
    </row>
    <row r="2784" spans="1:9" s="65" customFormat="1">
      <c r="A2784" s="286" t="s">
        <v>391</v>
      </c>
      <c r="B2784" s="76" t="s">
        <v>392</v>
      </c>
      <c r="C2784" s="76" t="s">
        <v>393</v>
      </c>
      <c r="D2784" s="76" t="s">
        <v>394</v>
      </c>
      <c r="E2784" s="76" t="s">
        <v>395</v>
      </c>
      <c r="F2784" s="76" t="s">
        <v>396</v>
      </c>
      <c r="G2784" s="76" t="s">
        <v>397</v>
      </c>
      <c r="H2784" s="217"/>
      <c r="I2784" s="285"/>
    </row>
    <row r="2785" spans="1:9" s="65" customFormat="1">
      <c r="A2785" s="77" t="s">
        <v>404</v>
      </c>
      <c r="B2785" s="78" t="s">
        <v>416</v>
      </c>
      <c r="C2785" s="79" t="s">
        <v>406</v>
      </c>
      <c r="D2785" s="287">
        <v>1250</v>
      </c>
      <c r="E2785" s="79">
        <v>1</v>
      </c>
      <c r="F2785" s="79">
        <v>0</v>
      </c>
      <c r="G2785" s="287">
        <f>(D2785*E2785)+((D2785*E2785)*F2785/100)</f>
        <v>1250</v>
      </c>
      <c r="H2785" s="217"/>
      <c r="I2785" s="285"/>
    </row>
    <row r="2786" spans="1:9" s="65" customFormat="1">
      <c r="A2786" s="82"/>
      <c r="B2786" s="83"/>
      <c r="C2786" s="84"/>
      <c r="D2786" s="84"/>
      <c r="E2786" s="84"/>
      <c r="F2786" s="216"/>
      <c r="G2786" s="288" t="s">
        <v>407</v>
      </c>
      <c r="H2786" s="287">
        <f>SUM(G2785:G2785)</f>
        <v>1250</v>
      </c>
      <c r="I2786" s="285"/>
    </row>
    <row r="2787" spans="1:9" s="65" customFormat="1">
      <c r="A2787" s="72" t="s">
        <v>408</v>
      </c>
      <c r="B2787" s="73"/>
      <c r="C2787" s="73"/>
      <c r="D2787" s="73"/>
      <c r="E2787" s="73"/>
      <c r="F2787" s="216"/>
      <c r="G2787" s="217"/>
      <c r="H2787" s="289"/>
      <c r="I2787" s="285"/>
    </row>
    <row r="2788" spans="1:9" s="65" customFormat="1">
      <c r="A2788" s="286" t="s">
        <v>391</v>
      </c>
      <c r="B2788" s="76" t="s">
        <v>392</v>
      </c>
      <c r="C2788" s="76" t="s">
        <v>393</v>
      </c>
      <c r="D2788" s="76" t="s">
        <v>394</v>
      </c>
      <c r="E2788" s="76" t="s">
        <v>395</v>
      </c>
      <c r="F2788" s="76" t="s">
        <v>396</v>
      </c>
      <c r="G2788" s="76" t="s">
        <v>397</v>
      </c>
      <c r="H2788" s="289"/>
      <c r="I2788" s="285"/>
    </row>
    <row r="2789" spans="1:9" s="65" customFormat="1">
      <c r="A2789" s="87" t="s">
        <v>409</v>
      </c>
      <c r="B2789" s="114" t="s">
        <v>1213</v>
      </c>
      <c r="C2789" s="114" t="s">
        <v>7</v>
      </c>
      <c r="D2789" s="287">
        <f>1044*1.2</f>
        <v>1252.8</v>
      </c>
      <c r="E2789" s="114">
        <v>1</v>
      </c>
      <c r="F2789" s="79"/>
      <c r="G2789" s="287">
        <f>(D2789*E2789)+((D2789*E2789)*F2789/100)</f>
        <v>1252.8</v>
      </c>
      <c r="H2789" s="289"/>
      <c r="I2789" s="285"/>
    </row>
    <row r="2790" spans="1:9" s="65" customFormat="1">
      <c r="A2790" s="88"/>
      <c r="B2790" s="114" t="s">
        <v>731</v>
      </c>
      <c r="C2790" s="114" t="s">
        <v>7</v>
      </c>
      <c r="D2790" s="287">
        <f>31652*1.2</f>
        <v>37982.400000000001</v>
      </c>
      <c r="E2790" s="114">
        <v>3.0000000000000001E-3</v>
      </c>
      <c r="F2790" s="79"/>
      <c r="G2790" s="287">
        <f>(D2790*E2790)+((D2790*E2790)*F2790/100)</f>
        <v>113.94720000000001</v>
      </c>
      <c r="H2790" s="289"/>
      <c r="I2790" s="285"/>
    </row>
    <row r="2791" spans="1:9" s="65" customFormat="1">
      <c r="A2791" s="88"/>
      <c r="B2791" s="114" t="s">
        <v>732</v>
      </c>
      <c r="C2791" s="114" t="s">
        <v>7</v>
      </c>
      <c r="D2791" s="287">
        <f>65646*1.2</f>
        <v>78775.199999999997</v>
      </c>
      <c r="E2791" s="114">
        <v>2E-3</v>
      </c>
      <c r="F2791" s="79"/>
      <c r="G2791" s="287">
        <f>(D2791*E2791)+((D2791*E2791)*F2791/100)</f>
        <v>157.5504</v>
      </c>
      <c r="H2791" s="289"/>
      <c r="I2791" s="285"/>
    </row>
    <row r="2792" spans="1:9" s="65" customFormat="1">
      <c r="A2792" s="90"/>
      <c r="B2792" s="91"/>
      <c r="C2792" s="91"/>
      <c r="D2792" s="91"/>
      <c r="E2792" s="91"/>
      <c r="F2792" s="216"/>
      <c r="G2792" s="290" t="s">
        <v>407</v>
      </c>
      <c r="H2792" s="287">
        <f>SUM(G2789:G2791)</f>
        <v>1524.2976000000001</v>
      </c>
      <c r="I2792" s="285"/>
    </row>
    <row r="2793" spans="1:9" s="65" customFormat="1">
      <c r="A2793" s="72" t="s">
        <v>410</v>
      </c>
      <c r="B2793" s="73"/>
      <c r="C2793" s="73"/>
      <c r="D2793" s="73"/>
      <c r="E2793" s="73"/>
      <c r="F2793" s="216"/>
      <c r="G2793" s="217"/>
      <c r="H2793" s="289"/>
      <c r="I2793" s="285"/>
    </row>
    <row r="2794" spans="1:9" s="65" customFormat="1">
      <c r="A2794" s="286" t="s">
        <v>391</v>
      </c>
      <c r="B2794" s="76" t="s">
        <v>392</v>
      </c>
      <c r="C2794" s="76" t="s">
        <v>393</v>
      </c>
      <c r="D2794" s="76" t="s">
        <v>394</v>
      </c>
      <c r="E2794" s="76" t="s">
        <v>395</v>
      </c>
      <c r="F2794" s="76" t="s">
        <v>396</v>
      </c>
      <c r="G2794" s="76" t="s">
        <v>397</v>
      </c>
      <c r="H2794" s="289"/>
      <c r="I2794" s="285"/>
    </row>
    <row r="2795" spans="1:9" s="65" customFormat="1">
      <c r="A2795" s="125" t="s">
        <v>438</v>
      </c>
      <c r="B2795" s="126" t="s">
        <v>439</v>
      </c>
      <c r="C2795" s="127" t="s">
        <v>426</v>
      </c>
      <c r="D2795" s="287">
        <v>5627</v>
      </c>
      <c r="E2795" s="79">
        <v>2</v>
      </c>
      <c r="F2795" s="79">
        <v>0</v>
      </c>
      <c r="G2795" s="287">
        <f>(D2795*E2795)+((D2795*E2795)*F2795/100)</f>
        <v>11254</v>
      </c>
      <c r="H2795" s="289"/>
      <c r="I2795" s="285"/>
    </row>
    <row r="2796" spans="1:9" s="65" customFormat="1">
      <c r="A2796" s="90"/>
      <c r="B2796" s="91"/>
      <c r="C2796" s="91"/>
      <c r="D2796" s="91"/>
      <c r="E2796" s="91"/>
      <c r="F2796" s="216"/>
      <c r="G2796" s="288" t="s">
        <v>407</v>
      </c>
      <c r="H2796" s="287">
        <f>SUM(G2795:G2795)</f>
        <v>11254</v>
      </c>
      <c r="I2796" s="285"/>
    </row>
    <row r="2797" spans="1:9" s="65" customFormat="1">
      <c r="A2797" s="72" t="s">
        <v>411</v>
      </c>
      <c r="B2797" s="73"/>
      <c r="C2797" s="73"/>
      <c r="D2797" s="73"/>
      <c r="E2797" s="73"/>
      <c r="F2797" s="216"/>
      <c r="G2797" s="217"/>
      <c r="H2797" s="289"/>
      <c r="I2797" s="285"/>
    </row>
    <row r="2798" spans="1:9" s="65" customFormat="1">
      <c r="A2798" s="286" t="s">
        <v>391</v>
      </c>
      <c r="B2798" s="76" t="s">
        <v>392</v>
      </c>
      <c r="C2798" s="76" t="s">
        <v>393</v>
      </c>
      <c r="D2798" s="76" t="s">
        <v>394</v>
      </c>
      <c r="E2798" s="76" t="s">
        <v>395</v>
      </c>
      <c r="F2798" s="76" t="s">
        <v>396</v>
      </c>
      <c r="G2798" s="76" t="s">
        <v>397</v>
      </c>
      <c r="H2798" s="289"/>
      <c r="I2798" s="285"/>
    </row>
    <row r="2799" spans="1:9" s="65" customFormat="1">
      <c r="A2799" s="87" t="s">
        <v>409</v>
      </c>
      <c r="B2799" s="114" t="s">
        <v>409</v>
      </c>
      <c r="C2799" s="114" t="s">
        <v>409</v>
      </c>
      <c r="D2799" s="114" t="s">
        <v>409</v>
      </c>
      <c r="E2799" s="114" t="s">
        <v>409</v>
      </c>
      <c r="F2799" s="79" t="s">
        <v>409</v>
      </c>
      <c r="G2799" s="302" t="s">
        <v>409</v>
      </c>
      <c r="H2799" s="289"/>
      <c r="I2799" s="285"/>
    </row>
    <row r="2800" spans="1:9" s="65" customFormat="1">
      <c r="A2800" s="94"/>
      <c r="B2800" s="95"/>
      <c r="C2800" s="95"/>
      <c r="D2800" s="95"/>
      <c r="E2800" s="95"/>
      <c r="F2800" s="216"/>
      <c r="G2800" s="288" t="s">
        <v>407</v>
      </c>
      <c r="H2800" s="287">
        <f>SUM(G2798:G2799)</f>
        <v>0</v>
      </c>
      <c r="I2800" s="285"/>
    </row>
    <row r="2801" spans="1:9" s="65" customFormat="1">
      <c r="A2801" s="94"/>
      <c r="B2801" s="95"/>
      <c r="C2801" s="95"/>
      <c r="D2801" s="95"/>
      <c r="E2801" s="95"/>
      <c r="F2801" s="216"/>
      <c r="G2801" s="217"/>
      <c r="H2801" s="217"/>
      <c r="I2801" s="285"/>
    </row>
    <row r="2802" spans="1:9" s="65" customFormat="1">
      <c r="A2802" s="292"/>
      <c r="B2802" s="97"/>
      <c r="C2802" s="98"/>
      <c r="D2802" s="98"/>
      <c r="E2802" s="98"/>
      <c r="F2802" s="216"/>
      <c r="G2802" s="293" t="s">
        <v>412</v>
      </c>
      <c r="H2802" s="294">
        <f>SUM(H2786:H2800)</f>
        <v>14028.2976</v>
      </c>
      <c r="I2802" s="285"/>
    </row>
    <row r="2803" spans="1:9" s="65" customFormat="1">
      <c r="A2803" s="292"/>
      <c r="B2803" s="97"/>
      <c r="C2803" s="98"/>
      <c r="D2803" s="98"/>
      <c r="E2803" s="98"/>
      <c r="F2803" s="295"/>
      <c r="G2803" s="296"/>
      <c r="H2803" s="218"/>
      <c r="I2803" s="285"/>
    </row>
    <row r="2804" spans="1:9" s="65" customFormat="1" ht="15.75" thickBot="1">
      <c r="A2804" s="624" t="s">
        <v>502</v>
      </c>
      <c r="B2804" s="625"/>
      <c r="C2804" s="625"/>
      <c r="D2804" s="625"/>
      <c r="E2804" s="625"/>
      <c r="F2804" s="625"/>
      <c r="G2804" s="626"/>
      <c r="H2804" s="297">
        <f>+ROUND(H2802,0)</f>
        <v>14028</v>
      </c>
      <c r="I2804" s="298"/>
    </row>
    <row r="2805" spans="1:9" s="65" customFormat="1">
      <c r="A2805" s="128"/>
      <c r="B2805" s="141"/>
      <c r="C2805" s="141"/>
      <c r="D2805" s="141"/>
      <c r="E2805" s="141"/>
      <c r="F2805" s="141"/>
      <c r="G2805" s="141"/>
      <c r="H2805" s="140"/>
    </row>
    <row r="2806" spans="1:9" s="65" customFormat="1" ht="15.75" thickBot="1">
      <c r="A2806" s="150"/>
      <c r="B2806" s="83"/>
      <c r="C2806" s="148"/>
      <c r="D2806" s="160"/>
      <c r="E2806" s="84"/>
      <c r="F2806" s="84"/>
      <c r="G2806" s="144"/>
      <c r="H2806" s="145"/>
    </row>
    <row r="2807" spans="1:9" s="65" customFormat="1">
      <c r="A2807" s="627"/>
      <c r="B2807" s="629" t="s">
        <v>574</v>
      </c>
      <c r="C2807" s="630"/>
      <c r="D2807" s="630"/>
      <c r="E2807" s="630"/>
      <c r="F2807" s="630"/>
      <c r="G2807" s="630"/>
      <c r="H2807" s="630"/>
      <c r="I2807" s="66" t="s">
        <v>389</v>
      </c>
    </row>
    <row r="2808" spans="1:9" s="65" customFormat="1">
      <c r="A2808" s="628"/>
      <c r="B2808" s="631"/>
      <c r="C2808" s="632"/>
      <c r="D2808" s="632"/>
      <c r="E2808" s="632"/>
      <c r="F2808" s="632"/>
      <c r="G2808" s="632"/>
      <c r="H2808" s="632"/>
      <c r="I2808" s="67" t="s">
        <v>7</v>
      </c>
    </row>
    <row r="2809" spans="1:9" s="65" customFormat="1">
      <c r="A2809" s="68"/>
      <c r="B2809" s="69" t="s">
        <v>533</v>
      </c>
      <c r="C2809" s="69"/>
      <c r="D2809" s="69"/>
      <c r="E2809" s="69"/>
      <c r="F2809" s="70"/>
      <c r="G2809" s="70"/>
      <c r="H2809" s="70"/>
      <c r="I2809" s="71"/>
    </row>
    <row r="2810" spans="1:9" s="65" customFormat="1">
      <c r="A2810" s="72" t="s">
        <v>390</v>
      </c>
      <c r="B2810" s="73"/>
      <c r="C2810" s="73"/>
      <c r="D2810" s="73"/>
      <c r="E2810" s="73"/>
      <c r="F2810" s="74"/>
      <c r="G2810" s="74"/>
      <c r="H2810" s="70"/>
      <c r="I2810" s="71"/>
    </row>
    <row r="2811" spans="1:9" s="65" customFormat="1">
      <c r="A2811" s="75" t="s">
        <v>391</v>
      </c>
      <c r="B2811" s="76" t="s">
        <v>392</v>
      </c>
      <c r="C2811" s="76" t="s">
        <v>393</v>
      </c>
      <c r="D2811" s="76" t="s">
        <v>394</v>
      </c>
      <c r="E2811" s="76" t="s">
        <v>395</v>
      </c>
      <c r="F2811" s="76" t="s">
        <v>396</v>
      </c>
      <c r="G2811" s="76" t="s">
        <v>397</v>
      </c>
      <c r="H2811" s="74"/>
      <c r="I2811" s="71"/>
    </row>
    <row r="2812" spans="1:9" s="65" customFormat="1" ht="16.5">
      <c r="A2812" s="135" t="s">
        <v>404</v>
      </c>
      <c r="B2812" s="204" t="s">
        <v>405</v>
      </c>
      <c r="C2812" s="127" t="s">
        <v>523</v>
      </c>
      <c r="D2812" s="287">
        <v>1250</v>
      </c>
      <c r="E2812" s="79">
        <v>0.4</v>
      </c>
      <c r="F2812" s="79">
        <v>0</v>
      </c>
      <c r="G2812" s="287">
        <f>(D2812*E2812)+((D2812*E2812)*F2812/100)</f>
        <v>500</v>
      </c>
      <c r="H2812" s="74"/>
      <c r="I2812" s="71"/>
    </row>
    <row r="2813" spans="1:9" s="65" customFormat="1">
      <c r="A2813" s="82"/>
      <c r="B2813" s="83"/>
      <c r="C2813" s="84"/>
      <c r="D2813" s="84"/>
      <c r="E2813" s="84"/>
      <c r="F2813"/>
      <c r="G2813" s="93" t="s">
        <v>407</v>
      </c>
      <c r="H2813" s="107">
        <f>SUM(G2812:G2812)</f>
        <v>500</v>
      </c>
      <c r="I2813" s="71"/>
    </row>
    <row r="2814" spans="1:9" s="65" customFormat="1">
      <c r="A2814" s="72" t="s">
        <v>408</v>
      </c>
      <c r="B2814" s="73"/>
      <c r="C2814" s="73"/>
      <c r="D2814" s="73"/>
      <c r="E2814" s="73"/>
      <c r="F2814"/>
      <c r="G2814" s="74"/>
      <c r="H2814" s="108"/>
      <c r="I2814" s="71"/>
    </row>
    <row r="2815" spans="1:9" s="65" customFormat="1">
      <c r="A2815" s="75" t="s">
        <v>391</v>
      </c>
      <c r="B2815" s="76" t="s">
        <v>392</v>
      </c>
      <c r="C2815" s="76" t="s">
        <v>393</v>
      </c>
      <c r="D2815" s="76" t="s">
        <v>394</v>
      </c>
      <c r="E2815" s="76" t="s">
        <v>395</v>
      </c>
      <c r="F2815" s="76" t="s">
        <v>396</v>
      </c>
      <c r="G2815" s="76" t="s">
        <v>397</v>
      </c>
      <c r="H2815" s="108"/>
      <c r="I2815" s="71"/>
    </row>
    <row r="2816" spans="1:9" s="65" customFormat="1">
      <c r="A2816" s="125">
        <v>862</v>
      </c>
      <c r="B2816" s="78" t="s">
        <v>575</v>
      </c>
      <c r="C2816" s="127" t="s">
        <v>157</v>
      </c>
      <c r="D2816" s="287">
        <v>345.68</v>
      </c>
      <c r="E2816" s="79">
        <v>2</v>
      </c>
      <c r="F2816" s="79">
        <v>0</v>
      </c>
      <c r="G2816" s="287">
        <f t="shared" ref="G2816:G2821" si="17">(D2816*E2816)+((D2816*E2816)*F2816/100)</f>
        <v>691.36</v>
      </c>
      <c r="H2816" s="108"/>
      <c r="I2816" s="71"/>
    </row>
    <row r="2817" spans="1:9" s="65" customFormat="1">
      <c r="A2817" s="125">
        <v>1208</v>
      </c>
      <c r="B2817" s="78" t="s">
        <v>576</v>
      </c>
      <c r="C2817" s="127" t="s">
        <v>423</v>
      </c>
      <c r="D2817" s="287">
        <v>3499.72</v>
      </c>
      <c r="E2817" s="79">
        <v>0.1</v>
      </c>
      <c r="F2817" s="79">
        <v>0</v>
      </c>
      <c r="G2817" s="287">
        <f t="shared" si="17"/>
        <v>349.97199999999998</v>
      </c>
      <c r="H2817" s="108"/>
      <c r="I2817" s="71"/>
    </row>
    <row r="2818" spans="1:9" s="65" customFormat="1">
      <c r="A2818" s="125">
        <v>1938</v>
      </c>
      <c r="B2818" s="78" t="s">
        <v>577</v>
      </c>
      <c r="C2818" s="127" t="s">
        <v>157</v>
      </c>
      <c r="D2818" s="287">
        <v>1600</v>
      </c>
      <c r="E2818" s="79">
        <v>1</v>
      </c>
      <c r="F2818" s="79">
        <v>0</v>
      </c>
      <c r="G2818" s="287">
        <f t="shared" si="17"/>
        <v>1600</v>
      </c>
      <c r="H2818" s="108"/>
      <c r="I2818" s="71"/>
    </row>
    <row r="2819" spans="1:9" s="65" customFormat="1">
      <c r="A2819" s="125">
        <v>3038</v>
      </c>
      <c r="B2819" s="78" t="s">
        <v>578</v>
      </c>
      <c r="C2819" s="127" t="s">
        <v>493</v>
      </c>
      <c r="D2819" s="287">
        <v>2148.3200000000002</v>
      </c>
      <c r="E2819" s="79">
        <v>0.1</v>
      </c>
      <c r="F2819" s="79">
        <v>0</v>
      </c>
      <c r="G2819" s="287">
        <f t="shared" si="17"/>
        <v>214.83200000000002</v>
      </c>
      <c r="H2819" s="108"/>
      <c r="I2819" s="71"/>
    </row>
    <row r="2820" spans="1:9" s="65" customFormat="1">
      <c r="A2820" s="125">
        <v>3095</v>
      </c>
      <c r="B2820" s="78" t="s">
        <v>579</v>
      </c>
      <c r="C2820" s="127" t="s">
        <v>426</v>
      </c>
      <c r="D2820" s="287">
        <v>230.84</v>
      </c>
      <c r="E2820" s="79">
        <v>1</v>
      </c>
      <c r="F2820" s="79">
        <v>0</v>
      </c>
      <c r="G2820" s="287">
        <f t="shared" si="17"/>
        <v>230.84</v>
      </c>
      <c r="H2820" s="108"/>
      <c r="I2820" s="71"/>
    </row>
    <row r="2821" spans="1:9" s="65" customFormat="1">
      <c r="A2821" s="125">
        <v>4608</v>
      </c>
      <c r="B2821" s="78" t="s">
        <v>580</v>
      </c>
      <c r="C2821" s="127" t="s">
        <v>157</v>
      </c>
      <c r="D2821" s="287">
        <v>500</v>
      </c>
      <c r="E2821" s="79">
        <v>0.2</v>
      </c>
      <c r="F2821" s="79">
        <v>0</v>
      </c>
      <c r="G2821" s="287">
        <f t="shared" si="17"/>
        <v>100</v>
      </c>
      <c r="H2821" s="108"/>
      <c r="I2821" s="71"/>
    </row>
    <row r="2822" spans="1:9" s="65" customFormat="1">
      <c r="A2822" s="90"/>
      <c r="B2822" s="91"/>
      <c r="C2822" s="91"/>
      <c r="D2822" s="91"/>
      <c r="E2822" s="91"/>
      <c r="F2822"/>
      <c r="G2822" s="85" t="s">
        <v>407</v>
      </c>
      <c r="H2822" s="107">
        <f>SUM(G2816:G2821)</f>
        <v>3187.0039999999999</v>
      </c>
      <c r="I2822" s="71"/>
    </row>
    <row r="2823" spans="1:9" s="65" customFormat="1">
      <c r="A2823" s="72" t="s">
        <v>410</v>
      </c>
      <c r="B2823" s="73"/>
      <c r="C2823" s="73"/>
      <c r="D2823" s="73"/>
      <c r="E2823" s="73"/>
      <c r="F2823"/>
      <c r="G2823" s="74"/>
      <c r="H2823" s="108"/>
      <c r="I2823" s="71"/>
    </row>
    <row r="2824" spans="1:9" s="65" customFormat="1">
      <c r="A2824" s="75" t="s">
        <v>391</v>
      </c>
      <c r="B2824" s="76" t="s">
        <v>392</v>
      </c>
      <c r="C2824" s="76" t="s">
        <v>393</v>
      </c>
      <c r="D2824" s="76" t="s">
        <v>394</v>
      </c>
      <c r="E2824" s="76" t="s">
        <v>395</v>
      </c>
      <c r="F2824" s="76" t="s">
        <v>396</v>
      </c>
      <c r="G2824" s="76" t="s">
        <v>397</v>
      </c>
      <c r="H2824" s="108"/>
      <c r="I2824" s="71"/>
    </row>
    <row r="2825" spans="1:9" s="65" customFormat="1" ht="25.5">
      <c r="A2825" s="125" t="s">
        <v>536</v>
      </c>
      <c r="B2825" s="78" t="s">
        <v>581</v>
      </c>
      <c r="C2825" s="127" t="s">
        <v>426</v>
      </c>
      <c r="D2825" s="287">
        <v>22021</v>
      </c>
      <c r="E2825" s="79">
        <v>0.5</v>
      </c>
      <c r="F2825" s="79">
        <v>0</v>
      </c>
      <c r="G2825" s="287">
        <f>(D2825*E2825)+((D2825*E2825)*F2825/100)</f>
        <v>11010.5</v>
      </c>
      <c r="H2825" s="108"/>
      <c r="I2825" s="71"/>
    </row>
    <row r="2826" spans="1:9" s="65" customFormat="1">
      <c r="A2826" s="90"/>
      <c r="B2826" s="91"/>
      <c r="C2826" s="91"/>
      <c r="D2826" s="91"/>
      <c r="E2826" s="91"/>
      <c r="F2826"/>
      <c r="G2826" s="93" t="s">
        <v>407</v>
      </c>
      <c r="H2826" s="107">
        <f>SUM(G2825:G2825)</f>
        <v>11010.5</v>
      </c>
      <c r="I2826" s="71"/>
    </row>
    <row r="2827" spans="1:9" s="65" customFormat="1">
      <c r="A2827" s="72" t="s">
        <v>411</v>
      </c>
      <c r="B2827" s="73"/>
      <c r="C2827" s="73"/>
      <c r="D2827" s="73"/>
      <c r="E2827" s="73"/>
      <c r="F2827"/>
      <c r="G2827" s="74"/>
      <c r="H2827" s="108"/>
      <c r="I2827" s="71"/>
    </row>
    <row r="2828" spans="1:9" s="65" customFormat="1">
      <c r="A2828" s="75" t="s">
        <v>391</v>
      </c>
      <c r="B2828" s="76" t="s">
        <v>392</v>
      </c>
      <c r="C2828" s="76" t="s">
        <v>393</v>
      </c>
      <c r="D2828" s="76" t="s">
        <v>394</v>
      </c>
      <c r="E2828" s="76" t="s">
        <v>395</v>
      </c>
      <c r="F2828" s="76" t="s">
        <v>396</v>
      </c>
      <c r="G2828" s="76" t="s">
        <v>397</v>
      </c>
      <c r="H2828" s="108"/>
      <c r="I2828" s="71"/>
    </row>
    <row r="2829" spans="1:9" s="65" customFormat="1">
      <c r="A2829" s="87" t="s">
        <v>409</v>
      </c>
      <c r="B2829" s="114" t="s">
        <v>409</v>
      </c>
      <c r="C2829" s="114" t="s">
        <v>409</v>
      </c>
      <c r="D2829" s="114" t="s">
        <v>409</v>
      </c>
      <c r="E2829" s="114" t="s">
        <v>409</v>
      </c>
      <c r="F2829" s="79" t="s">
        <v>409</v>
      </c>
      <c r="G2829" s="89" t="s">
        <v>409</v>
      </c>
      <c r="H2829" s="108"/>
      <c r="I2829" s="71"/>
    </row>
    <row r="2830" spans="1:9" s="65" customFormat="1">
      <c r="A2830" s="94"/>
      <c r="B2830" s="95"/>
      <c r="C2830" s="95"/>
      <c r="D2830" s="95"/>
      <c r="E2830" s="95"/>
      <c r="F2830"/>
      <c r="G2830" s="93" t="s">
        <v>407</v>
      </c>
      <c r="H2830" s="107">
        <f>SUM(G2828:G2829)</f>
        <v>0</v>
      </c>
      <c r="I2830" s="71"/>
    </row>
    <row r="2831" spans="1:9" s="65" customFormat="1">
      <c r="A2831" s="94"/>
      <c r="B2831" s="95"/>
      <c r="C2831" s="95"/>
      <c r="D2831" s="95"/>
      <c r="E2831" s="95"/>
      <c r="F2831"/>
      <c r="G2831" s="74"/>
      <c r="H2831" s="74"/>
      <c r="I2831" s="71"/>
    </row>
    <row r="2832" spans="1:9" s="65" customFormat="1">
      <c r="A2832" s="96"/>
      <c r="B2832" s="97"/>
      <c r="C2832" s="98"/>
      <c r="D2832" s="98"/>
      <c r="E2832" s="98"/>
      <c r="F2832"/>
      <c r="G2832" s="99" t="s">
        <v>412</v>
      </c>
      <c r="H2832" s="115">
        <f>SUM(H2813:H2830)</f>
        <v>14697.504000000001</v>
      </c>
      <c r="I2832" s="71"/>
    </row>
    <row r="2833" spans="1:9" s="65" customFormat="1">
      <c r="A2833" s="96"/>
      <c r="B2833" s="97"/>
      <c r="C2833" s="98"/>
      <c r="D2833" s="98"/>
      <c r="E2833" s="98"/>
      <c r="F2833" s="101"/>
      <c r="G2833" s="116"/>
      <c r="H2833" s="70"/>
      <c r="I2833" s="71"/>
    </row>
    <row r="2834" spans="1:9" s="65" customFormat="1" ht="15.75" thickBot="1">
      <c r="A2834" s="624" t="s">
        <v>502</v>
      </c>
      <c r="B2834" s="625"/>
      <c r="C2834" s="625"/>
      <c r="D2834" s="625"/>
      <c r="E2834" s="625"/>
      <c r="F2834" s="625"/>
      <c r="G2834" s="626"/>
      <c r="H2834" s="117">
        <f>+ROUND(H2832,0)</f>
        <v>14698</v>
      </c>
      <c r="I2834" s="103"/>
    </row>
    <row r="2835" spans="1:9" s="65" customFormat="1" ht="15.75" thickBot="1">
      <c r="A2835"/>
      <c r="B2835"/>
      <c r="C2835"/>
      <c r="D2835"/>
      <c r="E2835"/>
      <c r="F2835"/>
      <c r="G2835"/>
      <c r="H2835"/>
      <c r="I2835"/>
    </row>
    <row r="2836" spans="1:9" s="65" customFormat="1">
      <c r="A2836" s="627"/>
      <c r="B2836" s="629" t="s">
        <v>582</v>
      </c>
      <c r="C2836" s="630"/>
      <c r="D2836" s="630"/>
      <c r="E2836" s="630"/>
      <c r="F2836" s="630"/>
      <c r="G2836" s="630"/>
      <c r="H2836" s="630"/>
      <c r="I2836" s="66" t="s">
        <v>389</v>
      </c>
    </row>
    <row r="2837" spans="1:9" s="65" customFormat="1">
      <c r="A2837" s="628"/>
      <c r="B2837" s="631"/>
      <c r="C2837" s="632"/>
      <c r="D2837" s="632"/>
      <c r="E2837" s="632"/>
      <c r="F2837" s="632"/>
      <c r="G2837" s="632"/>
      <c r="H2837" s="632"/>
      <c r="I2837" s="67" t="s">
        <v>7</v>
      </c>
    </row>
    <row r="2838" spans="1:9" s="65" customFormat="1">
      <c r="A2838" s="68"/>
      <c r="B2838" s="69" t="s">
        <v>533</v>
      </c>
      <c r="C2838" s="69"/>
      <c r="D2838" s="69"/>
      <c r="E2838" s="69"/>
      <c r="F2838" s="70"/>
      <c r="G2838" s="70"/>
      <c r="H2838" s="70"/>
      <c r="I2838" s="71"/>
    </row>
    <row r="2839" spans="1:9" s="65" customFormat="1">
      <c r="A2839" s="72" t="s">
        <v>390</v>
      </c>
      <c r="B2839" s="73"/>
      <c r="C2839" s="73"/>
      <c r="D2839" s="73"/>
      <c r="E2839" s="73"/>
      <c r="F2839" s="74"/>
      <c r="G2839" s="74"/>
      <c r="H2839" s="70"/>
      <c r="I2839" s="71"/>
    </row>
    <row r="2840" spans="1:9" s="65" customFormat="1">
      <c r="A2840" s="75" t="s">
        <v>391</v>
      </c>
      <c r="B2840" s="76" t="s">
        <v>392</v>
      </c>
      <c r="C2840" s="76" t="s">
        <v>393</v>
      </c>
      <c r="D2840" s="76" t="s">
        <v>394</v>
      </c>
      <c r="E2840" s="76" t="s">
        <v>395</v>
      </c>
      <c r="F2840" s="76" t="s">
        <v>396</v>
      </c>
      <c r="G2840" s="76" t="s">
        <v>397</v>
      </c>
      <c r="H2840" s="74"/>
      <c r="I2840" s="71"/>
    </row>
    <row r="2841" spans="1:9" s="65" customFormat="1" ht="16.5">
      <c r="A2841" s="135" t="s">
        <v>404</v>
      </c>
      <c r="B2841" s="204" t="s">
        <v>405</v>
      </c>
      <c r="C2841" s="127" t="s">
        <v>523</v>
      </c>
      <c r="D2841" s="287">
        <v>1250</v>
      </c>
      <c r="E2841" s="79">
        <v>0.02</v>
      </c>
      <c r="F2841" s="79">
        <v>0</v>
      </c>
      <c r="G2841" s="287">
        <f>(D2841*E2841)+((D2841*E2841)*F2841/100)</f>
        <v>25</v>
      </c>
      <c r="H2841" s="74"/>
      <c r="I2841" s="71"/>
    </row>
    <row r="2842" spans="1:9" s="65" customFormat="1">
      <c r="A2842" s="82"/>
      <c r="B2842" s="83"/>
      <c r="C2842" s="84"/>
      <c r="D2842" s="84"/>
      <c r="E2842" s="84"/>
      <c r="F2842"/>
      <c r="G2842" s="93" t="s">
        <v>407</v>
      </c>
      <c r="H2842" s="107">
        <f>SUM(G2841:G2841)</f>
        <v>25</v>
      </c>
      <c r="I2842" s="71"/>
    </row>
    <row r="2843" spans="1:9" s="65" customFormat="1">
      <c r="A2843" s="72" t="s">
        <v>408</v>
      </c>
      <c r="B2843" s="73"/>
      <c r="C2843" s="73"/>
      <c r="D2843" s="73"/>
      <c r="E2843" s="73"/>
      <c r="F2843"/>
      <c r="G2843" s="74"/>
      <c r="H2843" s="108"/>
      <c r="I2843" s="71"/>
    </row>
    <row r="2844" spans="1:9" s="65" customFormat="1">
      <c r="A2844" s="75" t="s">
        <v>391</v>
      </c>
      <c r="B2844" s="76" t="s">
        <v>392</v>
      </c>
      <c r="C2844" s="76" t="s">
        <v>393</v>
      </c>
      <c r="D2844" s="76" t="s">
        <v>394</v>
      </c>
      <c r="E2844" s="76" t="s">
        <v>395</v>
      </c>
      <c r="F2844" s="76" t="s">
        <v>396</v>
      </c>
      <c r="G2844" s="76" t="s">
        <v>397</v>
      </c>
      <c r="H2844" s="108"/>
      <c r="I2844" s="71"/>
    </row>
    <row r="2845" spans="1:9" s="65" customFormat="1" ht="25.5">
      <c r="A2845" s="125">
        <v>1600</v>
      </c>
      <c r="B2845" s="78" t="s">
        <v>583</v>
      </c>
      <c r="C2845" s="127" t="s">
        <v>157</v>
      </c>
      <c r="D2845" s="287">
        <v>14500</v>
      </c>
      <c r="E2845" s="79">
        <v>1</v>
      </c>
      <c r="F2845" s="79">
        <v>0</v>
      </c>
      <c r="G2845" s="287">
        <f>(D2845*E2845)+((D2845*E2845)*F2845/100)</f>
        <v>14500</v>
      </c>
      <c r="H2845" s="108"/>
      <c r="I2845" s="71"/>
    </row>
    <row r="2846" spans="1:9" s="65" customFormat="1">
      <c r="A2846" s="125">
        <v>3085</v>
      </c>
      <c r="B2846" s="78" t="s">
        <v>584</v>
      </c>
      <c r="C2846" s="127" t="s">
        <v>157</v>
      </c>
      <c r="D2846" s="287">
        <v>950</v>
      </c>
      <c r="E2846" s="79">
        <v>1</v>
      </c>
      <c r="F2846" s="79">
        <v>0</v>
      </c>
      <c r="G2846" s="287">
        <f>(D2846*E2846)+((D2846*E2846)*F2846/100)</f>
        <v>950</v>
      </c>
      <c r="H2846" s="108"/>
      <c r="I2846" s="71"/>
    </row>
    <row r="2847" spans="1:9" s="65" customFormat="1">
      <c r="A2847" s="125">
        <v>4608</v>
      </c>
      <c r="B2847" s="78" t="s">
        <v>580</v>
      </c>
      <c r="C2847" s="127" t="s">
        <v>157</v>
      </c>
      <c r="D2847" s="287">
        <v>500</v>
      </c>
      <c r="E2847" s="79">
        <v>0.06</v>
      </c>
      <c r="F2847" s="79">
        <v>0</v>
      </c>
      <c r="G2847" s="287">
        <f>(D2847*E2847)+((D2847*E2847)*F2847/100)</f>
        <v>30</v>
      </c>
      <c r="H2847" s="108"/>
      <c r="I2847" s="71"/>
    </row>
    <row r="2848" spans="1:9" s="65" customFormat="1">
      <c r="A2848" s="90"/>
      <c r="B2848" s="91"/>
      <c r="C2848" s="91"/>
      <c r="D2848" s="91"/>
      <c r="E2848" s="91"/>
      <c r="F2848"/>
      <c r="G2848" s="85" t="s">
        <v>407</v>
      </c>
      <c r="H2848" s="107">
        <f>SUM(G2845:G2847)</f>
        <v>15480</v>
      </c>
      <c r="I2848" s="71"/>
    </row>
    <row r="2849" spans="1:9" s="65" customFormat="1">
      <c r="A2849" s="72" t="s">
        <v>410</v>
      </c>
      <c r="B2849" s="73"/>
      <c r="C2849" s="73"/>
      <c r="D2849" s="73"/>
      <c r="E2849" s="73"/>
      <c r="F2849"/>
      <c r="G2849" s="74"/>
      <c r="H2849" s="108"/>
      <c r="I2849" s="71"/>
    </row>
    <row r="2850" spans="1:9" s="65" customFormat="1">
      <c r="A2850" s="75" t="s">
        <v>391</v>
      </c>
      <c r="B2850" s="76" t="s">
        <v>392</v>
      </c>
      <c r="C2850" s="76" t="s">
        <v>393</v>
      </c>
      <c r="D2850" s="76" t="s">
        <v>394</v>
      </c>
      <c r="E2850" s="76" t="s">
        <v>395</v>
      </c>
      <c r="F2850" s="76" t="s">
        <v>396</v>
      </c>
      <c r="G2850" s="76" t="s">
        <v>397</v>
      </c>
      <c r="H2850" s="108"/>
      <c r="I2850" s="71"/>
    </row>
    <row r="2851" spans="1:9" s="65" customFormat="1" ht="25.5">
      <c r="A2851" s="125" t="s">
        <v>494</v>
      </c>
      <c r="B2851" s="78" t="s">
        <v>585</v>
      </c>
      <c r="C2851" s="127" t="s">
        <v>426</v>
      </c>
      <c r="D2851" s="287">
        <v>15927</v>
      </c>
      <c r="E2851" s="79">
        <v>0.2</v>
      </c>
      <c r="F2851" s="79">
        <v>0</v>
      </c>
      <c r="G2851" s="287">
        <f>(D2851*E2851)+((D2851*E2851)*F2851/100)</f>
        <v>3185.4</v>
      </c>
      <c r="H2851" s="108"/>
      <c r="I2851" s="71"/>
    </row>
    <row r="2852" spans="1:9" s="65" customFormat="1">
      <c r="A2852" s="90"/>
      <c r="B2852" s="91"/>
      <c r="C2852" s="91"/>
      <c r="D2852" s="91"/>
      <c r="E2852" s="91"/>
      <c r="F2852"/>
      <c r="G2852" s="93" t="s">
        <v>407</v>
      </c>
      <c r="H2852" s="107">
        <f>SUM(G2851:G2851)</f>
        <v>3185.4</v>
      </c>
      <c r="I2852" s="71"/>
    </row>
    <row r="2853" spans="1:9" s="65" customFormat="1">
      <c r="A2853" s="72" t="s">
        <v>411</v>
      </c>
      <c r="B2853" s="73"/>
      <c r="C2853" s="73"/>
      <c r="D2853" s="73"/>
      <c r="E2853" s="73"/>
      <c r="F2853"/>
      <c r="G2853" s="74"/>
      <c r="H2853" s="108"/>
      <c r="I2853" s="71"/>
    </row>
    <row r="2854" spans="1:9" s="65" customFormat="1">
      <c r="A2854" s="75" t="s">
        <v>391</v>
      </c>
      <c r="B2854" s="76" t="s">
        <v>392</v>
      </c>
      <c r="C2854" s="76" t="s">
        <v>393</v>
      </c>
      <c r="D2854" s="76" t="s">
        <v>394</v>
      </c>
      <c r="E2854" s="76" t="s">
        <v>395</v>
      </c>
      <c r="F2854" s="76" t="s">
        <v>396</v>
      </c>
      <c r="G2854" s="76" t="s">
        <v>397</v>
      </c>
      <c r="H2854" s="108"/>
      <c r="I2854" s="71"/>
    </row>
    <row r="2855" spans="1:9" s="65" customFormat="1">
      <c r="A2855" s="87" t="s">
        <v>409</v>
      </c>
      <c r="B2855" s="114" t="s">
        <v>409</v>
      </c>
      <c r="C2855" s="114" t="s">
        <v>409</v>
      </c>
      <c r="D2855" s="114" t="s">
        <v>409</v>
      </c>
      <c r="E2855" s="114" t="s">
        <v>409</v>
      </c>
      <c r="F2855" s="79" t="s">
        <v>409</v>
      </c>
      <c r="G2855" s="89" t="s">
        <v>409</v>
      </c>
      <c r="H2855" s="108"/>
      <c r="I2855" s="71"/>
    </row>
    <row r="2856" spans="1:9" s="65" customFormat="1">
      <c r="A2856" s="94"/>
      <c r="B2856" s="95"/>
      <c r="C2856" s="95"/>
      <c r="D2856" s="95"/>
      <c r="E2856" s="95"/>
      <c r="F2856"/>
      <c r="G2856" s="93" t="s">
        <v>407</v>
      </c>
      <c r="H2856" s="107">
        <f>SUM(G2854:G2855)</f>
        <v>0</v>
      </c>
      <c r="I2856" s="71"/>
    </row>
    <row r="2857" spans="1:9" s="65" customFormat="1">
      <c r="A2857" s="94"/>
      <c r="B2857" s="95"/>
      <c r="C2857" s="95"/>
      <c r="D2857" s="95"/>
      <c r="E2857" s="95"/>
      <c r="F2857"/>
      <c r="G2857" s="74"/>
      <c r="H2857" s="74"/>
      <c r="I2857" s="71"/>
    </row>
    <row r="2858" spans="1:9" s="65" customFormat="1">
      <c r="A2858" s="96"/>
      <c r="B2858" s="97"/>
      <c r="C2858" s="98"/>
      <c r="D2858" s="98"/>
      <c r="E2858" s="98"/>
      <c r="F2858"/>
      <c r="G2858" s="99" t="s">
        <v>412</v>
      </c>
      <c r="H2858" s="115">
        <f>SUM(H2842:H2856)</f>
        <v>18690.400000000001</v>
      </c>
      <c r="I2858" s="71"/>
    </row>
    <row r="2859" spans="1:9" s="65" customFormat="1">
      <c r="A2859" s="96"/>
      <c r="B2859" s="97"/>
      <c r="C2859" s="98"/>
      <c r="D2859" s="98"/>
      <c r="E2859" s="98"/>
      <c r="F2859" s="101"/>
      <c r="G2859" s="116"/>
      <c r="H2859" s="70"/>
      <c r="I2859" s="71"/>
    </row>
    <row r="2860" spans="1:9" s="65" customFormat="1" ht="15.75" thickBot="1">
      <c r="A2860" s="624" t="s">
        <v>502</v>
      </c>
      <c r="B2860" s="625"/>
      <c r="C2860" s="625"/>
      <c r="D2860" s="625"/>
      <c r="E2860" s="625"/>
      <c r="F2860" s="625"/>
      <c r="G2860" s="626"/>
      <c r="H2860" s="117">
        <f>+ROUND(H2858,0)</f>
        <v>18690</v>
      </c>
      <c r="I2860" s="103"/>
    </row>
    <row r="2861" spans="1:9" s="65" customFormat="1">
      <c r="A2861" s="128"/>
      <c r="B2861" s="141"/>
      <c r="C2861" s="141"/>
      <c r="D2861" s="141"/>
      <c r="E2861" s="141"/>
      <c r="F2861" s="141"/>
      <c r="G2861" s="141"/>
      <c r="H2861" s="140"/>
    </row>
    <row r="2862" spans="1:9" s="65" customFormat="1">
      <c r="A2862" s="146"/>
      <c r="B2862" s="83"/>
      <c r="C2862" s="148"/>
      <c r="D2862" s="84"/>
      <c r="E2862" s="84"/>
      <c r="F2862" s="84"/>
      <c r="G2862" s="144"/>
      <c r="H2862" s="145"/>
    </row>
    <row r="2863" spans="1:9" s="65" customFormat="1" ht="15.75" thickBot="1">
      <c r="A2863" s="91"/>
      <c r="B2863" s="91"/>
      <c r="C2863" s="91"/>
      <c r="D2863" s="91"/>
      <c r="E2863" s="91"/>
      <c r="G2863" s="104"/>
      <c r="H2863" s="140"/>
    </row>
    <row r="2864" spans="1:9" s="65" customFormat="1">
      <c r="A2864" s="627"/>
      <c r="B2864" s="629" t="s">
        <v>1214</v>
      </c>
      <c r="C2864" s="630"/>
      <c r="D2864" s="630"/>
      <c r="E2864" s="630"/>
      <c r="F2864" s="630"/>
      <c r="G2864" s="630"/>
      <c r="H2864" s="630"/>
      <c r="I2864" s="66" t="s">
        <v>389</v>
      </c>
    </row>
    <row r="2865" spans="1:9" s="65" customFormat="1">
      <c r="A2865" s="628"/>
      <c r="B2865" s="631"/>
      <c r="C2865" s="632"/>
      <c r="D2865" s="632"/>
      <c r="E2865" s="632"/>
      <c r="F2865" s="632"/>
      <c r="G2865" s="632"/>
      <c r="H2865" s="632"/>
      <c r="I2865" s="67" t="s">
        <v>7</v>
      </c>
    </row>
    <row r="2866" spans="1:9" s="65" customFormat="1">
      <c r="A2866" s="68"/>
      <c r="B2866" s="69" t="s">
        <v>533</v>
      </c>
      <c r="C2866" s="69"/>
      <c r="D2866" s="69"/>
      <c r="E2866" s="69"/>
      <c r="F2866" s="70"/>
      <c r="G2866" s="70"/>
      <c r="H2866" s="70"/>
      <c r="I2866" s="71"/>
    </row>
    <row r="2867" spans="1:9" s="65" customFormat="1">
      <c r="A2867" s="72" t="s">
        <v>390</v>
      </c>
      <c r="B2867" s="73"/>
      <c r="C2867" s="73"/>
      <c r="D2867" s="73"/>
      <c r="E2867" s="73"/>
      <c r="F2867" s="74"/>
      <c r="G2867" s="74"/>
      <c r="H2867" s="70"/>
      <c r="I2867" s="71"/>
    </row>
    <row r="2868" spans="1:9" s="65" customFormat="1">
      <c r="A2868" s="75" t="s">
        <v>391</v>
      </c>
      <c r="B2868" s="76" t="s">
        <v>392</v>
      </c>
      <c r="C2868" s="76" t="s">
        <v>393</v>
      </c>
      <c r="D2868" s="76" t="s">
        <v>394</v>
      </c>
      <c r="E2868" s="76" t="s">
        <v>395</v>
      </c>
      <c r="F2868" s="76" t="s">
        <v>396</v>
      </c>
      <c r="G2868" s="76" t="s">
        <v>397</v>
      </c>
      <c r="H2868" s="74"/>
      <c r="I2868" s="71"/>
    </row>
    <row r="2869" spans="1:9" s="65" customFormat="1" ht="16.5">
      <c r="A2869" s="135" t="s">
        <v>404</v>
      </c>
      <c r="B2869" s="204" t="s">
        <v>405</v>
      </c>
      <c r="C2869" s="127" t="s">
        <v>523</v>
      </c>
      <c r="D2869" s="287">
        <v>1250</v>
      </c>
      <c r="E2869" s="79">
        <v>0.02</v>
      </c>
      <c r="F2869" s="79">
        <v>0</v>
      </c>
      <c r="G2869" s="287">
        <f>(D2869*E2869)+((D2869*E2869)*F2869/100)</f>
        <v>25</v>
      </c>
      <c r="H2869" s="74"/>
      <c r="I2869" s="71"/>
    </row>
    <row r="2870" spans="1:9" s="65" customFormat="1">
      <c r="A2870" s="82"/>
      <c r="B2870" s="83"/>
      <c r="C2870" s="84"/>
      <c r="D2870" s="84"/>
      <c r="E2870" s="84"/>
      <c r="F2870"/>
      <c r="G2870" s="93" t="s">
        <v>407</v>
      </c>
      <c r="H2870" s="107">
        <f>SUM(G2869:G2869)</f>
        <v>25</v>
      </c>
      <c r="I2870" s="71"/>
    </row>
    <row r="2871" spans="1:9" s="65" customFormat="1">
      <c r="A2871" s="72" t="s">
        <v>408</v>
      </c>
      <c r="B2871" s="73"/>
      <c r="C2871" s="73"/>
      <c r="D2871" s="73"/>
      <c r="E2871" s="73"/>
      <c r="F2871"/>
      <c r="G2871" s="74"/>
      <c r="H2871" s="108"/>
      <c r="I2871" s="71"/>
    </row>
    <row r="2872" spans="1:9" s="65" customFormat="1">
      <c r="A2872" s="75" t="s">
        <v>391</v>
      </c>
      <c r="B2872" s="76" t="s">
        <v>392</v>
      </c>
      <c r="C2872" s="76" t="s">
        <v>393</v>
      </c>
      <c r="D2872" s="76" t="s">
        <v>394</v>
      </c>
      <c r="E2872" s="76" t="s">
        <v>395</v>
      </c>
      <c r="F2872" s="76" t="s">
        <v>396</v>
      </c>
      <c r="G2872" s="76" t="s">
        <v>397</v>
      </c>
      <c r="H2872" s="108"/>
      <c r="I2872" s="71"/>
    </row>
    <row r="2873" spans="1:9" s="65" customFormat="1">
      <c r="A2873" s="125">
        <v>1600</v>
      </c>
      <c r="B2873" s="78" t="s">
        <v>1215</v>
      </c>
      <c r="C2873" s="127" t="s">
        <v>157</v>
      </c>
      <c r="D2873" s="287">
        <f>23577*1.2</f>
        <v>28292.399999999998</v>
      </c>
      <c r="E2873" s="79">
        <v>1</v>
      </c>
      <c r="F2873" s="79">
        <v>0</v>
      </c>
      <c r="G2873" s="287">
        <f>(D2873*E2873)+((D2873*E2873)*F2873/100)</f>
        <v>28292.399999999998</v>
      </c>
      <c r="H2873" s="108"/>
      <c r="I2873" s="71"/>
    </row>
    <row r="2874" spans="1:9" s="65" customFormat="1">
      <c r="A2874" s="125">
        <v>3085</v>
      </c>
      <c r="B2874" s="78" t="s">
        <v>584</v>
      </c>
      <c r="C2874" s="127" t="s">
        <v>157</v>
      </c>
      <c r="D2874" s="287">
        <v>950</v>
      </c>
      <c r="E2874" s="79">
        <v>1</v>
      </c>
      <c r="F2874" s="79">
        <v>0</v>
      </c>
      <c r="G2874" s="287">
        <f>(D2874*E2874)+((D2874*E2874)*F2874/100)</f>
        <v>950</v>
      </c>
      <c r="H2874" s="108"/>
      <c r="I2874" s="71"/>
    </row>
    <row r="2875" spans="1:9" s="65" customFormat="1">
      <c r="A2875" s="125">
        <v>4608</v>
      </c>
      <c r="B2875" s="78" t="s">
        <v>580</v>
      </c>
      <c r="C2875" s="127" t="s">
        <v>157</v>
      </c>
      <c r="D2875" s="287">
        <v>500</v>
      </c>
      <c r="E2875" s="79">
        <v>0.06</v>
      </c>
      <c r="F2875" s="79">
        <v>0</v>
      </c>
      <c r="G2875" s="287">
        <f>(D2875*E2875)+((D2875*E2875)*F2875/100)</f>
        <v>30</v>
      </c>
      <c r="H2875" s="108"/>
      <c r="I2875" s="71"/>
    </row>
    <row r="2876" spans="1:9" s="65" customFormat="1">
      <c r="A2876" s="90"/>
      <c r="B2876" s="91"/>
      <c r="C2876" s="91"/>
      <c r="D2876" s="91"/>
      <c r="E2876" s="91"/>
      <c r="F2876"/>
      <c r="G2876" s="85" t="s">
        <v>407</v>
      </c>
      <c r="H2876" s="107">
        <f>SUM(G2873:G2875)</f>
        <v>29272.399999999998</v>
      </c>
      <c r="I2876" s="71"/>
    </row>
    <row r="2877" spans="1:9" s="65" customFormat="1">
      <c r="A2877" s="72" t="s">
        <v>410</v>
      </c>
      <c r="B2877" s="73"/>
      <c r="C2877" s="73"/>
      <c r="D2877" s="73"/>
      <c r="E2877" s="73"/>
      <c r="F2877"/>
      <c r="G2877" s="74"/>
      <c r="H2877" s="108"/>
      <c r="I2877" s="71"/>
    </row>
    <row r="2878" spans="1:9" s="65" customFormat="1">
      <c r="A2878" s="75" t="s">
        <v>391</v>
      </c>
      <c r="B2878" s="76" t="s">
        <v>392</v>
      </c>
      <c r="C2878" s="76" t="s">
        <v>393</v>
      </c>
      <c r="D2878" s="76" t="s">
        <v>394</v>
      </c>
      <c r="E2878" s="76" t="s">
        <v>395</v>
      </c>
      <c r="F2878" s="76" t="s">
        <v>396</v>
      </c>
      <c r="G2878" s="76" t="s">
        <v>397</v>
      </c>
      <c r="H2878" s="108"/>
      <c r="I2878" s="71"/>
    </row>
    <row r="2879" spans="1:9" s="65" customFormat="1" ht="25.5">
      <c r="A2879" s="125" t="s">
        <v>494</v>
      </c>
      <c r="B2879" s="78" t="s">
        <v>585</v>
      </c>
      <c r="C2879" s="127" t="s">
        <v>426</v>
      </c>
      <c r="D2879" s="287">
        <v>15927</v>
      </c>
      <c r="E2879" s="79">
        <v>0.2</v>
      </c>
      <c r="F2879" s="79">
        <v>0</v>
      </c>
      <c r="G2879" s="287">
        <f>(D2879*E2879)+((D2879*E2879)*F2879/100)</f>
        <v>3185.4</v>
      </c>
      <c r="H2879" s="108"/>
      <c r="I2879" s="71"/>
    </row>
    <row r="2880" spans="1:9" s="65" customFormat="1">
      <c r="A2880" s="90"/>
      <c r="B2880" s="91"/>
      <c r="C2880" s="91"/>
      <c r="D2880" s="91"/>
      <c r="E2880" s="91"/>
      <c r="F2880"/>
      <c r="G2880" s="93" t="s">
        <v>407</v>
      </c>
      <c r="H2880" s="107">
        <f>SUM(G2879:G2879)</f>
        <v>3185.4</v>
      </c>
      <c r="I2880" s="71"/>
    </row>
    <row r="2881" spans="1:9" s="65" customFormat="1">
      <c r="A2881" s="72" t="s">
        <v>411</v>
      </c>
      <c r="B2881" s="73"/>
      <c r="C2881" s="73"/>
      <c r="D2881" s="73"/>
      <c r="E2881" s="73"/>
      <c r="F2881"/>
      <c r="G2881" s="74"/>
      <c r="H2881" s="108"/>
      <c r="I2881" s="71"/>
    </row>
    <row r="2882" spans="1:9" s="65" customFormat="1">
      <c r="A2882" s="75" t="s">
        <v>391</v>
      </c>
      <c r="B2882" s="76" t="s">
        <v>392</v>
      </c>
      <c r="C2882" s="76" t="s">
        <v>393</v>
      </c>
      <c r="D2882" s="76" t="s">
        <v>394</v>
      </c>
      <c r="E2882" s="76" t="s">
        <v>395</v>
      </c>
      <c r="F2882" s="76" t="s">
        <v>396</v>
      </c>
      <c r="G2882" s="76" t="s">
        <v>397</v>
      </c>
      <c r="H2882" s="108"/>
      <c r="I2882" s="71"/>
    </row>
    <row r="2883" spans="1:9" s="65" customFormat="1">
      <c r="A2883" s="87" t="s">
        <v>409</v>
      </c>
      <c r="B2883" s="114" t="s">
        <v>409</v>
      </c>
      <c r="C2883" s="114" t="s">
        <v>409</v>
      </c>
      <c r="D2883" s="114" t="s">
        <v>409</v>
      </c>
      <c r="E2883" s="114" t="s">
        <v>409</v>
      </c>
      <c r="F2883" s="79" t="s">
        <v>409</v>
      </c>
      <c r="G2883" s="89" t="s">
        <v>409</v>
      </c>
      <c r="H2883" s="108"/>
      <c r="I2883" s="71"/>
    </row>
    <row r="2884" spans="1:9" s="65" customFormat="1">
      <c r="A2884" s="94"/>
      <c r="B2884" s="95"/>
      <c r="C2884" s="95"/>
      <c r="D2884" s="95"/>
      <c r="E2884" s="95"/>
      <c r="F2884"/>
      <c r="G2884" s="93" t="s">
        <v>407</v>
      </c>
      <c r="H2884" s="107">
        <f>SUM(G2882:G2883)</f>
        <v>0</v>
      </c>
      <c r="I2884" s="71"/>
    </row>
    <row r="2885" spans="1:9" s="65" customFormat="1">
      <c r="A2885" s="94"/>
      <c r="B2885" s="95"/>
      <c r="C2885" s="95"/>
      <c r="D2885" s="95"/>
      <c r="E2885" s="95"/>
      <c r="F2885"/>
      <c r="G2885" s="74"/>
      <c r="H2885" s="74"/>
      <c r="I2885" s="71"/>
    </row>
    <row r="2886" spans="1:9" s="65" customFormat="1">
      <c r="A2886" s="96"/>
      <c r="B2886" s="97"/>
      <c r="C2886" s="98"/>
      <c r="D2886" s="98"/>
      <c r="E2886" s="98"/>
      <c r="F2886"/>
      <c r="G2886" s="99" t="s">
        <v>412</v>
      </c>
      <c r="H2886" s="115">
        <f>SUM(H2870:H2884)</f>
        <v>32482.799999999999</v>
      </c>
      <c r="I2886" s="71"/>
    </row>
    <row r="2887" spans="1:9" s="65" customFormat="1">
      <c r="A2887" s="96"/>
      <c r="B2887" s="97"/>
      <c r="C2887" s="98"/>
      <c r="D2887" s="98"/>
      <c r="E2887" s="98"/>
      <c r="F2887" s="101"/>
      <c r="G2887" s="116"/>
      <c r="H2887" s="70"/>
      <c r="I2887" s="71"/>
    </row>
    <row r="2888" spans="1:9" s="65" customFormat="1" ht="15.75" thickBot="1">
      <c r="A2888" s="624" t="s">
        <v>502</v>
      </c>
      <c r="B2888" s="625"/>
      <c r="C2888" s="625"/>
      <c r="D2888" s="625"/>
      <c r="E2888" s="625"/>
      <c r="F2888" s="625"/>
      <c r="G2888" s="626"/>
      <c r="H2888" s="117">
        <f>+ROUND(H2886,0)</f>
        <v>32483</v>
      </c>
      <c r="I2888" s="103"/>
    </row>
    <row r="2889" spans="1:9" s="65" customFormat="1">
      <c r="A2889" s="91"/>
      <c r="B2889" s="91"/>
      <c r="C2889" s="91"/>
      <c r="D2889" s="91"/>
      <c r="E2889" s="91"/>
      <c r="G2889" s="104"/>
      <c r="H2889" s="140"/>
    </row>
    <row r="2890" spans="1:9" s="65" customFormat="1" ht="15.75" thickBot="1">
      <c r="A2890" s="120"/>
      <c r="B2890" s="73"/>
      <c r="C2890" s="73"/>
      <c r="D2890" s="73"/>
      <c r="E2890" s="73"/>
      <c r="G2890" s="121"/>
      <c r="H2890" s="140"/>
    </row>
    <row r="2891" spans="1:9" s="65" customFormat="1">
      <c r="A2891" s="647"/>
      <c r="B2891" s="649" t="s">
        <v>986</v>
      </c>
      <c r="C2891" s="650"/>
      <c r="D2891" s="650"/>
      <c r="E2891" s="650"/>
      <c r="F2891" s="650"/>
      <c r="G2891" s="650"/>
      <c r="H2891" s="650"/>
      <c r="I2891" s="283" t="s">
        <v>389</v>
      </c>
    </row>
    <row r="2892" spans="1:9" s="65" customFormat="1">
      <c r="A2892" s="648"/>
      <c r="B2892" s="651"/>
      <c r="C2892" s="652"/>
      <c r="D2892" s="652"/>
      <c r="E2892" s="652"/>
      <c r="F2892" s="652"/>
      <c r="G2892" s="652"/>
      <c r="H2892" s="652"/>
      <c r="I2892" s="284" t="s">
        <v>7</v>
      </c>
    </row>
    <row r="2893" spans="1:9" s="65" customFormat="1">
      <c r="A2893" s="68"/>
      <c r="B2893" s="69"/>
      <c r="C2893" s="69"/>
      <c r="D2893" s="69"/>
      <c r="E2893" s="69"/>
      <c r="F2893" s="218"/>
      <c r="G2893" s="218"/>
      <c r="H2893" s="218"/>
      <c r="I2893" s="285"/>
    </row>
    <row r="2894" spans="1:9" s="65" customFormat="1">
      <c r="A2894" s="72" t="s">
        <v>390</v>
      </c>
      <c r="B2894" s="73"/>
      <c r="C2894" s="73"/>
      <c r="D2894" s="73"/>
      <c r="E2894" s="73"/>
      <c r="F2894" s="217"/>
      <c r="G2894" s="217"/>
      <c r="H2894" s="218"/>
      <c r="I2894" s="285"/>
    </row>
    <row r="2895" spans="1:9" s="65" customFormat="1">
      <c r="A2895" s="286" t="s">
        <v>391</v>
      </c>
      <c r="B2895" s="76" t="s">
        <v>392</v>
      </c>
      <c r="C2895" s="76" t="s">
        <v>393</v>
      </c>
      <c r="D2895" s="76" t="s">
        <v>394</v>
      </c>
      <c r="E2895" s="76" t="s">
        <v>395</v>
      </c>
      <c r="F2895" s="76" t="s">
        <v>396</v>
      </c>
      <c r="G2895" s="76" t="s">
        <v>397</v>
      </c>
      <c r="H2895" s="217"/>
      <c r="I2895" s="285"/>
    </row>
    <row r="2896" spans="1:9" s="65" customFormat="1">
      <c r="A2896" s="77" t="s">
        <v>404</v>
      </c>
      <c r="B2896" s="78" t="s">
        <v>416</v>
      </c>
      <c r="C2896" s="79" t="s">
        <v>406</v>
      </c>
      <c r="D2896" s="287">
        <v>1250</v>
      </c>
      <c r="E2896" s="79">
        <v>1</v>
      </c>
      <c r="F2896" s="79">
        <v>0</v>
      </c>
      <c r="G2896" s="287">
        <f>(D2896*E2896)+((D2896*E2896)*F2896/100)</f>
        <v>1250</v>
      </c>
      <c r="H2896" s="217"/>
      <c r="I2896" s="285"/>
    </row>
    <row r="2897" spans="1:9" s="65" customFormat="1">
      <c r="A2897" s="82"/>
      <c r="B2897" s="83"/>
      <c r="C2897" s="84"/>
      <c r="D2897" s="84"/>
      <c r="E2897" s="84"/>
      <c r="F2897" s="216"/>
      <c r="G2897" s="288" t="s">
        <v>407</v>
      </c>
      <c r="H2897" s="287">
        <f>SUM(G2896:G2896)</f>
        <v>1250</v>
      </c>
      <c r="I2897" s="285"/>
    </row>
    <row r="2898" spans="1:9" s="65" customFormat="1">
      <c r="A2898" s="72" t="s">
        <v>408</v>
      </c>
      <c r="B2898" s="73"/>
      <c r="C2898" s="73"/>
      <c r="D2898" s="73"/>
      <c r="E2898" s="73"/>
      <c r="F2898" s="216"/>
      <c r="G2898" s="217"/>
      <c r="H2898" s="289"/>
      <c r="I2898" s="285"/>
    </row>
    <row r="2899" spans="1:9" s="65" customFormat="1">
      <c r="A2899" s="286" t="s">
        <v>391</v>
      </c>
      <c r="B2899" s="76" t="s">
        <v>392</v>
      </c>
      <c r="C2899" s="76" t="s">
        <v>393</v>
      </c>
      <c r="D2899" s="76" t="s">
        <v>394</v>
      </c>
      <c r="E2899" s="76" t="s">
        <v>395</v>
      </c>
      <c r="F2899" s="76" t="s">
        <v>396</v>
      </c>
      <c r="G2899" s="76" t="s">
        <v>397</v>
      </c>
      <c r="H2899" s="289"/>
      <c r="I2899" s="285"/>
    </row>
    <row r="2900" spans="1:9" s="65" customFormat="1">
      <c r="A2900" s="87" t="s">
        <v>409</v>
      </c>
      <c r="B2900" s="114" t="s">
        <v>986</v>
      </c>
      <c r="C2900" s="114" t="s">
        <v>7</v>
      </c>
      <c r="D2900" s="287">
        <f>10500*1.5</f>
        <v>15750</v>
      </c>
      <c r="E2900" s="114">
        <v>1</v>
      </c>
      <c r="F2900" s="79"/>
      <c r="G2900" s="287">
        <f>(D2900*E2900)+((D2900*E2900)*F2900/100)</f>
        <v>15750</v>
      </c>
      <c r="H2900" s="289"/>
      <c r="I2900" s="285"/>
    </row>
    <row r="2901" spans="1:9" s="65" customFormat="1">
      <c r="A2901" s="88"/>
      <c r="B2901" s="114" t="s">
        <v>731</v>
      </c>
      <c r="C2901" s="114" t="s">
        <v>7</v>
      </c>
      <c r="D2901" s="287">
        <f>31652*1.2</f>
        <v>37982.400000000001</v>
      </c>
      <c r="E2901" s="114">
        <v>3.0000000000000001E-3</v>
      </c>
      <c r="F2901" s="79"/>
      <c r="G2901" s="287">
        <f>(D2901*E2901)+((D2901*E2901)*F2901/100)</f>
        <v>113.94720000000001</v>
      </c>
      <c r="H2901" s="289"/>
      <c r="I2901" s="285"/>
    </row>
    <row r="2902" spans="1:9" s="65" customFormat="1">
      <c r="A2902" s="88"/>
      <c r="B2902" s="114" t="s">
        <v>732</v>
      </c>
      <c r="C2902" s="114" t="s">
        <v>7</v>
      </c>
      <c r="D2902" s="287">
        <f>65646*1.2</f>
        <v>78775.199999999997</v>
      </c>
      <c r="E2902" s="114">
        <v>2E-3</v>
      </c>
      <c r="F2902" s="79"/>
      <c r="G2902" s="287">
        <f>(D2902*E2902)+((D2902*E2902)*F2902/100)</f>
        <v>157.5504</v>
      </c>
      <c r="H2902" s="289"/>
      <c r="I2902" s="285"/>
    </row>
    <row r="2903" spans="1:9" s="65" customFormat="1">
      <c r="A2903" s="90"/>
      <c r="B2903" s="91"/>
      <c r="C2903" s="91"/>
      <c r="D2903" s="91"/>
      <c r="E2903" s="91"/>
      <c r="F2903" s="216"/>
      <c r="G2903" s="290" t="s">
        <v>407</v>
      </c>
      <c r="H2903" s="287">
        <f>SUM(G2900:G2902)</f>
        <v>16021.497600000001</v>
      </c>
      <c r="I2903" s="285"/>
    </row>
    <row r="2904" spans="1:9" s="65" customFormat="1">
      <c r="A2904" s="72" t="s">
        <v>410</v>
      </c>
      <c r="B2904" s="73"/>
      <c r="C2904" s="73"/>
      <c r="D2904" s="73"/>
      <c r="E2904" s="73"/>
      <c r="F2904" s="216"/>
      <c r="G2904" s="217"/>
      <c r="H2904" s="289"/>
      <c r="I2904" s="285"/>
    </row>
    <row r="2905" spans="1:9" s="65" customFormat="1">
      <c r="A2905" s="286" t="s">
        <v>391</v>
      </c>
      <c r="B2905" s="76" t="s">
        <v>392</v>
      </c>
      <c r="C2905" s="76" t="s">
        <v>393</v>
      </c>
      <c r="D2905" s="76" t="s">
        <v>394</v>
      </c>
      <c r="E2905" s="76" t="s">
        <v>395</v>
      </c>
      <c r="F2905" s="76" t="s">
        <v>396</v>
      </c>
      <c r="G2905" s="76" t="s">
        <v>397</v>
      </c>
      <c r="H2905" s="289"/>
      <c r="I2905" s="285"/>
    </row>
    <row r="2906" spans="1:9" s="65" customFormat="1">
      <c r="A2906" s="125" t="s">
        <v>438</v>
      </c>
      <c r="B2906" s="126" t="s">
        <v>439</v>
      </c>
      <c r="C2906" s="127" t="s">
        <v>426</v>
      </c>
      <c r="D2906" s="287">
        <v>5627</v>
      </c>
      <c r="E2906" s="79">
        <v>2</v>
      </c>
      <c r="F2906" s="79">
        <v>0</v>
      </c>
      <c r="G2906" s="287">
        <f>(D2906*E2906)+((D2906*E2906)*F2906/100)</f>
        <v>11254</v>
      </c>
      <c r="H2906" s="289"/>
      <c r="I2906" s="285"/>
    </row>
    <row r="2907" spans="1:9" s="65" customFormat="1">
      <c r="A2907" s="90"/>
      <c r="B2907" s="91"/>
      <c r="C2907" s="91"/>
      <c r="D2907" s="91"/>
      <c r="E2907" s="91"/>
      <c r="F2907" s="216"/>
      <c r="G2907" s="288" t="s">
        <v>407</v>
      </c>
      <c r="H2907" s="287">
        <f>SUM(G2906:G2906)</f>
        <v>11254</v>
      </c>
      <c r="I2907" s="285"/>
    </row>
    <row r="2908" spans="1:9" s="65" customFormat="1">
      <c r="A2908" s="72" t="s">
        <v>411</v>
      </c>
      <c r="B2908" s="73"/>
      <c r="C2908" s="73"/>
      <c r="D2908" s="73"/>
      <c r="E2908" s="73"/>
      <c r="F2908" s="216"/>
      <c r="G2908" s="217"/>
      <c r="H2908" s="289"/>
      <c r="I2908" s="285"/>
    </row>
    <row r="2909" spans="1:9" s="65" customFormat="1">
      <c r="A2909" s="286" t="s">
        <v>391</v>
      </c>
      <c r="B2909" s="76" t="s">
        <v>392</v>
      </c>
      <c r="C2909" s="76" t="s">
        <v>393</v>
      </c>
      <c r="D2909" s="76" t="s">
        <v>394</v>
      </c>
      <c r="E2909" s="76" t="s">
        <v>395</v>
      </c>
      <c r="F2909" s="76" t="s">
        <v>396</v>
      </c>
      <c r="G2909" s="76" t="s">
        <v>397</v>
      </c>
      <c r="H2909" s="289"/>
      <c r="I2909" s="285"/>
    </row>
    <row r="2910" spans="1:9" s="65" customFormat="1">
      <c r="A2910" s="87" t="s">
        <v>409</v>
      </c>
      <c r="B2910" s="114" t="s">
        <v>409</v>
      </c>
      <c r="C2910" s="114" t="s">
        <v>409</v>
      </c>
      <c r="D2910" s="114" t="s">
        <v>409</v>
      </c>
      <c r="E2910" s="114" t="s">
        <v>409</v>
      </c>
      <c r="F2910" s="79" t="s">
        <v>409</v>
      </c>
      <c r="G2910" s="302" t="s">
        <v>409</v>
      </c>
      <c r="H2910" s="289"/>
      <c r="I2910" s="285"/>
    </row>
    <row r="2911" spans="1:9" s="65" customFormat="1">
      <c r="A2911" s="94"/>
      <c r="B2911" s="95"/>
      <c r="C2911" s="95"/>
      <c r="D2911" s="95"/>
      <c r="E2911" s="95"/>
      <c r="F2911" s="216"/>
      <c r="G2911" s="288" t="s">
        <v>407</v>
      </c>
      <c r="H2911" s="287">
        <f>SUM(G2909:G2910)</f>
        <v>0</v>
      </c>
      <c r="I2911" s="285"/>
    </row>
    <row r="2912" spans="1:9" s="65" customFormat="1">
      <c r="A2912" s="94"/>
      <c r="B2912" s="95"/>
      <c r="C2912" s="95"/>
      <c r="D2912" s="95"/>
      <c r="E2912" s="95"/>
      <c r="F2912" s="216"/>
      <c r="G2912" s="217"/>
      <c r="H2912" s="217"/>
      <c r="I2912" s="285"/>
    </row>
    <row r="2913" spans="1:9" s="65" customFormat="1">
      <c r="A2913" s="292"/>
      <c r="B2913" s="97"/>
      <c r="C2913" s="98"/>
      <c r="D2913" s="98"/>
      <c r="E2913" s="98"/>
      <c r="F2913" s="216"/>
      <c r="G2913" s="293" t="s">
        <v>412</v>
      </c>
      <c r="H2913" s="294">
        <f>SUM(H2897:H2911)</f>
        <v>28525.497600000002</v>
      </c>
      <c r="I2913" s="285"/>
    </row>
    <row r="2914" spans="1:9" s="65" customFormat="1">
      <c r="A2914" s="292"/>
      <c r="B2914" s="97"/>
      <c r="C2914" s="98"/>
      <c r="D2914" s="98"/>
      <c r="E2914" s="98"/>
      <c r="F2914" s="295"/>
      <c r="G2914" s="296"/>
      <c r="H2914" s="218"/>
      <c r="I2914" s="285"/>
    </row>
    <row r="2915" spans="1:9" s="65" customFormat="1" ht="15.75" thickBot="1">
      <c r="A2915" s="624" t="s">
        <v>502</v>
      </c>
      <c r="B2915" s="625"/>
      <c r="C2915" s="625"/>
      <c r="D2915" s="625"/>
      <c r="E2915" s="625"/>
      <c r="F2915" s="625"/>
      <c r="G2915" s="626"/>
      <c r="H2915" s="297">
        <f>+ROUND(H2913,0)</f>
        <v>28525</v>
      </c>
      <c r="I2915" s="298"/>
    </row>
    <row r="2916" spans="1:9" s="65" customFormat="1">
      <c r="A2916" s="120"/>
      <c r="B2916" s="73"/>
      <c r="C2916" s="73"/>
      <c r="D2916" s="73"/>
      <c r="E2916" s="73"/>
      <c r="G2916" s="121"/>
      <c r="H2916" s="140"/>
    </row>
    <row r="2917" spans="1:9" s="65" customFormat="1" ht="15.75" thickBot="1">
      <c r="A2917" s="128"/>
      <c r="B2917" s="141"/>
      <c r="C2917" s="141"/>
      <c r="D2917" s="141"/>
      <c r="E2917" s="141"/>
      <c r="F2917" s="141"/>
      <c r="G2917" s="141"/>
      <c r="H2917" s="140"/>
    </row>
    <row r="2918" spans="1:9" s="65" customFormat="1">
      <c r="A2918" s="647"/>
      <c r="B2918" s="649" t="s">
        <v>988</v>
      </c>
      <c r="C2918" s="650"/>
      <c r="D2918" s="650"/>
      <c r="E2918" s="650"/>
      <c r="F2918" s="650"/>
      <c r="G2918" s="650"/>
      <c r="H2918" s="650"/>
      <c r="I2918" s="283" t="s">
        <v>389</v>
      </c>
    </row>
    <row r="2919" spans="1:9" s="65" customFormat="1">
      <c r="A2919" s="648"/>
      <c r="B2919" s="651"/>
      <c r="C2919" s="652"/>
      <c r="D2919" s="652"/>
      <c r="E2919" s="652"/>
      <c r="F2919" s="652"/>
      <c r="G2919" s="652"/>
      <c r="H2919" s="652"/>
      <c r="I2919" s="284" t="s">
        <v>7</v>
      </c>
    </row>
    <row r="2920" spans="1:9" s="65" customFormat="1">
      <c r="A2920" s="68"/>
      <c r="B2920" s="69"/>
      <c r="C2920" s="69"/>
      <c r="D2920" s="69"/>
      <c r="E2920" s="69"/>
      <c r="F2920" s="218"/>
      <c r="G2920" s="218"/>
      <c r="H2920" s="218"/>
      <c r="I2920" s="285"/>
    </row>
    <row r="2921" spans="1:9" s="65" customFormat="1">
      <c r="A2921" s="72" t="s">
        <v>390</v>
      </c>
      <c r="B2921" s="73"/>
      <c r="C2921" s="73"/>
      <c r="D2921" s="73"/>
      <c r="E2921" s="73"/>
      <c r="F2921" s="217"/>
      <c r="G2921" s="217"/>
      <c r="H2921" s="218"/>
      <c r="I2921" s="285"/>
    </row>
    <row r="2922" spans="1:9" s="65" customFormat="1">
      <c r="A2922" s="286" t="s">
        <v>391</v>
      </c>
      <c r="B2922" s="76" t="s">
        <v>392</v>
      </c>
      <c r="C2922" s="76" t="s">
        <v>393</v>
      </c>
      <c r="D2922" s="76" t="s">
        <v>394</v>
      </c>
      <c r="E2922" s="76" t="s">
        <v>395</v>
      </c>
      <c r="F2922" s="76" t="s">
        <v>396</v>
      </c>
      <c r="G2922" s="76" t="s">
        <v>397</v>
      </c>
      <c r="H2922" s="217"/>
      <c r="I2922" s="285"/>
    </row>
    <row r="2923" spans="1:9" s="65" customFormat="1">
      <c r="A2923" s="77" t="s">
        <v>404</v>
      </c>
      <c r="B2923" s="78" t="s">
        <v>416</v>
      </c>
      <c r="C2923" s="79" t="s">
        <v>406</v>
      </c>
      <c r="D2923" s="287">
        <v>1250</v>
      </c>
      <c r="E2923" s="79">
        <v>1</v>
      </c>
      <c r="F2923" s="79">
        <v>0</v>
      </c>
      <c r="G2923" s="287">
        <f>(D2923*E2923)+((D2923*E2923)*F2923/100)</f>
        <v>1250</v>
      </c>
      <c r="H2923" s="217"/>
      <c r="I2923" s="285"/>
    </row>
    <row r="2924" spans="1:9" s="65" customFormat="1">
      <c r="A2924" s="82"/>
      <c r="B2924" s="83"/>
      <c r="C2924" s="84"/>
      <c r="D2924" s="84"/>
      <c r="E2924" s="84"/>
      <c r="F2924" s="216"/>
      <c r="G2924" s="288" t="s">
        <v>407</v>
      </c>
      <c r="H2924" s="287">
        <f>SUM(G2923:G2923)</f>
        <v>1250</v>
      </c>
      <c r="I2924" s="285"/>
    </row>
    <row r="2925" spans="1:9" s="65" customFormat="1">
      <c r="A2925" s="72" t="s">
        <v>408</v>
      </c>
      <c r="B2925" s="73"/>
      <c r="C2925" s="73"/>
      <c r="D2925" s="73"/>
      <c r="E2925" s="73"/>
      <c r="F2925" s="216"/>
      <c r="G2925" s="217"/>
      <c r="H2925" s="289"/>
      <c r="I2925" s="285"/>
    </row>
    <row r="2926" spans="1:9" s="65" customFormat="1">
      <c r="A2926" s="286" t="s">
        <v>391</v>
      </c>
      <c r="B2926" s="76" t="s">
        <v>392</v>
      </c>
      <c r="C2926" s="76" t="s">
        <v>393</v>
      </c>
      <c r="D2926" s="76" t="s">
        <v>394</v>
      </c>
      <c r="E2926" s="76" t="s">
        <v>395</v>
      </c>
      <c r="F2926" s="76" t="s">
        <v>396</v>
      </c>
      <c r="G2926" s="76" t="s">
        <v>397</v>
      </c>
      <c r="H2926" s="289"/>
      <c r="I2926" s="285"/>
    </row>
    <row r="2927" spans="1:9" s="65" customFormat="1">
      <c r="A2927" s="87" t="s">
        <v>409</v>
      </c>
      <c r="B2927" s="114" t="s">
        <v>988</v>
      </c>
      <c r="C2927" s="114" t="s">
        <v>7</v>
      </c>
      <c r="D2927" s="287">
        <f>523*1.2</f>
        <v>627.6</v>
      </c>
      <c r="E2927" s="114">
        <v>1</v>
      </c>
      <c r="F2927" s="79"/>
      <c r="G2927" s="287">
        <f>(D2927*E2927)+((D2927*E2927)*F2927/100)</f>
        <v>627.6</v>
      </c>
      <c r="H2927" s="289"/>
      <c r="I2927" s="285"/>
    </row>
    <row r="2928" spans="1:9" s="65" customFormat="1">
      <c r="A2928" s="88"/>
      <c r="B2928" s="114" t="s">
        <v>731</v>
      </c>
      <c r="C2928" s="114" t="s">
        <v>7</v>
      </c>
      <c r="D2928" s="287">
        <f>31652*1.2</f>
        <v>37982.400000000001</v>
      </c>
      <c r="E2928" s="114">
        <v>3.0000000000000001E-3</v>
      </c>
      <c r="F2928" s="79"/>
      <c r="G2928" s="287">
        <f>(D2928*E2928)+((D2928*E2928)*F2928/100)</f>
        <v>113.94720000000001</v>
      </c>
      <c r="H2928" s="289"/>
      <c r="I2928" s="285"/>
    </row>
    <row r="2929" spans="1:9" s="65" customFormat="1">
      <c r="A2929" s="88"/>
      <c r="B2929" s="114" t="s">
        <v>732</v>
      </c>
      <c r="C2929" s="114" t="s">
        <v>7</v>
      </c>
      <c r="D2929" s="287">
        <f>65646*1.2</f>
        <v>78775.199999999997</v>
      </c>
      <c r="E2929" s="114">
        <v>2E-3</v>
      </c>
      <c r="F2929" s="79"/>
      <c r="G2929" s="287">
        <f>(D2929*E2929)+((D2929*E2929)*F2929/100)</f>
        <v>157.5504</v>
      </c>
      <c r="H2929" s="289"/>
      <c r="I2929" s="285"/>
    </row>
    <row r="2930" spans="1:9" s="65" customFormat="1">
      <c r="A2930" s="90"/>
      <c r="B2930" s="91"/>
      <c r="C2930" s="91"/>
      <c r="D2930" s="91"/>
      <c r="E2930" s="91"/>
      <c r="F2930" s="216"/>
      <c r="G2930" s="290" t="s">
        <v>407</v>
      </c>
      <c r="H2930" s="287">
        <f>SUM(G2927:G2929)</f>
        <v>899.09759999999994</v>
      </c>
      <c r="I2930" s="285"/>
    </row>
    <row r="2931" spans="1:9" s="65" customFormat="1">
      <c r="A2931" s="72" t="s">
        <v>410</v>
      </c>
      <c r="B2931" s="73"/>
      <c r="C2931" s="73"/>
      <c r="D2931" s="73"/>
      <c r="E2931" s="73"/>
      <c r="F2931" s="216"/>
      <c r="G2931" s="217"/>
      <c r="H2931" s="289"/>
      <c r="I2931" s="285"/>
    </row>
    <row r="2932" spans="1:9" s="65" customFormat="1">
      <c r="A2932" s="286" t="s">
        <v>391</v>
      </c>
      <c r="B2932" s="76" t="s">
        <v>392</v>
      </c>
      <c r="C2932" s="76" t="s">
        <v>393</v>
      </c>
      <c r="D2932" s="76" t="s">
        <v>394</v>
      </c>
      <c r="E2932" s="76" t="s">
        <v>395</v>
      </c>
      <c r="F2932" s="76" t="s">
        <v>396</v>
      </c>
      <c r="G2932" s="76" t="s">
        <v>397</v>
      </c>
      <c r="H2932" s="289"/>
      <c r="I2932" s="285"/>
    </row>
    <row r="2933" spans="1:9" s="65" customFormat="1">
      <c r="A2933" s="125" t="s">
        <v>438</v>
      </c>
      <c r="B2933" s="126" t="s">
        <v>439</v>
      </c>
      <c r="C2933" s="127" t="s">
        <v>426</v>
      </c>
      <c r="D2933" s="287">
        <v>5627</v>
      </c>
      <c r="E2933" s="79">
        <v>1</v>
      </c>
      <c r="F2933" s="79">
        <v>0</v>
      </c>
      <c r="G2933" s="287">
        <f>(D2933*E2933)+((D2933*E2933)*F2933/100)</f>
        <v>5627</v>
      </c>
      <c r="H2933" s="289"/>
      <c r="I2933" s="285"/>
    </row>
    <row r="2934" spans="1:9" s="65" customFormat="1">
      <c r="A2934" s="90"/>
      <c r="B2934" s="91"/>
      <c r="C2934" s="91"/>
      <c r="D2934" s="91"/>
      <c r="E2934" s="91"/>
      <c r="F2934" s="216"/>
      <c r="G2934" s="288" t="s">
        <v>407</v>
      </c>
      <c r="H2934" s="287">
        <f>SUM(G2933:G2933)</f>
        <v>5627</v>
      </c>
      <c r="I2934" s="285"/>
    </row>
    <row r="2935" spans="1:9" s="65" customFormat="1">
      <c r="A2935" s="72" t="s">
        <v>411</v>
      </c>
      <c r="B2935" s="73"/>
      <c r="C2935" s="73"/>
      <c r="D2935" s="73"/>
      <c r="E2935" s="73"/>
      <c r="F2935" s="216"/>
      <c r="G2935" s="217"/>
      <c r="H2935" s="289"/>
      <c r="I2935" s="285"/>
    </row>
    <row r="2936" spans="1:9" s="65" customFormat="1">
      <c r="A2936" s="286" t="s">
        <v>391</v>
      </c>
      <c r="B2936" s="76" t="s">
        <v>392</v>
      </c>
      <c r="C2936" s="76" t="s">
        <v>393</v>
      </c>
      <c r="D2936" s="76" t="s">
        <v>394</v>
      </c>
      <c r="E2936" s="76" t="s">
        <v>395</v>
      </c>
      <c r="F2936" s="76" t="s">
        <v>396</v>
      </c>
      <c r="G2936" s="76" t="s">
        <v>397</v>
      </c>
      <c r="H2936" s="289"/>
      <c r="I2936" s="285"/>
    </row>
    <row r="2937" spans="1:9" s="65" customFormat="1">
      <c r="A2937" s="87" t="s">
        <v>409</v>
      </c>
      <c r="B2937" s="114" t="s">
        <v>409</v>
      </c>
      <c r="C2937" s="114" t="s">
        <v>409</v>
      </c>
      <c r="D2937" s="114" t="s">
        <v>409</v>
      </c>
      <c r="E2937" s="114" t="s">
        <v>409</v>
      </c>
      <c r="F2937" s="79" t="s">
        <v>409</v>
      </c>
      <c r="G2937" s="302" t="s">
        <v>409</v>
      </c>
      <c r="H2937" s="289"/>
      <c r="I2937" s="285"/>
    </row>
    <row r="2938" spans="1:9" s="65" customFormat="1">
      <c r="A2938" s="94"/>
      <c r="B2938" s="95"/>
      <c r="C2938" s="95"/>
      <c r="D2938" s="95"/>
      <c r="E2938" s="95"/>
      <c r="F2938" s="216"/>
      <c r="G2938" s="288" t="s">
        <v>407</v>
      </c>
      <c r="H2938" s="287">
        <f>SUM(G2936:G2937)</f>
        <v>0</v>
      </c>
      <c r="I2938" s="285"/>
    </row>
    <row r="2939" spans="1:9" s="65" customFormat="1">
      <c r="A2939" s="94"/>
      <c r="B2939" s="95"/>
      <c r="C2939" s="95"/>
      <c r="D2939" s="95"/>
      <c r="E2939" s="95"/>
      <c r="F2939" s="216"/>
      <c r="G2939" s="217"/>
      <c r="H2939" s="217"/>
      <c r="I2939" s="285"/>
    </row>
    <row r="2940" spans="1:9" s="65" customFormat="1">
      <c r="A2940" s="292"/>
      <c r="B2940" s="97"/>
      <c r="C2940" s="98"/>
      <c r="D2940" s="98"/>
      <c r="E2940" s="98"/>
      <c r="F2940" s="216"/>
      <c r="G2940" s="293" t="s">
        <v>412</v>
      </c>
      <c r="H2940" s="294">
        <f>SUM(H2924:H2938)</f>
        <v>7776.0976000000001</v>
      </c>
      <c r="I2940" s="285"/>
    </row>
    <row r="2941" spans="1:9" s="65" customFormat="1">
      <c r="A2941" s="292"/>
      <c r="B2941" s="97"/>
      <c r="C2941" s="98"/>
      <c r="D2941" s="98"/>
      <c r="E2941" s="98"/>
      <c r="F2941" s="295"/>
      <c r="G2941" s="296"/>
      <c r="H2941" s="218"/>
      <c r="I2941" s="285"/>
    </row>
    <row r="2942" spans="1:9" s="65" customFormat="1" ht="15.75" thickBot="1">
      <c r="A2942" s="624" t="s">
        <v>502</v>
      </c>
      <c r="B2942" s="625"/>
      <c r="C2942" s="625"/>
      <c r="D2942" s="625"/>
      <c r="E2942" s="625"/>
      <c r="F2942" s="625"/>
      <c r="G2942" s="626"/>
      <c r="H2942" s="297">
        <f>+ROUND(H2940,0)</f>
        <v>7776</v>
      </c>
      <c r="I2942" s="298"/>
    </row>
    <row r="2943" spans="1:9" s="65" customFormat="1">
      <c r="A2943" s="123"/>
      <c r="B2943" s="95"/>
      <c r="C2943" s="95"/>
      <c r="D2943" s="95"/>
      <c r="E2943" s="95"/>
      <c r="G2943" s="104"/>
      <c r="H2943" s="121"/>
    </row>
    <row r="2944" spans="1:9" s="65" customFormat="1">
      <c r="A2944" s="123"/>
      <c r="B2944" s="95"/>
      <c r="C2944" s="95"/>
      <c r="D2944" s="95"/>
      <c r="E2944" s="95"/>
      <c r="G2944" s="121"/>
      <c r="H2944" s="133"/>
    </row>
    <row r="2945" spans="1:9" s="65" customFormat="1" ht="15.75" thickBot="1">
      <c r="B2945" s="97"/>
      <c r="C2945" s="98"/>
      <c r="D2945" s="98"/>
      <c r="E2945" s="98"/>
      <c r="G2945" s="128"/>
    </row>
    <row r="2946" spans="1:9" s="65" customFormat="1">
      <c r="A2946" s="627"/>
      <c r="B2946" s="629" t="s">
        <v>1217</v>
      </c>
      <c r="C2946" s="630"/>
      <c r="D2946" s="630"/>
      <c r="E2946" s="630"/>
      <c r="F2946" s="630"/>
      <c r="G2946" s="630"/>
      <c r="H2946" s="630"/>
      <c r="I2946" s="66" t="s">
        <v>389</v>
      </c>
    </row>
    <row r="2947" spans="1:9" s="65" customFormat="1">
      <c r="A2947" s="628"/>
      <c r="B2947" s="631"/>
      <c r="C2947" s="632"/>
      <c r="D2947" s="632"/>
      <c r="E2947" s="632"/>
      <c r="F2947" s="632"/>
      <c r="G2947" s="632"/>
      <c r="H2947" s="632"/>
      <c r="I2947" s="67" t="s">
        <v>7</v>
      </c>
    </row>
    <row r="2948" spans="1:9" s="65" customFormat="1">
      <c r="A2948" s="68"/>
      <c r="B2948" s="69"/>
      <c r="C2948" s="69"/>
      <c r="D2948" s="69"/>
      <c r="E2948" s="69"/>
      <c r="F2948" s="70"/>
      <c r="G2948" s="70"/>
      <c r="H2948" s="70"/>
      <c r="I2948" s="71"/>
    </row>
    <row r="2949" spans="1:9" s="65" customFormat="1">
      <c r="A2949" s="72" t="s">
        <v>390</v>
      </c>
      <c r="B2949" s="73"/>
      <c r="C2949" s="73"/>
      <c r="D2949" s="73"/>
      <c r="E2949" s="73"/>
      <c r="F2949" s="74"/>
      <c r="G2949" s="74"/>
      <c r="H2949" s="70"/>
      <c r="I2949" s="71"/>
    </row>
    <row r="2950" spans="1:9" s="65" customFormat="1">
      <c r="A2950" s="75" t="s">
        <v>391</v>
      </c>
      <c r="B2950" s="76" t="s">
        <v>392</v>
      </c>
      <c r="C2950" s="76" t="s">
        <v>393</v>
      </c>
      <c r="D2950" s="76" t="s">
        <v>394</v>
      </c>
      <c r="E2950" s="76" t="s">
        <v>395</v>
      </c>
      <c r="F2950" s="76" t="s">
        <v>396</v>
      </c>
      <c r="G2950" s="76" t="s">
        <v>397</v>
      </c>
      <c r="H2950" s="74"/>
      <c r="I2950" s="71"/>
    </row>
    <row r="2951" spans="1:9" s="65" customFormat="1" ht="16.5">
      <c r="A2951" s="135" t="s">
        <v>404</v>
      </c>
      <c r="B2951" s="204" t="s">
        <v>405</v>
      </c>
      <c r="C2951" s="127" t="s">
        <v>523</v>
      </c>
      <c r="D2951" s="107">
        <v>1250</v>
      </c>
      <c r="E2951" s="79">
        <v>0.4</v>
      </c>
      <c r="F2951" s="79">
        <v>0</v>
      </c>
      <c r="G2951" s="107">
        <f>(D2951*E2951)+((D2951*E2951)*F2951/100)</f>
        <v>500</v>
      </c>
      <c r="H2951" s="74"/>
      <c r="I2951" s="71"/>
    </row>
    <row r="2952" spans="1:9" s="65" customFormat="1">
      <c r="A2952" s="82"/>
      <c r="B2952" s="83"/>
      <c r="C2952" s="84"/>
      <c r="D2952" s="84"/>
      <c r="E2952" s="84"/>
      <c r="F2952"/>
      <c r="G2952" s="93" t="s">
        <v>407</v>
      </c>
      <c r="H2952" s="107">
        <f>SUM(G2951:G2951)</f>
        <v>500</v>
      </c>
      <c r="I2952" s="71"/>
    </row>
    <row r="2953" spans="1:9" s="65" customFormat="1">
      <c r="A2953" s="72" t="s">
        <v>408</v>
      </c>
      <c r="B2953" s="73"/>
      <c r="C2953" s="73"/>
      <c r="D2953" s="73"/>
      <c r="E2953" s="73"/>
      <c r="F2953"/>
      <c r="G2953" s="74"/>
      <c r="H2953" s="108"/>
      <c r="I2953" s="71"/>
    </row>
    <row r="2954" spans="1:9" s="65" customFormat="1">
      <c r="A2954" s="75" t="s">
        <v>391</v>
      </c>
      <c r="B2954" s="76" t="s">
        <v>392</v>
      </c>
      <c r="C2954" s="76" t="s">
        <v>393</v>
      </c>
      <c r="D2954" s="76" t="s">
        <v>394</v>
      </c>
      <c r="E2954" s="76" t="s">
        <v>395</v>
      </c>
      <c r="F2954" s="76" t="s">
        <v>396</v>
      </c>
      <c r="G2954" s="76" t="s">
        <v>397</v>
      </c>
      <c r="H2954" s="108"/>
      <c r="I2954" s="71"/>
    </row>
    <row r="2955" spans="1:9" s="65" customFormat="1" ht="16.5">
      <c r="A2955" s="135"/>
      <c r="B2955" s="204"/>
      <c r="C2955" s="127"/>
      <c r="D2955" s="107"/>
      <c r="E2955" s="79"/>
      <c r="F2955" s="79"/>
      <c r="G2955" s="107"/>
      <c r="H2955" s="108"/>
      <c r="I2955" s="71"/>
    </row>
    <row r="2956" spans="1:9" s="65" customFormat="1" ht="16.5">
      <c r="A2956" s="135"/>
      <c r="B2956" s="204"/>
      <c r="C2956" s="127"/>
      <c r="D2956" s="107"/>
      <c r="E2956" s="79"/>
      <c r="F2956" s="79"/>
      <c r="G2956" s="107"/>
      <c r="H2956" s="108"/>
      <c r="I2956" s="71"/>
    </row>
    <row r="2957" spans="1:9" s="65" customFormat="1" ht="16.5">
      <c r="A2957" s="135"/>
      <c r="B2957" s="204"/>
      <c r="C2957" s="127"/>
      <c r="D2957" s="107"/>
      <c r="E2957" s="79"/>
      <c r="F2957" s="79"/>
      <c r="G2957" s="107"/>
      <c r="H2957" s="108"/>
      <c r="I2957" s="71"/>
    </row>
    <row r="2958" spans="1:9" s="65" customFormat="1" ht="16.5">
      <c r="A2958" s="135"/>
      <c r="B2958" s="204"/>
      <c r="C2958" s="127"/>
      <c r="D2958" s="107"/>
      <c r="E2958" s="79"/>
      <c r="F2958" s="79"/>
      <c r="G2958" s="107"/>
      <c r="H2958" s="108"/>
      <c r="I2958" s="71"/>
    </row>
    <row r="2959" spans="1:9" s="65" customFormat="1">
      <c r="A2959" s="90"/>
      <c r="B2959" s="91"/>
      <c r="C2959" s="91"/>
      <c r="D2959" s="91"/>
      <c r="E2959" s="91"/>
      <c r="F2959"/>
      <c r="G2959" s="85" t="s">
        <v>407</v>
      </c>
      <c r="H2959" s="107">
        <f>SUM(G2955:G2958)</f>
        <v>0</v>
      </c>
      <c r="I2959" s="71"/>
    </row>
    <row r="2960" spans="1:9" s="65" customFormat="1">
      <c r="A2960" s="72" t="s">
        <v>410</v>
      </c>
      <c r="B2960" s="73"/>
      <c r="C2960" s="73"/>
      <c r="D2960" s="73"/>
      <c r="E2960" s="73"/>
      <c r="F2960"/>
      <c r="G2960" s="74"/>
      <c r="H2960" s="108"/>
      <c r="I2960" s="71"/>
    </row>
    <row r="2961" spans="1:9" s="65" customFormat="1">
      <c r="A2961" s="75" t="s">
        <v>391</v>
      </c>
      <c r="B2961" s="76" t="s">
        <v>392</v>
      </c>
      <c r="C2961" s="76" t="s">
        <v>393</v>
      </c>
      <c r="D2961" s="76" t="s">
        <v>394</v>
      </c>
      <c r="E2961" s="76" t="s">
        <v>395</v>
      </c>
      <c r="F2961" s="76" t="s">
        <v>396</v>
      </c>
      <c r="G2961" s="76" t="s">
        <v>397</v>
      </c>
      <c r="H2961" s="108"/>
      <c r="I2961" s="71"/>
    </row>
    <row r="2962" spans="1:9" s="65" customFormat="1" ht="33">
      <c r="A2962" s="135" t="s">
        <v>536</v>
      </c>
      <c r="B2962" s="204" t="s">
        <v>537</v>
      </c>
      <c r="C2962" s="127" t="s">
        <v>426</v>
      </c>
      <c r="D2962" s="107">
        <v>22021</v>
      </c>
      <c r="E2962" s="79">
        <v>0.75</v>
      </c>
      <c r="F2962" s="79">
        <v>0</v>
      </c>
      <c r="G2962" s="107">
        <f>(D2962*E2962)+((D2962*E2962)*F2962/100)</f>
        <v>16515.75</v>
      </c>
      <c r="H2962" s="108"/>
      <c r="I2962" s="71"/>
    </row>
    <row r="2963" spans="1:9" s="65" customFormat="1">
      <c r="A2963" s="90"/>
      <c r="B2963" s="91"/>
      <c r="C2963" s="91"/>
      <c r="D2963" s="91"/>
      <c r="E2963" s="91"/>
      <c r="F2963"/>
      <c r="G2963" s="93" t="s">
        <v>407</v>
      </c>
      <c r="H2963" s="107">
        <f>SUM(G2962:G2962)</f>
        <v>16515.75</v>
      </c>
      <c r="I2963" s="71"/>
    </row>
    <row r="2964" spans="1:9" s="65" customFormat="1">
      <c r="A2964" s="72" t="s">
        <v>411</v>
      </c>
      <c r="B2964" s="73"/>
      <c r="C2964" s="73"/>
      <c r="D2964" s="73"/>
      <c r="E2964" s="73"/>
      <c r="F2964"/>
      <c r="G2964" s="74"/>
      <c r="H2964" s="108"/>
      <c r="I2964" s="71"/>
    </row>
    <row r="2965" spans="1:9" s="65" customFormat="1">
      <c r="A2965" s="75" t="s">
        <v>391</v>
      </c>
      <c r="B2965" s="76" t="s">
        <v>392</v>
      </c>
      <c r="C2965" s="76" t="s">
        <v>393</v>
      </c>
      <c r="D2965" s="76" t="s">
        <v>394</v>
      </c>
      <c r="E2965" s="76" t="s">
        <v>395</v>
      </c>
      <c r="F2965" s="76" t="s">
        <v>396</v>
      </c>
      <c r="G2965" s="76" t="s">
        <v>397</v>
      </c>
      <c r="H2965" s="108"/>
      <c r="I2965" s="71"/>
    </row>
    <row r="2966" spans="1:9" s="65" customFormat="1">
      <c r="A2966" s="87" t="s">
        <v>409</v>
      </c>
      <c r="B2966" s="114" t="s">
        <v>409</v>
      </c>
      <c r="C2966" s="114" t="s">
        <v>409</v>
      </c>
      <c r="D2966" s="114" t="s">
        <v>409</v>
      </c>
      <c r="E2966" s="114" t="s">
        <v>409</v>
      </c>
      <c r="F2966" s="79" t="s">
        <v>409</v>
      </c>
      <c r="G2966" s="89" t="s">
        <v>409</v>
      </c>
      <c r="H2966" s="108"/>
      <c r="I2966" s="71"/>
    </row>
    <row r="2967" spans="1:9" s="65" customFormat="1">
      <c r="A2967" s="94"/>
      <c r="B2967" s="95"/>
      <c r="C2967" s="95"/>
      <c r="D2967" s="95"/>
      <c r="E2967" s="95"/>
      <c r="F2967"/>
      <c r="G2967" s="93" t="s">
        <v>407</v>
      </c>
      <c r="H2967" s="107">
        <f>SUM(G2965:G2966)</f>
        <v>0</v>
      </c>
      <c r="I2967" s="71"/>
    </row>
    <row r="2968" spans="1:9" s="65" customFormat="1">
      <c r="A2968" s="94"/>
      <c r="B2968" s="95"/>
      <c r="C2968" s="95"/>
      <c r="D2968" s="95"/>
      <c r="E2968" s="95"/>
      <c r="F2968"/>
      <c r="G2968" s="74"/>
      <c r="H2968" s="74"/>
      <c r="I2968" s="71"/>
    </row>
    <row r="2969" spans="1:9" s="65" customFormat="1">
      <c r="A2969" s="96"/>
      <c r="B2969" s="97"/>
      <c r="C2969" s="98"/>
      <c r="D2969" s="98"/>
      <c r="E2969" s="98"/>
      <c r="F2969"/>
      <c r="G2969" s="99" t="s">
        <v>412</v>
      </c>
      <c r="H2969" s="115">
        <f>SUM(H2952:H2967)</f>
        <v>17015.75</v>
      </c>
      <c r="I2969" s="71"/>
    </row>
    <row r="2970" spans="1:9" s="65" customFormat="1">
      <c r="A2970" s="96"/>
      <c r="B2970" s="97"/>
      <c r="C2970" s="98"/>
      <c r="D2970" s="98"/>
      <c r="E2970" s="98"/>
      <c r="F2970" s="101"/>
      <c r="G2970" s="116"/>
      <c r="H2970" s="70"/>
      <c r="I2970" s="71"/>
    </row>
    <row r="2971" spans="1:9" s="65" customFormat="1" ht="15.75" thickBot="1">
      <c r="A2971" s="624" t="s">
        <v>502</v>
      </c>
      <c r="B2971" s="625"/>
      <c r="C2971" s="625"/>
      <c r="D2971" s="625"/>
      <c r="E2971" s="625"/>
      <c r="F2971" s="625"/>
      <c r="G2971" s="626"/>
      <c r="H2971" s="117">
        <f>+ROUND(H2969,0)</f>
        <v>17016</v>
      </c>
      <c r="I2971" s="103"/>
    </row>
    <row r="2972" spans="1:9" s="65" customFormat="1">
      <c r="H2972" s="138"/>
      <c r="I2972" s="151"/>
    </row>
    <row r="2973" spans="1:9" s="65" customFormat="1">
      <c r="A2973" s="645"/>
      <c r="B2973" s="138"/>
      <c r="C2973" s="138"/>
      <c r="D2973" s="138"/>
      <c r="E2973" s="138"/>
      <c r="F2973" s="138"/>
      <c r="G2973" s="138"/>
      <c r="H2973" s="138"/>
      <c r="I2973" s="152"/>
    </row>
    <row r="2974" spans="1:9" s="65" customFormat="1">
      <c r="A2974" s="645"/>
      <c r="B2974" s="138"/>
      <c r="C2974" s="138"/>
      <c r="D2974" s="138"/>
      <c r="E2974" s="138"/>
      <c r="F2974" s="138"/>
      <c r="G2974" s="138"/>
    </row>
    <row r="2975" spans="1:9" s="65" customFormat="1">
      <c r="A2975" s="69"/>
      <c r="B2975" s="69"/>
      <c r="C2975" s="69"/>
      <c r="D2975" s="69"/>
      <c r="E2975" s="69"/>
    </row>
    <row r="2976" spans="1:9" s="65" customFormat="1">
      <c r="A2976" s="120"/>
      <c r="B2976" s="73"/>
      <c r="C2976" s="73"/>
      <c r="D2976" s="73"/>
      <c r="E2976" s="73"/>
      <c r="F2976" s="121"/>
      <c r="G2976" s="121"/>
      <c r="H2976" s="121"/>
    </row>
    <row r="2977" spans="1:8" s="65" customFormat="1">
      <c r="A2977" s="128"/>
      <c r="B2977" s="141"/>
      <c r="C2977" s="141"/>
      <c r="D2977" s="141"/>
      <c r="E2977" s="141"/>
      <c r="F2977" s="141"/>
      <c r="G2977" s="141"/>
      <c r="H2977" s="121"/>
    </row>
    <row r="2978" spans="1:8" s="65" customFormat="1">
      <c r="A2978" s="150"/>
      <c r="B2978" s="84"/>
      <c r="C2978" s="148"/>
      <c r="D2978" s="84"/>
      <c r="E2978" s="84"/>
      <c r="F2978" s="84"/>
      <c r="G2978" s="144"/>
      <c r="H2978" s="145"/>
    </row>
    <row r="2979" spans="1:8" s="65" customFormat="1">
      <c r="A2979" s="84"/>
      <c r="B2979" s="83"/>
      <c r="C2979" s="84"/>
      <c r="D2979" s="84"/>
      <c r="E2979" s="84"/>
      <c r="G2979" s="104"/>
      <c r="H2979" s="140"/>
    </row>
    <row r="2980" spans="1:8" s="65" customFormat="1">
      <c r="A2980" s="120"/>
      <c r="B2980" s="73"/>
      <c r="C2980" s="73"/>
      <c r="D2980" s="73"/>
      <c r="E2980" s="73"/>
      <c r="G2980" s="121"/>
      <c r="H2980" s="140"/>
    </row>
    <row r="2981" spans="1:8" s="65" customFormat="1">
      <c r="A2981" s="128"/>
      <c r="B2981" s="141"/>
      <c r="C2981" s="141"/>
      <c r="D2981" s="141"/>
      <c r="E2981" s="141"/>
      <c r="F2981" s="141"/>
      <c r="G2981" s="141"/>
      <c r="H2981" s="140"/>
    </row>
    <row r="2982" spans="1:8" s="65" customFormat="1">
      <c r="A2982" s="150"/>
      <c r="B2982" s="83"/>
      <c r="C2982" s="148"/>
      <c r="D2982" s="168"/>
      <c r="E2982" s="84"/>
      <c r="F2982" s="84"/>
      <c r="G2982" s="144"/>
      <c r="H2982" s="145"/>
    </row>
    <row r="2983" spans="1:8" s="65" customFormat="1">
      <c r="A2983" s="91"/>
      <c r="B2983" s="91"/>
      <c r="C2983" s="91"/>
      <c r="D2983" s="91"/>
      <c r="E2983" s="91"/>
      <c r="G2983" s="104"/>
      <c r="H2983" s="140"/>
    </row>
    <row r="2984" spans="1:8" s="65" customFormat="1">
      <c r="A2984" s="120"/>
      <c r="B2984" s="73"/>
      <c r="C2984" s="73"/>
      <c r="D2984" s="73"/>
      <c r="E2984" s="73"/>
      <c r="G2984" s="121"/>
      <c r="H2984" s="140"/>
    </row>
    <row r="2985" spans="1:8" s="65" customFormat="1">
      <c r="A2985" s="128"/>
      <c r="B2985" s="141"/>
      <c r="C2985" s="141"/>
      <c r="D2985" s="141"/>
      <c r="E2985" s="141"/>
      <c r="F2985" s="141"/>
      <c r="G2985" s="141"/>
      <c r="H2985" s="140"/>
    </row>
    <row r="2986" spans="1:8" s="65" customFormat="1">
      <c r="A2986" s="142"/>
      <c r="B2986" s="143"/>
      <c r="C2986" s="143"/>
      <c r="D2986" s="143"/>
      <c r="E2986" s="143"/>
      <c r="F2986" s="84"/>
      <c r="G2986" s="144"/>
      <c r="H2986" s="145"/>
    </row>
    <row r="2987" spans="1:8" s="65" customFormat="1">
      <c r="A2987" s="91"/>
      <c r="B2987" s="91"/>
      <c r="C2987" s="91"/>
      <c r="D2987" s="91"/>
      <c r="E2987" s="91"/>
      <c r="G2987" s="104"/>
      <c r="H2987" s="140"/>
    </row>
    <row r="2988" spans="1:8" s="65" customFormat="1">
      <c r="A2988" s="120"/>
      <c r="B2988" s="73"/>
      <c r="C2988" s="73"/>
      <c r="D2988" s="73"/>
      <c r="E2988" s="73"/>
      <c r="G2988" s="121"/>
      <c r="H2988" s="140"/>
    </row>
    <row r="2989" spans="1:8" s="65" customFormat="1">
      <c r="A2989" s="128"/>
      <c r="B2989" s="141"/>
      <c r="C2989" s="141"/>
      <c r="D2989" s="141"/>
      <c r="E2989" s="141"/>
      <c r="F2989" s="141"/>
      <c r="G2989" s="141"/>
      <c r="H2989" s="140"/>
    </row>
    <row r="2990" spans="1:8" s="65" customFormat="1">
      <c r="A2990" s="142"/>
      <c r="B2990" s="143"/>
      <c r="C2990" s="143"/>
      <c r="D2990" s="143"/>
      <c r="E2990" s="143"/>
      <c r="F2990" s="84"/>
      <c r="G2990" s="144"/>
      <c r="H2990" s="145"/>
    </row>
    <row r="2991" spans="1:8" s="65" customFormat="1">
      <c r="A2991" s="123"/>
      <c r="B2991" s="95"/>
      <c r="C2991" s="95"/>
      <c r="D2991" s="95"/>
      <c r="E2991" s="95"/>
      <c r="G2991" s="104"/>
      <c r="H2991" s="121"/>
    </row>
    <row r="2992" spans="1:8" s="65" customFormat="1">
      <c r="A2992" s="123"/>
      <c r="B2992" s="95"/>
      <c r="C2992" s="95"/>
      <c r="D2992" s="95"/>
      <c r="E2992" s="95"/>
      <c r="G2992" s="121"/>
      <c r="H2992" s="133"/>
    </row>
    <row r="2993" spans="1:10" s="65" customFormat="1">
      <c r="B2993" s="97"/>
      <c r="C2993" s="98"/>
      <c r="D2993" s="98"/>
      <c r="E2993" s="98"/>
      <c r="G2993" s="128"/>
    </row>
    <row r="2994" spans="1:10" s="65" customFormat="1">
      <c r="B2994" s="97"/>
      <c r="C2994" s="98"/>
      <c r="D2994" s="98"/>
      <c r="E2994" s="98"/>
      <c r="F2994" s="128"/>
      <c r="G2994" s="133"/>
      <c r="H2994" s="134"/>
    </row>
    <row r="2995" spans="1:10" s="65" customFormat="1">
      <c r="A2995" s="633"/>
      <c r="B2995" s="633"/>
      <c r="C2995" s="633"/>
      <c r="D2995" s="633"/>
      <c r="E2995" s="633"/>
      <c r="F2995" s="633"/>
      <c r="G2995" s="633"/>
    </row>
    <row r="2996" spans="1:10" s="65" customFormat="1">
      <c r="H2996" s="138"/>
      <c r="I2996" s="151"/>
    </row>
    <row r="2997" spans="1:10" s="65" customFormat="1">
      <c r="A2997" s="645"/>
      <c r="B2997" s="138"/>
      <c r="C2997" s="138"/>
      <c r="D2997" s="138"/>
      <c r="E2997" s="138"/>
      <c r="F2997" s="138"/>
      <c r="G2997" s="138"/>
      <c r="H2997" s="138"/>
      <c r="I2997" s="152"/>
    </row>
    <row r="2998" spans="1:10" s="65" customFormat="1">
      <c r="A2998" s="645"/>
      <c r="B2998" s="138"/>
      <c r="C2998" s="138"/>
      <c r="D2998" s="138"/>
      <c r="E2998" s="138"/>
      <c r="F2998" s="138"/>
      <c r="G2998" s="138"/>
    </row>
    <row r="2999" spans="1:10" s="65" customFormat="1">
      <c r="A2999" s="69"/>
      <c r="B2999" s="69"/>
      <c r="C2999" s="69"/>
      <c r="D2999" s="69"/>
      <c r="E2999" s="69"/>
      <c r="J2999" s="169"/>
    </row>
    <row r="3000" spans="1:10" s="65" customFormat="1">
      <c r="A3000" s="120"/>
      <c r="B3000" s="73"/>
      <c r="C3000" s="73"/>
      <c r="D3000" s="73"/>
      <c r="E3000" s="73"/>
      <c r="F3000" s="121"/>
      <c r="G3000" s="121"/>
      <c r="H3000" s="121"/>
      <c r="J3000" s="169"/>
    </row>
    <row r="3001" spans="1:10" s="65" customFormat="1">
      <c r="A3001" s="128"/>
      <c r="B3001" s="141"/>
      <c r="C3001" s="141"/>
      <c r="D3001" s="141"/>
      <c r="E3001" s="141"/>
      <c r="F3001" s="141"/>
      <c r="G3001" s="141"/>
      <c r="H3001" s="121"/>
    </row>
    <row r="3002" spans="1:10" s="65" customFormat="1">
      <c r="A3002" s="150"/>
      <c r="B3002" s="84"/>
      <c r="C3002" s="148"/>
      <c r="D3002" s="84"/>
      <c r="E3002" s="84"/>
      <c r="F3002" s="84"/>
      <c r="G3002" s="144"/>
      <c r="H3002" s="145"/>
    </row>
    <row r="3003" spans="1:10" s="65" customFormat="1">
      <c r="A3003" s="84"/>
      <c r="B3003" s="83"/>
      <c r="C3003" s="84"/>
      <c r="D3003" s="84"/>
      <c r="E3003" s="84"/>
      <c r="G3003" s="104"/>
      <c r="H3003" s="140"/>
    </row>
    <row r="3004" spans="1:10" s="65" customFormat="1">
      <c r="A3004" s="120"/>
      <c r="B3004" s="73"/>
      <c r="C3004" s="73"/>
      <c r="D3004" s="73"/>
      <c r="E3004" s="73"/>
      <c r="G3004" s="121"/>
      <c r="H3004" s="140"/>
    </row>
    <row r="3005" spans="1:10" s="65" customFormat="1">
      <c r="A3005" s="128"/>
      <c r="B3005" s="141"/>
      <c r="C3005" s="141"/>
      <c r="D3005" s="141"/>
      <c r="E3005" s="141"/>
      <c r="F3005" s="141"/>
      <c r="G3005" s="141"/>
      <c r="H3005" s="140"/>
    </row>
    <row r="3006" spans="1:10" s="65" customFormat="1">
      <c r="A3006" s="150"/>
      <c r="B3006" s="83"/>
      <c r="C3006" s="148"/>
      <c r="D3006" s="168"/>
      <c r="E3006" s="84"/>
      <c r="F3006" s="84"/>
      <c r="G3006" s="144"/>
      <c r="H3006" s="145"/>
    </row>
    <row r="3007" spans="1:10" s="65" customFormat="1">
      <c r="A3007" s="91"/>
      <c r="B3007" s="91"/>
      <c r="C3007" s="91"/>
      <c r="D3007" s="91"/>
      <c r="E3007" s="91"/>
      <c r="G3007" s="104"/>
      <c r="H3007" s="140"/>
    </row>
    <row r="3008" spans="1:10" s="65" customFormat="1">
      <c r="A3008" s="120"/>
      <c r="B3008" s="73"/>
      <c r="C3008" s="73"/>
      <c r="D3008" s="73"/>
      <c r="E3008" s="73"/>
      <c r="G3008" s="121"/>
      <c r="H3008" s="140"/>
    </row>
    <row r="3009" spans="1:9" s="65" customFormat="1">
      <c r="A3009" s="128"/>
      <c r="B3009" s="141"/>
      <c r="C3009" s="141"/>
      <c r="D3009" s="141"/>
      <c r="E3009" s="141"/>
      <c r="F3009" s="141"/>
      <c r="G3009" s="141"/>
      <c r="H3009" s="140"/>
    </row>
    <row r="3010" spans="1:9" s="65" customFormat="1">
      <c r="A3010" s="142"/>
      <c r="B3010" s="143"/>
      <c r="C3010" s="143"/>
      <c r="D3010" s="143"/>
      <c r="E3010" s="143"/>
      <c r="F3010" s="84"/>
      <c r="G3010" s="144"/>
      <c r="H3010" s="145"/>
    </row>
    <row r="3011" spans="1:9" s="65" customFormat="1">
      <c r="A3011" s="91"/>
      <c r="B3011" s="91"/>
      <c r="C3011" s="91"/>
      <c r="D3011" s="91"/>
      <c r="E3011" s="91"/>
      <c r="G3011" s="104"/>
      <c r="H3011" s="140"/>
    </row>
    <row r="3012" spans="1:9" s="65" customFormat="1">
      <c r="A3012" s="120"/>
      <c r="B3012" s="73"/>
      <c r="C3012" s="73"/>
      <c r="D3012" s="73"/>
      <c r="E3012" s="73"/>
      <c r="G3012" s="121"/>
      <c r="H3012" s="140"/>
    </row>
    <row r="3013" spans="1:9" s="65" customFormat="1">
      <c r="A3013" s="128"/>
      <c r="B3013" s="141"/>
      <c r="C3013" s="141"/>
      <c r="D3013" s="141"/>
      <c r="E3013" s="141"/>
      <c r="F3013" s="141"/>
      <c r="G3013" s="141"/>
      <c r="H3013" s="140"/>
    </row>
    <row r="3014" spans="1:9" s="65" customFormat="1">
      <c r="A3014" s="142"/>
      <c r="B3014" s="143"/>
      <c r="C3014" s="143"/>
      <c r="D3014" s="143"/>
      <c r="E3014" s="143"/>
      <c r="F3014" s="84"/>
      <c r="G3014" s="144"/>
      <c r="H3014" s="145"/>
    </row>
    <row r="3015" spans="1:9" s="65" customFormat="1">
      <c r="A3015" s="123"/>
      <c r="B3015" s="95"/>
      <c r="C3015" s="95"/>
      <c r="D3015" s="95"/>
      <c r="E3015" s="95"/>
      <c r="G3015" s="104"/>
      <c r="H3015" s="121"/>
    </row>
    <row r="3016" spans="1:9" s="65" customFormat="1">
      <c r="A3016" s="123"/>
      <c r="B3016" s="95"/>
      <c r="C3016" s="95"/>
      <c r="D3016" s="95"/>
      <c r="E3016" s="95"/>
      <c r="G3016" s="121"/>
      <c r="H3016" s="133"/>
    </row>
    <row r="3017" spans="1:9" s="65" customFormat="1">
      <c r="B3017" s="97"/>
      <c r="C3017" s="98"/>
      <c r="D3017" s="98"/>
      <c r="E3017" s="98"/>
      <c r="G3017" s="128"/>
    </row>
    <row r="3018" spans="1:9" s="65" customFormat="1">
      <c r="B3018" s="97"/>
      <c r="C3018" s="98"/>
      <c r="D3018" s="98"/>
      <c r="E3018" s="98"/>
      <c r="F3018" s="128"/>
      <c r="G3018" s="133"/>
      <c r="H3018" s="134"/>
    </row>
    <row r="3019" spans="1:9" s="65" customFormat="1">
      <c r="A3019" s="633"/>
      <c r="B3019" s="633"/>
      <c r="C3019" s="633"/>
      <c r="D3019" s="633"/>
      <c r="E3019" s="633"/>
      <c r="F3019" s="633"/>
      <c r="G3019" s="633"/>
    </row>
    <row r="3020" spans="1:9" s="65" customFormat="1">
      <c r="H3020" s="138"/>
      <c r="I3020" s="151"/>
    </row>
    <row r="3021" spans="1:9" s="65" customFormat="1">
      <c r="A3021" s="645"/>
      <c r="B3021" s="138"/>
      <c r="C3021" s="138"/>
      <c r="D3021" s="138"/>
      <c r="E3021" s="138"/>
      <c r="F3021" s="138"/>
      <c r="G3021" s="138"/>
      <c r="H3021" s="138"/>
      <c r="I3021" s="152"/>
    </row>
    <row r="3022" spans="1:9" s="65" customFormat="1">
      <c r="A3022" s="645"/>
      <c r="B3022" s="138"/>
      <c r="C3022" s="138"/>
      <c r="D3022" s="138"/>
      <c r="E3022" s="138"/>
      <c r="F3022" s="138"/>
      <c r="G3022" s="138"/>
    </row>
    <row r="3023" spans="1:9" s="65" customFormat="1">
      <c r="A3023" s="69"/>
      <c r="B3023" s="69"/>
      <c r="C3023" s="69"/>
      <c r="D3023" s="69"/>
      <c r="E3023" s="69"/>
    </row>
    <row r="3024" spans="1:9" s="65" customFormat="1">
      <c r="A3024" s="120"/>
      <c r="B3024" s="73"/>
      <c r="C3024" s="73"/>
      <c r="D3024" s="73"/>
      <c r="E3024" s="73"/>
      <c r="F3024" s="121"/>
      <c r="G3024" s="121"/>
      <c r="H3024" s="121"/>
    </row>
    <row r="3025" spans="1:8" s="65" customFormat="1">
      <c r="A3025" s="128"/>
      <c r="B3025" s="141"/>
      <c r="C3025" s="141"/>
      <c r="D3025" s="141"/>
      <c r="E3025" s="141"/>
      <c r="F3025" s="141"/>
      <c r="G3025" s="141"/>
      <c r="H3025" s="121"/>
    </row>
    <row r="3026" spans="1:8" s="65" customFormat="1">
      <c r="A3026" s="150"/>
      <c r="B3026" s="84"/>
      <c r="C3026" s="148"/>
      <c r="D3026" s="84"/>
      <c r="E3026" s="84"/>
      <c r="F3026" s="84"/>
      <c r="G3026" s="144"/>
      <c r="H3026" s="145"/>
    </row>
    <row r="3027" spans="1:8" s="65" customFormat="1">
      <c r="A3027" s="84"/>
      <c r="B3027" s="83"/>
      <c r="C3027" s="84"/>
      <c r="D3027" s="84"/>
      <c r="E3027" s="84"/>
      <c r="G3027" s="104"/>
      <c r="H3027" s="140"/>
    </row>
    <row r="3028" spans="1:8" s="65" customFormat="1">
      <c r="A3028" s="120"/>
      <c r="B3028" s="73"/>
      <c r="C3028" s="73"/>
      <c r="D3028" s="73"/>
      <c r="E3028" s="73"/>
      <c r="G3028" s="121"/>
      <c r="H3028" s="140"/>
    </row>
    <row r="3029" spans="1:8" s="65" customFormat="1">
      <c r="A3029" s="128"/>
      <c r="B3029" s="141"/>
      <c r="C3029" s="141"/>
      <c r="D3029" s="141"/>
      <c r="E3029" s="141"/>
      <c r="F3029" s="141"/>
      <c r="G3029" s="141"/>
      <c r="H3029" s="140"/>
    </row>
    <row r="3030" spans="1:8" s="65" customFormat="1">
      <c r="A3030" s="150"/>
      <c r="B3030" s="83"/>
      <c r="C3030" s="148"/>
      <c r="D3030" s="168"/>
      <c r="E3030" s="84"/>
      <c r="F3030" s="84"/>
      <c r="G3030" s="144"/>
      <c r="H3030" s="145"/>
    </row>
    <row r="3031" spans="1:8" s="65" customFormat="1">
      <c r="A3031" s="91"/>
      <c r="B3031" s="91"/>
      <c r="C3031" s="91"/>
      <c r="D3031" s="91"/>
      <c r="E3031" s="91"/>
      <c r="G3031" s="104"/>
      <c r="H3031" s="140"/>
    </row>
    <row r="3032" spans="1:8" s="65" customFormat="1">
      <c r="A3032" s="120"/>
      <c r="B3032" s="73"/>
      <c r="C3032" s="73"/>
      <c r="D3032" s="73"/>
      <c r="E3032" s="73"/>
      <c r="G3032" s="121"/>
      <c r="H3032" s="140"/>
    </row>
    <row r="3033" spans="1:8" s="65" customFormat="1">
      <c r="A3033" s="128"/>
      <c r="B3033" s="141"/>
      <c r="C3033" s="141"/>
      <c r="D3033" s="141"/>
      <c r="E3033" s="141"/>
      <c r="F3033" s="141"/>
      <c r="G3033" s="141"/>
      <c r="H3033" s="140"/>
    </row>
    <row r="3034" spans="1:8" s="65" customFormat="1">
      <c r="A3034" s="142"/>
      <c r="B3034" s="143"/>
      <c r="C3034" s="143"/>
      <c r="D3034" s="143"/>
      <c r="E3034" s="143"/>
      <c r="F3034" s="84"/>
      <c r="G3034" s="144"/>
      <c r="H3034" s="145"/>
    </row>
    <row r="3035" spans="1:8" s="65" customFormat="1">
      <c r="A3035" s="91"/>
      <c r="B3035" s="91"/>
      <c r="C3035" s="91"/>
      <c r="D3035" s="91"/>
      <c r="E3035" s="91"/>
      <c r="G3035" s="104"/>
      <c r="H3035" s="140"/>
    </row>
    <row r="3036" spans="1:8" s="65" customFormat="1">
      <c r="A3036" s="120"/>
      <c r="B3036" s="73"/>
      <c r="C3036" s="73"/>
      <c r="D3036" s="73"/>
      <c r="E3036" s="73"/>
      <c r="G3036" s="121"/>
      <c r="H3036" s="140"/>
    </row>
    <row r="3037" spans="1:8" s="65" customFormat="1">
      <c r="A3037" s="128"/>
      <c r="B3037" s="141"/>
      <c r="C3037" s="141"/>
      <c r="D3037" s="141"/>
      <c r="E3037" s="141"/>
      <c r="F3037" s="141"/>
      <c r="G3037" s="141"/>
      <c r="H3037" s="140"/>
    </row>
    <row r="3038" spans="1:8" s="65" customFormat="1">
      <c r="A3038" s="142"/>
      <c r="B3038" s="143"/>
      <c r="C3038" s="143"/>
      <c r="D3038" s="143"/>
      <c r="E3038" s="143"/>
      <c r="F3038" s="84"/>
      <c r="G3038" s="144"/>
      <c r="H3038" s="145"/>
    </row>
    <row r="3039" spans="1:8" s="65" customFormat="1">
      <c r="A3039" s="123"/>
      <c r="B3039" s="95"/>
      <c r="C3039" s="95"/>
      <c r="D3039" s="95"/>
      <c r="E3039" s="95"/>
      <c r="G3039" s="104"/>
      <c r="H3039" s="121"/>
    </row>
    <row r="3040" spans="1:8" s="65" customFormat="1">
      <c r="A3040" s="123"/>
      <c r="B3040" s="95"/>
      <c r="C3040" s="95"/>
      <c r="D3040" s="95"/>
      <c r="E3040" s="95"/>
      <c r="G3040" s="121"/>
      <c r="H3040" s="133"/>
    </row>
    <row r="3041" spans="1:9" s="65" customFormat="1">
      <c r="B3041" s="97"/>
      <c r="C3041" s="98"/>
      <c r="D3041" s="98"/>
      <c r="E3041" s="98"/>
      <c r="G3041" s="128"/>
    </row>
    <row r="3042" spans="1:9" s="65" customFormat="1">
      <c r="B3042" s="97"/>
      <c r="C3042" s="98"/>
      <c r="D3042" s="98"/>
      <c r="E3042" s="98"/>
      <c r="F3042" s="128"/>
      <c r="G3042" s="133"/>
      <c r="H3042" s="134"/>
    </row>
    <row r="3043" spans="1:9" s="65" customFormat="1">
      <c r="A3043" s="633"/>
      <c r="B3043" s="633"/>
      <c r="C3043" s="633"/>
      <c r="D3043" s="633"/>
      <c r="E3043" s="633"/>
      <c r="F3043" s="633"/>
      <c r="G3043" s="633"/>
    </row>
    <row r="3044" spans="1:9" s="65" customFormat="1">
      <c r="H3044" s="138"/>
      <c r="I3044" s="151"/>
    </row>
    <row r="3045" spans="1:9" s="65" customFormat="1">
      <c r="A3045" s="645"/>
      <c r="B3045" s="138"/>
      <c r="C3045" s="138"/>
      <c r="D3045" s="138"/>
      <c r="E3045" s="138"/>
      <c r="F3045" s="138"/>
      <c r="G3045" s="138"/>
      <c r="H3045" s="138"/>
      <c r="I3045" s="152"/>
    </row>
    <row r="3046" spans="1:9" s="65" customFormat="1">
      <c r="A3046" s="645"/>
      <c r="B3046" s="138"/>
      <c r="C3046" s="138"/>
      <c r="D3046" s="138"/>
      <c r="E3046" s="138"/>
      <c r="F3046" s="138"/>
      <c r="G3046" s="138"/>
    </row>
    <row r="3047" spans="1:9" s="65" customFormat="1">
      <c r="A3047" s="69"/>
      <c r="B3047" s="69"/>
      <c r="C3047" s="69"/>
      <c r="D3047" s="69"/>
      <c r="E3047" s="69"/>
    </row>
    <row r="3048" spans="1:9" s="65" customFormat="1">
      <c r="A3048" s="120"/>
      <c r="B3048" s="73"/>
      <c r="C3048" s="73"/>
      <c r="D3048" s="73"/>
      <c r="E3048" s="73"/>
      <c r="F3048" s="121"/>
      <c r="G3048" s="121"/>
      <c r="H3048" s="121"/>
    </row>
    <row r="3049" spans="1:9" s="65" customFormat="1">
      <c r="A3049" s="128"/>
      <c r="B3049" s="141"/>
      <c r="C3049" s="141"/>
      <c r="D3049" s="141"/>
      <c r="E3049" s="141"/>
      <c r="F3049" s="141"/>
      <c r="G3049" s="141"/>
      <c r="H3049" s="121"/>
    </row>
    <row r="3050" spans="1:9" s="65" customFormat="1">
      <c r="A3050" s="150"/>
      <c r="B3050" s="84"/>
      <c r="C3050" s="148"/>
      <c r="D3050" s="84"/>
      <c r="E3050" s="84"/>
      <c r="F3050" s="84"/>
      <c r="G3050" s="144"/>
      <c r="H3050" s="145"/>
    </row>
    <row r="3051" spans="1:9" s="65" customFormat="1">
      <c r="A3051" s="84"/>
      <c r="B3051" s="83"/>
      <c r="C3051" s="84"/>
      <c r="D3051" s="84"/>
      <c r="E3051" s="84"/>
      <c r="G3051" s="104"/>
      <c r="H3051" s="140"/>
    </row>
    <row r="3052" spans="1:9" s="65" customFormat="1">
      <c r="A3052" s="120"/>
      <c r="B3052" s="73"/>
      <c r="C3052" s="73"/>
      <c r="D3052" s="73"/>
      <c r="E3052" s="73"/>
      <c r="G3052" s="121"/>
      <c r="H3052" s="140"/>
    </row>
    <row r="3053" spans="1:9" s="65" customFormat="1">
      <c r="A3053" s="128"/>
      <c r="B3053" s="141"/>
      <c r="C3053" s="141"/>
      <c r="D3053" s="141"/>
      <c r="E3053" s="141"/>
      <c r="F3053" s="141"/>
      <c r="G3053" s="141"/>
      <c r="H3053" s="140"/>
    </row>
    <row r="3054" spans="1:9" s="65" customFormat="1">
      <c r="A3054" s="150"/>
      <c r="B3054" s="83"/>
      <c r="C3054" s="148"/>
      <c r="D3054" s="168"/>
      <c r="E3054" s="84"/>
      <c r="F3054" s="84"/>
      <c r="G3054" s="144"/>
      <c r="H3054" s="145"/>
    </row>
    <row r="3055" spans="1:9" s="65" customFormat="1">
      <c r="A3055" s="91"/>
      <c r="B3055" s="91"/>
      <c r="C3055" s="91"/>
      <c r="D3055" s="91"/>
      <c r="E3055" s="91"/>
      <c r="G3055" s="104"/>
      <c r="H3055" s="140"/>
    </row>
    <row r="3056" spans="1:9" s="65" customFormat="1">
      <c r="A3056" s="120"/>
      <c r="B3056" s="73"/>
      <c r="C3056" s="73"/>
      <c r="D3056" s="73"/>
      <c r="E3056" s="73"/>
      <c r="G3056" s="121"/>
      <c r="H3056" s="140"/>
    </row>
    <row r="3057" spans="1:9" s="65" customFormat="1">
      <c r="A3057" s="128"/>
      <c r="B3057" s="141"/>
      <c r="C3057" s="141"/>
      <c r="D3057" s="141"/>
      <c r="E3057" s="141"/>
      <c r="F3057" s="141"/>
      <c r="G3057" s="141"/>
      <c r="H3057" s="140"/>
    </row>
    <row r="3058" spans="1:9" s="65" customFormat="1">
      <c r="A3058" s="142"/>
      <c r="B3058" s="143"/>
      <c r="C3058" s="143"/>
      <c r="D3058" s="143"/>
      <c r="E3058" s="143"/>
      <c r="F3058" s="84"/>
      <c r="G3058" s="144"/>
      <c r="H3058" s="145"/>
    </row>
    <row r="3059" spans="1:9" s="65" customFormat="1">
      <c r="A3059" s="91"/>
      <c r="B3059" s="91"/>
      <c r="C3059" s="91"/>
      <c r="D3059" s="91"/>
      <c r="E3059" s="91"/>
      <c r="G3059" s="104"/>
      <c r="H3059" s="140"/>
    </row>
    <row r="3060" spans="1:9" s="65" customFormat="1">
      <c r="A3060" s="120"/>
      <c r="B3060" s="73"/>
      <c r="C3060" s="73"/>
      <c r="D3060" s="73"/>
      <c r="E3060" s="73"/>
      <c r="G3060" s="121"/>
      <c r="H3060" s="140"/>
    </row>
    <row r="3061" spans="1:9" s="65" customFormat="1">
      <c r="A3061" s="128"/>
      <c r="B3061" s="141"/>
      <c r="C3061" s="141"/>
      <c r="D3061" s="141"/>
      <c r="E3061" s="141"/>
      <c r="F3061" s="141"/>
      <c r="G3061" s="141"/>
      <c r="H3061" s="140"/>
    </row>
    <row r="3062" spans="1:9" s="65" customFormat="1">
      <c r="A3062" s="142"/>
      <c r="B3062" s="143"/>
      <c r="C3062" s="143"/>
      <c r="D3062" s="143"/>
      <c r="E3062" s="143"/>
      <c r="F3062" s="84"/>
      <c r="G3062" s="144"/>
      <c r="H3062" s="145"/>
    </row>
    <row r="3063" spans="1:9" s="65" customFormat="1">
      <c r="A3063" s="123"/>
      <c r="B3063" s="95"/>
      <c r="C3063" s="95"/>
      <c r="D3063" s="95"/>
      <c r="E3063" s="95"/>
      <c r="G3063" s="104"/>
      <c r="H3063" s="121"/>
    </row>
    <row r="3064" spans="1:9" s="65" customFormat="1">
      <c r="A3064" s="123"/>
      <c r="B3064" s="95"/>
      <c r="C3064" s="95"/>
      <c r="D3064" s="95"/>
      <c r="E3064" s="95"/>
      <c r="G3064" s="121"/>
      <c r="H3064" s="133"/>
    </row>
    <row r="3065" spans="1:9" s="65" customFormat="1">
      <c r="B3065" s="97"/>
      <c r="C3065" s="98"/>
      <c r="D3065" s="98"/>
      <c r="E3065" s="98"/>
      <c r="G3065" s="128"/>
    </row>
    <row r="3066" spans="1:9" s="65" customFormat="1">
      <c r="B3066" s="97"/>
      <c r="C3066" s="98"/>
      <c r="D3066" s="98"/>
      <c r="E3066" s="98"/>
      <c r="F3066" s="128"/>
      <c r="G3066" s="133"/>
      <c r="H3066" s="134"/>
    </row>
    <row r="3067" spans="1:9" s="65" customFormat="1">
      <c r="A3067" s="633"/>
      <c r="B3067" s="633"/>
      <c r="C3067" s="633"/>
      <c r="D3067" s="633"/>
      <c r="E3067" s="633"/>
      <c r="F3067" s="633"/>
      <c r="G3067" s="633"/>
    </row>
    <row r="3068" spans="1:9" s="65" customFormat="1">
      <c r="H3068" s="138"/>
      <c r="I3068" s="151"/>
    </row>
    <row r="3069" spans="1:9" s="65" customFormat="1">
      <c r="A3069" s="645"/>
      <c r="B3069" s="138"/>
      <c r="C3069" s="138"/>
      <c r="D3069" s="138"/>
      <c r="E3069" s="138"/>
      <c r="F3069" s="138"/>
      <c r="G3069" s="138"/>
      <c r="H3069" s="138"/>
      <c r="I3069" s="152"/>
    </row>
    <row r="3070" spans="1:9" s="65" customFormat="1">
      <c r="A3070" s="645"/>
      <c r="B3070" s="138"/>
      <c r="C3070" s="138"/>
      <c r="D3070" s="138"/>
      <c r="E3070" s="138"/>
      <c r="F3070" s="138"/>
      <c r="G3070" s="138"/>
    </row>
    <row r="3071" spans="1:9" s="65" customFormat="1">
      <c r="A3071" s="69"/>
      <c r="B3071" s="69"/>
      <c r="C3071" s="69"/>
      <c r="D3071" s="69"/>
      <c r="E3071" s="69"/>
    </row>
    <row r="3072" spans="1:9" s="65" customFormat="1">
      <c r="A3072" s="120"/>
      <c r="B3072" s="73"/>
      <c r="C3072" s="73"/>
      <c r="D3072" s="73"/>
      <c r="E3072" s="73"/>
      <c r="F3072" s="121"/>
      <c r="G3072" s="121"/>
      <c r="H3072" s="121"/>
    </row>
    <row r="3073" spans="1:8" s="65" customFormat="1">
      <c r="A3073" s="128"/>
      <c r="B3073" s="141"/>
      <c r="C3073" s="141"/>
      <c r="D3073" s="141"/>
      <c r="E3073" s="141"/>
      <c r="F3073" s="141"/>
      <c r="G3073" s="141"/>
      <c r="H3073" s="121"/>
    </row>
    <row r="3074" spans="1:8" s="65" customFormat="1">
      <c r="A3074" s="150"/>
      <c r="B3074" s="84"/>
      <c r="C3074" s="148"/>
      <c r="D3074" s="84"/>
      <c r="E3074" s="84"/>
      <c r="F3074" s="84"/>
      <c r="G3074" s="144"/>
      <c r="H3074" s="145"/>
    </row>
    <row r="3075" spans="1:8" s="65" customFormat="1">
      <c r="A3075" s="84"/>
      <c r="B3075" s="83"/>
      <c r="C3075" s="84"/>
      <c r="D3075" s="84"/>
      <c r="E3075" s="84"/>
      <c r="G3075" s="104"/>
      <c r="H3075" s="140"/>
    </row>
    <row r="3076" spans="1:8" s="65" customFormat="1">
      <c r="A3076" s="120"/>
      <c r="B3076" s="73"/>
      <c r="C3076" s="73"/>
      <c r="D3076" s="73"/>
      <c r="E3076" s="73"/>
      <c r="G3076" s="121"/>
      <c r="H3076" s="140"/>
    </row>
    <row r="3077" spans="1:8" s="65" customFormat="1">
      <c r="A3077" s="128"/>
      <c r="B3077" s="141"/>
      <c r="C3077" s="141"/>
      <c r="D3077" s="141"/>
      <c r="E3077" s="141"/>
      <c r="F3077" s="141"/>
      <c r="G3077" s="141"/>
      <c r="H3077" s="140"/>
    </row>
    <row r="3078" spans="1:8" s="65" customFormat="1">
      <c r="A3078" s="150"/>
      <c r="B3078" s="83"/>
      <c r="C3078" s="148"/>
      <c r="D3078" s="168"/>
      <c r="E3078" s="84"/>
      <c r="F3078" s="84"/>
      <c r="G3078" s="144"/>
      <c r="H3078" s="145"/>
    </row>
    <row r="3079" spans="1:8" s="65" customFormat="1">
      <c r="A3079" s="91"/>
      <c r="B3079" s="91"/>
      <c r="C3079" s="91"/>
      <c r="D3079" s="91"/>
      <c r="E3079" s="91"/>
      <c r="G3079" s="104"/>
      <c r="H3079" s="140"/>
    </row>
    <row r="3080" spans="1:8" s="65" customFormat="1">
      <c r="A3080" s="120"/>
      <c r="B3080" s="73"/>
      <c r="C3080" s="73"/>
      <c r="D3080" s="73"/>
      <c r="E3080" s="73"/>
      <c r="G3080" s="121"/>
      <c r="H3080" s="140"/>
    </row>
    <row r="3081" spans="1:8" s="65" customFormat="1" ht="21" customHeight="1">
      <c r="A3081" s="128"/>
      <c r="B3081" s="141"/>
      <c r="C3081" s="141"/>
      <c r="D3081" s="141"/>
      <c r="E3081" s="141"/>
      <c r="F3081" s="141"/>
      <c r="G3081" s="141"/>
      <c r="H3081" s="140"/>
    </row>
    <row r="3082" spans="1:8" s="65" customFormat="1">
      <c r="A3082" s="142"/>
      <c r="B3082" s="143"/>
      <c r="C3082" s="143"/>
      <c r="D3082" s="143"/>
      <c r="E3082" s="143"/>
      <c r="F3082" s="84"/>
      <c r="G3082" s="144"/>
      <c r="H3082" s="145"/>
    </row>
    <row r="3083" spans="1:8" s="65" customFormat="1">
      <c r="A3083" s="91"/>
      <c r="B3083" s="91"/>
      <c r="C3083" s="91"/>
      <c r="D3083" s="91"/>
      <c r="E3083" s="91"/>
      <c r="G3083" s="104"/>
      <c r="H3083" s="140"/>
    </row>
    <row r="3084" spans="1:8" s="65" customFormat="1">
      <c r="A3084" s="120"/>
      <c r="B3084" s="73"/>
      <c r="C3084" s="73"/>
      <c r="D3084" s="73"/>
      <c r="E3084" s="73"/>
      <c r="G3084" s="121"/>
      <c r="H3084" s="140"/>
    </row>
    <row r="3085" spans="1:8" s="65" customFormat="1">
      <c r="A3085" s="128"/>
      <c r="B3085" s="141"/>
      <c r="C3085" s="141"/>
      <c r="D3085" s="141"/>
      <c r="E3085" s="141"/>
      <c r="F3085" s="141"/>
      <c r="G3085" s="141"/>
      <c r="H3085" s="140"/>
    </row>
    <row r="3086" spans="1:8" s="65" customFormat="1">
      <c r="A3086" s="142"/>
      <c r="B3086" s="143"/>
      <c r="C3086" s="143"/>
      <c r="D3086" s="143"/>
      <c r="E3086" s="143"/>
      <c r="F3086" s="84"/>
      <c r="G3086" s="144"/>
      <c r="H3086" s="145"/>
    </row>
    <row r="3087" spans="1:8" s="65" customFormat="1">
      <c r="A3087" s="123"/>
      <c r="B3087" s="95"/>
      <c r="C3087" s="95"/>
      <c r="D3087" s="95"/>
      <c r="E3087" s="95"/>
      <c r="G3087" s="104"/>
      <c r="H3087" s="121"/>
    </row>
    <row r="3088" spans="1:8" s="65" customFormat="1">
      <c r="A3088" s="123"/>
      <c r="B3088" s="95"/>
      <c r="C3088" s="95"/>
      <c r="D3088" s="95"/>
      <c r="E3088" s="95"/>
      <c r="G3088" s="121"/>
      <c r="H3088" s="133"/>
    </row>
    <row r="3089" spans="1:9" s="65" customFormat="1">
      <c r="B3089" s="97"/>
      <c r="C3089" s="98"/>
      <c r="D3089" s="98"/>
      <c r="E3089" s="98"/>
      <c r="G3089" s="128"/>
    </row>
    <row r="3090" spans="1:9" s="65" customFormat="1">
      <c r="B3090" s="97"/>
      <c r="C3090" s="98"/>
      <c r="D3090" s="98"/>
      <c r="E3090" s="98"/>
      <c r="F3090" s="128"/>
      <c r="G3090" s="133"/>
      <c r="H3090" s="134"/>
    </row>
    <row r="3091" spans="1:9" s="65" customFormat="1">
      <c r="A3091" s="633"/>
      <c r="B3091" s="633"/>
      <c r="C3091" s="633"/>
      <c r="D3091" s="633"/>
      <c r="E3091" s="633"/>
      <c r="F3091" s="633"/>
      <c r="G3091" s="633"/>
    </row>
    <row r="3092" spans="1:9" s="65" customFormat="1">
      <c r="H3092" s="138"/>
      <c r="I3092" s="151"/>
    </row>
    <row r="3093" spans="1:9" s="65" customFormat="1">
      <c r="A3093" s="645"/>
      <c r="B3093" s="138"/>
      <c r="C3093" s="138"/>
      <c r="D3093" s="138"/>
      <c r="E3093" s="138"/>
      <c r="F3093" s="138"/>
      <c r="G3093" s="138"/>
      <c r="H3093" s="138"/>
      <c r="I3093" s="152"/>
    </row>
    <row r="3094" spans="1:9" s="65" customFormat="1">
      <c r="A3094" s="645"/>
      <c r="B3094" s="138"/>
      <c r="C3094" s="138"/>
      <c r="D3094" s="138"/>
      <c r="E3094" s="138"/>
      <c r="F3094" s="138"/>
      <c r="G3094" s="138"/>
    </row>
    <row r="3095" spans="1:9" s="65" customFormat="1">
      <c r="A3095" s="69"/>
      <c r="B3095" s="69"/>
      <c r="C3095" s="69"/>
      <c r="D3095" s="69"/>
      <c r="E3095" s="69"/>
    </row>
    <row r="3096" spans="1:9" s="65" customFormat="1">
      <c r="A3096" s="120"/>
      <c r="B3096" s="73"/>
      <c r="C3096" s="73"/>
      <c r="D3096" s="73"/>
      <c r="E3096" s="73"/>
      <c r="F3096" s="121"/>
      <c r="G3096" s="121"/>
      <c r="H3096" s="121"/>
    </row>
    <row r="3097" spans="1:9" s="65" customFormat="1">
      <c r="A3097" s="128"/>
      <c r="B3097" s="141"/>
      <c r="C3097" s="141"/>
      <c r="D3097" s="141"/>
      <c r="E3097" s="141"/>
      <c r="F3097" s="141"/>
      <c r="G3097" s="141"/>
      <c r="H3097" s="121"/>
    </row>
    <row r="3098" spans="1:9" s="65" customFormat="1">
      <c r="A3098" s="150"/>
      <c r="B3098" s="84"/>
      <c r="C3098" s="148"/>
      <c r="D3098" s="84"/>
      <c r="E3098" s="84"/>
      <c r="F3098" s="84"/>
      <c r="G3098" s="144"/>
      <c r="H3098" s="145"/>
    </row>
    <row r="3099" spans="1:9" s="65" customFormat="1">
      <c r="A3099" s="84"/>
      <c r="B3099" s="83"/>
      <c r="C3099" s="84"/>
      <c r="D3099" s="84"/>
      <c r="E3099" s="84"/>
      <c r="G3099" s="104"/>
      <c r="H3099" s="140"/>
    </row>
    <row r="3100" spans="1:9" s="65" customFormat="1">
      <c r="A3100" s="120"/>
      <c r="B3100" s="73"/>
      <c r="C3100" s="73"/>
      <c r="D3100" s="73"/>
      <c r="E3100" s="73"/>
      <c r="G3100" s="121"/>
      <c r="H3100" s="140"/>
    </row>
    <row r="3101" spans="1:9" s="65" customFormat="1">
      <c r="A3101" s="128"/>
      <c r="B3101" s="141"/>
      <c r="C3101" s="141"/>
      <c r="D3101" s="141"/>
      <c r="E3101" s="141"/>
      <c r="F3101" s="141"/>
      <c r="G3101" s="141"/>
      <c r="H3101" s="140"/>
    </row>
    <row r="3102" spans="1:9" s="65" customFormat="1">
      <c r="A3102" s="150"/>
      <c r="B3102" s="83"/>
      <c r="C3102" s="148"/>
      <c r="D3102" s="168"/>
      <c r="E3102" s="84"/>
      <c r="F3102" s="84"/>
      <c r="G3102" s="144"/>
      <c r="H3102" s="145"/>
    </row>
    <row r="3103" spans="1:9" s="65" customFormat="1">
      <c r="A3103" s="91"/>
      <c r="B3103" s="91"/>
      <c r="C3103" s="91"/>
      <c r="D3103" s="91"/>
      <c r="E3103" s="91"/>
      <c r="G3103" s="104"/>
      <c r="H3103" s="140"/>
    </row>
    <row r="3104" spans="1:9" s="65" customFormat="1">
      <c r="A3104" s="120"/>
      <c r="B3104" s="73"/>
      <c r="C3104" s="73"/>
      <c r="D3104" s="73"/>
      <c r="E3104" s="73"/>
      <c r="G3104" s="121"/>
      <c r="H3104" s="140"/>
    </row>
    <row r="3105" spans="1:9" s="65" customFormat="1">
      <c r="A3105" s="128"/>
      <c r="B3105" s="141"/>
      <c r="C3105" s="141"/>
      <c r="D3105" s="141"/>
      <c r="E3105" s="141"/>
      <c r="F3105" s="141"/>
      <c r="G3105" s="141"/>
      <c r="H3105" s="140"/>
    </row>
    <row r="3106" spans="1:9" s="65" customFormat="1">
      <c r="A3106" s="142"/>
      <c r="B3106" s="143"/>
      <c r="C3106" s="143"/>
      <c r="D3106" s="143"/>
      <c r="E3106" s="143"/>
      <c r="F3106" s="84"/>
      <c r="G3106" s="144"/>
      <c r="H3106" s="145"/>
    </row>
    <row r="3107" spans="1:9" s="65" customFormat="1">
      <c r="A3107" s="91"/>
      <c r="B3107" s="91"/>
      <c r="C3107" s="91"/>
      <c r="D3107" s="91"/>
      <c r="E3107" s="91"/>
      <c r="G3107" s="104"/>
      <c r="H3107" s="140"/>
    </row>
    <row r="3108" spans="1:9" s="65" customFormat="1">
      <c r="A3108" s="120"/>
      <c r="B3108" s="73"/>
      <c r="C3108" s="73"/>
      <c r="D3108" s="73"/>
      <c r="E3108" s="73"/>
      <c r="G3108" s="121"/>
      <c r="H3108" s="140"/>
    </row>
    <row r="3109" spans="1:9" s="65" customFormat="1">
      <c r="A3109" s="128"/>
      <c r="B3109" s="141"/>
      <c r="C3109" s="141"/>
      <c r="D3109" s="141"/>
      <c r="E3109" s="141"/>
      <c r="F3109" s="141"/>
      <c r="G3109" s="141"/>
      <c r="H3109" s="140"/>
    </row>
    <row r="3110" spans="1:9" s="65" customFormat="1">
      <c r="A3110" s="142"/>
      <c r="B3110" s="143"/>
      <c r="C3110" s="143"/>
      <c r="D3110" s="143"/>
      <c r="E3110" s="143"/>
      <c r="F3110" s="84"/>
      <c r="G3110" s="144"/>
      <c r="H3110" s="145"/>
    </row>
    <row r="3111" spans="1:9" s="65" customFormat="1">
      <c r="A3111" s="123"/>
      <c r="B3111" s="95"/>
      <c r="C3111" s="95"/>
      <c r="D3111" s="95"/>
      <c r="E3111" s="95"/>
      <c r="G3111" s="104"/>
      <c r="H3111" s="121"/>
    </row>
    <row r="3112" spans="1:9" s="65" customFormat="1">
      <c r="A3112" s="123"/>
      <c r="B3112" s="95"/>
      <c r="C3112" s="95"/>
      <c r="D3112" s="95"/>
      <c r="E3112" s="95"/>
      <c r="G3112" s="121"/>
      <c r="H3112" s="133"/>
    </row>
    <row r="3113" spans="1:9" s="65" customFormat="1">
      <c r="B3113" s="97"/>
      <c r="C3113" s="98"/>
      <c r="D3113" s="98"/>
      <c r="E3113" s="98"/>
      <c r="G3113" s="128"/>
    </row>
    <row r="3114" spans="1:9" s="65" customFormat="1" ht="21" customHeight="1">
      <c r="B3114" s="97"/>
      <c r="C3114" s="98"/>
      <c r="D3114" s="98"/>
      <c r="E3114" s="98"/>
      <c r="F3114" s="128"/>
      <c r="G3114" s="133"/>
      <c r="H3114" s="134"/>
    </row>
    <row r="3115" spans="1:9" s="65" customFormat="1">
      <c r="A3115" s="633"/>
      <c r="B3115" s="633"/>
      <c r="C3115" s="633"/>
      <c r="D3115" s="633"/>
      <c r="E3115" s="633"/>
      <c r="F3115" s="633"/>
      <c r="G3115" s="633"/>
    </row>
    <row r="3116" spans="1:9" s="65" customFormat="1">
      <c r="H3116" s="138"/>
      <c r="I3116" s="151"/>
    </row>
    <row r="3117" spans="1:9" s="65" customFormat="1">
      <c r="A3117" s="645"/>
      <c r="B3117" s="138"/>
      <c r="C3117" s="138"/>
      <c r="D3117" s="138"/>
      <c r="E3117" s="138"/>
      <c r="F3117" s="138"/>
      <c r="G3117" s="138"/>
      <c r="H3117" s="138"/>
      <c r="I3117" s="152"/>
    </row>
    <row r="3118" spans="1:9" s="65" customFormat="1">
      <c r="A3118" s="645"/>
      <c r="B3118" s="138"/>
      <c r="C3118" s="138"/>
      <c r="D3118" s="138"/>
      <c r="E3118" s="138"/>
      <c r="F3118" s="138"/>
      <c r="G3118" s="138"/>
    </row>
    <row r="3119" spans="1:9" s="65" customFormat="1">
      <c r="A3119" s="69"/>
      <c r="B3119" s="69"/>
      <c r="C3119" s="69"/>
      <c r="D3119" s="69"/>
      <c r="E3119" s="69"/>
    </row>
    <row r="3120" spans="1:9" s="65" customFormat="1">
      <c r="A3120" s="120"/>
      <c r="B3120" s="73"/>
      <c r="C3120" s="73"/>
      <c r="D3120" s="73"/>
      <c r="E3120" s="73"/>
      <c r="F3120" s="121"/>
      <c r="G3120" s="121"/>
      <c r="H3120" s="121"/>
    </row>
    <row r="3121" spans="1:8" s="65" customFormat="1">
      <c r="A3121" s="128"/>
      <c r="B3121" s="141"/>
      <c r="C3121" s="141"/>
      <c r="D3121" s="141"/>
      <c r="E3121" s="141"/>
      <c r="F3121" s="141"/>
      <c r="G3121" s="141"/>
      <c r="H3121" s="121"/>
    </row>
    <row r="3122" spans="1:8" s="65" customFormat="1">
      <c r="A3122" s="150"/>
      <c r="B3122" s="84"/>
      <c r="C3122" s="148"/>
      <c r="D3122" s="84"/>
      <c r="E3122" s="84"/>
      <c r="F3122" s="84"/>
      <c r="G3122" s="144"/>
      <c r="H3122" s="145"/>
    </row>
    <row r="3123" spans="1:8" s="65" customFormat="1">
      <c r="A3123" s="84"/>
      <c r="B3123" s="83"/>
      <c r="C3123" s="84"/>
      <c r="D3123" s="84"/>
      <c r="E3123" s="84"/>
      <c r="G3123" s="104"/>
      <c r="H3123" s="140"/>
    </row>
    <row r="3124" spans="1:8" s="65" customFormat="1">
      <c r="A3124" s="120"/>
      <c r="B3124" s="73"/>
      <c r="C3124" s="73"/>
      <c r="D3124" s="73"/>
      <c r="E3124" s="73"/>
      <c r="G3124" s="121"/>
      <c r="H3124" s="140"/>
    </row>
    <row r="3125" spans="1:8" s="65" customFormat="1">
      <c r="A3125" s="128"/>
      <c r="B3125" s="141"/>
      <c r="C3125" s="141"/>
      <c r="D3125" s="141"/>
      <c r="E3125" s="141"/>
      <c r="F3125" s="141"/>
      <c r="G3125" s="141"/>
      <c r="H3125" s="140"/>
    </row>
    <row r="3126" spans="1:8" s="65" customFormat="1">
      <c r="A3126" s="150"/>
      <c r="B3126" s="83"/>
      <c r="C3126" s="148"/>
      <c r="D3126" s="168"/>
      <c r="E3126" s="84"/>
      <c r="F3126" s="84"/>
      <c r="G3126" s="144"/>
      <c r="H3126" s="145"/>
    </row>
    <row r="3127" spans="1:8" s="65" customFormat="1">
      <c r="A3127" s="91"/>
      <c r="B3127" s="91"/>
      <c r="C3127" s="91"/>
      <c r="D3127" s="91"/>
      <c r="E3127" s="91"/>
      <c r="G3127" s="104"/>
      <c r="H3127" s="140"/>
    </row>
    <row r="3128" spans="1:8" s="65" customFormat="1">
      <c r="A3128" s="120"/>
      <c r="B3128" s="73"/>
      <c r="C3128" s="73"/>
      <c r="D3128" s="73"/>
      <c r="E3128" s="73"/>
      <c r="G3128" s="121"/>
      <c r="H3128" s="140"/>
    </row>
    <row r="3129" spans="1:8" s="65" customFormat="1">
      <c r="A3129" s="128"/>
      <c r="B3129" s="141"/>
      <c r="C3129" s="141"/>
      <c r="D3129" s="141"/>
      <c r="E3129" s="141"/>
      <c r="F3129" s="141"/>
      <c r="G3129" s="141"/>
      <c r="H3129" s="140"/>
    </row>
    <row r="3130" spans="1:8" s="65" customFormat="1">
      <c r="A3130" s="142"/>
      <c r="B3130" s="143"/>
      <c r="C3130" s="143"/>
      <c r="D3130" s="143"/>
      <c r="E3130" s="143"/>
      <c r="F3130" s="84"/>
      <c r="G3130" s="144"/>
      <c r="H3130" s="145"/>
    </row>
    <row r="3131" spans="1:8" s="65" customFormat="1">
      <c r="A3131" s="91"/>
      <c r="B3131" s="91"/>
      <c r="C3131" s="91"/>
      <c r="D3131" s="91"/>
      <c r="E3131" s="91"/>
      <c r="G3131" s="104"/>
      <c r="H3131" s="140"/>
    </row>
    <row r="3132" spans="1:8" s="65" customFormat="1">
      <c r="A3132" s="120"/>
      <c r="B3132" s="73"/>
      <c r="C3132" s="73"/>
      <c r="D3132" s="73"/>
      <c r="E3132" s="73"/>
      <c r="G3132" s="121"/>
      <c r="H3132" s="140"/>
    </row>
    <row r="3133" spans="1:8" s="65" customFormat="1">
      <c r="A3133" s="128"/>
      <c r="B3133" s="141"/>
      <c r="C3133" s="141"/>
      <c r="D3133" s="141"/>
      <c r="E3133" s="141"/>
      <c r="F3133" s="141"/>
      <c r="G3133" s="141"/>
      <c r="H3133" s="140"/>
    </row>
    <row r="3134" spans="1:8" s="65" customFormat="1">
      <c r="A3134" s="142"/>
      <c r="B3134" s="143"/>
      <c r="C3134" s="143"/>
      <c r="D3134" s="143"/>
      <c r="E3134" s="143"/>
      <c r="F3134" s="84"/>
      <c r="G3134" s="144"/>
      <c r="H3134" s="145"/>
    </row>
    <row r="3135" spans="1:8" s="65" customFormat="1">
      <c r="A3135" s="123"/>
      <c r="B3135" s="95"/>
      <c r="C3135" s="95"/>
      <c r="D3135" s="95"/>
      <c r="E3135" s="95"/>
      <c r="G3135" s="104"/>
      <c r="H3135" s="121"/>
    </row>
    <row r="3136" spans="1:8" s="65" customFormat="1">
      <c r="A3136" s="123"/>
      <c r="B3136" s="95"/>
      <c r="C3136" s="95"/>
      <c r="D3136" s="95"/>
      <c r="E3136" s="95"/>
      <c r="G3136" s="121"/>
      <c r="H3136" s="133"/>
    </row>
    <row r="3137" spans="1:9" s="65" customFormat="1">
      <c r="B3137" s="97"/>
      <c r="C3137" s="98"/>
      <c r="D3137" s="98"/>
      <c r="E3137" s="98"/>
      <c r="G3137" s="128"/>
    </row>
    <row r="3138" spans="1:9" s="65" customFormat="1">
      <c r="B3138" s="97"/>
      <c r="C3138" s="98"/>
      <c r="D3138" s="98"/>
      <c r="E3138" s="98"/>
      <c r="F3138" s="128"/>
      <c r="G3138" s="133"/>
      <c r="H3138" s="134"/>
    </row>
    <row r="3139" spans="1:9" s="65" customFormat="1">
      <c r="A3139" s="633"/>
      <c r="B3139" s="633"/>
      <c r="C3139" s="633"/>
      <c r="D3139" s="633"/>
      <c r="E3139" s="633"/>
      <c r="F3139" s="633"/>
      <c r="G3139" s="633"/>
    </row>
    <row r="3140" spans="1:9" s="65" customFormat="1">
      <c r="H3140" s="138"/>
      <c r="I3140" s="151"/>
    </row>
    <row r="3141" spans="1:9" s="65" customFormat="1">
      <c r="A3141" s="645"/>
      <c r="B3141" s="138"/>
      <c r="C3141" s="138"/>
      <c r="D3141" s="138"/>
      <c r="E3141" s="138"/>
      <c r="F3141" s="138"/>
      <c r="G3141" s="138"/>
      <c r="H3141" s="138"/>
      <c r="I3141" s="152"/>
    </row>
    <row r="3142" spans="1:9" s="65" customFormat="1">
      <c r="A3142" s="645"/>
      <c r="B3142" s="138"/>
      <c r="C3142" s="138"/>
      <c r="D3142" s="138"/>
      <c r="E3142" s="138"/>
      <c r="F3142" s="138"/>
      <c r="G3142" s="138"/>
    </row>
    <row r="3143" spans="1:9" s="65" customFormat="1">
      <c r="A3143" s="69"/>
      <c r="B3143" s="69"/>
      <c r="C3143" s="69"/>
      <c r="D3143" s="69"/>
      <c r="E3143" s="69"/>
    </row>
    <row r="3144" spans="1:9" s="65" customFormat="1">
      <c r="A3144" s="120"/>
      <c r="B3144" s="73"/>
      <c r="C3144" s="73"/>
      <c r="D3144" s="73"/>
      <c r="E3144" s="73"/>
      <c r="F3144" s="121"/>
      <c r="G3144" s="121"/>
      <c r="H3144" s="121"/>
    </row>
    <row r="3145" spans="1:9" s="65" customFormat="1">
      <c r="A3145" s="128"/>
      <c r="B3145" s="141"/>
      <c r="C3145" s="141"/>
      <c r="D3145" s="141"/>
      <c r="E3145" s="141"/>
      <c r="F3145" s="141"/>
      <c r="G3145" s="141"/>
      <c r="H3145" s="121"/>
    </row>
    <row r="3146" spans="1:9" s="65" customFormat="1">
      <c r="A3146" s="150"/>
      <c r="B3146" s="84"/>
      <c r="C3146" s="148"/>
      <c r="D3146" s="84"/>
      <c r="E3146" s="84"/>
      <c r="F3146" s="84"/>
      <c r="G3146" s="144"/>
      <c r="H3146" s="145"/>
    </row>
    <row r="3147" spans="1:9" s="65" customFormat="1">
      <c r="A3147" s="84"/>
      <c r="B3147" s="83"/>
      <c r="C3147" s="84"/>
      <c r="D3147" s="84"/>
      <c r="E3147" s="84"/>
      <c r="G3147" s="104"/>
      <c r="H3147" s="140"/>
    </row>
    <row r="3148" spans="1:9" s="65" customFormat="1">
      <c r="A3148" s="120"/>
      <c r="B3148" s="73"/>
      <c r="C3148" s="73"/>
      <c r="D3148" s="73"/>
      <c r="E3148" s="73"/>
      <c r="G3148" s="121"/>
      <c r="H3148" s="140"/>
    </row>
    <row r="3149" spans="1:9" s="65" customFormat="1">
      <c r="A3149" s="128"/>
      <c r="B3149" s="141"/>
      <c r="C3149" s="141"/>
      <c r="D3149" s="141"/>
      <c r="E3149" s="141"/>
      <c r="F3149" s="141"/>
      <c r="G3149" s="141"/>
      <c r="H3149" s="140"/>
    </row>
    <row r="3150" spans="1:9" s="65" customFormat="1">
      <c r="A3150" s="150"/>
      <c r="B3150" s="83"/>
      <c r="C3150" s="148"/>
      <c r="D3150" s="168"/>
      <c r="E3150" s="84"/>
      <c r="F3150" s="84"/>
      <c r="G3150" s="144"/>
      <c r="H3150" s="145"/>
    </row>
    <row r="3151" spans="1:9" s="65" customFormat="1">
      <c r="A3151" s="91"/>
      <c r="B3151" s="91"/>
      <c r="C3151" s="91"/>
      <c r="D3151" s="91"/>
      <c r="E3151" s="91"/>
      <c r="G3151" s="104"/>
      <c r="H3151" s="140"/>
    </row>
    <row r="3152" spans="1:9" s="65" customFormat="1">
      <c r="A3152" s="120"/>
      <c r="B3152" s="73"/>
      <c r="C3152" s="73"/>
      <c r="D3152" s="73"/>
      <c r="E3152" s="73"/>
      <c r="G3152" s="121"/>
      <c r="H3152" s="140"/>
    </row>
    <row r="3153" spans="1:9" s="65" customFormat="1">
      <c r="A3153" s="128"/>
      <c r="B3153" s="141"/>
      <c r="C3153" s="141"/>
      <c r="D3153" s="141"/>
      <c r="E3153" s="141"/>
      <c r="F3153" s="141"/>
      <c r="G3153" s="141"/>
      <c r="H3153" s="140"/>
    </row>
    <row r="3154" spans="1:9" s="65" customFormat="1">
      <c r="A3154" s="142"/>
      <c r="B3154" s="143"/>
      <c r="C3154" s="143"/>
      <c r="D3154" s="143"/>
      <c r="E3154" s="143"/>
      <c r="F3154" s="84"/>
      <c r="G3154" s="144"/>
      <c r="H3154" s="145"/>
    </row>
    <row r="3155" spans="1:9" s="65" customFormat="1">
      <c r="A3155" s="91"/>
      <c r="B3155" s="91"/>
      <c r="C3155" s="91"/>
      <c r="D3155" s="91"/>
      <c r="E3155" s="91"/>
      <c r="G3155" s="104"/>
      <c r="H3155" s="140"/>
    </row>
    <row r="3156" spans="1:9" s="65" customFormat="1">
      <c r="A3156" s="120"/>
      <c r="B3156" s="73"/>
      <c r="C3156" s="73"/>
      <c r="D3156" s="73"/>
      <c r="E3156" s="73"/>
      <c r="G3156" s="121"/>
      <c r="H3156" s="140"/>
    </row>
    <row r="3157" spans="1:9" s="65" customFormat="1">
      <c r="A3157" s="128"/>
      <c r="B3157" s="141"/>
      <c r="C3157" s="141"/>
      <c r="D3157" s="141"/>
      <c r="E3157" s="141"/>
      <c r="F3157" s="141"/>
      <c r="G3157" s="141"/>
      <c r="H3157" s="140"/>
    </row>
    <row r="3158" spans="1:9" s="65" customFormat="1">
      <c r="A3158" s="142"/>
      <c r="B3158" s="143"/>
      <c r="C3158" s="143"/>
      <c r="D3158" s="143"/>
      <c r="E3158" s="143"/>
      <c r="F3158" s="84"/>
      <c r="G3158" s="144"/>
      <c r="H3158" s="145"/>
    </row>
    <row r="3159" spans="1:9" s="65" customFormat="1">
      <c r="A3159" s="123"/>
      <c r="B3159" s="95"/>
      <c r="C3159" s="95"/>
      <c r="D3159" s="95"/>
      <c r="E3159" s="95"/>
      <c r="G3159" s="104"/>
      <c r="H3159" s="121"/>
    </row>
    <row r="3160" spans="1:9" s="65" customFormat="1">
      <c r="A3160" s="123"/>
      <c r="B3160" s="95"/>
      <c r="C3160" s="95"/>
      <c r="D3160" s="95"/>
      <c r="E3160" s="95"/>
      <c r="G3160" s="121"/>
      <c r="H3160" s="133"/>
    </row>
    <row r="3161" spans="1:9" s="65" customFormat="1">
      <c r="B3161" s="97"/>
      <c r="C3161" s="98"/>
      <c r="D3161" s="98"/>
      <c r="E3161" s="98"/>
      <c r="G3161" s="128"/>
    </row>
    <row r="3162" spans="1:9" s="65" customFormat="1">
      <c r="B3162" s="97"/>
      <c r="C3162" s="98"/>
      <c r="D3162" s="98"/>
      <c r="E3162" s="98"/>
      <c r="F3162" s="128"/>
      <c r="G3162" s="133"/>
      <c r="H3162" s="134"/>
    </row>
    <row r="3163" spans="1:9" s="65" customFormat="1">
      <c r="A3163" s="633"/>
      <c r="B3163" s="633"/>
      <c r="C3163" s="633"/>
      <c r="D3163" s="633"/>
      <c r="E3163" s="633"/>
      <c r="F3163" s="633"/>
      <c r="G3163" s="633"/>
    </row>
    <row r="3164" spans="1:9" s="65" customFormat="1">
      <c r="H3164" s="138"/>
      <c r="I3164" s="151"/>
    </row>
    <row r="3165" spans="1:9" s="65" customFormat="1">
      <c r="A3165" s="645"/>
      <c r="B3165" s="138"/>
      <c r="C3165" s="138"/>
      <c r="D3165" s="138"/>
      <c r="E3165" s="138"/>
      <c r="F3165" s="138"/>
      <c r="G3165" s="138"/>
      <c r="H3165" s="138"/>
      <c r="I3165" s="152"/>
    </row>
    <row r="3166" spans="1:9" s="65" customFormat="1">
      <c r="A3166" s="645"/>
      <c r="B3166" s="138"/>
      <c r="C3166" s="138"/>
      <c r="D3166" s="138"/>
      <c r="E3166" s="138"/>
      <c r="F3166" s="138"/>
      <c r="G3166" s="138"/>
    </row>
    <row r="3167" spans="1:9" s="65" customFormat="1">
      <c r="A3167" s="69"/>
      <c r="B3167" s="69"/>
      <c r="C3167" s="69"/>
      <c r="D3167" s="69"/>
      <c r="E3167" s="69"/>
    </row>
    <row r="3168" spans="1:9" s="65" customFormat="1">
      <c r="A3168" s="120"/>
      <c r="B3168" s="73"/>
      <c r="C3168" s="73"/>
      <c r="D3168" s="73"/>
      <c r="E3168" s="73"/>
      <c r="F3168" s="121"/>
      <c r="G3168" s="121"/>
      <c r="H3168" s="121"/>
    </row>
    <row r="3169" spans="1:8" s="65" customFormat="1">
      <c r="A3169" s="128"/>
      <c r="B3169" s="141"/>
      <c r="C3169" s="141"/>
      <c r="D3169" s="141"/>
      <c r="E3169" s="141"/>
      <c r="F3169" s="141"/>
      <c r="G3169" s="141"/>
      <c r="H3169" s="121"/>
    </row>
    <row r="3170" spans="1:8" s="65" customFormat="1">
      <c r="A3170" s="150"/>
      <c r="B3170" s="84"/>
      <c r="C3170" s="148"/>
      <c r="D3170" s="84"/>
      <c r="E3170" s="84"/>
      <c r="F3170" s="84"/>
      <c r="G3170" s="144"/>
      <c r="H3170" s="145"/>
    </row>
    <row r="3171" spans="1:8" s="65" customFormat="1">
      <c r="A3171" s="84"/>
      <c r="B3171" s="83"/>
      <c r="C3171" s="84"/>
      <c r="D3171" s="84"/>
      <c r="E3171" s="84"/>
      <c r="G3171" s="104"/>
      <c r="H3171" s="140"/>
    </row>
    <row r="3172" spans="1:8" s="65" customFormat="1" ht="18" customHeight="1">
      <c r="A3172" s="120"/>
      <c r="B3172" s="73"/>
      <c r="C3172" s="73"/>
      <c r="D3172" s="73"/>
      <c r="E3172" s="73"/>
      <c r="G3172" s="121"/>
      <c r="H3172" s="140"/>
    </row>
    <row r="3173" spans="1:8" s="65" customFormat="1">
      <c r="A3173" s="128"/>
      <c r="B3173" s="141"/>
      <c r="C3173" s="141"/>
      <c r="D3173" s="141"/>
      <c r="E3173" s="141"/>
      <c r="F3173" s="141"/>
      <c r="G3173" s="141"/>
      <c r="H3173" s="140"/>
    </row>
    <row r="3174" spans="1:8" s="65" customFormat="1">
      <c r="A3174" s="150"/>
      <c r="B3174" s="83"/>
      <c r="C3174" s="148"/>
      <c r="D3174" s="168"/>
      <c r="E3174" s="84"/>
      <c r="F3174" s="84"/>
      <c r="G3174" s="144"/>
      <c r="H3174" s="145"/>
    </row>
    <row r="3175" spans="1:8" s="65" customFormat="1">
      <c r="A3175" s="91"/>
      <c r="B3175" s="91"/>
      <c r="C3175" s="91"/>
      <c r="D3175" s="91"/>
      <c r="E3175" s="91"/>
      <c r="G3175" s="104"/>
      <c r="H3175" s="140"/>
    </row>
    <row r="3176" spans="1:8" s="65" customFormat="1">
      <c r="A3176" s="120"/>
      <c r="B3176" s="73"/>
      <c r="C3176" s="73"/>
      <c r="D3176" s="73"/>
      <c r="E3176" s="73"/>
      <c r="G3176" s="121"/>
      <c r="H3176" s="140"/>
    </row>
    <row r="3177" spans="1:8" s="65" customFormat="1">
      <c r="A3177" s="128"/>
      <c r="B3177" s="141"/>
      <c r="C3177" s="141"/>
      <c r="D3177" s="141"/>
      <c r="E3177" s="141"/>
      <c r="F3177" s="141"/>
      <c r="G3177" s="141"/>
      <c r="H3177" s="140"/>
    </row>
    <row r="3178" spans="1:8" s="65" customFormat="1">
      <c r="A3178" s="142"/>
      <c r="B3178" s="143"/>
      <c r="C3178" s="143"/>
      <c r="D3178" s="143"/>
      <c r="E3178" s="143"/>
      <c r="F3178" s="84"/>
      <c r="G3178" s="144"/>
      <c r="H3178" s="145"/>
    </row>
    <row r="3179" spans="1:8" s="65" customFormat="1">
      <c r="A3179" s="91"/>
      <c r="B3179" s="91"/>
      <c r="C3179" s="91"/>
      <c r="D3179" s="91"/>
      <c r="E3179" s="91"/>
      <c r="G3179" s="104"/>
      <c r="H3179" s="140"/>
    </row>
    <row r="3180" spans="1:8" s="65" customFormat="1">
      <c r="A3180" s="120"/>
      <c r="B3180" s="73"/>
      <c r="C3180" s="73"/>
      <c r="D3180" s="73"/>
      <c r="E3180" s="73"/>
      <c r="G3180" s="121"/>
      <c r="H3180" s="140"/>
    </row>
    <row r="3181" spans="1:8" s="65" customFormat="1">
      <c r="A3181" s="128"/>
      <c r="B3181" s="141"/>
      <c r="C3181" s="141"/>
      <c r="D3181" s="141"/>
      <c r="E3181" s="141"/>
      <c r="F3181" s="141"/>
      <c r="G3181" s="141"/>
      <c r="H3181" s="140"/>
    </row>
    <row r="3182" spans="1:8" s="65" customFormat="1">
      <c r="A3182" s="142"/>
      <c r="B3182" s="143"/>
      <c r="C3182" s="143"/>
      <c r="D3182" s="143"/>
      <c r="E3182" s="143"/>
      <c r="F3182" s="84"/>
      <c r="G3182" s="144"/>
      <c r="H3182" s="145"/>
    </row>
    <row r="3183" spans="1:8" s="65" customFormat="1">
      <c r="A3183" s="123"/>
      <c r="B3183" s="95"/>
      <c r="C3183" s="95"/>
      <c r="D3183" s="95"/>
      <c r="E3183" s="95"/>
      <c r="G3183" s="104"/>
      <c r="H3183" s="121"/>
    </row>
    <row r="3184" spans="1:8" s="65" customFormat="1">
      <c r="A3184" s="123"/>
      <c r="B3184" s="95"/>
      <c r="C3184" s="95"/>
      <c r="D3184" s="95"/>
      <c r="E3184" s="95"/>
      <c r="G3184" s="121"/>
      <c r="H3184" s="133"/>
    </row>
    <row r="3185" spans="1:9" s="65" customFormat="1">
      <c r="B3185" s="97"/>
      <c r="C3185" s="98"/>
      <c r="D3185" s="98"/>
      <c r="E3185" s="98"/>
      <c r="G3185" s="128"/>
    </row>
    <row r="3186" spans="1:9" s="65" customFormat="1">
      <c r="B3186" s="97"/>
      <c r="C3186" s="98"/>
      <c r="D3186" s="98"/>
      <c r="E3186" s="98"/>
      <c r="F3186" s="128"/>
      <c r="G3186" s="133"/>
      <c r="H3186" s="134"/>
    </row>
    <row r="3187" spans="1:9" s="65" customFormat="1">
      <c r="A3187" s="633"/>
      <c r="B3187" s="633"/>
      <c r="C3187" s="633"/>
      <c r="D3187" s="633"/>
      <c r="E3187" s="633"/>
      <c r="F3187" s="633"/>
      <c r="G3187" s="633"/>
    </row>
    <row r="3188" spans="1:9" s="65" customFormat="1">
      <c r="H3188" s="138"/>
      <c r="I3188" s="151"/>
    </row>
    <row r="3189" spans="1:9" s="65" customFormat="1">
      <c r="A3189" s="645"/>
      <c r="B3189" s="138"/>
      <c r="C3189" s="138"/>
      <c r="D3189" s="138"/>
      <c r="E3189" s="138"/>
      <c r="F3189" s="138"/>
      <c r="G3189" s="138"/>
      <c r="H3189" s="138"/>
      <c r="I3189" s="152"/>
    </row>
    <row r="3190" spans="1:9" s="65" customFormat="1">
      <c r="A3190" s="645"/>
      <c r="B3190" s="138"/>
      <c r="C3190" s="138"/>
      <c r="D3190" s="138"/>
      <c r="E3190" s="138"/>
      <c r="F3190" s="138"/>
      <c r="G3190" s="138"/>
    </row>
    <row r="3191" spans="1:9" s="65" customFormat="1">
      <c r="A3191" s="69"/>
      <c r="B3191" s="69"/>
      <c r="C3191" s="69"/>
      <c r="D3191" s="69"/>
      <c r="E3191" s="69"/>
    </row>
    <row r="3192" spans="1:9" s="65" customFormat="1">
      <c r="A3192" s="120"/>
      <c r="B3192" s="73"/>
      <c r="C3192" s="73"/>
      <c r="D3192" s="73"/>
      <c r="E3192" s="73"/>
      <c r="F3192" s="121"/>
      <c r="G3192" s="121"/>
      <c r="H3192" s="121"/>
    </row>
    <row r="3193" spans="1:9" s="65" customFormat="1">
      <c r="A3193" s="128"/>
      <c r="B3193" s="141"/>
      <c r="C3193" s="141"/>
      <c r="D3193" s="141"/>
      <c r="E3193" s="141"/>
      <c r="F3193" s="141"/>
      <c r="G3193" s="141"/>
      <c r="H3193" s="121"/>
    </row>
    <row r="3194" spans="1:9" s="65" customFormat="1">
      <c r="A3194" s="150"/>
      <c r="B3194" s="84"/>
      <c r="C3194" s="148"/>
      <c r="D3194" s="84"/>
      <c r="E3194" s="84"/>
      <c r="F3194" s="84"/>
      <c r="G3194" s="144"/>
      <c r="H3194" s="145"/>
    </row>
    <row r="3195" spans="1:9" s="65" customFormat="1">
      <c r="A3195" s="84"/>
      <c r="B3195" s="83"/>
      <c r="C3195" s="84"/>
      <c r="D3195" s="84"/>
      <c r="E3195" s="84"/>
      <c r="G3195" s="104"/>
      <c r="H3195" s="140"/>
    </row>
    <row r="3196" spans="1:9" s="65" customFormat="1">
      <c r="A3196" s="120"/>
      <c r="B3196" s="73"/>
      <c r="C3196" s="73"/>
      <c r="D3196" s="73"/>
      <c r="E3196" s="73"/>
      <c r="G3196" s="121"/>
      <c r="H3196" s="140"/>
    </row>
    <row r="3197" spans="1:9" s="65" customFormat="1">
      <c r="A3197" s="128"/>
      <c r="B3197" s="141"/>
      <c r="C3197" s="141"/>
      <c r="D3197" s="141"/>
      <c r="E3197" s="141"/>
      <c r="F3197" s="141"/>
      <c r="G3197" s="141"/>
      <c r="H3197" s="140"/>
    </row>
    <row r="3198" spans="1:9" s="65" customFormat="1">
      <c r="A3198" s="150"/>
      <c r="B3198" s="83"/>
      <c r="C3198" s="148"/>
      <c r="D3198" s="165"/>
      <c r="E3198" s="84"/>
      <c r="F3198" s="84"/>
      <c r="G3198" s="144"/>
      <c r="H3198" s="145"/>
    </row>
    <row r="3199" spans="1:9" s="65" customFormat="1">
      <c r="A3199" s="91"/>
      <c r="B3199" s="91"/>
      <c r="C3199" s="91"/>
      <c r="D3199" s="91"/>
      <c r="E3199" s="91"/>
      <c r="G3199" s="104"/>
      <c r="H3199" s="140"/>
    </row>
    <row r="3200" spans="1:9" s="65" customFormat="1">
      <c r="A3200" s="120"/>
      <c r="B3200" s="73"/>
      <c r="C3200" s="73"/>
      <c r="D3200" s="73"/>
      <c r="E3200" s="73"/>
      <c r="G3200" s="121"/>
      <c r="H3200" s="140"/>
    </row>
    <row r="3201" spans="1:9" s="65" customFormat="1">
      <c r="A3201" s="128"/>
      <c r="B3201" s="141"/>
      <c r="C3201" s="141"/>
      <c r="D3201" s="141"/>
      <c r="E3201" s="141"/>
      <c r="F3201" s="141"/>
      <c r="G3201" s="141"/>
      <c r="H3201" s="140"/>
    </row>
    <row r="3202" spans="1:9" s="65" customFormat="1" ht="15.75" customHeight="1">
      <c r="A3202" s="150"/>
      <c r="B3202" s="84"/>
      <c r="C3202" s="148"/>
      <c r="D3202" s="84"/>
      <c r="E3202" s="84"/>
      <c r="F3202" s="84"/>
      <c r="G3202" s="144"/>
      <c r="H3202" s="145"/>
    </row>
    <row r="3203" spans="1:9" s="65" customFormat="1">
      <c r="A3203" s="91"/>
      <c r="B3203" s="91"/>
      <c r="C3203" s="91"/>
      <c r="D3203" s="91"/>
      <c r="E3203" s="91"/>
      <c r="G3203" s="104"/>
      <c r="H3203" s="140"/>
    </row>
    <row r="3204" spans="1:9" s="65" customFormat="1">
      <c r="A3204" s="120"/>
      <c r="B3204" s="73"/>
      <c r="C3204" s="73"/>
      <c r="D3204" s="73"/>
      <c r="E3204" s="73"/>
      <c r="G3204" s="121"/>
      <c r="H3204" s="140"/>
    </row>
    <row r="3205" spans="1:9" s="65" customFormat="1">
      <c r="A3205" s="128"/>
      <c r="B3205" s="141"/>
      <c r="C3205" s="141"/>
      <c r="D3205" s="141"/>
      <c r="E3205" s="141"/>
      <c r="F3205" s="141"/>
      <c r="G3205" s="141"/>
      <c r="H3205" s="140"/>
    </row>
    <row r="3206" spans="1:9" s="65" customFormat="1">
      <c r="A3206" s="142"/>
      <c r="B3206" s="143"/>
      <c r="C3206" s="143"/>
      <c r="D3206" s="143"/>
      <c r="E3206" s="143"/>
      <c r="F3206" s="84"/>
      <c r="G3206" s="144"/>
      <c r="H3206" s="145"/>
    </row>
    <row r="3207" spans="1:9" s="65" customFormat="1">
      <c r="A3207" s="123"/>
      <c r="B3207" s="95"/>
      <c r="C3207" s="95"/>
      <c r="D3207" s="95"/>
      <c r="E3207" s="95"/>
      <c r="G3207" s="104"/>
      <c r="H3207" s="121"/>
    </row>
    <row r="3208" spans="1:9" s="65" customFormat="1">
      <c r="A3208" s="123"/>
      <c r="B3208" s="95"/>
      <c r="C3208" s="95"/>
      <c r="D3208" s="95"/>
      <c r="E3208" s="95"/>
      <c r="G3208" s="121"/>
      <c r="H3208" s="133"/>
    </row>
    <row r="3209" spans="1:9" s="65" customFormat="1">
      <c r="B3209" s="97"/>
      <c r="C3209" s="98"/>
      <c r="D3209" s="98"/>
      <c r="E3209" s="98"/>
      <c r="G3209" s="128"/>
    </row>
    <row r="3210" spans="1:9" s="65" customFormat="1">
      <c r="B3210" s="97"/>
      <c r="C3210" s="98"/>
      <c r="D3210" s="98"/>
      <c r="E3210" s="98"/>
      <c r="F3210" s="128"/>
      <c r="G3210" s="133"/>
      <c r="H3210" s="134"/>
    </row>
    <row r="3211" spans="1:9" s="65" customFormat="1">
      <c r="A3211" s="633"/>
      <c r="B3211" s="633"/>
      <c r="C3211" s="633"/>
      <c r="D3211" s="633"/>
      <c r="E3211" s="633"/>
      <c r="F3211" s="633"/>
      <c r="G3211" s="633"/>
    </row>
    <row r="3212" spans="1:9" s="65" customFormat="1">
      <c r="H3212" s="138"/>
      <c r="I3212" s="151"/>
    </row>
    <row r="3213" spans="1:9" s="65" customFormat="1">
      <c r="A3213" s="645"/>
      <c r="B3213" s="138"/>
      <c r="C3213" s="138"/>
      <c r="D3213" s="138"/>
      <c r="E3213" s="138"/>
      <c r="F3213" s="138"/>
      <c r="G3213" s="138"/>
      <c r="H3213" s="138"/>
      <c r="I3213" s="152"/>
    </row>
    <row r="3214" spans="1:9" s="65" customFormat="1">
      <c r="A3214" s="645"/>
      <c r="B3214" s="138"/>
      <c r="C3214" s="138"/>
      <c r="D3214" s="138"/>
      <c r="E3214" s="138"/>
      <c r="F3214" s="138"/>
      <c r="G3214" s="138"/>
    </row>
    <row r="3215" spans="1:9" s="65" customFormat="1">
      <c r="A3215" s="69"/>
      <c r="B3215" s="69"/>
      <c r="C3215" s="69"/>
      <c r="D3215" s="69"/>
      <c r="E3215" s="69"/>
    </row>
    <row r="3216" spans="1:9" s="65" customFormat="1">
      <c r="A3216" s="120"/>
      <c r="B3216" s="73"/>
      <c r="C3216" s="73"/>
      <c r="D3216" s="73"/>
      <c r="E3216" s="73"/>
      <c r="F3216" s="121"/>
      <c r="G3216" s="121"/>
      <c r="H3216" s="121"/>
    </row>
    <row r="3217" spans="1:8" s="65" customFormat="1">
      <c r="A3217" s="128"/>
      <c r="B3217" s="141"/>
      <c r="C3217" s="141"/>
      <c r="D3217" s="141"/>
      <c r="E3217" s="141"/>
      <c r="F3217" s="141"/>
      <c r="G3217" s="141"/>
      <c r="H3217" s="121"/>
    </row>
    <row r="3218" spans="1:8" s="65" customFormat="1">
      <c r="A3218" s="150"/>
      <c r="B3218" s="84"/>
      <c r="C3218" s="148"/>
      <c r="D3218" s="84"/>
      <c r="E3218" s="84"/>
      <c r="F3218" s="84"/>
      <c r="G3218" s="144"/>
      <c r="H3218" s="145"/>
    </row>
    <row r="3219" spans="1:8" s="65" customFormat="1">
      <c r="A3219" s="84"/>
      <c r="B3219" s="83"/>
      <c r="C3219" s="84"/>
      <c r="D3219" s="84"/>
      <c r="E3219" s="84"/>
      <c r="G3219" s="104"/>
      <c r="H3219" s="140"/>
    </row>
    <row r="3220" spans="1:8" s="65" customFormat="1">
      <c r="A3220" s="120"/>
      <c r="B3220" s="73"/>
      <c r="C3220" s="73"/>
      <c r="D3220" s="73"/>
      <c r="E3220" s="73"/>
      <c r="G3220" s="121"/>
      <c r="H3220" s="140"/>
    </row>
    <row r="3221" spans="1:8" s="65" customFormat="1">
      <c r="A3221" s="128"/>
      <c r="B3221" s="141"/>
      <c r="C3221" s="141"/>
      <c r="D3221" s="141"/>
      <c r="E3221" s="141"/>
      <c r="F3221" s="141"/>
      <c r="G3221" s="141"/>
      <c r="H3221" s="140"/>
    </row>
    <row r="3222" spans="1:8" s="65" customFormat="1">
      <c r="A3222" s="150"/>
      <c r="B3222" s="166"/>
      <c r="C3222" s="148"/>
      <c r="D3222" s="165"/>
      <c r="E3222" s="84"/>
      <c r="F3222" s="84"/>
      <c r="G3222" s="144"/>
      <c r="H3222" s="145"/>
    </row>
    <row r="3223" spans="1:8" s="65" customFormat="1">
      <c r="A3223" s="91"/>
      <c r="B3223" s="91"/>
      <c r="C3223" s="91"/>
      <c r="D3223" s="91"/>
      <c r="E3223" s="91"/>
      <c r="G3223" s="104"/>
      <c r="H3223" s="140"/>
    </row>
    <row r="3224" spans="1:8" s="65" customFormat="1">
      <c r="A3224" s="120"/>
      <c r="B3224" s="73"/>
      <c r="C3224" s="73"/>
      <c r="D3224" s="73"/>
      <c r="E3224" s="73"/>
      <c r="G3224" s="121"/>
      <c r="H3224" s="140"/>
    </row>
    <row r="3225" spans="1:8" s="65" customFormat="1">
      <c r="A3225" s="128"/>
      <c r="B3225" s="141"/>
      <c r="C3225" s="141"/>
      <c r="D3225" s="141"/>
      <c r="E3225" s="141"/>
      <c r="F3225" s="141"/>
      <c r="G3225" s="141"/>
      <c r="H3225" s="140"/>
    </row>
    <row r="3226" spans="1:8" s="65" customFormat="1">
      <c r="A3226" s="150"/>
      <c r="B3226" s="84"/>
      <c r="C3226" s="148"/>
      <c r="D3226" s="84"/>
      <c r="E3226" s="84"/>
      <c r="F3226" s="84"/>
      <c r="G3226" s="144"/>
      <c r="H3226" s="145"/>
    </row>
    <row r="3227" spans="1:8" s="65" customFormat="1">
      <c r="A3227" s="91"/>
      <c r="B3227" s="91"/>
      <c r="C3227" s="91"/>
      <c r="D3227" s="91"/>
      <c r="E3227" s="91"/>
      <c r="G3227" s="104"/>
      <c r="H3227" s="140"/>
    </row>
    <row r="3228" spans="1:8" s="65" customFormat="1">
      <c r="A3228" s="120"/>
      <c r="B3228" s="73"/>
      <c r="C3228" s="73"/>
      <c r="D3228" s="73"/>
      <c r="E3228" s="73"/>
      <c r="G3228" s="121"/>
      <c r="H3228" s="140"/>
    </row>
    <row r="3229" spans="1:8" s="65" customFormat="1">
      <c r="A3229" s="128"/>
      <c r="B3229" s="141"/>
      <c r="C3229" s="141"/>
      <c r="D3229" s="141"/>
      <c r="E3229" s="141"/>
      <c r="F3229" s="141"/>
      <c r="G3229" s="141"/>
      <c r="H3229" s="140"/>
    </row>
    <row r="3230" spans="1:8" s="65" customFormat="1">
      <c r="A3230" s="142"/>
      <c r="B3230" s="143"/>
      <c r="C3230" s="143"/>
      <c r="D3230" s="143"/>
      <c r="E3230" s="143"/>
      <c r="F3230" s="84"/>
      <c r="G3230" s="144"/>
      <c r="H3230" s="145"/>
    </row>
    <row r="3231" spans="1:8" s="65" customFormat="1" ht="15.75" customHeight="1">
      <c r="A3231" s="123"/>
      <c r="B3231" s="95"/>
      <c r="C3231" s="95"/>
      <c r="D3231" s="95"/>
      <c r="E3231" s="95"/>
      <c r="G3231" s="104"/>
      <c r="H3231" s="121"/>
    </row>
    <row r="3232" spans="1:8" s="65" customFormat="1">
      <c r="A3232" s="123"/>
      <c r="B3232" s="95"/>
      <c r="C3232" s="95"/>
      <c r="D3232" s="95"/>
      <c r="E3232" s="95"/>
      <c r="G3232" s="121"/>
      <c r="H3232" s="133"/>
    </row>
    <row r="3233" spans="1:9" s="65" customFormat="1">
      <c r="B3233" s="97"/>
      <c r="C3233" s="98"/>
      <c r="D3233" s="98"/>
      <c r="E3233" s="98"/>
      <c r="G3233" s="128"/>
    </row>
    <row r="3234" spans="1:9" s="65" customFormat="1">
      <c r="B3234" s="97"/>
      <c r="C3234" s="98"/>
      <c r="D3234" s="98"/>
      <c r="E3234" s="98"/>
      <c r="F3234" s="128"/>
      <c r="G3234" s="133"/>
      <c r="H3234" s="134"/>
    </row>
    <row r="3235" spans="1:9" s="65" customFormat="1">
      <c r="A3235" s="633"/>
      <c r="B3235" s="633"/>
      <c r="C3235" s="633"/>
      <c r="D3235" s="633"/>
      <c r="E3235" s="633"/>
      <c r="F3235" s="633"/>
      <c r="G3235" s="633"/>
    </row>
    <row r="3236" spans="1:9" s="65" customFormat="1">
      <c r="H3236" s="138"/>
      <c r="I3236" s="151"/>
    </row>
    <row r="3237" spans="1:9" s="65" customFormat="1">
      <c r="A3237" s="645"/>
      <c r="B3237" s="138"/>
      <c r="C3237" s="138"/>
      <c r="D3237" s="138"/>
      <c r="E3237" s="138"/>
      <c r="F3237" s="138"/>
      <c r="G3237" s="138"/>
      <c r="H3237" s="138"/>
      <c r="I3237" s="152"/>
    </row>
    <row r="3238" spans="1:9" s="65" customFormat="1">
      <c r="A3238" s="645"/>
      <c r="B3238" s="138"/>
      <c r="C3238" s="138"/>
      <c r="D3238" s="138"/>
      <c r="E3238" s="138"/>
      <c r="F3238" s="138"/>
      <c r="G3238" s="138"/>
    </row>
    <row r="3239" spans="1:9" s="65" customFormat="1">
      <c r="A3239" s="69"/>
      <c r="B3239" s="69"/>
      <c r="C3239" s="69"/>
      <c r="D3239" s="69"/>
      <c r="E3239" s="69"/>
    </row>
    <row r="3240" spans="1:9" s="65" customFormat="1">
      <c r="A3240" s="120"/>
      <c r="B3240" s="73"/>
      <c r="C3240" s="73"/>
      <c r="D3240" s="73"/>
      <c r="E3240" s="73"/>
      <c r="F3240" s="121"/>
      <c r="G3240" s="121"/>
      <c r="H3240" s="121"/>
    </row>
    <row r="3241" spans="1:9" s="65" customFormat="1">
      <c r="A3241" s="128"/>
      <c r="B3241" s="141"/>
      <c r="C3241" s="141"/>
      <c r="D3241" s="141"/>
      <c r="E3241" s="141"/>
      <c r="F3241" s="141"/>
      <c r="G3241" s="141"/>
      <c r="H3241" s="121"/>
    </row>
    <row r="3242" spans="1:9" s="65" customFormat="1">
      <c r="A3242" s="150"/>
      <c r="B3242" s="84"/>
      <c r="C3242" s="148"/>
      <c r="D3242" s="84"/>
      <c r="E3242" s="84"/>
      <c r="F3242" s="84"/>
      <c r="G3242" s="144"/>
      <c r="H3242" s="121"/>
    </row>
    <row r="3243" spans="1:9" s="65" customFormat="1">
      <c r="A3243" s="150"/>
      <c r="B3243" s="84"/>
      <c r="C3243" s="148"/>
      <c r="D3243" s="84"/>
      <c r="E3243" s="84"/>
      <c r="F3243" s="84"/>
      <c r="G3243" s="144"/>
      <c r="H3243" s="121"/>
    </row>
    <row r="3244" spans="1:9" s="65" customFormat="1">
      <c r="A3244" s="150"/>
      <c r="B3244" s="84"/>
      <c r="C3244" s="148"/>
      <c r="D3244" s="84"/>
      <c r="E3244" s="84"/>
      <c r="F3244" s="84"/>
      <c r="G3244" s="144"/>
      <c r="H3244" s="145"/>
    </row>
    <row r="3245" spans="1:9" s="65" customFormat="1">
      <c r="A3245" s="84"/>
      <c r="B3245" s="83"/>
      <c r="C3245" s="84"/>
      <c r="D3245" s="84"/>
      <c r="E3245" s="84"/>
      <c r="G3245" s="104"/>
      <c r="H3245" s="140"/>
    </row>
    <row r="3246" spans="1:9" s="65" customFormat="1">
      <c r="A3246" s="120"/>
      <c r="B3246" s="73"/>
      <c r="C3246" s="73"/>
      <c r="D3246" s="73"/>
      <c r="E3246" s="73"/>
      <c r="G3246" s="121"/>
      <c r="H3246" s="140"/>
    </row>
    <row r="3247" spans="1:9" s="65" customFormat="1">
      <c r="A3247" s="128"/>
      <c r="B3247" s="141"/>
      <c r="C3247" s="141"/>
      <c r="D3247" s="141"/>
      <c r="E3247" s="141"/>
      <c r="F3247" s="141"/>
      <c r="G3247" s="141"/>
      <c r="H3247" s="140"/>
    </row>
    <row r="3248" spans="1:9" s="65" customFormat="1">
      <c r="A3248" s="150"/>
      <c r="B3248" s="166"/>
      <c r="C3248" s="148"/>
      <c r="D3248" s="165"/>
      <c r="E3248" s="84"/>
      <c r="F3248" s="84"/>
      <c r="G3248" s="144"/>
      <c r="H3248" s="140"/>
    </row>
    <row r="3249" spans="1:9" s="65" customFormat="1">
      <c r="A3249" s="150"/>
      <c r="B3249" s="166"/>
      <c r="C3249" s="148"/>
      <c r="D3249" s="165"/>
      <c r="E3249" s="84"/>
      <c r="F3249" s="84"/>
      <c r="G3249" s="144"/>
      <c r="H3249" s="140"/>
    </row>
    <row r="3250" spans="1:9" s="65" customFormat="1">
      <c r="A3250" s="150"/>
      <c r="B3250" s="166"/>
      <c r="C3250" s="148"/>
      <c r="D3250" s="165"/>
      <c r="E3250" s="84"/>
      <c r="F3250" s="84"/>
      <c r="G3250" s="144"/>
      <c r="H3250" s="145"/>
    </row>
    <row r="3251" spans="1:9" s="65" customFormat="1">
      <c r="A3251" s="91"/>
      <c r="B3251" s="91"/>
      <c r="C3251" s="91"/>
      <c r="D3251" s="91"/>
      <c r="E3251" s="91"/>
      <c r="G3251" s="104"/>
      <c r="H3251" s="140"/>
    </row>
    <row r="3252" spans="1:9" s="65" customFormat="1">
      <c r="A3252" s="120"/>
      <c r="B3252" s="73"/>
      <c r="C3252" s="73"/>
      <c r="D3252" s="73"/>
      <c r="E3252" s="73"/>
      <c r="G3252" s="121"/>
      <c r="H3252" s="140"/>
    </row>
    <row r="3253" spans="1:9" s="65" customFormat="1">
      <c r="A3253" s="128"/>
      <c r="B3253" s="141"/>
      <c r="C3253" s="141"/>
      <c r="D3253" s="141"/>
      <c r="E3253" s="141"/>
      <c r="F3253" s="141"/>
      <c r="G3253" s="141"/>
      <c r="H3253" s="140"/>
    </row>
    <row r="3254" spans="1:9" s="65" customFormat="1">
      <c r="A3254" s="150"/>
      <c r="B3254" s="83"/>
      <c r="C3254" s="148"/>
      <c r="D3254" s="84"/>
      <c r="E3254" s="84"/>
      <c r="F3254" s="84"/>
      <c r="G3254" s="144"/>
      <c r="H3254" s="145"/>
    </row>
    <row r="3255" spans="1:9" s="65" customFormat="1">
      <c r="A3255" s="91"/>
      <c r="B3255" s="91"/>
      <c r="C3255" s="91"/>
      <c r="D3255" s="91"/>
      <c r="E3255" s="91"/>
      <c r="G3255" s="104"/>
      <c r="H3255" s="140"/>
    </row>
    <row r="3256" spans="1:9" s="65" customFormat="1">
      <c r="A3256" s="120"/>
      <c r="B3256" s="73"/>
      <c r="C3256" s="73"/>
      <c r="D3256" s="73"/>
      <c r="E3256" s="73"/>
      <c r="G3256" s="121"/>
      <c r="H3256" s="140"/>
    </row>
    <row r="3257" spans="1:9" s="65" customFormat="1">
      <c r="A3257" s="128"/>
      <c r="B3257" s="141"/>
      <c r="C3257" s="141"/>
      <c r="D3257" s="141"/>
      <c r="E3257" s="141"/>
      <c r="F3257" s="141"/>
      <c r="G3257" s="141"/>
      <c r="H3257" s="140"/>
    </row>
    <row r="3258" spans="1:9" s="65" customFormat="1">
      <c r="A3258" s="142"/>
      <c r="B3258" s="143"/>
      <c r="C3258" s="143"/>
      <c r="D3258" s="143"/>
      <c r="E3258" s="143"/>
      <c r="F3258" s="84"/>
      <c r="G3258" s="144"/>
      <c r="H3258" s="145"/>
    </row>
    <row r="3259" spans="1:9" s="65" customFormat="1">
      <c r="A3259" s="123"/>
      <c r="B3259" s="95"/>
      <c r="C3259" s="95"/>
      <c r="D3259" s="95"/>
      <c r="E3259" s="95"/>
      <c r="G3259" s="104"/>
      <c r="H3259" s="121"/>
    </row>
    <row r="3260" spans="1:9" s="65" customFormat="1">
      <c r="A3260" s="123"/>
      <c r="B3260" s="95"/>
      <c r="C3260" s="95"/>
      <c r="D3260" s="95"/>
      <c r="E3260" s="95"/>
      <c r="G3260" s="121"/>
      <c r="H3260" s="133"/>
    </row>
    <row r="3261" spans="1:9" s="65" customFormat="1">
      <c r="B3261" s="97"/>
      <c r="C3261" s="98"/>
      <c r="D3261" s="98"/>
      <c r="E3261" s="98"/>
      <c r="G3261" s="128"/>
    </row>
    <row r="3262" spans="1:9" s="65" customFormat="1">
      <c r="B3262" s="97"/>
      <c r="C3262" s="98"/>
      <c r="D3262" s="98"/>
      <c r="E3262" s="98"/>
      <c r="F3262" s="128"/>
      <c r="G3262" s="133"/>
      <c r="H3262" s="134"/>
    </row>
    <row r="3263" spans="1:9" s="65" customFormat="1">
      <c r="A3263" s="633"/>
      <c r="B3263" s="633"/>
      <c r="C3263" s="633"/>
      <c r="D3263" s="633"/>
      <c r="E3263" s="633"/>
      <c r="F3263" s="633"/>
      <c r="G3263" s="633"/>
    </row>
    <row r="3264" spans="1:9" s="65" customFormat="1">
      <c r="H3264" s="138"/>
      <c r="I3264" s="151"/>
    </row>
    <row r="3265" spans="1:9" s="65" customFormat="1">
      <c r="A3265" s="645"/>
      <c r="B3265" s="138"/>
      <c r="C3265" s="138"/>
      <c r="D3265" s="138"/>
      <c r="E3265" s="138"/>
      <c r="F3265" s="138"/>
      <c r="G3265" s="138"/>
      <c r="H3265" s="138"/>
      <c r="I3265" s="152"/>
    </row>
    <row r="3266" spans="1:9" s="65" customFormat="1">
      <c r="A3266" s="645"/>
      <c r="B3266" s="138"/>
      <c r="C3266" s="138"/>
      <c r="D3266" s="138"/>
      <c r="E3266" s="138"/>
      <c r="F3266" s="138"/>
      <c r="G3266" s="138"/>
    </row>
    <row r="3267" spans="1:9" s="65" customFormat="1">
      <c r="A3267" s="69"/>
      <c r="B3267" s="69"/>
      <c r="C3267" s="69"/>
      <c r="D3267" s="69"/>
      <c r="E3267" s="69"/>
    </row>
    <row r="3268" spans="1:9" s="65" customFormat="1">
      <c r="A3268" s="120"/>
      <c r="B3268" s="73"/>
      <c r="C3268" s="73"/>
      <c r="D3268" s="73"/>
      <c r="E3268" s="73"/>
      <c r="F3268" s="121"/>
      <c r="G3268" s="121"/>
      <c r="H3268" s="121"/>
    </row>
    <row r="3269" spans="1:9" s="65" customFormat="1">
      <c r="A3269" s="128"/>
      <c r="B3269" s="141"/>
      <c r="C3269" s="141"/>
      <c r="D3269" s="141"/>
      <c r="E3269" s="141"/>
      <c r="F3269" s="141"/>
      <c r="G3269" s="141"/>
      <c r="H3269" s="121"/>
    </row>
    <row r="3270" spans="1:9" s="65" customFormat="1">
      <c r="A3270" s="150"/>
      <c r="B3270" s="84"/>
      <c r="C3270" s="148"/>
      <c r="D3270" s="84"/>
      <c r="E3270" s="84"/>
      <c r="F3270" s="84"/>
      <c r="G3270" s="144"/>
      <c r="H3270" s="145"/>
    </row>
    <row r="3271" spans="1:9" s="65" customFormat="1">
      <c r="A3271" s="84"/>
      <c r="B3271" s="83"/>
      <c r="C3271" s="84"/>
      <c r="D3271" s="84"/>
      <c r="E3271" s="84"/>
      <c r="G3271" s="104"/>
      <c r="H3271" s="140"/>
    </row>
    <row r="3272" spans="1:9" s="65" customFormat="1">
      <c r="A3272" s="120"/>
      <c r="B3272" s="73"/>
      <c r="C3272" s="73"/>
      <c r="D3272" s="73"/>
      <c r="E3272" s="73"/>
      <c r="G3272" s="121"/>
      <c r="H3272" s="140"/>
    </row>
    <row r="3273" spans="1:9" s="65" customFormat="1">
      <c r="A3273" s="128"/>
      <c r="B3273" s="141"/>
      <c r="C3273" s="141"/>
      <c r="D3273" s="141"/>
      <c r="E3273" s="141"/>
      <c r="F3273" s="141"/>
      <c r="G3273" s="141"/>
      <c r="H3273" s="140"/>
    </row>
    <row r="3274" spans="1:9" s="65" customFormat="1">
      <c r="A3274" s="150"/>
      <c r="B3274" s="166"/>
      <c r="C3274" s="148"/>
      <c r="D3274" s="165"/>
      <c r="E3274" s="84"/>
      <c r="F3274" s="84"/>
      <c r="G3274" s="144"/>
      <c r="H3274" s="140"/>
    </row>
    <row r="3275" spans="1:9" s="65" customFormat="1">
      <c r="A3275" s="150"/>
      <c r="B3275" s="166"/>
      <c r="C3275" s="148"/>
      <c r="D3275" s="165"/>
      <c r="E3275" s="84"/>
      <c r="F3275" s="84"/>
      <c r="G3275" s="144"/>
      <c r="H3275" s="145"/>
    </row>
    <row r="3276" spans="1:9" s="65" customFormat="1">
      <c r="A3276" s="91"/>
      <c r="B3276" s="91"/>
      <c r="C3276" s="91"/>
      <c r="D3276" s="91"/>
      <c r="E3276" s="91"/>
      <c r="G3276" s="104"/>
      <c r="H3276" s="140"/>
    </row>
    <row r="3277" spans="1:9" s="65" customFormat="1">
      <c r="A3277" s="120"/>
      <c r="B3277" s="73"/>
      <c r="C3277" s="73"/>
      <c r="D3277" s="73"/>
      <c r="E3277" s="73"/>
      <c r="G3277" s="121"/>
      <c r="H3277" s="140"/>
    </row>
    <row r="3278" spans="1:9" s="65" customFormat="1">
      <c r="A3278" s="128"/>
      <c r="B3278" s="141"/>
      <c r="C3278" s="141"/>
      <c r="D3278" s="141"/>
      <c r="E3278" s="141"/>
      <c r="F3278" s="141"/>
      <c r="G3278" s="141"/>
      <c r="H3278" s="140"/>
    </row>
    <row r="3279" spans="1:9" s="65" customFormat="1">
      <c r="A3279" s="150"/>
      <c r="B3279" s="83"/>
      <c r="C3279" s="148"/>
      <c r="D3279" s="84"/>
      <c r="E3279" s="84"/>
      <c r="F3279" s="84"/>
      <c r="G3279" s="144"/>
      <c r="H3279" s="145"/>
    </row>
    <row r="3280" spans="1:9" s="65" customFormat="1">
      <c r="A3280" s="91"/>
      <c r="B3280" s="91"/>
      <c r="C3280" s="91"/>
      <c r="D3280" s="91"/>
      <c r="E3280" s="91"/>
      <c r="G3280" s="104"/>
      <c r="H3280" s="140"/>
    </row>
    <row r="3281" spans="1:9" s="65" customFormat="1">
      <c r="A3281" s="120"/>
      <c r="B3281" s="73"/>
      <c r="C3281" s="73"/>
      <c r="D3281" s="73"/>
      <c r="E3281" s="73"/>
      <c r="G3281" s="121"/>
      <c r="H3281" s="140"/>
    </row>
    <row r="3282" spans="1:9" s="65" customFormat="1">
      <c r="A3282" s="128"/>
      <c r="B3282" s="141"/>
      <c r="C3282" s="141"/>
      <c r="D3282" s="141"/>
      <c r="E3282" s="141"/>
      <c r="F3282" s="141"/>
      <c r="G3282" s="141"/>
      <c r="H3282" s="140"/>
    </row>
    <row r="3283" spans="1:9" s="65" customFormat="1">
      <c r="A3283" s="142"/>
      <c r="B3283" s="143"/>
      <c r="C3283" s="143"/>
      <c r="D3283" s="143"/>
      <c r="E3283" s="143"/>
      <c r="F3283" s="84"/>
      <c r="G3283" s="144"/>
      <c r="H3283" s="145"/>
    </row>
    <row r="3284" spans="1:9" s="65" customFormat="1">
      <c r="A3284" s="123"/>
      <c r="B3284" s="95"/>
      <c r="C3284" s="95"/>
      <c r="D3284" s="95"/>
      <c r="E3284" s="95"/>
      <c r="G3284" s="104"/>
      <c r="H3284" s="121"/>
    </row>
    <row r="3285" spans="1:9" s="65" customFormat="1">
      <c r="A3285" s="123"/>
      <c r="B3285" s="95"/>
      <c r="C3285" s="95"/>
      <c r="D3285" s="95"/>
      <c r="E3285" s="95"/>
      <c r="G3285" s="121"/>
      <c r="H3285" s="133"/>
    </row>
    <row r="3286" spans="1:9" s="65" customFormat="1">
      <c r="B3286" s="97"/>
      <c r="C3286" s="98"/>
      <c r="D3286" s="98"/>
      <c r="E3286" s="98"/>
      <c r="G3286" s="128"/>
    </row>
    <row r="3287" spans="1:9" s="65" customFormat="1">
      <c r="B3287" s="97"/>
      <c r="C3287" s="98"/>
      <c r="D3287" s="98"/>
      <c r="E3287" s="98"/>
      <c r="F3287" s="128"/>
      <c r="G3287" s="133"/>
      <c r="H3287" s="134"/>
    </row>
    <row r="3288" spans="1:9" s="65" customFormat="1">
      <c r="A3288" s="633"/>
      <c r="B3288" s="633"/>
      <c r="C3288" s="633"/>
      <c r="D3288" s="633"/>
      <c r="E3288" s="633"/>
      <c r="F3288" s="633"/>
      <c r="G3288" s="633"/>
    </row>
    <row r="3289" spans="1:9" s="65" customFormat="1">
      <c r="H3289" s="138"/>
      <c r="I3289" s="151"/>
    </row>
    <row r="3290" spans="1:9" s="65" customFormat="1">
      <c r="A3290" s="645"/>
      <c r="B3290" s="138"/>
      <c r="C3290" s="138"/>
      <c r="D3290" s="138"/>
      <c r="E3290" s="138"/>
      <c r="F3290" s="138"/>
      <c r="G3290" s="138"/>
      <c r="H3290" s="138"/>
      <c r="I3290" s="152"/>
    </row>
    <row r="3291" spans="1:9" s="65" customFormat="1">
      <c r="A3291" s="645"/>
      <c r="B3291" s="138"/>
      <c r="C3291" s="138"/>
      <c r="D3291" s="138"/>
      <c r="E3291" s="138"/>
      <c r="F3291" s="138"/>
      <c r="G3291" s="138"/>
    </row>
    <row r="3292" spans="1:9" s="65" customFormat="1">
      <c r="A3292" s="69"/>
      <c r="B3292" s="69"/>
      <c r="C3292" s="69"/>
      <c r="D3292" s="69"/>
      <c r="E3292" s="69"/>
    </row>
    <row r="3293" spans="1:9" s="65" customFormat="1">
      <c r="A3293" s="120"/>
      <c r="B3293" s="73"/>
      <c r="C3293" s="73"/>
      <c r="D3293" s="73"/>
      <c r="E3293" s="73"/>
      <c r="F3293" s="121"/>
      <c r="G3293" s="121"/>
      <c r="H3293" s="121"/>
    </row>
    <row r="3294" spans="1:9" s="65" customFormat="1">
      <c r="A3294" s="128"/>
      <c r="B3294" s="141"/>
      <c r="C3294" s="141"/>
      <c r="D3294" s="141"/>
      <c r="E3294" s="141"/>
      <c r="F3294" s="141"/>
      <c r="G3294" s="141"/>
      <c r="H3294" s="121"/>
    </row>
    <row r="3295" spans="1:9" s="65" customFormat="1">
      <c r="A3295" s="150"/>
      <c r="B3295" s="83"/>
      <c r="C3295" s="148"/>
      <c r="D3295" s="84"/>
      <c r="E3295" s="84"/>
      <c r="F3295" s="84"/>
      <c r="G3295" s="144"/>
      <c r="H3295" s="121"/>
    </row>
    <row r="3296" spans="1:9" s="65" customFormat="1">
      <c r="A3296" s="150"/>
      <c r="B3296" s="83"/>
      <c r="C3296" s="148"/>
      <c r="D3296" s="84"/>
      <c r="E3296" s="84"/>
      <c r="F3296" s="84"/>
      <c r="G3296" s="144"/>
      <c r="H3296" s="121"/>
    </row>
    <row r="3297" spans="1:8" s="65" customFormat="1">
      <c r="A3297" s="150"/>
      <c r="B3297" s="83"/>
      <c r="C3297" s="148"/>
      <c r="D3297" s="84"/>
      <c r="E3297" s="84"/>
      <c r="F3297" s="84"/>
      <c r="G3297" s="144"/>
      <c r="H3297" s="145"/>
    </row>
    <row r="3298" spans="1:8" s="65" customFormat="1">
      <c r="A3298" s="84"/>
      <c r="B3298" s="83"/>
      <c r="C3298" s="84"/>
      <c r="D3298" s="84"/>
      <c r="E3298" s="84"/>
      <c r="G3298" s="104"/>
      <c r="H3298" s="140"/>
    </row>
    <row r="3299" spans="1:8" s="65" customFormat="1">
      <c r="A3299" s="120"/>
      <c r="B3299" s="73"/>
      <c r="C3299" s="73"/>
      <c r="D3299" s="73"/>
      <c r="E3299" s="73"/>
      <c r="G3299" s="121"/>
      <c r="H3299" s="140"/>
    </row>
    <row r="3300" spans="1:8" s="65" customFormat="1">
      <c r="A3300" s="128"/>
      <c r="B3300" s="141"/>
      <c r="C3300" s="141"/>
      <c r="D3300" s="141"/>
      <c r="E3300" s="141"/>
      <c r="F3300" s="141"/>
      <c r="G3300" s="141"/>
      <c r="H3300" s="140"/>
    </row>
    <row r="3301" spans="1:8" s="65" customFormat="1">
      <c r="A3301" s="150"/>
      <c r="B3301" s="166"/>
      <c r="C3301" s="148"/>
      <c r="D3301" s="165"/>
      <c r="E3301" s="84"/>
      <c r="F3301" s="84"/>
      <c r="G3301" s="144"/>
      <c r="H3301" s="140"/>
    </row>
    <row r="3302" spans="1:8" s="65" customFormat="1">
      <c r="A3302" s="150"/>
      <c r="B3302" s="166"/>
      <c r="C3302" s="148"/>
      <c r="D3302" s="165"/>
      <c r="E3302" s="84"/>
      <c r="F3302" s="84"/>
      <c r="G3302" s="144"/>
      <c r="H3302" s="140"/>
    </row>
    <row r="3303" spans="1:8" s="65" customFormat="1">
      <c r="A3303" s="150"/>
      <c r="B3303" s="166"/>
      <c r="C3303" s="148"/>
      <c r="D3303" s="165"/>
      <c r="E3303" s="84"/>
      <c r="F3303" s="84"/>
      <c r="G3303" s="144"/>
      <c r="H3303" s="145"/>
    </row>
    <row r="3304" spans="1:8" s="65" customFormat="1">
      <c r="A3304" s="91"/>
      <c r="B3304" s="91"/>
      <c r="C3304" s="91"/>
      <c r="D3304" s="91"/>
      <c r="E3304" s="91"/>
      <c r="G3304" s="104"/>
      <c r="H3304" s="140"/>
    </row>
    <row r="3305" spans="1:8" s="65" customFormat="1">
      <c r="A3305" s="120"/>
      <c r="B3305" s="73"/>
      <c r="C3305" s="73"/>
      <c r="D3305" s="73"/>
      <c r="E3305" s="73"/>
      <c r="G3305" s="121"/>
      <c r="H3305" s="140"/>
    </row>
    <row r="3306" spans="1:8" s="65" customFormat="1">
      <c r="A3306" s="128"/>
      <c r="B3306" s="141"/>
      <c r="C3306" s="141"/>
      <c r="D3306" s="141"/>
      <c r="E3306" s="141"/>
      <c r="F3306" s="141"/>
      <c r="G3306" s="141"/>
      <c r="H3306" s="140"/>
    </row>
    <row r="3307" spans="1:8" s="65" customFormat="1">
      <c r="A3307" s="150"/>
      <c r="B3307" s="83"/>
      <c r="C3307" s="148"/>
      <c r="D3307" s="84"/>
      <c r="E3307" s="84"/>
      <c r="F3307" s="84"/>
      <c r="G3307" s="144"/>
      <c r="H3307" s="140"/>
    </row>
    <row r="3308" spans="1:8" s="65" customFormat="1">
      <c r="A3308" s="150"/>
      <c r="B3308" s="83"/>
      <c r="C3308" s="148"/>
      <c r="D3308" s="84"/>
      <c r="E3308" s="84"/>
      <c r="F3308" s="84"/>
      <c r="G3308" s="144"/>
      <c r="H3308" s="145"/>
    </row>
    <row r="3309" spans="1:8" s="65" customFormat="1">
      <c r="A3309" s="91"/>
      <c r="B3309" s="91"/>
      <c r="C3309" s="91"/>
      <c r="D3309" s="91"/>
      <c r="E3309" s="91"/>
      <c r="G3309" s="104"/>
      <c r="H3309" s="140"/>
    </row>
    <row r="3310" spans="1:8" s="65" customFormat="1">
      <c r="A3310" s="120"/>
      <c r="B3310" s="73"/>
      <c r="C3310" s="73"/>
      <c r="D3310" s="73"/>
      <c r="E3310" s="73"/>
      <c r="G3310" s="121"/>
      <c r="H3310" s="140"/>
    </row>
    <row r="3311" spans="1:8" s="65" customFormat="1">
      <c r="A3311" s="128"/>
      <c r="B3311" s="141"/>
      <c r="C3311" s="141"/>
      <c r="D3311" s="141"/>
      <c r="E3311" s="141"/>
      <c r="F3311" s="141"/>
      <c r="G3311" s="141"/>
      <c r="H3311" s="140"/>
    </row>
    <row r="3312" spans="1:8" s="65" customFormat="1">
      <c r="A3312" s="142"/>
      <c r="B3312" s="143"/>
      <c r="C3312" s="143"/>
      <c r="D3312" s="143"/>
      <c r="E3312" s="143"/>
      <c r="F3312" s="84"/>
      <c r="G3312" s="144"/>
      <c r="H3312" s="145"/>
    </row>
    <row r="3313" spans="1:9" s="65" customFormat="1">
      <c r="A3313" s="123"/>
      <c r="B3313" s="95"/>
      <c r="C3313" s="95"/>
      <c r="D3313" s="95"/>
      <c r="E3313" s="95"/>
      <c r="G3313" s="104"/>
      <c r="H3313" s="121"/>
    </row>
    <row r="3314" spans="1:9" s="65" customFormat="1">
      <c r="A3314" s="123"/>
      <c r="B3314" s="95"/>
      <c r="C3314" s="95"/>
      <c r="D3314" s="95"/>
      <c r="E3314" s="95"/>
      <c r="G3314" s="121"/>
      <c r="H3314" s="133"/>
    </row>
    <row r="3315" spans="1:9" s="65" customFormat="1">
      <c r="B3315" s="97"/>
      <c r="C3315" s="98"/>
      <c r="D3315" s="98"/>
      <c r="E3315" s="98"/>
      <c r="G3315" s="128"/>
    </row>
    <row r="3316" spans="1:9" s="65" customFormat="1">
      <c r="B3316" s="97"/>
      <c r="C3316" s="98"/>
      <c r="D3316" s="98"/>
      <c r="E3316" s="98"/>
      <c r="F3316" s="128"/>
      <c r="G3316" s="133"/>
      <c r="H3316" s="134"/>
    </row>
    <row r="3317" spans="1:9" s="65" customFormat="1">
      <c r="A3317" s="633"/>
      <c r="B3317" s="633"/>
      <c r="C3317" s="633"/>
      <c r="D3317" s="633"/>
      <c r="E3317" s="633"/>
      <c r="F3317" s="633"/>
      <c r="G3317" s="633"/>
    </row>
    <row r="3318" spans="1:9" s="65" customFormat="1">
      <c r="H3318" s="138"/>
      <c r="I3318" s="151"/>
    </row>
    <row r="3319" spans="1:9" s="65" customFormat="1">
      <c r="A3319" s="645"/>
      <c r="B3319" s="138"/>
      <c r="C3319" s="138"/>
      <c r="D3319" s="138"/>
      <c r="E3319" s="138"/>
      <c r="F3319" s="138"/>
      <c r="G3319" s="138"/>
      <c r="H3319" s="138"/>
      <c r="I3319" s="152"/>
    </row>
    <row r="3320" spans="1:9" s="65" customFormat="1">
      <c r="A3320" s="645"/>
      <c r="B3320" s="138"/>
      <c r="C3320" s="138"/>
      <c r="D3320" s="138"/>
      <c r="E3320" s="138"/>
      <c r="F3320" s="138"/>
      <c r="G3320" s="138"/>
    </row>
    <row r="3321" spans="1:9" s="65" customFormat="1">
      <c r="A3321" s="69"/>
      <c r="B3321" s="69"/>
      <c r="C3321" s="69"/>
      <c r="D3321" s="69"/>
      <c r="E3321" s="69"/>
    </row>
    <row r="3322" spans="1:9" s="65" customFormat="1">
      <c r="A3322" s="120"/>
      <c r="B3322" s="73"/>
      <c r="C3322" s="73"/>
      <c r="D3322" s="73"/>
      <c r="E3322" s="73"/>
      <c r="F3322" s="121"/>
      <c r="G3322" s="121"/>
      <c r="H3322" s="121"/>
    </row>
    <row r="3323" spans="1:9" s="65" customFormat="1">
      <c r="A3323" s="128"/>
      <c r="B3323" s="141"/>
      <c r="C3323" s="141"/>
      <c r="D3323" s="141"/>
      <c r="E3323" s="141"/>
      <c r="F3323" s="141"/>
      <c r="G3323" s="141"/>
      <c r="H3323" s="121"/>
    </row>
    <row r="3324" spans="1:9" s="65" customFormat="1">
      <c r="A3324" s="150"/>
      <c r="B3324" s="83"/>
      <c r="C3324" s="148"/>
      <c r="D3324" s="84"/>
      <c r="E3324" s="84"/>
      <c r="F3324" s="84"/>
      <c r="G3324" s="144"/>
      <c r="H3324" s="121"/>
    </row>
    <row r="3325" spans="1:9" s="65" customFormat="1">
      <c r="A3325" s="150"/>
      <c r="B3325" s="83"/>
      <c r="C3325" s="148"/>
      <c r="D3325" s="84"/>
      <c r="E3325" s="84"/>
      <c r="F3325" s="84"/>
      <c r="G3325" s="144"/>
      <c r="H3325" s="121"/>
    </row>
    <row r="3326" spans="1:9" s="65" customFormat="1">
      <c r="A3326" s="150"/>
      <c r="B3326" s="83"/>
      <c r="C3326" s="148"/>
      <c r="D3326" s="84"/>
      <c r="E3326" s="84"/>
      <c r="F3326" s="84"/>
      <c r="G3326" s="144"/>
      <c r="H3326" s="145"/>
    </row>
    <row r="3327" spans="1:9" s="65" customFormat="1">
      <c r="A3327" s="84"/>
      <c r="B3327" s="83"/>
      <c r="C3327" s="84"/>
      <c r="D3327" s="84"/>
      <c r="E3327" s="84"/>
      <c r="G3327" s="104"/>
      <c r="H3327" s="140"/>
    </row>
    <row r="3328" spans="1:9" s="65" customFormat="1">
      <c r="A3328" s="120"/>
      <c r="B3328" s="73"/>
      <c r="C3328" s="73"/>
      <c r="D3328" s="73"/>
      <c r="E3328" s="73"/>
      <c r="G3328" s="121"/>
      <c r="H3328" s="140"/>
    </row>
    <row r="3329" spans="1:8" s="65" customFormat="1">
      <c r="A3329" s="128"/>
      <c r="B3329" s="141"/>
      <c r="C3329" s="141"/>
      <c r="D3329" s="141"/>
      <c r="E3329" s="141"/>
      <c r="F3329" s="141"/>
      <c r="G3329" s="141"/>
      <c r="H3329" s="140"/>
    </row>
    <row r="3330" spans="1:8" s="65" customFormat="1">
      <c r="A3330" s="150"/>
      <c r="B3330" s="166"/>
      <c r="C3330" s="148"/>
      <c r="D3330" s="165"/>
      <c r="E3330" s="84"/>
      <c r="F3330" s="84"/>
      <c r="G3330" s="144"/>
      <c r="H3330" s="140"/>
    </row>
    <row r="3331" spans="1:8" s="65" customFormat="1">
      <c r="A3331" s="150"/>
      <c r="B3331" s="166"/>
      <c r="C3331" s="148"/>
      <c r="D3331" s="165"/>
      <c r="E3331" s="84"/>
      <c r="F3331" s="84"/>
      <c r="G3331" s="144"/>
      <c r="H3331" s="140"/>
    </row>
    <row r="3332" spans="1:8" s="65" customFormat="1">
      <c r="A3332" s="150"/>
      <c r="B3332" s="166"/>
      <c r="C3332" s="148"/>
      <c r="D3332" s="165"/>
      <c r="E3332" s="84"/>
      <c r="F3332" s="84"/>
      <c r="G3332" s="144"/>
      <c r="H3332" s="145"/>
    </row>
    <row r="3333" spans="1:8" s="65" customFormat="1">
      <c r="A3333" s="91"/>
      <c r="B3333" s="91"/>
      <c r="C3333" s="91"/>
      <c r="D3333" s="91"/>
      <c r="E3333" s="91"/>
      <c r="G3333" s="104"/>
      <c r="H3333" s="140"/>
    </row>
    <row r="3334" spans="1:8" s="65" customFormat="1">
      <c r="A3334" s="120"/>
      <c r="B3334" s="73"/>
      <c r="C3334" s="73"/>
      <c r="D3334" s="73"/>
      <c r="E3334" s="73"/>
      <c r="G3334" s="121"/>
      <c r="H3334" s="140"/>
    </row>
    <row r="3335" spans="1:8" s="65" customFormat="1">
      <c r="A3335" s="128"/>
      <c r="B3335" s="141"/>
      <c r="C3335" s="141"/>
      <c r="D3335" s="141"/>
      <c r="E3335" s="141"/>
      <c r="F3335" s="141"/>
      <c r="G3335" s="141"/>
      <c r="H3335" s="140"/>
    </row>
    <row r="3336" spans="1:8" s="65" customFormat="1">
      <c r="A3336" s="150"/>
      <c r="B3336" s="83"/>
      <c r="C3336" s="148"/>
      <c r="D3336" s="84"/>
      <c r="E3336" s="84"/>
      <c r="F3336" s="84"/>
      <c r="G3336" s="144"/>
      <c r="H3336" s="145"/>
    </row>
    <row r="3337" spans="1:8" s="65" customFormat="1">
      <c r="A3337" s="91"/>
      <c r="B3337" s="91"/>
      <c r="C3337" s="91"/>
      <c r="D3337" s="91"/>
      <c r="E3337" s="91"/>
      <c r="G3337" s="104"/>
      <c r="H3337" s="140"/>
    </row>
    <row r="3338" spans="1:8" s="65" customFormat="1">
      <c r="A3338" s="120"/>
      <c r="B3338" s="73"/>
      <c r="C3338" s="73"/>
      <c r="D3338" s="73"/>
      <c r="E3338" s="73"/>
      <c r="G3338" s="121"/>
      <c r="H3338" s="140"/>
    </row>
    <row r="3339" spans="1:8" s="65" customFormat="1">
      <c r="A3339" s="128"/>
      <c r="B3339" s="141"/>
      <c r="C3339" s="141"/>
      <c r="D3339" s="141"/>
      <c r="E3339" s="141"/>
      <c r="F3339" s="141"/>
      <c r="G3339" s="141"/>
      <c r="H3339" s="140"/>
    </row>
    <row r="3340" spans="1:8" s="65" customFormat="1">
      <c r="A3340" s="142"/>
      <c r="B3340" s="143"/>
      <c r="C3340" s="143"/>
      <c r="D3340" s="143"/>
      <c r="E3340" s="143"/>
      <c r="F3340" s="84"/>
      <c r="G3340" s="144"/>
      <c r="H3340" s="145"/>
    </row>
    <row r="3341" spans="1:8" s="65" customFormat="1">
      <c r="A3341" s="123"/>
      <c r="B3341" s="95"/>
      <c r="C3341" s="95"/>
      <c r="D3341" s="95"/>
      <c r="E3341" s="95"/>
      <c r="G3341" s="104"/>
      <c r="H3341" s="121"/>
    </row>
    <row r="3342" spans="1:8" s="65" customFormat="1">
      <c r="A3342" s="123"/>
      <c r="B3342" s="95"/>
      <c r="C3342" s="95"/>
      <c r="D3342" s="95"/>
      <c r="E3342" s="95"/>
      <c r="G3342" s="121"/>
      <c r="H3342" s="133"/>
    </row>
    <row r="3343" spans="1:8" s="65" customFormat="1">
      <c r="B3343" s="97"/>
      <c r="C3343" s="98"/>
      <c r="D3343" s="98"/>
      <c r="E3343" s="98"/>
      <c r="G3343" s="128"/>
    </row>
    <row r="3344" spans="1:8" s="65" customFormat="1">
      <c r="B3344" s="97"/>
      <c r="C3344" s="98"/>
      <c r="D3344" s="98"/>
      <c r="E3344" s="98"/>
      <c r="F3344" s="128"/>
      <c r="G3344" s="133"/>
      <c r="H3344" s="134"/>
    </row>
    <row r="3345" spans="1:9" s="65" customFormat="1">
      <c r="A3345" s="633"/>
      <c r="B3345" s="633"/>
      <c r="C3345" s="633"/>
      <c r="D3345" s="633"/>
      <c r="E3345" s="633"/>
      <c r="F3345" s="633"/>
      <c r="G3345" s="633"/>
    </row>
    <row r="3346" spans="1:9" s="65" customFormat="1">
      <c r="H3346" s="138"/>
      <c r="I3346" s="151"/>
    </row>
    <row r="3347" spans="1:9" s="65" customFormat="1">
      <c r="A3347" s="645"/>
      <c r="B3347" s="138"/>
      <c r="C3347" s="138"/>
      <c r="D3347" s="138"/>
      <c r="E3347" s="138"/>
      <c r="F3347" s="138"/>
      <c r="G3347" s="138"/>
      <c r="H3347" s="138"/>
      <c r="I3347" s="152"/>
    </row>
    <row r="3348" spans="1:9" s="65" customFormat="1">
      <c r="A3348" s="645"/>
      <c r="B3348" s="138"/>
      <c r="C3348" s="138"/>
      <c r="D3348" s="138"/>
      <c r="E3348" s="138"/>
      <c r="F3348" s="138"/>
      <c r="G3348" s="138"/>
    </row>
    <row r="3349" spans="1:9" s="65" customFormat="1">
      <c r="A3349" s="69"/>
      <c r="B3349" s="69"/>
      <c r="C3349" s="69"/>
      <c r="D3349" s="69"/>
      <c r="E3349" s="69"/>
    </row>
    <row r="3350" spans="1:9" s="65" customFormat="1">
      <c r="A3350" s="120"/>
      <c r="B3350" s="73"/>
      <c r="C3350" s="73"/>
      <c r="D3350" s="73"/>
      <c r="E3350" s="73"/>
      <c r="F3350" s="121"/>
      <c r="G3350" s="121"/>
      <c r="H3350" s="121"/>
    </row>
    <row r="3351" spans="1:9" s="65" customFormat="1">
      <c r="A3351" s="128"/>
      <c r="B3351" s="141"/>
      <c r="C3351" s="141"/>
      <c r="D3351" s="141"/>
      <c r="E3351" s="141"/>
      <c r="F3351" s="141"/>
      <c r="G3351" s="141"/>
      <c r="H3351" s="121"/>
    </row>
    <row r="3352" spans="1:9" s="65" customFormat="1">
      <c r="A3352" s="150"/>
      <c r="B3352" s="83"/>
      <c r="C3352" s="148"/>
      <c r="D3352" s="84"/>
      <c r="E3352" s="84"/>
      <c r="F3352" s="84"/>
      <c r="G3352" s="144"/>
      <c r="H3352" s="121"/>
    </row>
    <row r="3353" spans="1:9" s="65" customFormat="1">
      <c r="A3353" s="150"/>
      <c r="B3353" s="83"/>
      <c r="C3353" s="148"/>
      <c r="D3353" s="84"/>
      <c r="E3353" s="84"/>
      <c r="F3353" s="84"/>
      <c r="G3353" s="144"/>
      <c r="H3353" s="121"/>
    </row>
    <row r="3354" spans="1:9" s="65" customFormat="1">
      <c r="A3354" s="150"/>
      <c r="B3354" s="83"/>
      <c r="C3354" s="148"/>
      <c r="D3354" s="84"/>
      <c r="E3354" s="84"/>
      <c r="F3354" s="84"/>
      <c r="G3354" s="144"/>
      <c r="H3354" s="145"/>
    </row>
    <row r="3355" spans="1:9" s="65" customFormat="1">
      <c r="A3355" s="84"/>
      <c r="B3355" s="83"/>
      <c r="C3355" s="84"/>
      <c r="D3355" s="84"/>
      <c r="E3355" s="84"/>
      <c r="G3355" s="104"/>
      <c r="H3355" s="140"/>
    </row>
    <row r="3356" spans="1:9" s="65" customFormat="1">
      <c r="A3356" s="120"/>
      <c r="B3356" s="73"/>
      <c r="C3356" s="73"/>
      <c r="D3356" s="73"/>
      <c r="E3356" s="73"/>
      <c r="G3356" s="121"/>
      <c r="H3356" s="140"/>
    </row>
    <row r="3357" spans="1:9" s="65" customFormat="1">
      <c r="A3357" s="128"/>
      <c r="B3357" s="141"/>
      <c r="C3357" s="141"/>
      <c r="D3357" s="141"/>
      <c r="E3357" s="141"/>
      <c r="F3357" s="141"/>
      <c r="G3357" s="141"/>
      <c r="H3357" s="140"/>
    </row>
    <row r="3358" spans="1:9" s="65" customFormat="1">
      <c r="A3358" s="150"/>
      <c r="B3358" s="166"/>
      <c r="C3358" s="148"/>
      <c r="D3358" s="165"/>
      <c r="E3358" s="84"/>
      <c r="F3358" s="84"/>
      <c r="G3358" s="144"/>
      <c r="H3358" s="140"/>
    </row>
    <row r="3359" spans="1:9" s="65" customFormat="1">
      <c r="A3359" s="150"/>
      <c r="B3359" s="166"/>
      <c r="C3359" s="148"/>
      <c r="D3359" s="165"/>
      <c r="E3359" s="84"/>
      <c r="F3359" s="84"/>
      <c r="G3359" s="144"/>
      <c r="H3359" s="140"/>
    </row>
    <row r="3360" spans="1:9" s="65" customFormat="1">
      <c r="A3360" s="150"/>
      <c r="B3360" s="166"/>
      <c r="C3360" s="148"/>
      <c r="D3360" s="165"/>
      <c r="E3360" s="84"/>
      <c r="F3360" s="84"/>
      <c r="G3360" s="144"/>
      <c r="H3360" s="145"/>
    </row>
    <row r="3361" spans="1:9" s="65" customFormat="1">
      <c r="A3361" s="91"/>
      <c r="B3361" s="91"/>
      <c r="C3361" s="91"/>
      <c r="D3361" s="91"/>
      <c r="E3361" s="91"/>
      <c r="G3361" s="104"/>
      <c r="H3361" s="140"/>
    </row>
    <row r="3362" spans="1:9" s="65" customFormat="1">
      <c r="A3362" s="120"/>
      <c r="B3362" s="73"/>
      <c r="C3362" s="73"/>
      <c r="D3362" s="73"/>
      <c r="E3362" s="73"/>
      <c r="G3362" s="121"/>
      <c r="H3362" s="140"/>
    </row>
    <row r="3363" spans="1:9" s="65" customFormat="1">
      <c r="A3363" s="128"/>
      <c r="B3363" s="141"/>
      <c r="C3363" s="141"/>
      <c r="D3363" s="141"/>
      <c r="E3363" s="141"/>
      <c r="F3363" s="141"/>
      <c r="G3363" s="141"/>
      <c r="H3363" s="140"/>
    </row>
    <row r="3364" spans="1:9" s="65" customFormat="1">
      <c r="A3364" s="150"/>
      <c r="B3364" s="83"/>
      <c r="C3364" s="148"/>
      <c r="D3364" s="84"/>
      <c r="E3364" s="84"/>
      <c r="F3364" s="84"/>
      <c r="G3364" s="144"/>
      <c r="H3364" s="140"/>
    </row>
    <row r="3365" spans="1:9" s="65" customFormat="1">
      <c r="A3365" s="150"/>
      <c r="B3365" s="83"/>
      <c r="C3365" s="148"/>
      <c r="D3365" s="84"/>
      <c r="E3365" s="84"/>
      <c r="F3365" s="84"/>
      <c r="G3365" s="144"/>
      <c r="H3365" s="140"/>
    </row>
    <row r="3366" spans="1:9" s="65" customFormat="1">
      <c r="A3366" s="150"/>
      <c r="B3366" s="83"/>
      <c r="C3366" s="148"/>
      <c r="D3366" s="84"/>
      <c r="E3366" s="84"/>
      <c r="F3366" s="84"/>
      <c r="G3366" s="144"/>
      <c r="H3366" s="145"/>
    </row>
    <row r="3367" spans="1:9" s="65" customFormat="1">
      <c r="A3367" s="91"/>
      <c r="B3367" s="91"/>
      <c r="C3367" s="91"/>
      <c r="D3367" s="91"/>
      <c r="E3367" s="91"/>
      <c r="G3367" s="104"/>
      <c r="H3367" s="140"/>
    </row>
    <row r="3368" spans="1:9" s="65" customFormat="1">
      <c r="A3368" s="120"/>
      <c r="B3368" s="73"/>
      <c r="C3368" s="73"/>
      <c r="D3368" s="73"/>
      <c r="E3368" s="73"/>
      <c r="G3368" s="121"/>
      <c r="H3368" s="140"/>
    </row>
    <row r="3369" spans="1:9" s="65" customFormat="1">
      <c r="A3369" s="128"/>
      <c r="B3369" s="141"/>
      <c r="C3369" s="141"/>
      <c r="D3369" s="141"/>
      <c r="E3369" s="141"/>
      <c r="F3369" s="141"/>
      <c r="G3369" s="141"/>
      <c r="H3369" s="140"/>
    </row>
    <row r="3370" spans="1:9" s="65" customFormat="1">
      <c r="A3370" s="142"/>
      <c r="B3370" s="143"/>
      <c r="C3370" s="143"/>
      <c r="D3370" s="143"/>
      <c r="E3370" s="143"/>
      <c r="F3370" s="84"/>
      <c r="G3370" s="144"/>
      <c r="H3370" s="145"/>
    </row>
    <row r="3371" spans="1:9" s="65" customFormat="1">
      <c r="A3371" s="123"/>
      <c r="B3371" s="95"/>
      <c r="C3371" s="95"/>
      <c r="D3371" s="95"/>
      <c r="E3371" s="95"/>
      <c r="G3371" s="104"/>
      <c r="H3371" s="121"/>
    </row>
    <row r="3372" spans="1:9" s="65" customFormat="1">
      <c r="A3372" s="123"/>
      <c r="B3372" s="95"/>
      <c r="C3372" s="95"/>
      <c r="D3372" s="95"/>
      <c r="E3372" s="95"/>
      <c r="G3372" s="121"/>
      <c r="H3372" s="133"/>
    </row>
    <row r="3373" spans="1:9" s="65" customFormat="1">
      <c r="B3373" s="97"/>
      <c r="C3373" s="98"/>
      <c r="D3373" s="98"/>
      <c r="E3373" s="98"/>
      <c r="G3373" s="128"/>
    </row>
    <row r="3374" spans="1:9" s="65" customFormat="1">
      <c r="B3374" s="97"/>
      <c r="C3374" s="98"/>
      <c r="D3374" s="98"/>
      <c r="E3374" s="98"/>
      <c r="F3374" s="128"/>
      <c r="G3374" s="133"/>
      <c r="H3374" s="134"/>
    </row>
    <row r="3375" spans="1:9" s="65" customFormat="1">
      <c r="A3375" s="633"/>
      <c r="B3375" s="633"/>
      <c r="C3375" s="633"/>
      <c r="D3375" s="633"/>
      <c r="E3375" s="633"/>
      <c r="F3375" s="633"/>
      <c r="G3375" s="633"/>
    </row>
    <row r="3376" spans="1:9" s="65" customFormat="1">
      <c r="H3376" s="138"/>
      <c r="I3376" s="151"/>
    </row>
    <row r="3377" spans="1:9" s="65" customFormat="1">
      <c r="A3377" s="645"/>
      <c r="B3377" s="138"/>
      <c r="C3377" s="138"/>
      <c r="D3377" s="138"/>
      <c r="E3377" s="138"/>
      <c r="F3377" s="138"/>
      <c r="G3377" s="138"/>
      <c r="H3377" s="138"/>
      <c r="I3377" s="152"/>
    </row>
    <row r="3378" spans="1:9" s="65" customFormat="1">
      <c r="A3378" s="645"/>
      <c r="B3378" s="138"/>
      <c r="C3378" s="138"/>
      <c r="D3378" s="138"/>
      <c r="E3378" s="138"/>
      <c r="F3378" s="138"/>
      <c r="G3378" s="138"/>
    </row>
    <row r="3379" spans="1:9" s="65" customFormat="1">
      <c r="A3379" s="69"/>
      <c r="B3379" s="69"/>
      <c r="C3379" s="69"/>
      <c r="D3379" s="69"/>
      <c r="E3379" s="69"/>
    </row>
    <row r="3380" spans="1:9" s="65" customFormat="1">
      <c r="A3380" s="120"/>
      <c r="B3380" s="73"/>
      <c r="C3380" s="73"/>
      <c r="D3380" s="73"/>
      <c r="E3380" s="73"/>
      <c r="F3380" s="121"/>
      <c r="G3380" s="121"/>
      <c r="H3380" s="121"/>
    </row>
    <row r="3381" spans="1:9" s="65" customFormat="1">
      <c r="A3381" s="128"/>
      <c r="B3381" s="141"/>
      <c r="C3381" s="141"/>
      <c r="D3381" s="141"/>
      <c r="E3381" s="141"/>
      <c r="F3381" s="141"/>
      <c r="G3381" s="141"/>
      <c r="H3381" s="121"/>
    </row>
    <row r="3382" spans="1:9" s="65" customFormat="1">
      <c r="A3382" s="150"/>
      <c r="B3382" s="83"/>
      <c r="C3382" s="148"/>
      <c r="D3382" s="84"/>
      <c r="E3382" s="84"/>
      <c r="F3382" s="84"/>
      <c r="G3382" s="144"/>
      <c r="H3382" s="145"/>
    </row>
    <row r="3383" spans="1:9" s="65" customFormat="1">
      <c r="A3383" s="84"/>
      <c r="B3383" s="83"/>
      <c r="C3383" s="84"/>
      <c r="D3383" s="84"/>
      <c r="E3383" s="84"/>
      <c r="G3383" s="104"/>
      <c r="H3383" s="140"/>
    </row>
    <row r="3384" spans="1:9" s="65" customFormat="1">
      <c r="A3384" s="120"/>
      <c r="B3384" s="73"/>
      <c r="C3384" s="73"/>
      <c r="D3384" s="73"/>
      <c r="E3384" s="73"/>
      <c r="G3384" s="121"/>
      <c r="H3384" s="140"/>
    </row>
    <row r="3385" spans="1:9" s="65" customFormat="1">
      <c r="A3385" s="128"/>
      <c r="B3385" s="141"/>
      <c r="C3385" s="141"/>
      <c r="D3385" s="141"/>
      <c r="E3385" s="141"/>
      <c r="F3385" s="141"/>
      <c r="G3385" s="141"/>
      <c r="H3385" s="140"/>
    </row>
    <row r="3386" spans="1:9" s="65" customFormat="1">
      <c r="A3386" s="150"/>
      <c r="B3386" s="83"/>
      <c r="C3386" s="148"/>
      <c r="D3386" s="165"/>
      <c r="E3386" s="84"/>
      <c r="F3386" s="84"/>
      <c r="G3386" s="144"/>
      <c r="H3386" s="145"/>
    </row>
    <row r="3387" spans="1:9" s="65" customFormat="1">
      <c r="A3387" s="91"/>
      <c r="B3387" s="91"/>
      <c r="C3387" s="91"/>
      <c r="D3387" s="91"/>
      <c r="E3387" s="91"/>
      <c r="G3387" s="104"/>
      <c r="H3387" s="140"/>
    </row>
    <row r="3388" spans="1:9" s="65" customFormat="1">
      <c r="A3388" s="120"/>
      <c r="B3388" s="73"/>
      <c r="C3388" s="73"/>
      <c r="D3388" s="73"/>
      <c r="E3388" s="73"/>
      <c r="G3388" s="121"/>
      <c r="H3388" s="140"/>
    </row>
    <row r="3389" spans="1:9" s="65" customFormat="1">
      <c r="A3389" s="128"/>
      <c r="B3389" s="141"/>
      <c r="C3389" s="141"/>
      <c r="D3389" s="141"/>
      <c r="E3389" s="141"/>
      <c r="F3389" s="141"/>
      <c r="G3389" s="141"/>
      <c r="H3389" s="140"/>
    </row>
    <row r="3390" spans="1:9" s="65" customFormat="1">
      <c r="A3390" s="150"/>
      <c r="B3390" s="84"/>
      <c r="C3390" s="148"/>
      <c r="D3390" s="84"/>
      <c r="E3390" s="84"/>
      <c r="F3390" s="84"/>
      <c r="G3390" s="144"/>
      <c r="H3390" s="145"/>
    </row>
    <row r="3391" spans="1:9" s="65" customFormat="1">
      <c r="A3391" s="91"/>
      <c r="B3391" s="91"/>
      <c r="C3391" s="91"/>
      <c r="D3391" s="91"/>
      <c r="E3391" s="91"/>
      <c r="G3391" s="104"/>
      <c r="H3391" s="140"/>
    </row>
    <row r="3392" spans="1:9" s="65" customFormat="1">
      <c r="A3392" s="120"/>
      <c r="B3392" s="73"/>
      <c r="C3392" s="73"/>
      <c r="D3392" s="73"/>
      <c r="E3392" s="73"/>
      <c r="G3392" s="121"/>
      <c r="H3392" s="140"/>
    </row>
    <row r="3393" spans="1:9" s="65" customFormat="1">
      <c r="A3393" s="128"/>
      <c r="B3393" s="141"/>
      <c r="C3393" s="141"/>
      <c r="D3393" s="141"/>
      <c r="E3393" s="141"/>
      <c r="F3393" s="141"/>
      <c r="G3393" s="141"/>
      <c r="H3393" s="140"/>
    </row>
    <row r="3394" spans="1:9" s="65" customFormat="1">
      <c r="A3394" s="142"/>
      <c r="B3394" s="143"/>
      <c r="C3394" s="143"/>
      <c r="D3394" s="143"/>
      <c r="E3394" s="143"/>
      <c r="F3394" s="84"/>
      <c r="G3394" s="144"/>
      <c r="H3394" s="145"/>
    </row>
    <row r="3395" spans="1:9" s="65" customFormat="1">
      <c r="A3395" s="123"/>
      <c r="B3395" s="95"/>
      <c r="C3395" s="95"/>
      <c r="D3395" s="95"/>
      <c r="E3395" s="95"/>
      <c r="G3395" s="104"/>
      <c r="H3395" s="121"/>
    </row>
    <row r="3396" spans="1:9" s="65" customFormat="1">
      <c r="A3396" s="123"/>
      <c r="B3396" s="95"/>
      <c r="C3396" s="95"/>
      <c r="D3396" s="95"/>
      <c r="E3396" s="95"/>
      <c r="G3396" s="121"/>
      <c r="H3396" s="133"/>
    </row>
    <row r="3397" spans="1:9" s="65" customFormat="1">
      <c r="B3397" s="97"/>
      <c r="C3397" s="98"/>
      <c r="D3397" s="98"/>
      <c r="E3397" s="98"/>
      <c r="G3397" s="128"/>
    </row>
    <row r="3398" spans="1:9" s="65" customFormat="1">
      <c r="B3398" s="97"/>
      <c r="C3398" s="98"/>
      <c r="D3398" s="98"/>
      <c r="E3398" s="98"/>
      <c r="F3398" s="128"/>
      <c r="G3398" s="133"/>
      <c r="H3398" s="134"/>
    </row>
    <row r="3399" spans="1:9" s="65" customFormat="1">
      <c r="A3399" s="633"/>
      <c r="B3399" s="633"/>
      <c r="C3399" s="633"/>
      <c r="D3399" s="633"/>
      <c r="E3399" s="633"/>
      <c r="F3399" s="633"/>
      <c r="G3399" s="633"/>
    </row>
    <row r="3400" spans="1:9" s="65" customFormat="1">
      <c r="H3400" s="138"/>
      <c r="I3400" s="151"/>
    </row>
    <row r="3401" spans="1:9" s="65" customFormat="1">
      <c r="A3401" s="645"/>
      <c r="B3401" s="138"/>
      <c r="C3401" s="138"/>
      <c r="D3401" s="138"/>
      <c r="E3401" s="138"/>
      <c r="F3401" s="138"/>
      <c r="G3401" s="138"/>
      <c r="H3401" s="138"/>
      <c r="I3401" s="152"/>
    </row>
    <row r="3402" spans="1:9" s="65" customFormat="1">
      <c r="A3402" s="645"/>
      <c r="B3402" s="138"/>
      <c r="C3402" s="138"/>
      <c r="D3402" s="138"/>
      <c r="E3402" s="138"/>
      <c r="F3402" s="138"/>
      <c r="G3402" s="138"/>
    </row>
    <row r="3403" spans="1:9" s="65" customFormat="1">
      <c r="A3403" s="69"/>
      <c r="B3403" s="69"/>
      <c r="C3403" s="69"/>
      <c r="D3403" s="69"/>
      <c r="E3403" s="69"/>
    </row>
    <row r="3404" spans="1:9" s="65" customFormat="1">
      <c r="A3404" s="120"/>
      <c r="B3404" s="73"/>
      <c r="C3404" s="73"/>
      <c r="D3404" s="73"/>
      <c r="E3404" s="73"/>
      <c r="F3404" s="121"/>
      <c r="G3404" s="121"/>
      <c r="H3404" s="121"/>
    </row>
    <row r="3405" spans="1:9" s="65" customFormat="1">
      <c r="A3405" s="128"/>
      <c r="B3405" s="141"/>
      <c r="C3405" s="141"/>
      <c r="D3405" s="141"/>
      <c r="E3405" s="141"/>
      <c r="F3405" s="141"/>
      <c r="G3405" s="141"/>
      <c r="H3405" s="121"/>
    </row>
    <row r="3406" spans="1:9" s="65" customFormat="1">
      <c r="A3406" s="150"/>
      <c r="B3406" s="83"/>
      <c r="C3406" s="148"/>
      <c r="D3406" s="84"/>
      <c r="E3406" s="84"/>
      <c r="F3406" s="84"/>
      <c r="G3406" s="144"/>
      <c r="H3406" s="121"/>
    </row>
    <row r="3407" spans="1:9" s="65" customFormat="1">
      <c r="A3407" s="150"/>
      <c r="B3407" s="83"/>
      <c r="C3407" s="148"/>
      <c r="D3407" s="84"/>
      <c r="E3407" s="84"/>
      <c r="F3407" s="84"/>
      <c r="G3407" s="144"/>
      <c r="H3407" s="145"/>
    </row>
    <row r="3408" spans="1:9" s="65" customFormat="1">
      <c r="A3408" s="84"/>
      <c r="B3408" s="83"/>
      <c r="C3408" s="84"/>
      <c r="D3408" s="84"/>
      <c r="E3408" s="84"/>
      <c r="G3408" s="104"/>
      <c r="H3408" s="140"/>
    </row>
    <row r="3409" spans="1:8" s="65" customFormat="1">
      <c r="A3409" s="120"/>
      <c r="B3409" s="73"/>
      <c r="C3409" s="73"/>
      <c r="D3409" s="73"/>
      <c r="E3409" s="73"/>
      <c r="G3409" s="121"/>
      <c r="H3409" s="140"/>
    </row>
    <row r="3410" spans="1:8" s="65" customFormat="1">
      <c r="A3410" s="128"/>
      <c r="B3410" s="141"/>
      <c r="C3410" s="141"/>
      <c r="D3410" s="141"/>
      <c r="E3410" s="141"/>
      <c r="F3410" s="141"/>
      <c r="G3410" s="141"/>
      <c r="H3410" s="140"/>
    </row>
    <row r="3411" spans="1:8" s="65" customFormat="1" ht="16.5">
      <c r="A3411" s="150"/>
      <c r="B3411" s="163"/>
      <c r="C3411" s="148"/>
      <c r="D3411" s="165"/>
      <c r="E3411" s="84"/>
      <c r="F3411" s="84"/>
      <c r="G3411" s="144"/>
      <c r="H3411" s="145"/>
    </row>
    <row r="3412" spans="1:8" s="65" customFormat="1">
      <c r="A3412" s="91"/>
      <c r="B3412" s="91"/>
      <c r="C3412" s="91"/>
      <c r="D3412" s="91"/>
      <c r="E3412" s="91"/>
      <c r="G3412" s="104"/>
      <c r="H3412" s="140"/>
    </row>
    <row r="3413" spans="1:8" s="65" customFormat="1">
      <c r="A3413" s="120"/>
      <c r="B3413" s="73"/>
      <c r="C3413" s="73"/>
      <c r="D3413" s="73"/>
      <c r="E3413" s="73"/>
      <c r="G3413" s="121"/>
      <c r="H3413" s="140"/>
    </row>
    <row r="3414" spans="1:8" s="65" customFormat="1">
      <c r="A3414" s="128"/>
      <c r="B3414" s="141"/>
      <c r="C3414" s="141"/>
      <c r="D3414" s="141"/>
      <c r="E3414" s="141"/>
      <c r="F3414" s="141"/>
      <c r="G3414" s="141"/>
      <c r="H3414" s="140"/>
    </row>
    <row r="3415" spans="1:8" s="65" customFormat="1">
      <c r="A3415" s="150"/>
      <c r="B3415" s="84"/>
      <c r="C3415" s="148"/>
      <c r="D3415" s="84"/>
      <c r="E3415" s="84"/>
      <c r="F3415" s="84"/>
      <c r="G3415" s="144"/>
      <c r="H3415" s="145"/>
    </row>
    <row r="3416" spans="1:8" s="65" customFormat="1">
      <c r="A3416" s="91"/>
      <c r="B3416" s="91"/>
      <c r="C3416" s="91"/>
      <c r="D3416" s="91"/>
      <c r="E3416" s="91"/>
      <c r="G3416" s="104"/>
      <c r="H3416" s="140"/>
    </row>
    <row r="3417" spans="1:8" s="65" customFormat="1">
      <c r="A3417" s="120"/>
      <c r="B3417" s="73"/>
      <c r="C3417" s="73"/>
      <c r="D3417" s="73"/>
      <c r="E3417" s="73"/>
      <c r="G3417" s="121"/>
      <c r="H3417" s="140"/>
    </row>
    <row r="3418" spans="1:8" s="65" customFormat="1">
      <c r="A3418" s="128"/>
      <c r="B3418" s="141"/>
      <c r="C3418" s="141"/>
      <c r="D3418" s="141"/>
      <c r="E3418" s="141"/>
      <c r="F3418" s="141"/>
      <c r="G3418" s="141"/>
      <c r="H3418" s="140"/>
    </row>
    <row r="3419" spans="1:8" s="65" customFormat="1">
      <c r="A3419" s="142"/>
      <c r="B3419" s="143"/>
      <c r="C3419" s="143"/>
      <c r="D3419" s="143"/>
      <c r="E3419" s="143"/>
      <c r="F3419" s="84"/>
      <c r="G3419" s="144"/>
      <c r="H3419" s="145"/>
    </row>
    <row r="3420" spans="1:8" s="65" customFormat="1">
      <c r="A3420" s="123"/>
      <c r="B3420" s="95"/>
      <c r="C3420" s="95"/>
      <c r="D3420" s="95"/>
      <c r="E3420" s="95"/>
      <c r="G3420" s="104"/>
      <c r="H3420" s="121"/>
    </row>
    <row r="3421" spans="1:8" s="65" customFormat="1">
      <c r="A3421" s="123"/>
      <c r="B3421" s="95"/>
      <c r="C3421" s="95"/>
      <c r="D3421" s="95"/>
      <c r="E3421" s="95"/>
      <c r="G3421" s="121"/>
      <c r="H3421" s="133"/>
    </row>
    <row r="3422" spans="1:8" s="65" customFormat="1">
      <c r="B3422" s="97"/>
      <c r="C3422" s="98"/>
      <c r="D3422" s="98"/>
      <c r="E3422" s="98"/>
      <c r="G3422" s="128"/>
    </row>
    <row r="3423" spans="1:8" s="65" customFormat="1">
      <c r="B3423" s="97"/>
      <c r="C3423" s="98"/>
      <c r="D3423" s="98"/>
      <c r="E3423" s="98"/>
      <c r="F3423" s="128"/>
      <c r="G3423" s="133"/>
      <c r="H3423" s="134"/>
    </row>
    <row r="3424" spans="1:8" s="65" customFormat="1">
      <c r="A3424" s="633"/>
      <c r="B3424" s="633"/>
      <c r="C3424" s="633"/>
      <c r="D3424" s="633"/>
      <c r="E3424" s="633"/>
      <c r="F3424" s="633"/>
      <c r="G3424" s="633"/>
    </row>
    <row r="3425" spans="1:9" s="65" customFormat="1">
      <c r="H3425" s="138"/>
      <c r="I3425" s="151"/>
    </row>
    <row r="3426" spans="1:9" s="65" customFormat="1">
      <c r="A3426" s="645"/>
      <c r="B3426" s="138"/>
      <c r="C3426" s="138"/>
      <c r="D3426" s="138"/>
      <c r="E3426" s="138"/>
      <c r="F3426" s="138"/>
      <c r="G3426" s="138"/>
      <c r="H3426" s="138"/>
      <c r="I3426" s="152"/>
    </row>
    <row r="3427" spans="1:9" s="65" customFormat="1">
      <c r="A3427" s="645"/>
      <c r="B3427" s="138"/>
      <c r="C3427" s="138"/>
      <c r="D3427" s="138"/>
      <c r="E3427" s="138"/>
      <c r="F3427" s="138"/>
      <c r="G3427" s="138"/>
    </row>
    <row r="3428" spans="1:9" s="65" customFormat="1">
      <c r="A3428" s="69"/>
      <c r="B3428" s="69"/>
      <c r="C3428" s="69"/>
      <c r="D3428" s="69"/>
      <c r="E3428" s="69"/>
    </row>
    <row r="3429" spans="1:9" s="65" customFormat="1">
      <c r="A3429" s="120"/>
      <c r="B3429" s="73"/>
      <c r="C3429" s="73"/>
      <c r="D3429" s="73"/>
      <c r="E3429" s="73"/>
      <c r="F3429" s="121"/>
      <c r="G3429" s="121"/>
      <c r="H3429" s="121"/>
    </row>
    <row r="3430" spans="1:9" s="65" customFormat="1">
      <c r="A3430" s="128"/>
      <c r="B3430" s="141"/>
      <c r="C3430" s="141"/>
      <c r="D3430" s="141"/>
      <c r="E3430" s="141"/>
      <c r="F3430" s="141"/>
      <c r="G3430" s="141"/>
      <c r="H3430" s="121"/>
    </row>
    <row r="3431" spans="1:9" s="65" customFormat="1">
      <c r="A3431" s="150"/>
      <c r="B3431" s="84"/>
      <c r="C3431" s="148"/>
      <c r="D3431" s="84"/>
      <c r="E3431" s="84"/>
      <c r="F3431" s="84"/>
      <c r="G3431" s="144"/>
      <c r="H3431" s="145"/>
    </row>
    <row r="3432" spans="1:9" s="65" customFormat="1">
      <c r="A3432" s="84"/>
      <c r="B3432" s="83"/>
      <c r="C3432" s="84"/>
      <c r="D3432" s="84"/>
      <c r="E3432" s="84"/>
      <c r="G3432" s="104"/>
      <c r="H3432" s="140"/>
    </row>
    <row r="3433" spans="1:9" s="65" customFormat="1">
      <c r="A3433" s="120"/>
      <c r="B3433" s="73"/>
      <c r="C3433" s="73"/>
      <c r="D3433" s="73"/>
      <c r="E3433" s="73"/>
      <c r="G3433" s="121"/>
      <c r="H3433" s="140"/>
    </row>
    <row r="3434" spans="1:9" s="65" customFormat="1">
      <c r="A3434" s="128"/>
      <c r="B3434" s="141"/>
      <c r="C3434" s="141"/>
      <c r="D3434" s="141"/>
      <c r="E3434" s="141"/>
      <c r="F3434" s="141"/>
      <c r="G3434" s="141"/>
      <c r="H3434" s="140"/>
    </row>
    <row r="3435" spans="1:9" s="65" customFormat="1" ht="16.5">
      <c r="A3435" s="150"/>
      <c r="B3435" s="161"/>
      <c r="C3435" s="148"/>
      <c r="D3435" s="84"/>
      <c r="E3435" s="84"/>
      <c r="F3435" s="84"/>
      <c r="G3435" s="154"/>
      <c r="H3435" s="140"/>
    </row>
    <row r="3436" spans="1:9" s="65" customFormat="1" ht="16.5">
      <c r="A3436" s="150"/>
      <c r="B3436" s="161"/>
      <c r="C3436" s="148"/>
      <c r="D3436" s="84"/>
      <c r="E3436" s="84"/>
      <c r="F3436" s="84"/>
      <c r="G3436" s="154"/>
      <c r="H3436" s="140"/>
    </row>
    <row r="3437" spans="1:9" s="65" customFormat="1" ht="16.5">
      <c r="A3437" s="150"/>
      <c r="B3437" s="161"/>
      <c r="C3437" s="148"/>
      <c r="D3437" s="84"/>
      <c r="E3437" s="84"/>
      <c r="F3437" s="84"/>
      <c r="G3437" s="154"/>
      <c r="H3437" s="145"/>
    </row>
    <row r="3438" spans="1:9" s="65" customFormat="1">
      <c r="A3438" s="91"/>
      <c r="B3438" s="91"/>
      <c r="C3438" s="91"/>
      <c r="D3438" s="91"/>
      <c r="E3438" s="91"/>
      <c r="G3438" s="104"/>
      <c r="H3438" s="140"/>
    </row>
    <row r="3439" spans="1:9" s="65" customFormat="1">
      <c r="A3439" s="120"/>
      <c r="B3439" s="73"/>
      <c r="C3439" s="73"/>
      <c r="D3439" s="73"/>
      <c r="E3439" s="73"/>
      <c r="G3439" s="121"/>
      <c r="H3439" s="140"/>
    </row>
    <row r="3440" spans="1:9" s="65" customFormat="1">
      <c r="A3440" s="128"/>
      <c r="B3440" s="141"/>
      <c r="C3440" s="141"/>
      <c r="D3440" s="141"/>
      <c r="E3440" s="141"/>
      <c r="F3440" s="141"/>
      <c r="G3440" s="141"/>
      <c r="H3440" s="140"/>
    </row>
    <row r="3441" spans="1:9" s="65" customFormat="1">
      <c r="A3441" s="146"/>
      <c r="B3441" s="83"/>
      <c r="C3441" s="148"/>
      <c r="D3441" s="84"/>
      <c r="E3441" s="84"/>
      <c r="F3441" s="84"/>
      <c r="G3441" s="144"/>
      <c r="H3441" s="145"/>
    </row>
    <row r="3442" spans="1:9" s="65" customFormat="1">
      <c r="A3442" s="91"/>
      <c r="B3442" s="91"/>
      <c r="C3442" s="91"/>
      <c r="D3442" s="91"/>
      <c r="E3442" s="91"/>
      <c r="G3442" s="104"/>
      <c r="H3442" s="140"/>
    </row>
    <row r="3443" spans="1:9" s="65" customFormat="1">
      <c r="A3443" s="120"/>
      <c r="B3443" s="73"/>
      <c r="C3443" s="73"/>
      <c r="D3443" s="73"/>
      <c r="E3443" s="73"/>
      <c r="G3443" s="121"/>
      <c r="H3443" s="140"/>
    </row>
    <row r="3444" spans="1:9" s="65" customFormat="1">
      <c r="A3444" s="128"/>
      <c r="B3444" s="141"/>
      <c r="C3444" s="141"/>
      <c r="D3444" s="141"/>
      <c r="E3444" s="141"/>
      <c r="F3444" s="141"/>
      <c r="G3444" s="141"/>
      <c r="H3444" s="140"/>
    </row>
    <row r="3445" spans="1:9" s="65" customFormat="1">
      <c r="A3445" s="142"/>
      <c r="B3445" s="143"/>
      <c r="C3445" s="143"/>
      <c r="D3445" s="143"/>
      <c r="E3445" s="143"/>
      <c r="F3445" s="84"/>
      <c r="G3445" s="144"/>
      <c r="H3445" s="145"/>
    </row>
    <row r="3446" spans="1:9" s="65" customFormat="1">
      <c r="A3446" s="123"/>
      <c r="B3446" s="95"/>
      <c r="C3446" s="95"/>
      <c r="D3446" s="95"/>
      <c r="E3446" s="95"/>
      <c r="G3446" s="104"/>
      <c r="H3446" s="121"/>
    </row>
    <row r="3447" spans="1:9" s="65" customFormat="1">
      <c r="A3447" s="123"/>
      <c r="B3447" s="95"/>
      <c r="C3447" s="95"/>
      <c r="D3447" s="95"/>
      <c r="E3447" s="95"/>
      <c r="G3447" s="121"/>
      <c r="H3447" s="133"/>
    </row>
    <row r="3448" spans="1:9" s="65" customFormat="1">
      <c r="B3448" s="97"/>
      <c r="C3448" s="98"/>
      <c r="D3448" s="98"/>
      <c r="E3448" s="98"/>
      <c r="G3448" s="128"/>
    </row>
    <row r="3449" spans="1:9" s="65" customFormat="1">
      <c r="B3449" s="97"/>
      <c r="C3449" s="98"/>
      <c r="D3449" s="98"/>
      <c r="E3449" s="98"/>
      <c r="F3449" s="128"/>
      <c r="G3449" s="133"/>
      <c r="H3449" s="134"/>
    </row>
    <row r="3450" spans="1:9" s="65" customFormat="1">
      <c r="A3450" s="633"/>
      <c r="B3450" s="633"/>
      <c r="C3450" s="633"/>
      <c r="D3450" s="633"/>
      <c r="E3450" s="633"/>
      <c r="F3450" s="633"/>
      <c r="G3450" s="633"/>
    </row>
    <row r="3451" spans="1:9" s="65" customFormat="1">
      <c r="H3451" s="138"/>
      <c r="I3451" s="151"/>
    </row>
    <row r="3452" spans="1:9" s="65" customFormat="1">
      <c r="A3452" s="645"/>
      <c r="B3452" s="138"/>
      <c r="C3452" s="138"/>
      <c r="D3452" s="138"/>
      <c r="E3452" s="138"/>
      <c r="F3452" s="138"/>
      <c r="G3452" s="138"/>
      <c r="H3452" s="138"/>
      <c r="I3452" s="152"/>
    </row>
    <row r="3453" spans="1:9" s="65" customFormat="1">
      <c r="A3453" s="645"/>
      <c r="B3453" s="138"/>
      <c r="C3453" s="138"/>
      <c r="D3453" s="138"/>
      <c r="E3453" s="138"/>
      <c r="F3453" s="138"/>
      <c r="G3453" s="138"/>
    </row>
    <row r="3454" spans="1:9" s="65" customFormat="1">
      <c r="A3454" s="69"/>
      <c r="B3454" s="69"/>
      <c r="C3454" s="69"/>
      <c r="D3454" s="69"/>
      <c r="E3454" s="69"/>
    </row>
    <row r="3455" spans="1:9" s="65" customFormat="1">
      <c r="A3455" s="120"/>
      <c r="B3455" s="73"/>
      <c r="C3455" s="73"/>
      <c r="D3455" s="73"/>
      <c r="E3455" s="73"/>
      <c r="F3455" s="121"/>
      <c r="G3455" s="121"/>
      <c r="H3455" s="121"/>
    </row>
    <row r="3456" spans="1:9" s="65" customFormat="1">
      <c r="A3456" s="128"/>
      <c r="B3456" s="141"/>
      <c r="C3456" s="141"/>
      <c r="D3456" s="141"/>
      <c r="E3456" s="141"/>
      <c r="F3456" s="141"/>
      <c r="G3456" s="141"/>
      <c r="H3456" s="121"/>
    </row>
    <row r="3457" spans="1:8" s="65" customFormat="1">
      <c r="A3457" s="150"/>
      <c r="B3457" s="84"/>
      <c r="C3457" s="148"/>
      <c r="D3457" s="84"/>
      <c r="E3457" s="84"/>
      <c r="F3457" s="84"/>
      <c r="G3457" s="144"/>
      <c r="H3457" s="145"/>
    </row>
    <row r="3458" spans="1:8" s="65" customFormat="1">
      <c r="A3458" s="84"/>
      <c r="B3458" s="83"/>
      <c r="C3458" s="84"/>
      <c r="D3458" s="84"/>
      <c r="E3458" s="84"/>
      <c r="G3458" s="104"/>
      <c r="H3458" s="140"/>
    </row>
    <row r="3459" spans="1:8" s="65" customFormat="1">
      <c r="A3459" s="120"/>
      <c r="B3459" s="73"/>
      <c r="C3459" s="73"/>
      <c r="D3459" s="73"/>
      <c r="E3459" s="73"/>
      <c r="G3459" s="121"/>
      <c r="H3459" s="140"/>
    </row>
    <row r="3460" spans="1:8" s="65" customFormat="1">
      <c r="A3460" s="128"/>
      <c r="B3460" s="141"/>
      <c r="C3460" s="141"/>
      <c r="D3460" s="141"/>
      <c r="E3460" s="141"/>
      <c r="F3460" s="141"/>
      <c r="G3460" s="141"/>
      <c r="H3460" s="140"/>
    </row>
    <row r="3461" spans="1:8" s="65" customFormat="1" ht="16.5">
      <c r="A3461" s="150"/>
      <c r="B3461" s="161"/>
      <c r="C3461" s="148"/>
      <c r="D3461" s="84"/>
      <c r="E3461" s="84"/>
      <c r="F3461" s="84"/>
      <c r="G3461" s="154"/>
      <c r="H3461" s="140"/>
    </row>
    <row r="3462" spans="1:8" s="65" customFormat="1" ht="16.5">
      <c r="A3462" s="150"/>
      <c r="B3462" s="161"/>
      <c r="C3462" s="148"/>
      <c r="D3462" s="84"/>
      <c r="E3462" s="84"/>
      <c r="F3462" s="84"/>
      <c r="G3462" s="154"/>
      <c r="H3462" s="140"/>
    </row>
    <row r="3463" spans="1:8" s="65" customFormat="1" ht="16.5">
      <c r="A3463" s="150"/>
      <c r="B3463" s="161"/>
      <c r="C3463" s="148"/>
      <c r="D3463" s="84"/>
      <c r="E3463" s="84"/>
      <c r="F3463" s="84"/>
      <c r="G3463" s="154"/>
      <c r="H3463" s="145"/>
    </row>
    <row r="3464" spans="1:8" s="65" customFormat="1">
      <c r="A3464" s="91"/>
      <c r="B3464" s="91"/>
      <c r="C3464" s="91"/>
      <c r="D3464" s="91"/>
      <c r="E3464" s="91"/>
      <c r="G3464" s="104"/>
      <c r="H3464" s="140"/>
    </row>
    <row r="3465" spans="1:8" s="65" customFormat="1">
      <c r="A3465" s="120"/>
      <c r="B3465" s="73"/>
      <c r="C3465" s="73"/>
      <c r="D3465" s="73"/>
      <c r="E3465" s="73"/>
      <c r="G3465" s="121"/>
      <c r="H3465" s="140"/>
    </row>
    <row r="3466" spans="1:8" s="65" customFormat="1">
      <c r="A3466" s="128"/>
      <c r="B3466" s="141"/>
      <c r="C3466" s="141"/>
      <c r="D3466" s="141"/>
      <c r="E3466" s="141"/>
      <c r="F3466" s="141"/>
      <c r="G3466" s="141"/>
      <c r="H3466" s="140"/>
    </row>
    <row r="3467" spans="1:8" s="65" customFormat="1">
      <c r="A3467" s="146"/>
      <c r="B3467" s="83"/>
      <c r="C3467" s="148"/>
      <c r="D3467" s="84"/>
      <c r="E3467" s="84"/>
      <c r="F3467" s="84"/>
      <c r="G3467" s="144"/>
      <c r="H3467" s="145"/>
    </row>
    <row r="3468" spans="1:8" s="65" customFormat="1">
      <c r="A3468" s="91"/>
      <c r="B3468" s="91"/>
      <c r="C3468" s="91"/>
      <c r="D3468" s="91"/>
      <c r="E3468" s="91"/>
      <c r="G3468" s="104"/>
      <c r="H3468" s="140"/>
    </row>
    <row r="3469" spans="1:8" s="65" customFormat="1">
      <c r="A3469" s="120"/>
      <c r="B3469" s="73"/>
      <c r="C3469" s="73"/>
      <c r="D3469" s="73"/>
      <c r="E3469" s="73"/>
      <c r="G3469" s="121"/>
      <c r="H3469" s="140"/>
    </row>
    <row r="3470" spans="1:8" s="65" customFormat="1">
      <c r="A3470" s="128"/>
      <c r="B3470" s="141"/>
      <c r="C3470" s="141"/>
      <c r="D3470" s="141"/>
      <c r="E3470" s="141"/>
      <c r="F3470" s="141"/>
      <c r="G3470" s="141"/>
      <c r="H3470" s="140"/>
    </row>
    <row r="3471" spans="1:8" s="65" customFormat="1">
      <c r="A3471" s="142"/>
      <c r="B3471" s="143"/>
      <c r="C3471" s="143"/>
      <c r="D3471" s="143"/>
      <c r="E3471" s="143"/>
      <c r="F3471" s="84"/>
      <c r="G3471" s="144"/>
      <c r="H3471" s="145"/>
    </row>
    <row r="3472" spans="1:8" s="65" customFormat="1">
      <c r="A3472" s="123"/>
      <c r="B3472" s="95"/>
      <c r="C3472" s="95"/>
      <c r="D3472" s="95"/>
      <c r="E3472" s="95"/>
      <c r="G3472" s="104"/>
      <c r="H3472" s="121"/>
    </row>
    <row r="3473" spans="1:9" s="65" customFormat="1">
      <c r="A3473" s="123"/>
      <c r="B3473" s="95"/>
      <c r="C3473" s="95"/>
      <c r="D3473" s="95"/>
      <c r="E3473" s="95"/>
      <c r="G3473" s="121"/>
      <c r="H3473" s="133"/>
    </row>
    <row r="3474" spans="1:9" s="65" customFormat="1">
      <c r="B3474" s="97"/>
      <c r="C3474" s="98"/>
      <c r="D3474" s="98"/>
      <c r="E3474" s="98"/>
      <c r="G3474" s="128"/>
    </row>
    <row r="3475" spans="1:9" s="65" customFormat="1">
      <c r="B3475" s="97"/>
      <c r="C3475" s="98"/>
      <c r="D3475" s="98"/>
      <c r="E3475" s="98"/>
      <c r="F3475" s="128"/>
      <c r="G3475" s="133"/>
      <c r="H3475" s="134"/>
    </row>
    <row r="3476" spans="1:9" s="65" customFormat="1">
      <c r="A3476" s="633"/>
      <c r="B3476" s="633"/>
      <c r="C3476" s="633"/>
      <c r="D3476" s="633"/>
      <c r="E3476" s="633"/>
      <c r="F3476" s="633"/>
      <c r="G3476" s="633"/>
    </row>
    <row r="3477" spans="1:9" s="65" customFormat="1">
      <c r="H3477" s="138"/>
      <c r="I3477" s="151"/>
    </row>
    <row r="3478" spans="1:9" s="65" customFormat="1">
      <c r="A3478" s="645"/>
      <c r="B3478" s="138"/>
      <c r="C3478" s="138"/>
      <c r="D3478" s="138"/>
      <c r="E3478" s="138"/>
      <c r="F3478" s="138"/>
      <c r="G3478" s="138"/>
      <c r="H3478" s="138"/>
      <c r="I3478" s="152"/>
    </row>
    <row r="3479" spans="1:9" s="65" customFormat="1">
      <c r="A3479" s="645"/>
      <c r="B3479" s="138"/>
      <c r="C3479" s="138"/>
      <c r="D3479" s="138"/>
      <c r="E3479" s="138"/>
      <c r="F3479" s="138"/>
      <c r="G3479" s="138"/>
    </row>
    <row r="3480" spans="1:9" s="65" customFormat="1">
      <c r="A3480" s="69"/>
      <c r="B3480" s="69"/>
      <c r="C3480" s="69"/>
      <c r="D3480" s="69"/>
      <c r="E3480" s="69"/>
    </row>
    <row r="3481" spans="1:9" s="65" customFormat="1">
      <c r="A3481" s="120"/>
      <c r="B3481" s="73"/>
      <c r="C3481" s="73"/>
      <c r="D3481" s="73"/>
      <c r="E3481" s="73"/>
      <c r="F3481" s="121"/>
      <c r="G3481" s="121"/>
      <c r="H3481" s="121"/>
    </row>
    <row r="3482" spans="1:9" s="65" customFormat="1">
      <c r="A3482" s="128"/>
      <c r="B3482" s="141"/>
      <c r="C3482" s="141"/>
      <c r="D3482" s="141"/>
      <c r="E3482" s="141"/>
      <c r="F3482" s="141"/>
      <c r="G3482" s="141"/>
      <c r="H3482" s="121"/>
    </row>
    <row r="3483" spans="1:9" s="65" customFormat="1" ht="16.5">
      <c r="A3483" s="150"/>
      <c r="B3483" s="161"/>
      <c r="C3483" s="148"/>
      <c r="D3483" s="84"/>
      <c r="E3483" s="84"/>
      <c r="F3483" s="84"/>
      <c r="G3483" s="154"/>
      <c r="H3483" s="121"/>
    </row>
    <row r="3484" spans="1:9" s="65" customFormat="1" ht="16.5">
      <c r="A3484" s="150"/>
      <c r="B3484" s="161"/>
      <c r="C3484" s="148"/>
      <c r="D3484" s="84"/>
      <c r="E3484" s="84"/>
      <c r="F3484" s="84"/>
      <c r="G3484" s="154"/>
      <c r="H3484" s="145"/>
    </row>
    <row r="3485" spans="1:9" s="65" customFormat="1">
      <c r="A3485" s="84"/>
      <c r="B3485" s="83"/>
      <c r="C3485" s="84"/>
      <c r="D3485" s="84"/>
      <c r="E3485" s="84"/>
      <c r="G3485" s="104"/>
      <c r="H3485" s="140"/>
    </row>
    <row r="3486" spans="1:9" s="65" customFormat="1">
      <c r="A3486" s="120"/>
      <c r="B3486" s="73"/>
      <c r="C3486" s="73"/>
      <c r="D3486" s="73"/>
      <c r="E3486" s="73"/>
      <c r="G3486" s="121"/>
      <c r="H3486" s="140"/>
    </row>
    <row r="3487" spans="1:9" s="65" customFormat="1">
      <c r="A3487" s="128"/>
      <c r="B3487" s="141"/>
      <c r="C3487" s="141"/>
      <c r="D3487" s="141"/>
      <c r="E3487" s="141"/>
      <c r="F3487" s="141"/>
      <c r="G3487" s="141"/>
      <c r="H3487" s="140"/>
    </row>
    <row r="3488" spans="1:9" s="65" customFormat="1" ht="16.5">
      <c r="A3488" s="150"/>
      <c r="B3488" s="161"/>
      <c r="C3488" s="148"/>
      <c r="D3488" s="84"/>
      <c r="E3488" s="84"/>
      <c r="F3488" s="84"/>
      <c r="G3488" s="154"/>
      <c r="H3488" s="140"/>
    </row>
    <row r="3489" spans="1:8" s="65" customFormat="1" ht="16.5">
      <c r="A3489" s="150"/>
      <c r="B3489" s="161"/>
      <c r="C3489" s="148"/>
      <c r="D3489" s="84"/>
      <c r="E3489" s="84"/>
      <c r="F3489" s="84"/>
      <c r="G3489" s="154"/>
      <c r="H3489" s="140"/>
    </row>
    <row r="3490" spans="1:8" s="65" customFormat="1" ht="16.5">
      <c r="A3490" s="150"/>
      <c r="B3490" s="161"/>
      <c r="C3490" s="148"/>
      <c r="D3490" s="84"/>
      <c r="E3490" s="84"/>
      <c r="F3490" s="84"/>
      <c r="G3490" s="154"/>
      <c r="H3490" s="140"/>
    </row>
    <row r="3491" spans="1:8" s="65" customFormat="1" ht="16.5">
      <c r="A3491" s="150"/>
      <c r="B3491" s="161"/>
      <c r="C3491" s="148"/>
      <c r="D3491" s="84"/>
      <c r="E3491" s="84"/>
      <c r="F3491" s="84"/>
      <c r="G3491" s="154"/>
      <c r="H3491" s="140"/>
    </row>
    <row r="3492" spans="1:8" s="65" customFormat="1" ht="16.5">
      <c r="A3492" s="150"/>
      <c r="B3492" s="161"/>
      <c r="C3492" s="148"/>
      <c r="D3492" s="84"/>
      <c r="E3492" s="84"/>
      <c r="F3492" s="84"/>
      <c r="G3492" s="154"/>
      <c r="H3492" s="140"/>
    </row>
    <row r="3493" spans="1:8" s="65" customFormat="1" ht="16.5">
      <c r="A3493" s="150"/>
      <c r="B3493" s="161"/>
      <c r="C3493" s="148"/>
      <c r="D3493" s="84"/>
      <c r="E3493" s="84"/>
      <c r="F3493" s="84"/>
      <c r="G3493" s="154"/>
      <c r="H3493" s="140"/>
    </row>
    <row r="3494" spans="1:8" s="65" customFormat="1" ht="16.5">
      <c r="A3494" s="150"/>
      <c r="B3494" s="161"/>
      <c r="C3494" s="148"/>
      <c r="D3494" s="84"/>
      <c r="E3494" s="84"/>
      <c r="F3494" s="84"/>
      <c r="G3494" s="154"/>
      <c r="H3494" s="145"/>
    </row>
    <row r="3495" spans="1:8" s="65" customFormat="1">
      <c r="A3495" s="91"/>
      <c r="B3495" s="91"/>
      <c r="C3495" s="91"/>
      <c r="D3495" s="91"/>
      <c r="E3495" s="91"/>
      <c r="G3495" s="104"/>
      <c r="H3495" s="140"/>
    </row>
    <row r="3496" spans="1:8" s="65" customFormat="1">
      <c r="A3496" s="120"/>
      <c r="B3496" s="73"/>
      <c r="C3496" s="73"/>
      <c r="D3496" s="73"/>
      <c r="E3496" s="73"/>
      <c r="G3496" s="121"/>
      <c r="H3496" s="140"/>
    </row>
    <row r="3497" spans="1:8" s="65" customFormat="1">
      <c r="A3497" s="128"/>
      <c r="B3497" s="141"/>
      <c r="C3497" s="141"/>
      <c r="D3497" s="141"/>
      <c r="E3497" s="141"/>
      <c r="F3497" s="141"/>
      <c r="G3497" s="141"/>
      <c r="H3497" s="140"/>
    </row>
    <row r="3498" spans="1:8" s="65" customFormat="1">
      <c r="A3498" s="146"/>
      <c r="B3498" s="83"/>
      <c r="C3498" s="148"/>
      <c r="D3498" s="84"/>
      <c r="E3498" s="84"/>
      <c r="F3498" s="84"/>
      <c r="G3498" s="144"/>
      <c r="H3498" s="140"/>
    </row>
    <row r="3499" spans="1:8" s="65" customFormat="1">
      <c r="A3499" s="146"/>
      <c r="B3499" s="83"/>
      <c r="C3499" s="148"/>
      <c r="D3499" s="84"/>
      <c r="E3499" s="84"/>
      <c r="F3499" s="84"/>
      <c r="G3499" s="144"/>
      <c r="H3499" s="145"/>
    </row>
    <row r="3500" spans="1:8" s="65" customFormat="1">
      <c r="A3500" s="91"/>
      <c r="B3500" s="91"/>
      <c r="C3500" s="91"/>
      <c r="D3500" s="91"/>
      <c r="E3500" s="91"/>
      <c r="G3500" s="104"/>
      <c r="H3500" s="140"/>
    </row>
    <row r="3501" spans="1:8" s="65" customFormat="1">
      <c r="A3501" s="120"/>
      <c r="B3501" s="73"/>
      <c r="C3501" s="73"/>
      <c r="D3501" s="73"/>
      <c r="E3501" s="73"/>
      <c r="G3501" s="121"/>
      <c r="H3501" s="140"/>
    </row>
    <row r="3502" spans="1:8" s="65" customFormat="1">
      <c r="A3502" s="128"/>
      <c r="B3502" s="141"/>
      <c r="C3502" s="141"/>
      <c r="D3502" s="141"/>
      <c r="E3502" s="141"/>
      <c r="F3502" s="141"/>
      <c r="G3502" s="141"/>
      <c r="H3502" s="140"/>
    </row>
    <row r="3503" spans="1:8" s="65" customFormat="1">
      <c r="A3503" s="142"/>
      <c r="B3503" s="143"/>
      <c r="C3503" s="143"/>
      <c r="D3503" s="143"/>
      <c r="E3503" s="143"/>
      <c r="F3503" s="84"/>
      <c r="G3503" s="144"/>
      <c r="H3503" s="145"/>
    </row>
    <row r="3504" spans="1:8" s="65" customFormat="1">
      <c r="A3504" s="123"/>
      <c r="B3504" s="95"/>
      <c r="C3504" s="95"/>
      <c r="D3504" s="95"/>
      <c r="E3504" s="95"/>
      <c r="G3504" s="104"/>
      <c r="H3504" s="121"/>
    </row>
    <row r="3505" spans="1:9" s="65" customFormat="1">
      <c r="A3505" s="123"/>
      <c r="B3505" s="95"/>
      <c r="C3505" s="95"/>
      <c r="D3505" s="95"/>
      <c r="E3505" s="95"/>
      <c r="G3505" s="121"/>
      <c r="H3505" s="133"/>
    </row>
    <row r="3506" spans="1:9" s="65" customFormat="1">
      <c r="B3506" s="97"/>
      <c r="C3506" s="98"/>
      <c r="D3506" s="98"/>
      <c r="E3506" s="98"/>
      <c r="G3506" s="128"/>
    </row>
    <row r="3507" spans="1:9" s="65" customFormat="1">
      <c r="B3507" s="97"/>
      <c r="C3507" s="98"/>
      <c r="D3507" s="98"/>
      <c r="E3507" s="98"/>
      <c r="F3507" s="128"/>
      <c r="G3507" s="133"/>
      <c r="H3507" s="134"/>
    </row>
    <row r="3508" spans="1:9" s="65" customFormat="1">
      <c r="A3508" s="633"/>
      <c r="B3508" s="633"/>
      <c r="C3508" s="633"/>
      <c r="D3508" s="633"/>
      <c r="E3508" s="633"/>
      <c r="F3508" s="633"/>
      <c r="G3508" s="633"/>
    </row>
    <row r="3509" spans="1:9" s="65" customFormat="1">
      <c r="H3509" s="138"/>
      <c r="I3509" s="151"/>
    </row>
    <row r="3510" spans="1:9" s="65" customFormat="1">
      <c r="A3510" s="645"/>
      <c r="B3510" s="138"/>
      <c r="C3510" s="138"/>
      <c r="D3510" s="138"/>
      <c r="E3510" s="138"/>
      <c r="F3510" s="138"/>
      <c r="G3510" s="138"/>
      <c r="H3510" s="138"/>
      <c r="I3510" s="152"/>
    </row>
    <row r="3511" spans="1:9" s="65" customFormat="1">
      <c r="A3511" s="645"/>
      <c r="B3511" s="138"/>
      <c r="C3511" s="138"/>
      <c r="D3511" s="138"/>
      <c r="E3511" s="138"/>
      <c r="F3511" s="138"/>
      <c r="G3511" s="138"/>
    </row>
    <row r="3512" spans="1:9" s="65" customFormat="1">
      <c r="A3512" s="69"/>
      <c r="B3512" s="69"/>
      <c r="C3512" s="69"/>
      <c r="D3512" s="69"/>
      <c r="E3512" s="69"/>
    </row>
    <row r="3513" spans="1:9" s="65" customFormat="1">
      <c r="A3513" s="120"/>
      <c r="B3513" s="73"/>
      <c r="C3513" s="73"/>
      <c r="D3513" s="73"/>
      <c r="E3513" s="73"/>
      <c r="F3513" s="121"/>
      <c r="G3513" s="121"/>
      <c r="H3513" s="121"/>
    </row>
    <row r="3514" spans="1:9" s="65" customFormat="1">
      <c r="A3514" s="128"/>
      <c r="B3514" s="141"/>
      <c r="C3514" s="141"/>
      <c r="D3514" s="141"/>
      <c r="E3514" s="141"/>
      <c r="F3514" s="141"/>
      <c r="G3514" s="141"/>
      <c r="H3514" s="121"/>
    </row>
    <row r="3515" spans="1:9" s="65" customFormat="1">
      <c r="A3515" s="150"/>
      <c r="B3515" s="83"/>
      <c r="C3515" s="148"/>
      <c r="D3515" s="84"/>
      <c r="E3515" s="84"/>
      <c r="F3515" s="84"/>
      <c r="G3515" s="144"/>
      <c r="H3515" s="145"/>
    </row>
    <row r="3516" spans="1:9" s="65" customFormat="1">
      <c r="A3516" s="84"/>
      <c r="B3516" s="83"/>
      <c r="C3516" s="84"/>
      <c r="D3516" s="84"/>
      <c r="E3516" s="84"/>
      <c r="G3516" s="104"/>
      <c r="H3516" s="140"/>
    </row>
    <row r="3517" spans="1:9" s="65" customFormat="1">
      <c r="A3517" s="120"/>
      <c r="B3517" s="73"/>
      <c r="C3517" s="73"/>
      <c r="D3517" s="73"/>
      <c r="E3517" s="73"/>
      <c r="G3517" s="121"/>
      <c r="H3517" s="140"/>
    </row>
    <row r="3518" spans="1:9" s="65" customFormat="1">
      <c r="A3518" s="128"/>
      <c r="B3518" s="141"/>
      <c r="C3518" s="141"/>
      <c r="D3518" s="141"/>
      <c r="E3518" s="141"/>
      <c r="F3518" s="141"/>
      <c r="G3518" s="141"/>
      <c r="H3518" s="140"/>
    </row>
    <row r="3519" spans="1:9" s="65" customFormat="1" ht="16.5">
      <c r="A3519" s="150"/>
      <c r="B3519" s="163"/>
      <c r="C3519" s="148"/>
      <c r="D3519" s="160"/>
      <c r="E3519" s="84"/>
      <c r="F3519" s="84"/>
      <c r="G3519" s="144"/>
      <c r="H3519" s="145"/>
    </row>
    <row r="3520" spans="1:9" s="65" customFormat="1">
      <c r="A3520" s="91"/>
      <c r="B3520" s="91"/>
      <c r="C3520" s="91"/>
      <c r="D3520" s="91"/>
      <c r="E3520" s="91"/>
      <c r="G3520" s="104"/>
      <c r="H3520" s="140"/>
    </row>
    <row r="3521" spans="1:9" s="65" customFormat="1">
      <c r="A3521" s="120"/>
      <c r="B3521" s="73"/>
      <c r="C3521" s="73"/>
      <c r="D3521" s="73"/>
      <c r="E3521" s="73"/>
      <c r="G3521" s="121"/>
      <c r="H3521" s="140"/>
    </row>
    <row r="3522" spans="1:9" s="65" customFormat="1">
      <c r="A3522" s="128"/>
      <c r="B3522" s="141"/>
      <c r="C3522" s="141"/>
      <c r="D3522" s="141"/>
      <c r="E3522" s="141"/>
      <c r="F3522" s="141"/>
      <c r="G3522" s="141"/>
      <c r="H3522" s="140"/>
    </row>
    <row r="3523" spans="1:9" s="65" customFormat="1">
      <c r="A3523" s="146"/>
      <c r="B3523" s="83"/>
      <c r="C3523" s="148"/>
      <c r="D3523" s="84"/>
      <c r="E3523" s="84"/>
      <c r="F3523" s="84"/>
      <c r="G3523" s="144"/>
      <c r="H3523" s="145"/>
    </row>
    <row r="3524" spans="1:9" s="65" customFormat="1">
      <c r="A3524" s="91"/>
      <c r="B3524" s="91"/>
      <c r="C3524" s="91"/>
      <c r="D3524" s="91"/>
      <c r="E3524" s="91"/>
      <c r="G3524" s="104"/>
      <c r="H3524" s="140"/>
    </row>
    <row r="3525" spans="1:9" s="65" customFormat="1">
      <c r="A3525" s="120"/>
      <c r="B3525" s="73"/>
      <c r="C3525" s="73"/>
      <c r="D3525" s="73"/>
      <c r="E3525" s="73"/>
      <c r="G3525" s="121"/>
      <c r="H3525" s="140"/>
    </row>
    <row r="3526" spans="1:9" s="65" customFormat="1">
      <c r="A3526" s="128"/>
      <c r="B3526" s="141"/>
      <c r="C3526" s="141"/>
      <c r="D3526" s="141"/>
      <c r="E3526" s="141"/>
      <c r="F3526" s="141"/>
      <c r="G3526" s="141"/>
      <c r="H3526" s="140"/>
    </row>
    <row r="3527" spans="1:9" s="65" customFormat="1">
      <c r="A3527" s="142"/>
      <c r="B3527" s="143"/>
      <c r="C3527" s="143"/>
      <c r="D3527" s="143"/>
      <c r="E3527" s="143"/>
      <c r="F3527" s="84"/>
      <c r="G3527" s="144"/>
      <c r="H3527" s="145"/>
    </row>
    <row r="3528" spans="1:9" s="65" customFormat="1">
      <c r="A3528" s="123"/>
      <c r="B3528" s="95"/>
      <c r="C3528" s="95"/>
      <c r="D3528" s="95"/>
      <c r="E3528" s="95"/>
      <c r="G3528" s="104"/>
      <c r="H3528" s="121"/>
    </row>
    <row r="3529" spans="1:9" s="65" customFormat="1">
      <c r="A3529" s="123"/>
      <c r="B3529" s="95"/>
      <c r="C3529" s="95"/>
      <c r="D3529" s="95"/>
      <c r="E3529" s="95"/>
      <c r="G3529" s="121"/>
      <c r="H3529" s="133"/>
    </row>
    <row r="3530" spans="1:9" s="65" customFormat="1">
      <c r="B3530" s="97"/>
      <c r="C3530" s="98"/>
      <c r="D3530" s="98"/>
      <c r="E3530" s="98"/>
      <c r="G3530" s="128"/>
    </row>
    <row r="3531" spans="1:9" s="65" customFormat="1">
      <c r="B3531" s="97"/>
      <c r="C3531" s="98"/>
      <c r="D3531" s="98"/>
      <c r="E3531" s="98"/>
      <c r="F3531" s="128"/>
      <c r="G3531" s="133"/>
      <c r="H3531" s="134"/>
    </row>
    <row r="3532" spans="1:9" s="65" customFormat="1">
      <c r="A3532" s="633"/>
      <c r="B3532" s="633"/>
      <c r="C3532" s="633"/>
      <c r="D3532" s="633"/>
      <c r="E3532" s="633"/>
      <c r="F3532" s="633"/>
      <c r="G3532" s="633"/>
    </row>
    <row r="3533" spans="1:9" s="65" customFormat="1">
      <c r="H3533" s="138"/>
      <c r="I3533" s="151"/>
    </row>
    <row r="3534" spans="1:9" s="65" customFormat="1">
      <c r="A3534" s="645"/>
      <c r="B3534" s="138"/>
      <c r="C3534" s="138"/>
      <c r="D3534" s="138"/>
      <c r="E3534" s="138"/>
      <c r="F3534" s="138"/>
      <c r="G3534" s="138"/>
      <c r="H3534" s="138"/>
      <c r="I3534" s="152"/>
    </row>
    <row r="3535" spans="1:9" s="65" customFormat="1">
      <c r="A3535" s="645"/>
      <c r="B3535" s="138"/>
      <c r="C3535" s="138"/>
      <c r="D3535" s="138"/>
      <c r="E3535" s="138"/>
      <c r="F3535" s="138"/>
      <c r="G3535" s="138"/>
    </row>
    <row r="3536" spans="1:9" s="65" customFormat="1">
      <c r="A3536" s="69"/>
      <c r="B3536" s="69"/>
      <c r="C3536" s="69"/>
      <c r="D3536" s="69"/>
      <c r="E3536" s="69"/>
    </row>
    <row r="3537" spans="1:8" s="65" customFormat="1">
      <c r="A3537" s="120"/>
      <c r="B3537" s="73"/>
      <c r="C3537" s="73"/>
      <c r="D3537" s="73"/>
      <c r="E3537" s="73"/>
      <c r="F3537" s="121"/>
      <c r="G3537" s="121"/>
      <c r="H3537" s="121"/>
    </row>
    <row r="3538" spans="1:8" s="65" customFormat="1">
      <c r="A3538" s="128"/>
      <c r="B3538" s="141"/>
      <c r="C3538" s="141"/>
      <c r="D3538" s="141"/>
      <c r="E3538" s="141"/>
      <c r="F3538" s="141"/>
      <c r="G3538" s="141"/>
      <c r="H3538" s="121"/>
    </row>
    <row r="3539" spans="1:8" s="65" customFormat="1">
      <c r="A3539" s="150"/>
      <c r="B3539" s="83"/>
      <c r="C3539" s="148"/>
      <c r="D3539" s="84"/>
      <c r="E3539" s="84"/>
      <c r="F3539" s="84"/>
      <c r="G3539" s="144"/>
      <c r="H3539" s="145"/>
    </row>
    <row r="3540" spans="1:8" s="65" customFormat="1">
      <c r="A3540" s="84"/>
      <c r="B3540" s="83"/>
      <c r="C3540" s="84"/>
      <c r="D3540" s="84"/>
      <c r="E3540" s="84"/>
      <c r="G3540" s="104"/>
      <c r="H3540" s="140"/>
    </row>
    <row r="3541" spans="1:8" s="65" customFormat="1">
      <c r="A3541" s="120"/>
      <c r="B3541" s="73"/>
      <c r="C3541" s="73"/>
      <c r="D3541" s="73"/>
      <c r="E3541" s="73"/>
      <c r="G3541" s="121"/>
      <c r="H3541" s="140"/>
    </row>
    <row r="3542" spans="1:8" s="65" customFormat="1">
      <c r="A3542" s="128"/>
      <c r="B3542" s="141"/>
      <c r="C3542" s="141"/>
      <c r="D3542" s="141"/>
      <c r="E3542" s="141"/>
      <c r="F3542" s="141"/>
      <c r="G3542" s="141"/>
      <c r="H3542" s="140"/>
    </row>
    <row r="3543" spans="1:8" s="65" customFormat="1" ht="16.5">
      <c r="A3543" s="150"/>
      <c r="B3543" s="161"/>
      <c r="C3543" s="148"/>
      <c r="D3543" s="160"/>
      <c r="E3543" s="84"/>
      <c r="F3543" s="84"/>
      <c r="G3543" s="144"/>
      <c r="H3543" s="145"/>
    </row>
    <row r="3544" spans="1:8" s="65" customFormat="1">
      <c r="A3544" s="91"/>
      <c r="B3544" s="91"/>
      <c r="C3544" s="91"/>
      <c r="D3544" s="91"/>
      <c r="E3544" s="91"/>
      <c r="G3544" s="104"/>
      <c r="H3544" s="140"/>
    </row>
    <row r="3545" spans="1:8" s="65" customFormat="1">
      <c r="A3545" s="120"/>
      <c r="B3545" s="73"/>
      <c r="C3545" s="73"/>
      <c r="D3545" s="73"/>
      <c r="E3545" s="73"/>
      <c r="G3545" s="121"/>
      <c r="H3545" s="140"/>
    </row>
    <row r="3546" spans="1:8" s="65" customFormat="1">
      <c r="A3546" s="128"/>
      <c r="B3546" s="141"/>
      <c r="C3546" s="141"/>
      <c r="D3546" s="141"/>
      <c r="E3546" s="141"/>
      <c r="F3546" s="141"/>
      <c r="G3546" s="141"/>
      <c r="H3546" s="140"/>
    </row>
    <row r="3547" spans="1:8" s="65" customFormat="1">
      <c r="A3547" s="146"/>
      <c r="B3547" s="83"/>
      <c r="C3547" s="148"/>
      <c r="D3547" s="84"/>
      <c r="E3547" s="84"/>
      <c r="F3547" s="84"/>
      <c r="G3547" s="144"/>
      <c r="H3547" s="145"/>
    </row>
    <row r="3548" spans="1:8" s="65" customFormat="1">
      <c r="A3548" s="91"/>
      <c r="B3548" s="91"/>
      <c r="C3548" s="91"/>
      <c r="D3548" s="91"/>
      <c r="E3548" s="91"/>
      <c r="G3548" s="104"/>
      <c r="H3548" s="140"/>
    </row>
    <row r="3549" spans="1:8" s="65" customFormat="1">
      <c r="A3549" s="120"/>
      <c r="B3549" s="73"/>
      <c r="C3549" s="73"/>
      <c r="D3549" s="73"/>
      <c r="E3549" s="73"/>
      <c r="G3549" s="121"/>
      <c r="H3549" s="140"/>
    </row>
    <row r="3550" spans="1:8" s="65" customFormat="1">
      <c r="A3550" s="128"/>
      <c r="B3550" s="141"/>
      <c r="C3550" s="141"/>
      <c r="D3550" s="141"/>
      <c r="E3550" s="141"/>
      <c r="F3550" s="141"/>
      <c r="G3550" s="141"/>
      <c r="H3550" s="140"/>
    </row>
    <row r="3551" spans="1:8" s="65" customFormat="1">
      <c r="A3551" s="142"/>
      <c r="B3551" s="143"/>
      <c r="C3551" s="143"/>
      <c r="D3551" s="143"/>
      <c r="E3551" s="143"/>
      <c r="F3551" s="84"/>
      <c r="G3551" s="144"/>
      <c r="H3551" s="145"/>
    </row>
    <row r="3552" spans="1:8" s="65" customFormat="1">
      <c r="A3552" s="123"/>
      <c r="B3552" s="95"/>
      <c r="C3552" s="95"/>
      <c r="D3552" s="95"/>
      <c r="E3552" s="95"/>
      <c r="G3552" s="104"/>
      <c r="H3552" s="121"/>
    </row>
    <row r="3553" spans="1:9" s="65" customFormat="1">
      <c r="A3553" s="123"/>
      <c r="B3553" s="95"/>
      <c r="C3553" s="95"/>
      <c r="D3553" s="95"/>
      <c r="E3553" s="95"/>
      <c r="G3553" s="121"/>
      <c r="H3553" s="133"/>
    </row>
    <row r="3554" spans="1:9" s="65" customFormat="1">
      <c r="B3554" s="97"/>
      <c r="C3554" s="98"/>
      <c r="D3554" s="98"/>
      <c r="E3554" s="98"/>
      <c r="G3554" s="128"/>
    </row>
    <row r="3555" spans="1:9" s="65" customFormat="1">
      <c r="B3555" s="97"/>
      <c r="C3555" s="98"/>
      <c r="D3555" s="98"/>
      <c r="E3555" s="98"/>
      <c r="F3555" s="128"/>
      <c r="G3555" s="133"/>
      <c r="H3555" s="134"/>
    </row>
    <row r="3556" spans="1:9" s="65" customFormat="1">
      <c r="A3556" s="633"/>
      <c r="B3556" s="633"/>
      <c r="C3556" s="633"/>
      <c r="D3556" s="633"/>
      <c r="E3556" s="633"/>
      <c r="F3556" s="633"/>
      <c r="G3556" s="633"/>
    </row>
    <row r="3557" spans="1:9" s="65" customFormat="1">
      <c r="H3557" s="138"/>
      <c r="I3557" s="151"/>
    </row>
    <row r="3558" spans="1:9" s="65" customFormat="1">
      <c r="A3558" s="645"/>
      <c r="B3558" s="138"/>
      <c r="C3558" s="138"/>
      <c r="D3558" s="138"/>
      <c r="E3558" s="138"/>
      <c r="F3558" s="138"/>
      <c r="G3558" s="138"/>
      <c r="H3558" s="138"/>
      <c r="I3558" s="152"/>
    </row>
    <row r="3559" spans="1:9" s="65" customFormat="1">
      <c r="A3559" s="645"/>
      <c r="B3559" s="138"/>
      <c r="C3559" s="138"/>
      <c r="D3559" s="138"/>
      <c r="E3559" s="138"/>
      <c r="F3559" s="138"/>
      <c r="G3559" s="138"/>
    </row>
    <row r="3560" spans="1:9" s="65" customFormat="1">
      <c r="A3560" s="69"/>
      <c r="B3560" s="69"/>
      <c r="C3560" s="69"/>
      <c r="D3560" s="69"/>
      <c r="E3560" s="69"/>
    </row>
    <row r="3561" spans="1:9" s="65" customFormat="1">
      <c r="A3561" s="120"/>
      <c r="B3561" s="73"/>
      <c r="C3561" s="73"/>
      <c r="D3561" s="73"/>
      <c r="E3561" s="73"/>
      <c r="F3561" s="121"/>
      <c r="G3561" s="121"/>
      <c r="H3561" s="121"/>
    </row>
    <row r="3562" spans="1:9" s="65" customFormat="1">
      <c r="A3562" s="128"/>
      <c r="B3562" s="141"/>
      <c r="C3562" s="141"/>
      <c r="D3562" s="141"/>
      <c r="E3562" s="141"/>
      <c r="F3562" s="141"/>
      <c r="G3562" s="141"/>
      <c r="H3562" s="121"/>
    </row>
    <row r="3563" spans="1:9" s="65" customFormat="1">
      <c r="A3563" s="150"/>
      <c r="B3563" s="83"/>
      <c r="C3563" s="148"/>
      <c r="D3563" s="84"/>
      <c r="E3563" s="84"/>
      <c r="F3563" s="84"/>
      <c r="G3563" s="144"/>
      <c r="H3563" s="145"/>
    </row>
    <row r="3564" spans="1:9" s="65" customFormat="1">
      <c r="A3564" s="84"/>
      <c r="B3564" s="83"/>
      <c r="C3564" s="84"/>
      <c r="D3564" s="84"/>
      <c r="E3564" s="84"/>
      <c r="G3564" s="104"/>
      <c r="H3564" s="140"/>
    </row>
    <row r="3565" spans="1:9" s="65" customFormat="1">
      <c r="A3565" s="120"/>
      <c r="B3565" s="73"/>
      <c r="C3565" s="73"/>
      <c r="D3565" s="73"/>
      <c r="E3565" s="73"/>
      <c r="G3565" s="121"/>
      <c r="H3565" s="140"/>
    </row>
    <row r="3566" spans="1:9" s="65" customFormat="1">
      <c r="A3566" s="128"/>
      <c r="B3566" s="141"/>
      <c r="C3566" s="141"/>
      <c r="D3566" s="141"/>
      <c r="E3566" s="141"/>
      <c r="F3566" s="141"/>
      <c r="G3566" s="141"/>
      <c r="H3566" s="140"/>
    </row>
    <row r="3567" spans="1:9" s="65" customFormat="1" ht="16.5">
      <c r="A3567" s="150"/>
      <c r="B3567" s="161"/>
      <c r="C3567" s="148"/>
      <c r="D3567" s="160"/>
      <c r="E3567" s="84"/>
      <c r="F3567" s="84"/>
      <c r="G3567" s="144"/>
      <c r="H3567" s="145"/>
    </row>
    <row r="3568" spans="1:9" s="65" customFormat="1">
      <c r="A3568" s="91"/>
      <c r="B3568" s="91"/>
      <c r="C3568" s="91"/>
      <c r="D3568" s="91"/>
      <c r="E3568" s="91"/>
      <c r="G3568" s="104"/>
      <c r="H3568" s="140"/>
    </row>
    <row r="3569" spans="1:9" s="65" customFormat="1">
      <c r="A3569" s="120"/>
      <c r="B3569" s="73"/>
      <c r="C3569" s="73"/>
      <c r="D3569" s="73"/>
      <c r="E3569" s="73"/>
      <c r="G3569" s="121"/>
      <c r="H3569" s="140"/>
    </row>
    <row r="3570" spans="1:9" s="65" customFormat="1">
      <c r="A3570" s="128"/>
      <c r="B3570" s="141"/>
      <c r="C3570" s="141"/>
      <c r="D3570" s="141"/>
      <c r="E3570" s="141"/>
      <c r="F3570" s="141"/>
      <c r="G3570" s="141"/>
      <c r="H3570" s="140"/>
    </row>
    <row r="3571" spans="1:9" s="65" customFormat="1">
      <c r="A3571" s="146"/>
      <c r="B3571" s="83"/>
      <c r="C3571" s="148"/>
      <c r="D3571" s="84"/>
      <c r="E3571" s="84"/>
      <c r="F3571" s="84"/>
      <c r="G3571" s="144"/>
      <c r="H3571" s="145"/>
    </row>
    <row r="3572" spans="1:9" s="65" customFormat="1">
      <c r="A3572" s="91"/>
      <c r="B3572" s="91"/>
      <c r="C3572" s="91"/>
      <c r="D3572" s="91"/>
      <c r="E3572" s="91"/>
      <c r="G3572" s="104"/>
      <c r="H3572" s="140"/>
    </row>
    <row r="3573" spans="1:9" s="65" customFormat="1">
      <c r="A3573" s="120"/>
      <c r="B3573" s="73"/>
      <c r="C3573" s="73"/>
      <c r="D3573" s="73"/>
      <c r="E3573" s="73"/>
      <c r="G3573" s="121"/>
      <c r="H3573" s="140"/>
    </row>
    <row r="3574" spans="1:9" s="65" customFormat="1">
      <c r="A3574" s="128"/>
      <c r="B3574" s="141"/>
      <c r="C3574" s="141"/>
      <c r="D3574" s="141"/>
      <c r="E3574" s="141"/>
      <c r="F3574" s="141"/>
      <c r="G3574" s="141"/>
      <c r="H3574" s="140"/>
    </row>
    <row r="3575" spans="1:9" s="65" customFormat="1">
      <c r="A3575" s="142"/>
      <c r="B3575" s="143"/>
      <c r="C3575" s="143"/>
      <c r="D3575" s="143"/>
      <c r="E3575" s="143"/>
      <c r="F3575" s="84"/>
      <c r="G3575" s="144"/>
      <c r="H3575" s="145"/>
    </row>
    <row r="3576" spans="1:9" s="65" customFormat="1">
      <c r="A3576" s="123"/>
      <c r="B3576" s="95"/>
      <c r="C3576" s="95"/>
      <c r="D3576" s="95"/>
      <c r="E3576" s="95"/>
      <c r="G3576" s="104"/>
      <c r="H3576" s="121"/>
    </row>
    <row r="3577" spans="1:9" s="65" customFormat="1">
      <c r="A3577" s="123"/>
      <c r="B3577" s="95"/>
      <c r="C3577" s="95"/>
      <c r="D3577" s="95"/>
      <c r="E3577" s="95"/>
      <c r="G3577" s="121"/>
      <c r="H3577" s="133"/>
    </row>
    <row r="3578" spans="1:9" s="65" customFormat="1">
      <c r="B3578" s="97"/>
      <c r="C3578" s="98"/>
      <c r="D3578" s="98"/>
      <c r="E3578" s="98"/>
      <c r="G3578" s="128"/>
    </row>
    <row r="3579" spans="1:9" s="65" customFormat="1">
      <c r="B3579" s="97"/>
      <c r="C3579" s="98"/>
      <c r="D3579" s="98"/>
      <c r="E3579" s="98"/>
      <c r="F3579" s="128"/>
      <c r="G3579" s="133"/>
      <c r="H3579" s="134"/>
    </row>
    <row r="3580" spans="1:9" s="65" customFormat="1">
      <c r="A3580" s="633"/>
      <c r="B3580" s="633"/>
      <c r="C3580" s="633"/>
      <c r="D3580" s="633"/>
      <c r="E3580" s="633"/>
      <c r="F3580" s="633"/>
      <c r="G3580" s="633"/>
    </row>
    <row r="3581" spans="1:9" s="65" customFormat="1">
      <c r="H3581" s="138"/>
      <c r="I3581" s="151"/>
    </row>
    <row r="3582" spans="1:9" s="65" customFormat="1">
      <c r="A3582" s="645"/>
      <c r="B3582" s="138"/>
      <c r="C3582" s="138"/>
      <c r="D3582" s="138"/>
      <c r="E3582" s="138"/>
      <c r="F3582" s="138"/>
      <c r="G3582" s="138"/>
      <c r="H3582" s="138"/>
      <c r="I3582" s="152"/>
    </row>
    <row r="3583" spans="1:9" s="65" customFormat="1">
      <c r="A3583" s="645"/>
      <c r="B3583" s="138"/>
      <c r="C3583" s="138"/>
      <c r="D3583" s="138"/>
      <c r="E3583" s="138"/>
      <c r="F3583" s="138"/>
      <c r="G3583" s="138"/>
    </row>
    <row r="3584" spans="1:9" s="65" customFormat="1">
      <c r="A3584" s="69"/>
      <c r="B3584" s="69"/>
      <c r="C3584" s="69"/>
      <c r="D3584" s="69"/>
      <c r="E3584" s="69"/>
    </row>
    <row r="3585" spans="1:8" s="65" customFormat="1">
      <c r="A3585" s="120"/>
      <c r="B3585" s="73"/>
      <c r="C3585" s="73"/>
      <c r="D3585" s="73"/>
      <c r="E3585" s="73"/>
      <c r="F3585" s="121"/>
      <c r="G3585" s="121"/>
      <c r="H3585" s="121"/>
    </row>
    <row r="3586" spans="1:8" s="65" customFormat="1">
      <c r="A3586" s="128"/>
      <c r="B3586" s="141"/>
      <c r="C3586" s="141"/>
      <c r="D3586" s="141"/>
      <c r="E3586" s="141"/>
      <c r="F3586" s="141"/>
      <c r="G3586" s="141"/>
      <c r="H3586" s="121"/>
    </row>
    <row r="3587" spans="1:8" s="65" customFormat="1">
      <c r="A3587" s="150"/>
      <c r="B3587" s="83"/>
      <c r="C3587" s="148"/>
      <c r="D3587" s="84"/>
      <c r="E3587" s="84"/>
      <c r="F3587" s="84"/>
      <c r="G3587" s="144"/>
      <c r="H3587" s="145"/>
    </row>
    <row r="3588" spans="1:8" s="65" customFormat="1">
      <c r="A3588" s="84"/>
      <c r="B3588" s="83"/>
      <c r="C3588" s="84"/>
      <c r="D3588" s="84"/>
      <c r="E3588" s="84"/>
      <c r="G3588" s="104"/>
      <c r="H3588" s="140"/>
    </row>
    <row r="3589" spans="1:8" s="65" customFormat="1">
      <c r="A3589" s="120"/>
      <c r="B3589" s="73"/>
      <c r="C3589" s="73"/>
      <c r="D3589" s="73"/>
      <c r="E3589" s="73"/>
      <c r="G3589" s="121"/>
      <c r="H3589" s="140"/>
    </row>
    <row r="3590" spans="1:8" s="65" customFormat="1">
      <c r="A3590" s="128"/>
      <c r="B3590" s="141"/>
      <c r="C3590" s="141"/>
      <c r="D3590" s="141"/>
      <c r="E3590" s="141"/>
      <c r="F3590" s="141"/>
      <c r="G3590" s="141"/>
      <c r="H3590" s="140"/>
    </row>
    <row r="3591" spans="1:8" s="65" customFormat="1" ht="16.5">
      <c r="A3591" s="150"/>
      <c r="B3591" s="161"/>
      <c r="C3591" s="148"/>
      <c r="D3591" s="160"/>
      <c r="E3591" s="84"/>
      <c r="F3591" s="84"/>
      <c r="G3591" s="144"/>
      <c r="H3591" s="145"/>
    </row>
    <row r="3592" spans="1:8" s="65" customFormat="1">
      <c r="A3592" s="91"/>
      <c r="B3592" s="91"/>
      <c r="C3592" s="91"/>
      <c r="D3592" s="91"/>
      <c r="E3592" s="91"/>
      <c r="G3592" s="104"/>
      <c r="H3592" s="140"/>
    </row>
    <row r="3593" spans="1:8" s="65" customFormat="1">
      <c r="A3593" s="120"/>
      <c r="B3593" s="73"/>
      <c r="C3593" s="73"/>
      <c r="D3593" s="73"/>
      <c r="E3593" s="73"/>
      <c r="G3593" s="121"/>
      <c r="H3593" s="140"/>
    </row>
    <row r="3594" spans="1:8" s="65" customFormat="1">
      <c r="A3594" s="128"/>
      <c r="B3594" s="141"/>
      <c r="C3594" s="141"/>
      <c r="D3594" s="141"/>
      <c r="E3594" s="141"/>
      <c r="F3594" s="141"/>
      <c r="G3594" s="141"/>
      <c r="H3594" s="140"/>
    </row>
    <row r="3595" spans="1:8" s="65" customFormat="1">
      <c r="A3595" s="146"/>
      <c r="B3595" s="83"/>
      <c r="C3595" s="148"/>
      <c r="D3595" s="84"/>
      <c r="E3595" s="84"/>
      <c r="F3595" s="84"/>
      <c r="G3595" s="144"/>
      <c r="H3595" s="145"/>
    </row>
    <row r="3596" spans="1:8" s="65" customFormat="1">
      <c r="A3596" s="91"/>
      <c r="B3596" s="91"/>
      <c r="C3596" s="91"/>
      <c r="D3596" s="91"/>
      <c r="E3596" s="91"/>
      <c r="G3596" s="104"/>
      <c r="H3596" s="140"/>
    </row>
    <row r="3597" spans="1:8" s="65" customFormat="1">
      <c r="A3597" s="120"/>
      <c r="B3597" s="73"/>
      <c r="C3597" s="73"/>
      <c r="D3597" s="73"/>
      <c r="E3597" s="73"/>
      <c r="G3597" s="121"/>
      <c r="H3597" s="140"/>
    </row>
    <row r="3598" spans="1:8" s="65" customFormat="1">
      <c r="A3598" s="128"/>
      <c r="B3598" s="141"/>
      <c r="C3598" s="141"/>
      <c r="D3598" s="141"/>
      <c r="E3598" s="141"/>
      <c r="F3598" s="141"/>
      <c r="G3598" s="141"/>
      <c r="H3598" s="140"/>
    </row>
    <row r="3599" spans="1:8" s="65" customFormat="1">
      <c r="A3599" s="142"/>
      <c r="B3599" s="143"/>
      <c r="C3599" s="143"/>
      <c r="D3599" s="143"/>
      <c r="E3599" s="143"/>
      <c r="F3599" s="84"/>
      <c r="G3599" s="144"/>
      <c r="H3599" s="145"/>
    </row>
    <row r="3600" spans="1:8" s="65" customFormat="1">
      <c r="A3600" s="123"/>
      <c r="B3600" s="95"/>
      <c r="C3600" s="95"/>
      <c r="D3600" s="95"/>
      <c r="E3600" s="95"/>
      <c r="G3600" s="104"/>
      <c r="H3600" s="121"/>
    </row>
    <row r="3601" spans="1:9" s="65" customFormat="1">
      <c r="A3601" s="123"/>
      <c r="B3601" s="95"/>
      <c r="C3601" s="95"/>
      <c r="D3601" s="95"/>
      <c r="E3601" s="95"/>
      <c r="G3601" s="121"/>
      <c r="H3601" s="133"/>
    </row>
    <row r="3602" spans="1:9" s="65" customFormat="1">
      <c r="B3602" s="97"/>
      <c r="C3602" s="98"/>
      <c r="D3602" s="98"/>
      <c r="E3602" s="98"/>
      <c r="G3602" s="128"/>
    </row>
    <row r="3603" spans="1:9" s="65" customFormat="1">
      <c r="B3603" s="97"/>
      <c r="C3603" s="98"/>
      <c r="D3603" s="98"/>
      <c r="E3603" s="98"/>
      <c r="F3603" s="128"/>
      <c r="G3603" s="133"/>
      <c r="H3603" s="134"/>
    </row>
    <row r="3604" spans="1:9" s="65" customFormat="1">
      <c r="A3604" s="633"/>
      <c r="B3604" s="633"/>
      <c r="C3604" s="633"/>
      <c r="D3604" s="633"/>
      <c r="E3604" s="633"/>
      <c r="F3604" s="633"/>
      <c r="G3604" s="633"/>
    </row>
    <row r="3605" spans="1:9" s="65" customFormat="1">
      <c r="H3605" s="138"/>
      <c r="I3605" s="151"/>
    </row>
    <row r="3606" spans="1:9" s="65" customFormat="1">
      <c r="A3606" s="645"/>
      <c r="B3606" s="138"/>
      <c r="C3606" s="138"/>
      <c r="D3606" s="138"/>
      <c r="E3606" s="138"/>
      <c r="F3606" s="138"/>
      <c r="G3606" s="138"/>
      <c r="H3606" s="138"/>
      <c r="I3606" s="152"/>
    </row>
    <row r="3607" spans="1:9" s="65" customFormat="1">
      <c r="A3607" s="645"/>
      <c r="B3607" s="138"/>
      <c r="C3607" s="138"/>
      <c r="D3607" s="138"/>
      <c r="E3607" s="138"/>
      <c r="F3607" s="138"/>
      <c r="G3607" s="138"/>
    </row>
    <row r="3608" spans="1:9" s="65" customFormat="1">
      <c r="A3608" s="69"/>
      <c r="B3608" s="69"/>
      <c r="C3608" s="69"/>
      <c r="D3608" s="69"/>
      <c r="E3608" s="69"/>
    </row>
    <row r="3609" spans="1:9" s="65" customFormat="1">
      <c r="A3609" s="120"/>
      <c r="B3609" s="73"/>
      <c r="C3609" s="73"/>
      <c r="D3609" s="73"/>
      <c r="E3609" s="73"/>
      <c r="F3609" s="121"/>
      <c r="G3609" s="121"/>
      <c r="H3609" s="121"/>
    </row>
    <row r="3610" spans="1:9" s="65" customFormat="1">
      <c r="A3610" s="128"/>
      <c r="B3610" s="141"/>
      <c r="C3610" s="141"/>
      <c r="D3610" s="141"/>
      <c r="E3610" s="141"/>
      <c r="F3610" s="141"/>
      <c r="G3610" s="141"/>
      <c r="H3610" s="121"/>
    </row>
    <row r="3611" spans="1:9" s="65" customFormat="1">
      <c r="A3611" s="150"/>
      <c r="B3611" s="83"/>
      <c r="C3611" s="148"/>
      <c r="D3611" s="84"/>
      <c r="E3611" s="84"/>
      <c r="F3611" s="84"/>
      <c r="G3611" s="144"/>
      <c r="H3611" s="145"/>
    </row>
    <row r="3612" spans="1:9" s="65" customFormat="1">
      <c r="A3612" s="84"/>
      <c r="B3612" s="83"/>
      <c r="C3612" s="84"/>
      <c r="D3612" s="84"/>
      <c r="E3612" s="84"/>
      <c r="G3612" s="104"/>
      <c r="H3612" s="140"/>
    </row>
    <row r="3613" spans="1:9" s="65" customFormat="1">
      <c r="A3613" s="120"/>
      <c r="B3613" s="73"/>
      <c r="C3613" s="73"/>
      <c r="D3613" s="73"/>
      <c r="E3613" s="73"/>
      <c r="G3613" s="121"/>
      <c r="H3613" s="140"/>
    </row>
    <row r="3614" spans="1:9" s="65" customFormat="1">
      <c r="A3614" s="128"/>
      <c r="B3614" s="141"/>
      <c r="C3614" s="141"/>
      <c r="D3614" s="141"/>
      <c r="E3614" s="141"/>
      <c r="F3614" s="141"/>
      <c r="G3614" s="141"/>
      <c r="H3614" s="140"/>
    </row>
    <row r="3615" spans="1:9" s="65" customFormat="1" ht="16.5">
      <c r="A3615" s="150"/>
      <c r="B3615" s="161"/>
      <c r="C3615" s="148"/>
      <c r="D3615" s="160"/>
      <c r="E3615" s="84"/>
      <c r="F3615" s="84"/>
      <c r="G3615" s="144"/>
      <c r="H3615" s="145"/>
    </row>
    <row r="3616" spans="1:9" s="65" customFormat="1">
      <c r="A3616" s="91"/>
      <c r="B3616" s="91"/>
      <c r="C3616" s="91"/>
      <c r="D3616" s="91"/>
      <c r="E3616" s="91"/>
      <c r="G3616" s="104"/>
      <c r="H3616" s="140"/>
    </row>
    <row r="3617" spans="1:9" s="65" customFormat="1">
      <c r="A3617" s="120"/>
      <c r="B3617" s="73"/>
      <c r="C3617" s="73"/>
      <c r="D3617" s="73"/>
      <c r="E3617" s="73"/>
      <c r="G3617" s="121"/>
      <c r="H3617" s="140"/>
    </row>
    <row r="3618" spans="1:9" s="65" customFormat="1">
      <c r="A3618" s="128"/>
      <c r="B3618" s="141"/>
      <c r="C3618" s="141"/>
      <c r="D3618" s="141"/>
      <c r="E3618" s="141"/>
      <c r="F3618" s="141"/>
      <c r="G3618" s="141"/>
      <c r="H3618" s="140"/>
    </row>
    <row r="3619" spans="1:9" s="65" customFormat="1">
      <c r="A3619" s="146"/>
      <c r="B3619" s="83"/>
      <c r="C3619" s="148"/>
      <c r="D3619" s="84"/>
      <c r="E3619" s="84"/>
      <c r="F3619" s="84"/>
      <c r="G3619" s="144"/>
      <c r="H3619" s="145"/>
    </row>
    <row r="3620" spans="1:9" s="65" customFormat="1">
      <c r="A3620" s="91"/>
      <c r="B3620" s="91"/>
      <c r="C3620" s="91"/>
      <c r="D3620" s="91"/>
      <c r="E3620" s="91"/>
      <c r="G3620" s="104"/>
      <c r="H3620" s="140"/>
    </row>
    <row r="3621" spans="1:9" s="65" customFormat="1">
      <c r="A3621" s="120"/>
      <c r="B3621" s="73"/>
      <c r="C3621" s="73"/>
      <c r="D3621" s="73"/>
      <c r="E3621" s="73"/>
      <c r="G3621" s="121"/>
      <c r="H3621" s="140"/>
    </row>
    <row r="3622" spans="1:9" s="65" customFormat="1">
      <c r="A3622" s="128"/>
      <c r="B3622" s="141"/>
      <c r="C3622" s="141"/>
      <c r="D3622" s="141"/>
      <c r="E3622" s="141"/>
      <c r="F3622" s="141"/>
      <c r="G3622" s="141"/>
      <c r="H3622" s="140"/>
    </row>
    <row r="3623" spans="1:9" s="65" customFormat="1">
      <c r="A3623" s="142"/>
      <c r="B3623" s="143"/>
      <c r="C3623" s="143"/>
      <c r="D3623" s="143"/>
      <c r="E3623" s="143"/>
      <c r="F3623" s="84"/>
      <c r="G3623" s="144"/>
      <c r="H3623" s="145"/>
    </row>
    <row r="3624" spans="1:9" s="65" customFormat="1">
      <c r="A3624" s="123"/>
      <c r="B3624" s="95"/>
      <c r="C3624" s="95"/>
      <c r="D3624" s="95"/>
      <c r="E3624" s="95"/>
      <c r="G3624" s="104"/>
      <c r="H3624" s="121"/>
    </row>
    <row r="3625" spans="1:9" s="65" customFormat="1">
      <c r="A3625" s="123"/>
      <c r="B3625" s="95"/>
      <c r="C3625" s="95"/>
      <c r="D3625" s="95"/>
      <c r="E3625" s="95"/>
      <c r="G3625" s="121"/>
      <c r="H3625" s="133"/>
    </row>
    <row r="3626" spans="1:9" s="65" customFormat="1">
      <c r="B3626" s="97"/>
      <c r="C3626" s="98"/>
      <c r="D3626" s="98"/>
      <c r="E3626" s="98"/>
      <c r="G3626" s="128"/>
    </row>
    <row r="3627" spans="1:9" s="65" customFormat="1">
      <c r="B3627" s="97"/>
      <c r="C3627" s="98"/>
      <c r="D3627" s="98"/>
      <c r="E3627" s="98"/>
      <c r="F3627" s="128"/>
      <c r="G3627" s="133"/>
      <c r="H3627" s="134"/>
    </row>
    <row r="3628" spans="1:9" s="65" customFormat="1">
      <c r="A3628" s="633"/>
      <c r="B3628" s="633"/>
      <c r="C3628" s="633"/>
      <c r="D3628" s="633"/>
      <c r="E3628" s="633"/>
      <c r="F3628" s="633"/>
      <c r="G3628" s="633"/>
    </row>
    <row r="3629" spans="1:9" s="65" customFormat="1">
      <c r="H3629" s="138"/>
      <c r="I3629" s="151"/>
    </row>
    <row r="3630" spans="1:9" s="65" customFormat="1">
      <c r="A3630" s="645"/>
      <c r="B3630" s="138"/>
      <c r="C3630" s="138"/>
      <c r="D3630" s="138"/>
      <c r="E3630" s="138"/>
      <c r="F3630" s="138"/>
      <c r="G3630" s="138"/>
      <c r="H3630" s="138"/>
      <c r="I3630" s="152"/>
    </row>
    <row r="3631" spans="1:9" s="65" customFormat="1">
      <c r="A3631" s="645"/>
      <c r="B3631" s="138"/>
      <c r="C3631" s="138"/>
      <c r="D3631" s="138"/>
      <c r="E3631" s="138"/>
      <c r="F3631" s="138"/>
      <c r="G3631" s="138"/>
    </row>
    <row r="3632" spans="1:9" s="65" customFormat="1">
      <c r="A3632" s="69"/>
      <c r="B3632" s="69"/>
      <c r="C3632" s="69"/>
      <c r="D3632" s="69"/>
      <c r="E3632" s="69"/>
    </row>
    <row r="3633" spans="1:8" s="65" customFormat="1">
      <c r="A3633" s="120"/>
      <c r="B3633" s="73"/>
      <c r="C3633" s="73"/>
      <c r="D3633" s="73"/>
      <c r="E3633" s="73"/>
      <c r="F3633" s="121"/>
      <c r="G3633" s="121"/>
      <c r="H3633" s="121"/>
    </row>
    <row r="3634" spans="1:8" s="65" customFormat="1">
      <c r="A3634" s="128"/>
      <c r="B3634" s="141"/>
      <c r="C3634" s="141"/>
      <c r="D3634" s="141"/>
      <c r="E3634" s="141"/>
      <c r="F3634" s="141"/>
      <c r="G3634" s="141"/>
      <c r="H3634" s="121"/>
    </row>
    <row r="3635" spans="1:8" s="65" customFormat="1">
      <c r="A3635" s="150"/>
      <c r="B3635" s="83"/>
      <c r="C3635" s="148"/>
      <c r="D3635" s="84"/>
      <c r="E3635" s="84"/>
      <c r="F3635" s="84"/>
      <c r="G3635" s="144"/>
      <c r="H3635" s="145"/>
    </row>
    <row r="3636" spans="1:8" s="65" customFormat="1">
      <c r="A3636" s="84"/>
      <c r="B3636" s="83"/>
      <c r="C3636" s="84"/>
      <c r="D3636" s="84"/>
      <c r="E3636" s="84"/>
      <c r="G3636" s="104"/>
      <c r="H3636" s="140"/>
    </row>
    <row r="3637" spans="1:8" s="65" customFormat="1">
      <c r="A3637" s="120"/>
      <c r="B3637" s="73"/>
      <c r="C3637" s="73"/>
      <c r="D3637" s="73"/>
      <c r="E3637" s="73"/>
      <c r="G3637" s="121"/>
      <c r="H3637" s="140"/>
    </row>
    <row r="3638" spans="1:8" s="65" customFormat="1">
      <c r="A3638" s="128"/>
      <c r="B3638" s="141"/>
      <c r="C3638" s="141"/>
      <c r="D3638" s="141"/>
      <c r="E3638" s="141"/>
      <c r="F3638" s="141"/>
      <c r="G3638" s="141"/>
      <c r="H3638" s="140"/>
    </row>
    <row r="3639" spans="1:8" s="65" customFormat="1" ht="16.5">
      <c r="A3639" s="150"/>
      <c r="B3639" s="163"/>
      <c r="C3639" s="148"/>
      <c r="D3639" s="160"/>
      <c r="E3639" s="84"/>
      <c r="F3639" s="84"/>
      <c r="G3639" s="144"/>
      <c r="H3639" s="145"/>
    </row>
    <row r="3640" spans="1:8" s="65" customFormat="1">
      <c r="A3640" s="91"/>
      <c r="B3640" s="91"/>
      <c r="C3640" s="91"/>
      <c r="D3640" s="91"/>
      <c r="E3640" s="91"/>
      <c r="G3640" s="104"/>
      <c r="H3640" s="140"/>
    </row>
    <row r="3641" spans="1:8" s="65" customFormat="1">
      <c r="A3641" s="120"/>
      <c r="B3641" s="73"/>
      <c r="C3641" s="73"/>
      <c r="D3641" s="73"/>
      <c r="E3641" s="73"/>
      <c r="G3641" s="121"/>
      <c r="H3641" s="140"/>
    </row>
    <row r="3642" spans="1:8" s="65" customFormat="1">
      <c r="A3642" s="128"/>
      <c r="B3642" s="141"/>
      <c r="C3642" s="141"/>
      <c r="D3642" s="141"/>
      <c r="E3642" s="141"/>
      <c r="F3642" s="141"/>
      <c r="G3642" s="141"/>
      <c r="H3642" s="140"/>
    </row>
    <row r="3643" spans="1:8" s="65" customFormat="1">
      <c r="A3643" s="146"/>
      <c r="B3643" s="83"/>
      <c r="C3643" s="148"/>
      <c r="D3643" s="84"/>
      <c r="E3643" s="84"/>
      <c r="F3643" s="84"/>
      <c r="G3643" s="144"/>
      <c r="H3643" s="145"/>
    </row>
    <row r="3644" spans="1:8" s="65" customFormat="1">
      <c r="A3644" s="91"/>
      <c r="B3644" s="91"/>
      <c r="C3644" s="91"/>
      <c r="D3644" s="91"/>
      <c r="E3644" s="91"/>
      <c r="G3644" s="104"/>
      <c r="H3644" s="140"/>
    </row>
    <row r="3645" spans="1:8" s="65" customFormat="1">
      <c r="A3645" s="120"/>
      <c r="B3645" s="73"/>
      <c r="C3645" s="73"/>
      <c r="D3645" s="73"/>
      <c r="E3645" s="73"/>
      <c r="G3645" s="121"/>
      <c r="H3645" s="140"/>
    </row>
    <row r="3646" spans="1:8" s="65" customFormat="1">
      <c r="A3646" s="128"/>
      <c r="B3646" s="141"/>
      <c r="C3646" s="141"/>
      <c r="D3646" s="141"/>
      <c r="E3646" s="141"/>
      <c r="F3646" s="141"/>
      <c r="G3646" s="141"/>
      <c r="H3646" s="140"/>
    </row>
    <row r="3647" spans="1:8" s="65" customFormat="1">
      <c r="A3647" s="142"/>
      <c r="B3647" s="143"/>
      <c r="C3647" s="143"/>
      <c r="D3647" s="143"/>
      <c r="E3647" s="143"/>
      <c r="F3647" s="84"/>
      <c r="G3647" s="144"/>
      <c r="H3647" s="145"/>
    </row>
    <row r="3648" spans="1:8" s="65" customFormat="1">
      <c r="A3648" s="123"/>
      <c r="B3648" s="95"/>
      <c r="C3648" s="95"/>
      <c r="D3648" s="95"/>
      <c r="E3648" s="95"/>
      <c r="G3648" s="104"/>
      <c r="H3648" s="121"/>
    </row>
    <row r="3649" spans="1:9" s="65" customFormat="1">
      <c r="A3649" s="123"/>
      <c r="B3649" s="95"/>
      <c r="C3649" s="95"/>
      <c r="D3649" s="95"/>
      <c r="E3649" s="95"/>
      <c r="G3649" s="121"/>
      <c r="H3649" s="133"/>
    </row>
    <row r="3650" spans="1:9" s="65" customFormat="1">
      <c r="B3650" s="97"/>
      <c r="C3650" s="98"/>
      <c r="D3650" s="98"/>
      <c r="E3650" s="98"/>
      <c r="G3650" s="128"/>
    </row>
    <row r="3651" spans="1:9" s="65" customFormat="1">
      <c r="B3651" s="97"/>
      <c r="C3651" s="98"/>
      <c r="D3651" s="98"/>
      <c r="E3651" s="98"/>
      <c r="F3651" s="128"/>
      <c r="G3651" s="133"/>
      <c r="H3651" s="134"/>
    </row>
    <row r="3652" spans="1:9" s="65" customFormat="1">
      <c r="A3652" s="633"/>
      <c r="B3652" s="633"/>
      <c r="C3652" s="633"/>
      <c r="D3652" s="633"/>
      <c r="E3652" s="633"/>
      <c r="F3652" s="633"/>
      <c r="G3652" s="633"/>
    </row>
    <row r="3653" spans="1:9" s="65" customFormat="1">
      <c r="H3653" s="138"/>
      <c r="I3653" s="151"/>
    </row>
    <row r="3654" spans="1:9" s="65" customFormat="1">
      <c r="A3654" s="645"/>
      <c r="B3654" s="138"/>
      <c r="C3654" s="138"/>
      <c r="D3654" s="138"/>
      <c r="E3654" s="138"/>
      <c r="F3654" s="138"/>
      <c r="G3654" s="138"/>
      <c r="H3654" s="138"/>
      <c r="I3654" s="152"/>
    </row>
    <row r="3655" spans="1:9" s="65" customFormat="1">
      <c r="A3655" s="645"/>
      <c r="B3655" s="138"/>
      <c r="C3655" s="138"/>
      <c r="D3655" s="138"/>
      <c r="E3655" s="138"/>
      <c r="F3655" s="138"/>
      <c r="G3655" s="138"/>
    </row>
    <row r="3656" spans="1:9" s="65" customFormat="1">
      <c r="A3656" s="69"/>
      <c r="B3656" s="69"/>
      <c r="C3656" s="69"/>
      <c r="D3656" s="69"/>
      <c r="E3656" s="69"/>
    </row>
    <row r="3657" spans="1:9" s="65" customFormat="1">
      <c r="A3657" s="120"/>
      <c r="B3657" s="73"/>
      <c r="C3657" s="73"/>
      <c r="D3657" s="73"/>
      <c r="E3657" s="73"/>
      <c r="F3657" s="121"/>
      <c r="G3657" s="121"/>
      <c r="H3657" s="121"/>
    </row>
    <row r="3658" spans="1:9" s="65" customFormat="1">
      <c r="A3658" s="128"/>
      <c r="B3658" s="141"/>
      <c r="C3658" s="141"/>
      <c r="D3658" s="141"/>
      <c r="E3658" s="141"/>
      <c r="F3658" s="141"/>
      <c r="G3658" s="141"/>
      <c r="H3658" s="121"/>
    </row>
    <row r="3659" spans="1:9" s="65" customFormat="1">
      <c r="A3659" s="150"/>
      <c r="B3659" s="83"/>
      <c r="C3659" s="148"/>
      <c r="D3659" s="84"/>
      <c r="E3659" s="84"/>
      <c r="F3659" s="84"/>
      <c r="G3659" s="144"/>
      <c r="H3659" s="145"/>
    </row>
    <row r="3660" spans="1:9" s="65" customFormat="1">
      <c r="A3660" s="84"/>
      <c r="B3660" s="83"/>
      <c r="C3660" s="84"/>
      <c r="D3660" s="84"/>
      <c r="E3660" s="84"/>
      <c r="G3660" s="104"/>
      <c r="H3660" s="140"/>
    </row>
    <row r="3661" spans="1:9" s="65" customFormat="1">
      <c r="A3661" s="120"/>
      <c r="B3661" s="73"/>
      <c r="C3661" s="73"/>
      <c r="D3661" s="73"/>
      <c r="E3661" s="73"/>
      <c r="G3661" s="121"/>
      <c r="H3661" s="140"/>
    </row>
    <row r="3662" spans="1:9" s="65" customFormat="1">
      <c r="A3662" s="128"/>
      <c r="B3662" s="141"/>
      <c r="C3662" s="141"/>
      <c r="D3662" s="141"/>
      <c r="E3662" s="141"/>
      <c r="F3662" s="141"/>
      <c r="G3662" s="141"/>
      <c r="H3662" s="140"/>
    </row>
    <row r="3663" spans="1:9" s="65" customFormat="1" ht="16.5">
      <c r="A3663" s="150"/>
      <c r="B3663" s="161"/>
      <c r="C3663" s="148"/>
      <c r="D3663" s="160"/>
      <c r="E3663" s="84"/>
      <c r="F3663" s="84"/>
      <c r="G3663" s="144"/>
      <c r="H3663" s="145"/>
    </row>
    <row r="3664" spans="1:9" s="65" customFormat="1">
      <c r="A3664" s="91"/>
      <c r="B3664" s="91"/>
      <c r="C3664" s="91"/>
      <c r="D3664" s="91"/>
      <c r="E3664" s="91"/>
      <c r="G3664" s="104"/>
      <c r="H3664" s="140"/>
    </row>
    <row r="3665" spans="1:9" s="65" customFormat="1">
      <c r="A3665" s="120"/>
      <c r="B3665" s="73"/>
      <c r="C3665" s="73"/>
      <c r="D3665" s="73"/>
      <c r="E3665" s="73"/>
      <c r="G3665" s="121"/>
      <c r="H3665" s="140"/>
    </row>
    <row r="3666" spans="1:9" s="65" customFormat="1">
      <c r="A3666" s="128"/>
      <c r="B3666" s="141"/>
      <c r="C3666" s="141"/>
      <c r="D3666" s="141"/>
      <c r="E3666" s="141"/>
      <c r="F3666" s="141"/>
      <c r="G3666" s="141"/>
      <c r="H3666" s="140"/>
    </row>
    <row r="3667" spans="1:9" s="65" customFormat="1">
      <c r="A3667" s="146"/>
      <c r="B3667" s="83"/>
      <c r="C3667" s="148"/>
      <c r="D3667" s="84"/>
      <c r="E3667" s="84"/>
      <c r="F3667" s="84"/>
      <c r="G3667" s="144"/>
      <c r="H3667" s="145"/>
    </row>
    <row r="3668" spans="1:9" s="65" customFormat="1">
      <c r="A3668" s="91"/>
      <c r="B3668" s="91"/>
      <c r="C3668" s="91"/>
      <c r="D3668" s="91"/>
      <c r="E3668" s="91"/>
      <c r="G3668" s="104"/>
      <c r="H3668" s="140"/>
    </row>
    <row r="3669" spans="1:9" s="65" customFormat="1">
      <c r="A3669" s="120"/>
      <c r="B3669" s="73"/>
      <c r="C3669" s="73"/>
      <c r="D3669" s="73"/>
      <c r="E3669" s="73"/>
      <c r="G3669" s="121"/>
      <c r="H3669" s="140"/>
    </row>
    <row r="3670" spans="1:9" s="65" customFormat="1">
      <c r="A3670" s="128"/>
      <c r="B3670" s="141"/>
      <c r="C3670" s="141"/>
      <c r="D3670" s="141"/>
      <c r="E3670" s="141"/>
      <c r="F3670" s="141"/>
      <c r="G3670" s="141"/>
      <c r="H3670" s="140"/>
    </row>
    <row r="3671" spans="1:9" s="65" customFormat="1">
      <c r="A3671" s="142"/>
      <c r="B3671" s="143"/>
      <c r="C3671" s="143"/>
      <c r="D3671" s="143"/>
      <c r="E3671" s="143"/>
      <c r="F3671" s="84"/>
      <c r="G3671" s="144"/>
      <c r="H3671" s="145"/>
    </row>
    <row r="3672" spans="1:9" s="65" customFormat="1">
      <c r="A3672" s="123"/>
      <c r="B3672" s="95"/>
      <c r="C3672" s="95"/>
      <c r="D3672" s="95"/>
      <c r="E3672" s="95"/>
      <c r="G3672" s="104"/>
      <c r="H3672" s="121"/>
    </row>
    <row r="3673" spans="1:9" s="65" customFormat="1">
      <c r="A3673" s="123"/>
      <c r="B3673" s="95"/>
      <c r="C3673" s="95"/>
      <c r="D3673" s="95"/>
      <c r="E3673" s="95"/>
      <c r="G3673" s="121"/>
      <c r="H3673" s="133"/>
    </row>
    <row r="3674" spans="1:9" s="65" customFormat="1">
      <c r="B3674" s="97"/>
      <c r="C3674" s="98"/>
      <c r="D3674" s="98"/>
      <c r="E3674" s="98"/>
      <c r="G3674" s="128"/>
    </row>
    <row r="3675" spans="1:9" s="65" customFormat="1">
      <c r="B3675" s="97"/>
      <c r="C3675" s="98"/>
      <c r="D3675" s="98"/>
      <c r="E3675" s="98"/>
      <c r="F3675" s="128"/>
      <c r="G3675" s="133"/>
      <c r="H3675" s="134"/>
    </row>
    <row r="3676" spans="1:9" s="65" customFormat="1">
      <c r="A3676" s="633"/>
      <c r="B3676" s="633"/>
      <c r="C3676" s="633"/>
      <c r="D3676" s="633"/>
      <c r="E3676" s="633"/>
      <c r="F3676" s="633"/>
      <c r="G3676" s="633"/>
    </row>
    <row r="3677" spans="1:9" s="65" customFormat="1">
      <c r="H3677" s="138"/>
      <c r="I3677" s="151"/>
    </row>
    <row r="3678" spans="1:9" s="65" customFormat="1">
      <c r="A3678" s="645"/>
      <c r="B3678" s="138"/>
      <c r="C3678" s="138"/>
      <c r="D3678" s="138"/>
      <c r="E3678" s="138"/>
      <c r="F3678" s="138"/>
      <c r="G3678" s="138"/>
      <c r="H3678" s="138"/>
      <c r="I3678" s="152"/>
    </row>
    <row r="3679" spans="1:9" s="65" customFormat="1">
      <c r="A3679" s="645"/>
      <c r="B3679" s="138"/>
      <c r="C3679" s="138"/>
      <c r="D3679" s="138"/>
      <c r="E3679" s="138"/>
      <c r="F3679" s="138"/>
      <c r="G3679" s="138"/>
    </row>
    <row r="3680" spans="1:9" s="65" customFormat="1">
      <c r="A3680" s="69"/>
      <c r="B3680" s="69"/>
      <c r="C3680" s="69"/>
      <c r="D3680" s="69"/>
      <c r="E3680" s="69"/>
    </row>
    <row r="3681" spans="1:8" s="65" customFormat="1">
      <c r="A3681" s="120"/>
      <c r="B3681" s="73"/>
      <c r="C3681" s="73"/>
      <c r="D3681" s="73"/>
      <c r="E3681" s="73"/>
      <c r="F3681" s="121"/>
      <c r="G3681" s="121"/>
      <c r="H3681" s="121"/>
    </row>
    <row r="3682" spans="1:8" s="65" customFormat="1">
      <c r="A3682" s="128"/>
      <c r="B3682" s="141"/>
      <c r="C3682" s="141"/>
      <c r="D3682" s="141"/>
      <c r="E3682" s="141"/>
      <c r="F3682" s="141"/>
      <c r="G3682" s="141"/>
      <c r="H3682" s="121"/>
    </row>
    <row r="3683" spans="1:8" s="65" customFormat="1">
      <c r="A3683" s="150"/>
      <c r="B3683" s="83"/>
      <c r="C3683" s="148"/>
      <c r="D3683" s="84"/>
      <c r="E3683" s="84"/>
      <c r="F3683" s="84"/>
      <c r="G3683" s="144"/>
      <c r="H3683" s="145"/>
    </row>
    <row r="3684" spans="1:8" s="65" customFormat="1">
      <c r="A3684" s="84"/>
      <c r="B3684" s="83"/>
      <c r="C3684" s="84"/>
      <c r="D3684" s="84"/>
      <c r="E3684" s="84"/>
      <c r="G3684" s="104"/>
      <c r="H3684" s="140"/>
    </row>
    <row r="3685" spans="1:8" s="65" customFormat="1">
      <c r="A3685" s="120"/>
      <c r="B3685" s="73"/>
      <c r="C3685" s="73"/>
      <c r="D3685" s="73"/>
      <c r="E3685" s="73"/>
      <c r="G3685" s="121"/>
      <c r="H3685" s="140"/>
    </row>
    <row r="3686" spans="1:8" s="65" customFormat="1">
      <c r="A3686" s="128"/>
      <c r="B3686" s="141"/>
      <c r="C3686" s="141"/>
      <c r="D3686" s="141"/>
      <c r="E3686" s="141"/>
      <c r="F3686" s="141"/>
      <c r="G3686" s="141"/>
      <c r="H3686" s="140"/>
    </row>
    <row r="3687" spans="1:8" s="65" customFormat="1" ht="16.5">
      <c r="A3687" s="150"/>
      <c r="B3687" s="163"/>
      <c r="C3687" s="148"/>
      <c r="D3687" s="160"/>
      <c r="E3687" s="84"/>
      <c r="F3687" s="84"/>
      <c r="G3687" s="144"/>
      <c r="H3687" s="145"/>
    </row>
    <row r="3688" spans="1:8" s="65" customFormat="1">
      <c r="A3688" s="91"/>
      <c r="B3688" s="91"/>
      <c r="C3688" s="91"/>
      <c r="D3688" s="91"/>
      <c r="E3688" s="91"/>
      <c r="G3688" s="104"/>
      <c r="H3688" s="140"/>
    </row>
    <row r="3689" spans="1:8" s="65" customFormat="1">
      <c r="A3689" s="120"/>
      <c r="B3689" s="73"/>
      <c r="C3689" s="73"/>
      <c r="D3689" s="73"/>
      <c r="E3689" s="73"/>
      <c r="G3689" s="121"/>
      <c r="H3689" s="140"/>
    </row>
    <row r="3690" spans="1:8" s="65" customFormat="1">
      <c r="A3690" s="128"/>
      <c r="B3690" s="141"/>
      <c r="C3690" s="141"/>
      <c r="D3690" s="141"/>
      <c r="E3690" s="141"/>
      <c r="F3690" s="141"/>
      <c r="G3690" s="141"/>
      <c r="H3690" s="140"/>
    </row>
    <row r="3691" spans="1:8" s="65" customFormat="1">
      <c r="A3691" s="146"/>
      <c r="B3691" s="83"/>
      <c r="C3691" s="148"/>
      <c r="D3691" s="84"/>
      <c r="E3691" s="84"/>
      <c r="F3691" s="84"/>
      <c r="G3691" s="144"/>
      <c r="H3691" s="145"/>
    </row>
    <row r="3692" spans="1:8" s="65" customFormat="1">
      <c r="A3692" s="91"/>
      <c r="B3692" s="91"/>
      <c r="C3692" s="91"/>
      <c r="D3692" s="91"/>
      <c r="E3692" s="91"/>
      <c r="G3692" s="104"/>
      <c r="H3692" s="140"/>
    </row>
    <row r="3693" spans="1:8" s="65" customFormat="1">
      <c r="A3693" s="120"/>
      <c r="B3693" s="73"/>
      <c r="C3693" s="73"/>
      <c r="D3693" s="73"/>
      <c r="E3693" s="73"/>
      <c r="G3693" s="121"/>
      <c r="H3693" s="140"/>
    </row>
    <row r="3694" spans="1:8" s="65" customFormat="1">
      <c r="A3694" s="128"/>
      <c r="B3694" s="141"/>
      <c r="C3694" s="141"/>
      <c r="D3694" s="141"/>
      <c r="E3694" s="141"/>
      <c r="F3694" s="141"/>
      <c r="G3694" s="141"/>
      <c r="H3694" s="140"/>
    </row>
    <row r="3695" spans="1:8" s="65" customFormat="1">
      <c r="A3695" s="142"/>
      <c r="B3695" s="143"/>
      <c r="C3695" s="143"/>
      <c r="D3695" s="143"/>
      <c r="E3695" s="143"/>
      <c r="F3695" s="84"/>
      <c r="G3695" s="144"/>
      <c r="H3695" s="145"/>
    </row>
    <row r="3696" spans="1:8" s="65" customFormat="1">
      <c r="A3696" s="123"/>
      <c r="B3696" s="95"/>
      <c r="C3696" s="95"/>
      <c r="D3696" s="95"/>
      <c r="E3696" s="95"/>
      <c r="G3696" s="104"/>
      <c r="H3696" s="121"/>
    </row>
    <row r="3697" spans="1:9" s="65" customFormat="1">
      <c r="A3697" s="123"/>
      <c r="B3697" s="95"/>
      <c r="C3697" s="95"/>
      <c r="D3697" s="95"/>
      <c r="E3697" s="95"/>
      <c r="G3697" s="121"/>
      <c r="H3697" s="133"/>
    </row>
    <row r="3698" spans="1:9" s="65" customFormat="1">
      <c r="B3698" s="97"/>
      <c r="C3698" s="98"/>
      <c r="D3698" s="98"/>
      <c r="E3698" s="98"/>
      <c r="G3698" s="128"/>
    </row>
    <row r="3699" spans="1:9" s="65" customFormat="1">
      <c r="B3699" s="97"/>
      <c r="C3699" s="98"/>
      <c r="D3699" s="98"/>
      <c r="E3699" s="98"/>
      <c r="F3699" s="128"/>
      <c r="G3699" s="133"/>
      <c r="H3699" s="134"/>
    </row>
    <row r="3700" spans="1:9" s="65" customFormat="1">
      <c r="A3700" s="633"/>
      <c r="B3700" s="633"/>
      <c r="C3700" s="633"/>
      <c r="D3700" s="633"/>
      <c r="E3700" s="633"/>
      <c r="F3700" s="633"/>
      <c r="G3700" s="633"/>
    </row>
    <row r="3701" spans="1:9" s="65" customFormat="1">
      <c r="H3701" s="138"/>
      <c r="I3701" s="151"/>
    </row>
    <row r="3702" spans="1:9" s="65" customFormat="1">
      <c r="A3702" s="645"/>
      <c r="B3702" s="138"/>
      <c r="C3702" s="138"/>
      <c r="D3702" s="138"/>
      <c r="E3702" s="138"/>
      <c r="F3702" s="138"/>
      <c r="G3702" s="138"/>
      <c r="H3702" s="138"/>
      <c r="I3702" s="152"/>
    </row>
    <row r="3703" spans="1:9" s="65" customFormat="1">
      <c r="A3703" s="645"/>
      <c r="B3703" s="138"/>
      <c r="C3703" s="138"/>
      <c r="D3703" s="138"/>
      <c r="E3703" s="138"/>
      <c r="F3703" s="138"/>
      <c r="G3703" s="138"/>
    </row>
    <row r="3704" spans="1:9" s="65" customFormat="1">
      <c r="A3704" s="69"/>
      <c r="B3704" s="69"/>
      <c r="C3704" s="69"/>
      <c r="D3704" s="69"/>
      <c r="E3704" s="69"/>
    </row>
    <row r="3705" spans="1:9" s="65" customFormat="1">
      <c r="A3705" s="120"/>
      <c r="B3705" s="73"/>
      <c r="C3705" s="73"/>
      <c r="D3705" s="73"/>
      <c r="E3705" s="73"/>
      <c r="F3705" s="121"/>
      <c r="G3705" s="121"/>
      <c r="H3705" s="121"/>
    </row>
    <row r="3706" spans="1:9" s="65" customFormat="1">
      <c r="A3706" s="128"/>
      <c r="B3706" s="141"/>
      <c r="C3706" s="141"/>
      <c r="D3706" s="141"/>
      <c r="E3706" s="141"/>
      <c r="F3706" s="141"/>
      <c r="G3706" s="141"/>
      <c r="H3706" s="121"/>
    </row>
    <row r="3707" spans="1:9" s="65" customFormat="1">
      <c r="A3707" s="150"/>
      <c r="B3707" s="83"/>
      <c r="C3707" s="148"/>
      <c r="D3707" s="84"/>
      <c r="E3707" s="84"/>
      <c r="F3707" s="84"/>
      <c r="G3707" s="144"/>
      <c r="H3707" s="145"/>
    </row>
    <row r="3708" spans="1:9" s="65" customFormat="1">
      <c r="A3708" s="84"/>
      <c r="B3708" s="83"/>
      <c r="C3708" s="84"/>
      <c r="D3708" s="84"/>
      <c r="E3708" s="84"/>
      <c r="G3708" s="104"/>
      <c r="H3708" s="140"/>
    </row>
    <row r="3709" spans="1:9" s="65" customFormat="1">
      <c r="A3709" s="120"/>
      <c r="B3709" s="73"/>
      <c r="C3709" s="73"/>
      <c r="D3709" s="73"/>
      <c r="E3709" s="73"/>
      <c r="G3709" s="121"/>
      <c r="H3709" s="140"/>
    </row>
    <row r="3710" spans="1:9" s="65" customFormat="1">
      <c r="A3710" s="128"/>
      <c r="B3710" s="141"/>
      <c r="C3710" s="141"/>
      <c r="D3710" s="141"/>
      <c r="E3710" s="141"/>
      <c r="F3710" s="141"/>
      <c r="G3710" s="141"/>
      <c r="H3710" s="140"/>
    </row>
    <row r="3711" spans="1:9" s="65" customFormat="1" ht="16.5">
      <c r="A3711" s="150"/>
      <c r="B3711" s="161"/>
      <c r="C3711" s="148"/>
      <c r="D3711" s="160"/>
      <c r="E3711" s="84"/>
      <c r="F3711" s="84"/>
      <c r="G3711" s="144"/>
      <c r="H3711" s="145"/>
    </row>
    <row r="3712" spans="1:9" s="65" customFormat="1">
      <c r="A3712" s="91"/>
      <c r="B3712" s="91"/>
      <c r="C3712" s="91"/>
      <c r="D3712" s="91"/>
      <c r="E3712" s="91"/>
      <c r="G3712" s="104"/>
      <c r="H3712" s="140"/>
    </row>
    <row r="3713" spans="1:9" s="65" customFormat="1">
      <c r="A3713" s="120"/>
      <c r="B3713" s="73"/>
      <c r="C3713" s="73"/>
      <c r="D3713" s="73"/>
      <c r="E3713" s="73"/>
      <c r="G3713" s="121"/>
      <c r="H3713" s="140"/>
    </row>
    <row r="3714" spans="1:9" s="65" customFormat="1">
      <c r="A3714" s="128"/>
      <c r="B3714" s="141"/>
      <c r="C3714" s="141"/>
      <c r="D3714" s="141"/>
      <c r="E3714" s="141"/>
      <c r="F3714" s="141"/>
      <c r="G3714" s="141"/>
      <c r="H3714" s="140"/>
    </row>
    <row r="3715" spans="1:9" s="65" customFormat="1">
      <c r="A3715" s="146"/>
      <c r="B3715" s="83"/>
      <c r="C3715" s="148"/>
      <c r="D3715" s="84"/>
      <c r="E3715" s="84"/>
      <c r="F3715" s="84"/>
      <c r="G3715" s="144"/>
      <c r="H3715" s="145"/>
    </row>
    <row r="3716" spans="1:9" s="65" customFormat="1">
      <c r="A3716" s="91"/>
      <c r="B3716" s="91"/>
      <c r="C3716" s="91"/>
      <c r="D3716" s="91"/>
      <c r="E3716" s="91"/>
      <c r="G3716" s="104"/>
      <c r="H3716" s="140"/>
    </row>
    <row r="3717" spans="1:9" s="65" customFormat="1">
      <c r="A3717" s="120"/>
      <c r="B3717" s="73"/>
      <c r="C3717" s="73"/>
      <c r="D3717" s="73"/>
      <c r="E3717" s="73"/>
      <c r="G3717" s="121"/>
      <c r="H3717" s="140"/>
    </row>
    <row r="3718" spans="1:9" s="65" customFormat="1">
      <c r="A3718" s="128"/>
      <c r="B3718" s="141"/>
      <c r="C3718" s="141"/>
      <c r="D3718" s="141"/>
      <c r="E3718" s="141"/>
      <c r="F3718" s="141"/>
      <c r="G3718" s="141"/>
      <c r="H3718" s="140"/>
    </row>
    <row r="3719" spans="1:9" s="65" customFormat="1">
      <c r="A3719" s="142"/>
      <c r="B3719" s="143"/>
      <c r="C3719" s="143"/>
      <c r="D3719" s="143"/>
      <c r="E3719" s="143"/>
      <c r="F3719" s="84"/>
      <c r="G3719" s="144"/>
      <c r="H3719" s="145"/>
    </row>
    <row r="3720" spans="1:9" s="65" customFormat="1">
      <c r="A3720" s="123"/>
      <c r="B3720" s="95"/>
      <c r="C3720" s="95"/>
      <c r="D3720" s="95"/>
      <c r="E3720" s="95"/>
      <c r="G3720" s="104"/>
      <c r="H3720" s="121"/>
    </row>
    <row r="3721" spans="1:9" s="65" customFormat="1">
      <c r="A3721" s="123"/>
      <c r="B3721" s="95"/>
      <c r="C3721" s="95"/>
      <c r="D3721" s="95"/>
      <c r="E3721" s="95"/>
      <c r="G3721" s="121"/>
      <c r="H3721" s="133"/>
    </row>
    <row r="3722" spans="1:9" s="65" customFormat="1">
      <c r="B3722" s="97"/>
      <c r="C3722" s="98"/>
      <c r="D3722" s="98"/>
      <c r="E3722" s="98"/>
      <c r="G3722" s="128"/>
    </row>
    <row r="3723" spans="1:9" s="65" customFormat="1">
      <c r="B3723" s="97"/>
      <c r="C3723" s="98"/>
      <c r="D3723" s="98"/>
      <c r="E3723" s="98"/>
      <c r="F3723" s="128"/>
      <c r="G3723" s="133"/>
      <c r="H3723" s="134"/>
    </row>
    <row r="3724" spans="1:9" s="65" customFormat="1">
      <c r="A3724" s="633"/>
      <c r="B3724" s="633"/>
      <c r="C3724" s="633"/>
      <c r="D3724" s="633"/>
      <c r="E3724" s="633"/>
      <c r="F3724" s="633"/>
      <c r="G3724" s="633"/>
    </row>
    <row r="3725" spans="1:9" s="65" customFormat="1">
      <c r="H3725" s="138"/>
      <c r="I3725" s="151"/>
    </row>
    <row r="3726" spans="1:9" s="65" customFormat="1">
      <c r="A3726" s="645"/>
      <c r="B3726" s="138"/>
      <c r="C3726" s="138"/>
      <c r="D3726" s="138"/>
      <c r="E3726" s="138"/>
      <c r="F3726" s="138"/>
      <c r="G3726" s="138"/>
      <c r="H3726" s="138"/>
      <c r="I3726" s="152"/>
    </row>
    <row r="3727" spans="1:9" s="65" customFormat="1">
      <c r="A3727" s="645"/>
      <c r="B3727" s="138"/>
      <c r="C3727" s="138"/>
      <c r="D3727" s="138"/>
      <c r="E3727" s="138"/>
      <c r="F3727" s="138"/>
      <c r="G3727" s="138"/>
    </row>
    <row r="3728" spans="1:9" s="65" customFormat="1">
      <c r="A3728" s="69"/>
      <c r="B3728" s="69"/>
      <c r="C3728" s="69"/>
      <c r="D3728" s="69"/>
      <c r="E3728" s="69"/>
    </row>
    <row r="3729" spans="1:8" s="65" customFormat="1">
      <c r="A3729" s="120"/>
      <c r="B3729" s="73"/>
      <c r="C3729" s="73"/>
      <c r="D3729" s="73"/>
      <c r="E3729" s="73"/>
      <c r="F3729" s="121"/>
      <c r="G3729" s="121"/>
      <c r="H3729" s="121"/>
    </row>
    <row r="3730" spans="1:8" s="65" customFormat="1">
      <c r="A3730" s="128"/>
      <c r="B3730" s="141"/>
      <c r="C3730" s="141"/>
      <c r="D3730" s="141"/>
      <c r="E3730" s="141"/>
      <c r="F3730" s="141"/>
      <c r="G3730" s="141"/>
      <c r="H3730" s="121"/>
    </row>
    <row r="3731" spans="1:8" s="65" customFormat="1">
      <c r="A3731" s="150"/>
      <c r="B3731" s="83"/>
      <c r="C3731" s="148"/>
      <c r="D3731" s="84"/>
      <c r="E3731" s="84"/>
      <c r="F3731" s="84"/>
      <c r="G3731" s="144"/>
      <c r="H3731" s="145"/>
    </row>
    <row r="3732" spans="1:8" s="65" customFormat="1">
      <c r="A3732" s="84"/>
      <c r="B3732" s="83"/>
      <c r="C3732" s="84"/>
      <c r="D3732" s="84"/>
      <c r="E3732" s="84"/>
      <c r="G3732" s="104"/>
      <c r="H3732" s="140"/>
    </row>
    <row r="3733" spans="1:8" s="65" customFormat="1">
      <c r="A3733" s="120"/>
      <c r="B3733" s="73"/>
      <c r="C3733" s="73"/>
      <c r="D3733" s="73"/>
      <c r="E3733" s="73"/>
      <c r="G3733" s="121"/>
      <c r="H3733" s="140"/>
    </row>
    <row r="3734" spans="1:8" s="65" customFormat="1">
      <c r="A3734" s="128"/>
      <c r="B3734" s="141"/>
      <c r="C3734" s="141"/>
      <c r="D3734" s="141"/>
      <c r="E3734" s="141"/>
      <c r="F3734" s="141"/>
      <c r="G3734" s="141"/>
      <c r="H3734" s="140"/>
    </row>
    <row r="3735" spans="1:8" s="65" customFormat="1" ht="16.5">
      <c r="A3735" s="150"/>
      <c r="B3735" s="161"/>
      <c r="C3735" s="148"/>
      <c r="D3735" s="160"/>
      <c r="E3735" s="84"/>
      <c r="F3735" s="84"/>
      <c r="G3735" s="144"/>
      <c r="H3735" s="145"/>
    </row>
    <row r="3736" spans="1:8" s="65" customFormat="1">
      <c r="A3736" s="91"/>
      <c r="B3736" s="91"/>
      <c r="C3736" s="91"/>
      <c r="D3736" s="91"/>
      <c r="E3736" s="91"/>
      <c r="G3736" s="104"/>
      <c r="H3736" s="140"/>
    </row>
    <row r="3737" spans="1:8" s="65" customFormat="1">
      <c r="A3737" s="120"/>
      <c r="B3737" s="73"/>
      <c r="C3737" s="73"/>
      <c r="D3737" s="73"/>
      <c r="E3737" s="73"/>
      <c r="G3737" s="121"/>
      <c r="H3737" s="140"/>
    </row>
    <row r="3738" spans="1:8" s="65" customFormat="1">
      <c r="A3738" s="128"/>
      <c r="B3738" s="141"/>
      <c r="C3738" s="141"/>
      <c r="D3738" s="141"/>
      <c r="E3738" s="141"/>
      <c r="F3738" s="141"/>
      <c r="G3738" s="141"/>
      <c r="H3738" s="140"/>
    </row>
    <row r="3739" spans="1:8" s="65" customFormat="1">
      <c r="A3739" s="146"/>
      <c r="B3739" s="83"/>
      <c r="C3739" s="148"/>
      <c r="D3739" s="84"/>
      <c r="E3739" s="84"/>
      <c r="F3739" s="84"/>
      <c r="G3739" s="144"/>
      <c r="H3739" s="145"/>
    </row>
    <row r="3740" spans="1:8" s="65" customFormat="1">
      <c r="A3740" s="91"/>
      <c r="B3740" s="91"/>
      <c r="C3740" s="91"/>
      <c r="D3740" s="91"/>
      <c r="E3740" s="91"/>
      <c r="G3740" s="104"/>
      <c r="H3740" s="140"/>
    </row>
    <row r="3741" spans="1:8" s="65" customFormat="1">
      <c r="A3741" s="120"/>
      <c r="B3741" s="73"/>
      <c r="C3741" s="73"/>
      <c r="D3741" s="73"/>
      <c r="E3741" s="73"/>
      <c r="G3741" s="121"/>
      <c r="H3741" s="140"/>
    </row>
    <row r="3742" spans="1:8" s="65" customFormat="1">
      <c r="A3742" s="128"/>
      <c r="B3742" s="141"/>
      <c r="C3742" s="141"/>
      <c r="D3742" s="141"/>
      <c r="E3742" s="141"/>
      <c r="F3742" s="141"/>
      <c r="G3742" s="141"/>
      <c r="H3742" s="140"/>
    </row>
    <row r="3743" spans="1:8" s="65" customFormat="1">
      <c r="A3743" s="142"/>
      <c r="B3743" s="143"/>
      <c r="C3743" s="143"/>
      <c r="D3743" s="143"/>
      <c r="E3743" s="143"/>
      <c r="F3743" s="84"/>
      <c r="G3743" s="144"/>
      <c r="H3743" s="145"/>
    </row>
    <row r="3744" spans="1:8" s="65" customFormat="1">
      <c r="A3744" s="123"/>
      <c r="B3744" s="95"/>
      <c r="C3744" s="95"/>
      <c r="D3744" s="95"/>
      <c r="E3744" s="95"/>
      <c r="G3744" s="104"/>
      <c r="H3744" s="121"/>
    </row>
    <row r="3745" spans="1:9" s="65" customFormat="1">
      <c r="A3745" s="123"/>
      <c r="B3745" s="95"/>
      <c r="C3745" s="95"/>
      <c r="D3745" s="95"/>
      <c r="E3745" s="95"/>
      <c r="G3745" s="121"/>
      <c r="H3745" s="133"/>
    </row>
    <row r="3746" spans="1:9" s="65" customFormat="1">
      <c r="B3746" s="97"/>
      <c r="C3746" s="98"/>
      <c r="D3746" s="98"/>
      <c r="E3746" s="98"/>
      <c r="G3746" s="128"/>
    </row>
    <row r="3747" spans="1:9" s="65" customFormat="1">
      <c r="B3747" s="97"/>
      <c r="C3747" s="98"/>
      <c r="D3747" s="98"/>
      <c r="E3747" s="98"/>
      <c r="F3747" s="128"/>
      <c r="G3747" s="133"/>
      <c r="H3747" s="134"/>
    </row>
    <row r="3748" spans="1:9" s="65" customFormat="1">
      <c r="A3748" s="633"/>
      <c r="B3748" s="633"/>
      <c r="C3748" s="633"/>
      <c r="D3748" s="633"/>
      <c r="E3748" s="633"/>
      <c r="F3748" s="633"/>
      <c r="G3748" s="633"/>
    </row>
    <row r="3749" spans="1:9" s="65" customFormat="1">
      <c r="H3749" s="138"/>
      <c r="I3749" s="151"/>
    </row>
    <row r="3750" spans="1:9" s="65" customFormat="1">
      <c r="A3750" s="645"/>
      <c r="B3750" s="138"/>
      <c r="C3750" s="138"/>
      <c r="D3750" s="138"/>
      <c r="E3750" s="138"/>
      <c r="F3750" s="138"/>
      <c r="G3750" s="138"/>
      <c r="H3750" s="138"/>
      <c r="I3750" s="152"/>
    </row>
    <row r="3751" spans="1:9" s="65" customFormat="1">
      <c r="A3751" s="645"/>
      <c r="B3751" s="138"/>
      <c r="C3751" s="138"/>
      <c r="D3751" s="138"/>
      <c r="E3751" s="138"/>
      <c r="F3751" s="138"/>
      <c r="G3751" s="138"/>
    </row>
    <row r="3752" spans="1:9" s="65" customFormat="1">
      <c r="A3752" s="69"/>
      <c r="B3752" s="69"/>
      <c r="C3752" s="69"/>
      <c r="D3752" s="69"/>
      <c r="E3752" s="69"/>
    </row>
    <row r="3753" spans="1:9" s="65" customFormat="1">
      <c r="A3753" s="120"/>
      <c r="B3753" s="73"/>
      <c r="C3753" s="73"/>
      <c r="D3753" s="73"/>
      <c r="E3753" s="73"/>
      <c r="F3753" s="121"/>
      <c r="G3753" s="121"/>
      <c r="H3753" s="121"/>
    </row>
    <row r="3754" spans="1:9" s="65" customFormat="1">
      <c r="A3754" s="128"/>
      <c r="B3754" s="141"/>
      <c r="C3754" s="141"/>
      <c r="D3754" s="141"/>
      <c r="E3754" s="141"/>
      <c r="F3754" s="141"/>
      <c r="G3754" s="141"/>
      <c r="H3754" s="121"/>
    </row>
    <row r="3755" spans="1:9" s="65" customFormat="1">
      <c r="A3755" s="150"/>
      <c r="B3755" s="83"/>
      <c r="C3755" s="148"/>
      <c r="D3755" s="84"/>
      <c r="E3755" s="84"/>
      <c r="F3755" s="84"/>
      <c r="G3755" s="144"/>
      <c r="H3755" s="145"/>
    </row>
    <row r="3756" spans="1:9" s="65" customFormat="1">
      <c r="A3756" s="84"/>
      <c r="B3756" s="83"/>
      <c r="C3756" s="84"/>
      <c r="D3756" s="84"/>
      <c r="E3756" s="84"/>
      <c r="G3756" s="104"/>
      <c r="H3756" s="140"/>
    </row>
    <row r="3757" spans="1:9" s="65" customFormat="1">
      <c r="A3757" s="120"/>
      <c r="B3757" s="73"/>
      <c r="C3757" s="73"/>
      <c r="D3757" s="73"/>
      <c r="E3757" s="73"/>
      <c r="G3757" s="121"/>
      <c r="H3757" s="140"/>
    </row>
    <row r="3758" spans="1:9" s="65" customFormat="1">
      <c r="A3758" s="128"/>
      <c r="B3758" s="141"/>
      <c r="C3758" s="141"/>
      <c r="D3758" s="141"/>
      <c r="E3758" s="141"/>
      <c r="F3758" s="141"/>
      <c r="G3758" s="141"/>
      <c r="H3758" s="140"/>
    </row>
    <row r="3759" spans="1:9" s="65" customFormat="1" ht="16.5">
      <c r="A3759" s="150"/>
      <c r="B3759" s="161"/>
      <c r="C3759" s="148"/>
      <c r="D3759" s="84"/>
      <c r="E3759" s="84"/>
      <c r="F3759" s="84"/>
      <c r="G3759" s="144"/>
      <c r="H3759" s="140"/>
    </row>
    <row r="3760" spans="1:9" s="65" customFormat="1" ht="16.5">
      <c r="A3760" s="150"/>
      <c r="B3760" s="161"/>
      <c r="C3760" s="148"/>
      <c r="D3760" s="84"/>
      <c r="E3760" s="84"/>
      <c r="F3760" s="84"/>
      <c r="G3760" s="144"/>
      <c r="H3760" s="140"/>
    </row>
    <row r="3761" spans="1:9" s="65" customFormat="1" ht="16.5">
      <c r="A3761" s="150"/>
      <c r="B3761" s="161"/>
      <c r="C3761" s="148"/>
      <c r="D3761" s="84"/>
      <c r="E3761" s="84"/>
      <c r="F3761" s="84"/>
      <c r="G3761" s="144"/>
      <c r="H3761" s="145"/>
    </row>
    <row r="3762" spans="1:9" s="65" customFormat="1">
      <c r="A3762" s="91"/>
      <c r="B3762" s="91"/>
      <c r="C3762" s="91"/>
      <c r="D3762" s="91"/>
      <c r="E3762" s="91"/>
      <c r="G3762" s="104"/>
      <c r="H3762" s="140"/>
    </row>
    <row r="3763" spans="1:9" s="65" customFormat="1">
      <c r="A3763" s="120"/>
      <c r="B3763" s="73"/>
      <c r="C3763" s="73"/>
      <c r="D3763" s="73"/>
      <c r="E3763" s="73"/>
      <c r="G3763" s="121"/>
      <c r="H3763" s="140"/>
    </row>
    <row r="3764" spans="1:9" s="65" customFormat="1">
      <c r="A3764" s="128"/>
      <c r="B3764" s="141"/>
      <c r="C3764" s="141"/>
      <c r="D3764" s="141"/>
      <c r="E3764" s="141"/>
      <c r="F3764" s="141"/>
      <c r="G3764" s="141"/>
      <c r="H3764" s="140"/>
    </row>
    <row r="3765" spans="1:9" s="65" customFormat="1">
      <c r="A3765" s="146"/>
      <c r="B3765" s="83"/>
      <c r="C3765" s="148"/>
      <c r="D3765" s="84"/>
      <c r="E3765" s="84"/>
      <c r="F3765" s="84"/>
      <c r="G3765" s="144"/>
      <c r="H3765" s="140"/>
    </row>
    <row r="3766" spans="1:9" s="65" customFormat="1">
      <c r="A3766" s="146"/>
      <c r="B3766" s="83"/>
      <c r="C3766" s="148"/>
      <c r="D3766" s="84"/>
      <c r="E3766" s="84"/>
      <c r="F3766" s="84"/>
      <c r="G3766" s="144"/>
      <c r="H3766" s="145"/>
    </row>
    <row r="3767" spans="1:9" s="65" customFormat="1">
      <c r="A3767" s="91"/>
      <c r="B3767" s="91"/>
      <c r="C3767" s="91"/>
      <c r="D3767" s="91"/>
      <c r="E3767" s="91"/>
      <c r="G3767" s="104"/>
      <c r="H3767" s="140"/>
    </row>
    <row r="3768" spans="1:9" s="65" customFormat="1">
      <c r="A3768" s="120"/>
      <c r="B3768" s="73"/>
      <c r="C3768" s="73"/>
      <c r="D3768" s="73"/>
      <c r="E3768" s="73"/>
      <c r="G3768" s="121"/>
      <c r="H3768" s="140"/>
    </row>
    <row r="3769" spans="1:9" s="65" customFormat="1">
      <c r="A3769" s="128"/>
      <c r="B3769" s="141"/>
      <c r="C3769" s="141"/>
      <c r="D3769" s="141"/>
      <c r="E3769" s="141"/>
      <c r="F3769" s="141"/>
      <c r="G3769" s="141"/>
      <c r="H3769" s="140"/>
    </row>
    <row r="3770" spans="1:9" s="65" customFormat="1">
      <c r="A3770" s="142"/>
      <c r="B3770" s="143"/>
      <c r="C3770" s="143"/>
      <c r="D3770" s="143"/>
      <c r="E3770" s="143"/>
      <c r="F3770" s="84"/>
      <c r="G3770" s="144"/>
      <c r="H3770" s="145"/>
    </row>
    <row r="3771" spans="1:9" s="65" customFormat="1">
      <c r="A3771" s="123"/>
      <c r="B3771" s="95"/>
      <c r="C3771" s="95"/>
      <c r="D3771" s="95"/>
      <c r="E3771" s="95"/>
      <c r="G3771" s="104"/>
      <c r="H3771" s="121"/>
    </row>
    <row r="3772" spans="1:9" s="65" customFormat="1">
      <c r="A3772" s="123"/>
      <c r="B3772" s="95"/>
      <c r="C3772" s="95"/>
      <c r="D3772" s="95"/>
      <c r="E3772" s="95"/>
      <c r="G3772" s="121"/>
      <c r="H3772" s="133"/>
    </row>
    <row r="3773" spans="1:9" s="65" customFormat="1">
      <c r="B3773" s="97"/>
      <c r="C3773" s="98"/>
      <c r="D3773" s="98"/>
      <c r="E3773" s="98"/>
      <c r="G3773" s="128"/>
    </row>
    <row r="3774" spans="1:9" s="65" customFormat="1">
      <c r="B3774" s="97"/>
      <c r="C3774" s="98"/>
      <c r="D3774" s="98"/>
      <c r="E3774" s="98"/>
      <c r="F3774" s="128"/>
      <c r="G3774" s="133"/>
      <c r="H3774" s="134"/>
    </row>
    <row r="3775" spans="1:9" s="65" customFormat="1">
      <c r="A3775" s="633"/>
      <c r="B3775" s="633"/>
      <c r="C3775" s="633"/>
      <c r="D3775" s="633"/>
      <c r="E3775" s="633"/>
      <c r="F3775" s="633"/>
      <c r="G3775" s="633"/>
    </row>
    <row r="3776" spans="1:9" s="65" customFormat="1">
      <c r="H3776" s="138"/>
      <c r="I3776" s="151"/>
    </row>
    <row r="3777" spans="1:9" s="65" customFormat="1">
      <c r="A3777" s="645"/>
      <c r="B3777" s="138"/>
      <c r="C3777" s="138"/>
      <c r="D3777" s="138"/>
      <c r="E3777" s="138"/>
      <c r="F3777" s="138"/>
      <c r="G3777" s="138"/>
      <c r="H3777" s="138"/>
      <c r="I3777" s="152"/>
    </row>
    <row r="3778" spans="1:9" s="65" customFormat="1">
      <c r="A3778" s="645"/>
      <c r="B3778" s="138"/>
      <c r="C3778" s="138"/>
      <c r="D3778" s="138"/>
      <c r="E3778" s="138"/>
      <c r="F3778" s="138"/>
      <c r="G3778" s="138"/>
    </row>
    <row r="3779" spans="1:9" s="65" customFormat="1">
      <c r="A3779" s="69"/>
      <c r="B3779" s="69"/>
      <c r="C3779" s="69"/>
      <c r="D3779" s="69"/>
      <c r="E3779" s="69"/>
    </row>
    <row r="3780" spans="1:9" s="65" customFormat="1">
      <c r="A3780" s="120"/>
      <c r="B3780" s="73"/>
      <c r="C3780" s="73"/>
      <c r="D3780" s="73"/>
      <c r="E3780" s="73"/>
      <c r="F3780" s="121"/>
      <c r="G3780" s="121"/>
      <c r="H3780" s="121"/>
    </row>
    <row r="3781" spans="1:9" s="65" customFormat="1">
      <c r="A3781" s="128"/>
      <c r="B3781" s="141"/>
      <c r="C3781" s="141"/>
      <c r="D3781" s="141"/>
      <c r="E3781" s="141"/>
      <c r="F3781" s="141"/>
      <c r="G3781" s="141"/>
      <c r="H3781" s="121"/>
    </row>
    <row r="3782" spans="1:9" s="65" customFormat="1">
      <c r="A3782" s="142"/>
      <c r="B3782" s="143"/>
      <c r="C3782" s="143"/>
      <c r="D3782" s="84"/>
      <c r="E3782" s="84"/>
      <c r="F3782" s="84"/>
      <c r="G3782" s="144"/>
      <c r="H3782" s="145"/>
    </row>
    <row r="3783" spans="1:9" s="65" customFormat="1">
      <c r="A3783" s="84"/>
      <c r="B3783" s="83"/>
      <c r="C3783" s="84"/>
      <c r="D3783" s="84"/>
      <c r="E3783" s="84"/>
      <c r="G3783" s="104"/>
      <c r="H3783" s="140"/>
    </row>
    <row r="3784" spans="1:9" s="65" customFormat="1">
      <c r="A3784" s="120"/>
      <c r="B3784" s="73"/>
      <c r="C3784" s="73"/>
      <c r="D3784" s="73"/>
      <c r="E3784" s="73"/>
      <c r="G3784" s="121"/>
      <c r="H3784" s="140"/>
    </row>
    <row r="3785" spans="1:9" s="65" customFormat="1">
      <c r="A3785" s="128"/>
      <c r="B3785" s="141"/>
      <c r="C3785" s="141"/>
      <c r="D3785" s="141"/>
      <c r="E3785" s="141"/>
      <c r="F3785" s="141"/>
      <c r="G3785" s="141"/>
      <c r="H3785" s="140"/>
    </row>
    <row r="3786" spans="1:9" s="65" customFormat="1">
      <c r="A3786" s="142"/>
      <c r="B3786" s="143"/>
      <c r="C3786" s="143"/>
      <c r="D3786" s="143"/>
      <c r="E3786" s="143"/>
      <c r="F3786" s="84"/>
      <c r="G3786" s="144"/>
      <c r="H3786" s="145"/>
    </row>
    <row r="3787" spans="1:9" s="65" customFormat="1">
      <c r="A3787" s="91"/>
      <c r="B3787" s="91"/>
      <c r="C3787" s="91"/>
      <c r="D3787" s="91"/>
      <c r="E3787" s="91"/>
      <c r="G3787" s="104"/>
      <c r="H3787" s="140"/>
    </row>
    <row r="3788" spans="1:9" s="65" customFormat="1">
      <c r="A3788" s="120"/>
      <c r="B3788" s="73"/>
      <c r="C3788" s="73"/>
      <c r="D3788" s="73"/>
      <c r="E3788" s="73"/>
      <c r="G3788" s="121"/>
      <c r="H3788" s="140"/>
    </row>
    <row r="3789" spans="1:9" s="65" customFormat="1">
      <c r="A3789" s="128"/>
      <c r="B3789" s="141"/>
      <c r="C3789" s="141"/>
      <c r="D3789" s="141"/>
      <c r="E3789" s="141"/>
      <c r="F3789" s="141"/>
      <c r="G3789" s="141"/>
      <c r="H3789" s="140"/>
    </row>
    <row r="3790" spans="1:9" s="65" customFormat="1">
      <c r="A3790" s="142"/>
      <c r="B3790" s="143"/>
      <c r="C3790" s="143"/>
      <c r="D3790" s="143"/>
      <c r="E3790" s="143"/>
      <c r="F3790" s="84"/>
      <c r="G3790" s="144"/>
      <c r="H3790" s="145"/>
    </row>
    <row r="3791" spans="1:9" s="65" customFormat="1">
      <c r="A3791" s="91"/>
      <c r="B3791" s="91"/>
      <c r="C3791" s="91"/>
      <c r="D3791" s="91"/>
      <c r="E3791" s="91"/>
      <c r="G3791" s="104"/>
      <c r="H3791" s="140"/>
    </row>
    <row r="3792" spans="1:9" s="65" customFormat="1">
      <c r="A3792" s="120"/>
      <c r="B3792" s="73"/>
      <c r="C3792" s="73"/>
      <c r="D3792" s="73"/>
      <c r="E3792" s="73"/>
      <c r="G3792" s="121"/>
      <c r="H3792" s="140"/>
    </row>
    <row r="3793" spans="1:9" s="65" customFormat="1">
      <c r="A3793" s="128"/>
      <c r="B3793" s="141"/>
      <c r="C3793" s="141"/>
      <c r="D3793" s="141"/>
      <c r="E3793" s="141"/>
      <c r="F3793" s="141"/>
      <c r="G3793" s="141"/>
      <c r="H3793" s="140"/>
    </row>
    <row r="3794" spans="1:9" s="65" customFormat="1">
      <c r="A3794" s="142"/>
      <c r="B3794" s="143"/>
      <c r="C3794" s="143"/>
      <c r="D3794" s="143"/>
      <c r="E3794" s="143"/>
      <c r="F3794" s="84"/>
      <c r="G3794" s="144"/>
      <c r="H3794" s="145"/>
    </row>
    <row r="3795" spans="1:9" s="65" customFormat="1">
      <c r="A3795" s="123"/>
      <c r="B3795" s="95"/>
      <c r="C3795" s="95"/>
      <c r="D3795" s="95"/>
      <c r="E3795" s="95"/>
      <c r="G3795" s="104"/>
      <c r="H3795" s="121"/>
    </row>
    <row r="3796" spans="1:9" s="65" customFormat="1">
      <c r="A3796" s="123"/>
      <c r="B3796" s="95"/>
      <c r="C3796" s="95"/>
      <c r="D3796" s="95"/>
      <c r="E3796" s="95"/>
      <c r="G3796" s="121"/>
      <c r="H3796" s="133"/>
    </row>
    <row r="3797" spans="1:9" s="65" customFormat="1">
      <c r="B3797" s="97"/>
      <c r="C3797" s="98"/>
      <c r="D3797" s="98"/>
      <c r="E3797" s="98"/>
      <c r="G3797" s="128"/>
    </row>
    <row r="3798" spans="1:9" s="65" customFormat="1">
      <c r="B3798" s="97"/>
      <c r="C3798" s="98"/>
      <c r="D3798" s="98"/>
      <c r="E3798" s="98"/>
      <c r="F3798" s="128"/>
      <c r="G3798" s="133"/>
      <c r="H3798" s="134"/>
    </row>
    <row r="3799" spans="1:9" s="65" customFormat="1">
      <c r="A3799" s="633"/>
      <c r="B3799" s="633"/>
      <c r="C3799" s="633"/>
      <c r="D3799" s="633"/>
      <c r="E3799" s="633"/>
      <c r="F3799" s="633"/>
      <c r="G3799" s="633"/>
    </row>
    <row r="3800" spans="1:9" s="65" customFormat="1">
      <c r="H3800" s="138"/>
      <c r="I3800" s="151"/>
    </row>
    <row r="3801" spans="1:9" s="65" customFormat="1">
      <c r="A3801" s="645"/>
      <c r="B3801" s="138"/>
      <c r="C3801" s="138"/>
      <c r="D3801" s="138"/>
      <c r="E3801" s="138"/>
      <c r="F3801" s="138"/>
      <c r="G3801" s="138"/>
      <c r="H3801" s="138"/>
      <c r="I3801" s="152"/>
    </row>
    <row r="3802" spans="1:9" s="65" customFormat="1">
      <c r="A3802" s="645"/>
      <c r="B3802" s="138"/>
      <c r="C3802" s="138"/>
      <c r="D3802" s="138"/>
      <c r="E3802" s="138"/>
      <c r="F3802" s="138"/>
      <c r="G3802" s="138"/>
    </row>
    <row r="3803" spans="1:9" s="65" customFormat="1">
      <c r="A3803" s="69"/>
      <c r="B3803" s="69"/>
      <c r="C3803" s="69"/>
      <c r="D3803" s="69"/>
      <c r="E3803" s="69"/>
    </row>
    <row r="3804" spans="1:9" s="65" customFormat="1">
      <c r="A3804" s="120"/>
      <c r="B3804" s="73"/>
      <c r="C3804" s="73"/>
      <c r="D3804" s="73"/>
      <c r="E3804" s="73"/>
      <c r="F3804" s="121"/>
      <c r="G3804" s="121"/>
      <c r="H3804" s="121"/>
    </row>
    <row r="3805" spans="1:9" s="65" customFormat="1">
      <c r="A3805" s="128"/>
      <c r="B3805" s="141"/>
      <c r="C3805" s="141"/>
      <c r="D3805" s="141"/>
      <c r="E3805" s="141"/>
      <c r="F3805" s="141"/>
      <c r="G3805" s="141"/>
      <c r="H3805" s="121"/>
    </row>
    <row r="3806" spans="1:9" s="65" customFormat="1">
      <c r="A3806" s="142"/>
      <c r="B3806" s="167"/>
      <c r="C3806" s="143"/>
      <c r="D3806" s="84"/>
      <c r="E3806" s="84"/>
      <c r="F3806" s="84"/>
      <c r="G3806" s="144"/>
      <c r="H3806" s="121"/>
    </row>
    <row r="3807" spans="1:9" s="65" customFormat="1">
      <c r="A3807" s="142"/>
      <c r="B3807" s="167"/>
      <c r="C3807" s="143"/>
      <c r="D3807" s="84"/>
      <c r="E3807" s="84"/>
      <c r="F3807" s="84"/>
      <c r="G3807" s="144"/>
      <c r="H3807" s="145"/>
    </row>
    <row r="3808" spans="1:9" s="65" customFormat="1">
      <c r="A3808" s="84"/>
      <c r="B3808" s="83"/>
      <c r="C3808" s="84"/>
      <c r="D3808" s="84"/>
      <c r="E3808" s="84"/>
      <c r="G3808" s="104"/>
      <c r="H3808" s="140"/>
    </row>
    <row r="3809" spans="1:8" s="65" customFormat="1">
      <c r="A3809" s="120"/>
      <c r="B3809" s="73"/>
      <c r="C3809" s="73"/>
      <c r="D3809" s="73"/>
      <c r="E3809" s="73"/>
      <c r="G3809" s="121"/>
      <c r="H3809" s="140"/>
    </row>
    <row r="3810" spans="1:8" s="65" customFormat="1">
      <c r="A3810" s="128"/>
      <c r="B3810" s="141"/>
      <c r="C3810" s="141"/>
      <c r="D3810" s="141"/>
      <c r="E3810" s="141"/>
      <c r="F3810" s="141"/>
      <c r="G3810" s="141"/>
      <c r="H3810" s="140"/>
    </row>
    <row r="3811" spans="1:8" s="65" customFormat="1">
      <c r="A3811" s="142"/>
      <c r="B3811" s="167"/>
      <c r="C3811" s="143"/>
      <c r="D3811" s="84"/>
      <c r="E3811" s="84"/>
      <c r="F3811" s="84"/>
      <c r="G3811" s="144"/>
      <c r="H3811" s="140"/>
    </row>
    <row r="3812" spans="1:8" s="65" customFormat="1">
      <c r="A3812" s="142"/>
      <c r="B3812" s="167"/>
      <c r="C3812" s="143"/>
      <c r="D3812" s="84"/>
      <c r="E3812" s="84"/>
      <c r="F3812" s="84"/>
      <c r="G3812" s="144"/>
      <c r="H3812" s="140"/>
    </row>
    <row r="3813" spans="1:8" s="65" customFormat="1">
      <c r="A3813" s="142"/>
      <c r="B3813" s="167"/>
      <c r="C3813" s="143"/>
      <c r="D3813" s="84"/>
      <c r="E3813" s="84"/>
      <c r="F3813" s="84"/>
      <c r="G3813" s="144"/>
      <c r="H3813" s="145"/>
    </row>
    <row r="3814" spans="1:8" s="65" customFormat="1">
      <c r="A3814" s="91"/>
      <c r="B3814" s="91"/>
      <c r="C3814" s="91"/>
      <c r="D3814" s="91"/>
      <c r="E3814" s="91"/>
      <c r="G3814" s="104"/>
      <c r="H3814" s="140"/>
    </row>
    <row r="3815" spans="1:8" s="65" customFormat="1">
      <c r="A3815" s="120"/>
      <c r="B3815" s="73"/>
      <c r="C3815" s="73"/>
      <c r="D3815" s="73"/>
      <c r="E3815" s="73"/>
      <c r="G3815" s="121"/>
      <c r="H3815" s="140"/>
    </row>
    <row r="3816" spans="1:8" s="65" customFormat="1">
      <c r="A3816" s="128"/>
      <c r="B3816" s="141"/>
      <c r="C3816" s="141"/>
      <c r="D3816" s="141"/>
      <c r="E3816" s="141"/>
      <c r="F3816" s="141"/>
      <c r="G3816" s="141"/>
      <c r="H3816" s="140"/>
    </row>
    <row r="3817" spans="1:8" s="65" customFormat="1">
      <c r="A3817" s="142"/>
      <c r="B3817" s="167"/>
      <c r="C3817" s="143"/>
      <c r="D3817" s="84"/>
      <c r="E3817" s="84"/>
      <c r="F3817" s="84"/>
      <c r="G3817" s="144"/>
      <c r="H3817" s="145"/>
    </row>
    <row r="3818" spans="1:8" s="65" customFormat="1">
      <c r="A3818" s="91"/>
      <c r="B3818" s="91"/>
      <c r="C3818" s="91"/>
      <c r="D3818" s="91"/>
      <c r="E3818" s="91"/>
      <c r="G3818" s="104"/>
      <c r="H3818" s="140"/>
    </row>
    <row r="3819" spans="1:8" s="65" customFormat="1">
      <c r="A3819" s="120"/>
      <c r="B3819" s="73"/>
      <c r="C3819" s="73"/>
      <c r="D3819" s="73"/>
      <c r="E3819" s="73"/>
      <c r="G3819" s="121"/>
      <c r="H3819" s="140"/>
    </row>
    <row r="3820" spans="1:8" s="65" customFormat="1">
      <c r="A3820" s="128"/>
      <c r="B3820" s="141"/>
      <c r="C3820" s="141"/>
      <c r="D3820" s="141"/>
      <c r="E3820" s="141"/>
      <c r="F3820" s="141"/>
      <c r="G3820" s="141"/>
      <c r="H3820" s="140"/>
    </row>
    <row r="3821" spans="1:8" s="65" customFormat="1">
      <c r="A3821" s="142"/>
      <c r="B3821" s="143"/>
      <c r="C3821" s="143"/>
      <c r="D3821" s="143"/>
      <c r="E3821" s="143"/>
      <c r="F3821" s="84"/>
      <c r="G3821" s="144"/>
      <c r="H3821" s="145"/>
    </row>
    <row r="3822" spans="1:8" s="65" customFormat="1">
      <c r="A3822" s="123"/>
      <c r="B3822" s="95"/>
      <c r="C3822" s="95"/>
      <c r="D3822" s="95"/>
      <c r="E3822" s="95"/>
      <c r="G3822" s="104"/>
      <c r="H3822" s="121"/>
    </row>
    <row r="3823" spans="1:8" s="65" customFormat="1">
      <c r="A3823" s="123"/>
      <c r="B3823" s="95"/>
      <c r="C3823" s="95"/>
      <c r="D3823" s="95"/>
      <c r="E3823" s="95"/>
      <c r="G3823" s="121"/>
      <c r="H3823" s="133"/>
    </row>
    <row r="3824" spans="1:8" s="65" customFormat="1">
      <c r="B3824" s="97"/>
      <c r="C3824" s="98"/>
      <c r="D3824" s="98"/>
      <c r="E3824" s="98"/>
      <c r="G3824" s="128"/>
    </row>
    <row r="3825" spans="1:9" s="65" customFormat="1">
      <c r="B3825" s="97"/>
      <c r="C3825" s="98"/>
      <c r="D3825" s="98"/>
      <c r="E3825" s="98"/>
      <c r="F3825" s="128"/>
      <c r="G3825" s="133"/>
      <c r="H3825" s="134"/>
    </row>
    <row r="3826" spans="1:9" s="65" customFormat="1">
      <c r="A3826" s="633"/>
      <c r="B3826" s="633"/>
      <c r="C3826" s="633"/>
      <c r="D3826" s="633"/>
      <c r="E3826" s="633"/>
      <c r="F3826" s="633"/>
      <c r="G3826" s="633"/>
    </row>
    <row r="3827" spans="1:9" s="65" customFormat="1">
      <c r="H3827" s="138"/>
      <c r="I3827" s="151"/>
    </row>
    <row r="3828" spans="1:9" s="65" customFormat="1">
      <c r="A3828" s="645"/>
      <c r="B3828" s="138"/>
      <c r="C3828" s="138"/>
      <c r="D3828" s="138"/>
      <c r="E3828" s="138"/>
      <c r="F3828" s="138"/>
      <c r="G3828" s="138"/>
      <c r="H3828" s="138"/>
      <c r="I3828" s="152"/>
    </row>
    <row r="3829" spans="1:9" s="65" customFormat="1">
      <c r="A3829" s="645"/>
      <c r="B3829" s="138"/>
      <c r="C3829" s="138"/>
      <c r="D3829" s="138"/>
      <c r="E3829" s="138"/>
      <c r="F3829" s="138"/>
      <c r="G3829" s="138"/>
    </row>
    <row r="3830" spans="1:9" s="65" customFormat="1">
      <c r="A3830" s="69"/>
      <c r="B3830" s="69"/>
      <c r="C3830" s="69"/>
      <c r="D3830" s="69"/>
      <c r="E3830" s="69"/>
    </row>
    <row r="3831" spans="1:9" s="65" customFormat="1">
      <c r="A3831" s="120"/>
      <c r="B3831" s="73"/>
      <c r="C3831" s="73"/>
      <c r="D3831" s="73"/>
      <c r="E3831" s="73"/>
      <c r="F3831" s="121"/>
      <c r="G3831" s="121"/>
      <c r="H3831" s="121"/>
    </row>
    <row r="3832" spans="1:9" s="65" customFormat="1">
      <c r="A3832" s="128"/>
      <c r="B3832" s="141"/>
      <c r="C3832" s="141"/>
      <c r="D3832" s="141"/>
      <c r="E3832" s="141"/>
      <c r="F3832" s="141"/>
      <c r="G3832" s="141"/>
      <c r="H3832" s="121"/>
    </row>
    <row r="3833" spans="1:9" s="65" customFormat="1">
      <c r="A3833" s="142"/>
      <c r="B3833" s="143"/>
      <c r="C3833" s="143"/>
      <c r="D3833" s="143"/>
      <c r="E3833" s="143"/>
      <c r="F3833" s="84"/>
      <c r="G3833" s="144"/>
      <c r="H3833" s="145"/>
    </row>
    <row r="3834" spans="1:9" s="65" customFormat="1">
      <c r="A3834" s="84"/>
      <c r="B3834" s="83"/>
      <c r="C3834" s="84"/>
      <c r="D3834" s="84"/>
      <c r="E3834" s="84"/>
      <c r="G3834" s="104"/>
      <c r="H3834" s="140"/>
    </row>
    <row r="3835" spans="1:9" s="65" customFormat="1">
      <c r="A3835" s="120"/>
      <c r="B3835" s="73"/>
      <c r="C3835" s="73"/>
      <c r="D3835" s="73"/>
      <c r="E3835" s="73"/>
      <c r="G3835" s="121"/>
      <c r="H3835" s="140"/>
    </row>
    <row r="3836" spans="1:9" s="65" customFormat="1">
      <c r="A3836" s="128"/>
      <c r="B3836" s="141"/>
      <c r="C3836" s="141"/>
      <c r="D3836" s="141"/>
      <c r="E3836" s="141"/>
      <c r="F3836" s="141"/>
      <c r="G3836" s="141"/>
      <c r="H3836" s="140"/>
    </row>
    <row r="3837" spans="1:9" s="65" customFormat="1">
      <c r="A3837" s="142"/>
      <c r="B3837" s="143"/>
      <c r="C3837" s="143"/>
      <c r="D3837" s="84"/>
      <c r="E3837" s="84"/>
      <c r="F3837" s="84"/>
      <c r="G3837" s="144"/>
      <c r="H3837" s="145"/>
    </row>
    <row r="3838" spans="1:9" s="65" customFormat="1">
      <c r="A3838" s="91"/>
      <c r="B3838" s="91"/>
      <c r="C3838" s="91"/>
      <c r="D3838" s="91"/>
      <c r="E3838" s="91"/>
      <c r="G3838" s="104"/>
      <c r="H3838" s="140"/>
    </row>
    <row r="3839" spans="1:9" s="65" customFormat="1">
      <c r="A3839" s="120"/>
      <c r="B3839" s="73"/>
      <c r="C3839" s="73"/>
      <c r="D3839" s="73"/>
      <c r="E3839" s="73"/>
      <c r="G3839" s="121"/>
      <c r="H3839" s="140"/>
    </row>
    <row r="3840" spans="1:9" s="65" customFormat="1">
      <c r="A3840" s="128"/>
      <c r="B3840" s="141"/>
      <c r="C3840" s="141"/>
      <c r="D3840" s="141"/>
      <c r="E3840" s="141"/>
      <c r="F3840" s="141"/>
      <c r="G3840" s="141"/>
      <c r="H3840" s="140"/>
    </row>
    <row r="3841" spans="1:10" s="65" customFormat="1">
      <c r="A3841" s="142"/>
      <c r="B3841" s="143"/>
      <c r="C3841" s="143"/>
      <c r="D3841" s="143"/>
      <c r="E3841" s="143"/>
      <c r="F3841" s="84"/>
      <c r="G3841" s="144"/>
      <c r="H3841" s="145"/>
    </row>
    <row r="3842" spans="1:10" s="65" customFormat="1">
      <c r="A3842" s="91"/>
      <c r="B3842" s="91"/>
      <c r="C3842" s="91"/>
      <c r="D3842" s="91"/>
      <c r="E3842" s="91"/>
      <c r="G3842" s="104"/>
      <c r="H3842" s="140"/>
    </row>
    <row r="3843" spans="1:10" s="65" customFormat="1">
      <c r="A3843" s="120"/>
      <c r="B3843" s="73"/>
      <c r="C3843" s="73"/>
      <c r="D3843" s="73"/>
      <c r="E3843" s="73"/>
      <c r="G3843" s="121"/>
      <c r="H3843" s="140"/>
    </row>
    <row r="3844" spans="1:10" s="65" customFormat="1">
      <c r="A3844" s="128"/>
      <c r="B3844" s="141"/>
      <c r="C3844" s="141"/>
      <c r="D3844" s="141"/>
      <c r="E3844" s="141"/>
      <c r="F3844" s="141"/>
      <c r="G3844" s="141"/>
      <c r="H3844" s="140"/>
    </row>
    <row r="3845" spans="1:10" s="65" customFormat="1">
      <c r="A3845" s="142"/>
      <c r="B3845" s="143"/>
      <c r="C3845" s="143"/>
      <c r="D3845" s="143"/>
      <c r="E3845" s="143"/>
      <c r="F3845" s="84"/>
      <c r="G3845" s="144"/>
      <c r="H3845" s="145"/>
    </row>
    <row r="3846" spans="1:10" s="65" customFormat="1">
      <c r="A3846" s="123"/>
      <c r="B3846" s="95"/>
      <c r="C3846" s="95"/>
      <c r="D3846" s="95"/>
      <c r="E3846" s="95"/>
      <c r="G3846" s="104"/>
      <c r="H3846" s="121"/>
    </row>
    <row r="3847" spans="1:10" s="65" customFormat="1">
      <c r="A3847" s="123"/>
      <c r="B3847" s="95"/>
      <c r="C3847" s="95"/>
      <c r="D3847" s="95"/>
      <c r="E3847" s="95"/>
      <c r="G3847" s="121"/>
      <c r="H3847" s="133"/>
    </row>
    <row r="3848" spans="1:10" s="65" customFormat="1">
      <c r="B3848" s="97"/>
      <c r="C3848" s="98"/>
      <c r="D3848" s="98"/>
      <c r="E3848" s="98"/>
      <c r="G3848" s="128"/>
    </row>
    <row r="3849" spans="1:10" s="65" customFormat="1">
      <c r="B3849" s="97"/>
      <c r="C3849" s="98"/>
      <c r="D3849" s="98"/>
      <c r="E3849" s="98"/>
      <c r="F3849" s="128"/>
      <c r="G3849" s="133"/>
      <c r="H3849" s="134"/>
    </row>
    <row r="3850" spans="1:10" s="65" customFormat="1">
      <c r="A3850" s="633"/>
      <c r="B3850" s="633"/>
      <c r="C3850" s="633"/>
      <c r="D3850" s="633"/>
      <c r="E3850" s="633"/>
      <c r="F3850" s="633"/>
      <c r="G3850" s="633"/>
    </row>
    <row r="3851" spans="1:10" s="65" customFormat="1">
      <c r="H3851" s="138"/>
      <c r="I3851" s="151"/>
    </row>
    <row r="3852" spans="1:10" s="65" customFormat="1">
      <c r="A3852" s="645"/>
      <c r="B3852" s="138"/>
      <c r="C3852" s="138"/>
      <c r="D3852" s="138"/>
      <c r="E3852" s="138"/>
      <c r="F3852" s="138"/>
      <c r="G3852" s="138"/>
      <c r="H3852" s="138"/>
      <c r="I3852" s="152"/>
    </row>
    <row r="3853" spans="1:10" s="65" customFormat="1">
      <c r="A3853" s="645"/>
      <c r="B3853" s="138"/>
      <c r="C3853" s="138"/>
      <c r="D3853" s="138"/>
      <c r="E3853" s="138"/>
      <c r="F3853" s="138"/>
      <c r="G3853" s="138"/>
    </row>
    <row r="3854" spans="1:10" s="65" customFormat="1">
      <c r="A3854" s="69"/>
      <c r="B3854" s="69"/>
      <c r="C3854" s="69"/>
      <c r="D3854" s="69"/>
      <c r="E3854" s="69"/>
    </row>
    <row r="3855" spans="1:10" s="65" customFormat="1">
      <c r="A3855" s="120"/>
      <c r="B3855" s="73"/>
      <c r="C3855" s="73"/>
      <c r="D3855" s="73"/>
      <c r="E3855" s="73"/>
      <c r="F3855" s="121"/>
      <c r="G3855" s="121"/>
      <c r="H3855" s="121"/>
    </row>
    <row r="3856" spans="1:10">
      <c r="A3856" s="128"/>
      <c r="B3856" s="141"/>
      <c r="C3856" s="141"/>
      <c r="D3856" s="141"/>
      <c r="E3856" s="141"/>
      <c r="F3856" s="141"/>
      <c r="G3856" s="141"/>
      <c r="H3856" s="121"/>
      <c r="I3856" s="65"/>
      <c r="J3856" s="136"/>
    </row>
    <row r="3857" spans="1:8" s="65" customFormat="1">
      <c r="A3857" s="142"/>
      <c r="B3857" s="143"/>
      <c r="C3857" s="143"/>
      <c r="D3857" s="143"/>
      <c r="E3857" s="143"/>
      <c r="F3857" s="84"/>
      <c r="G3857" s="144"/>
      <c r="H3857" s="145"/>
    </row>
    <row r="3858" spans="1:8" s="65" customFormat="1">
      <c r="A3858" s="84"/>
      <c r="B3858" s="83"/>
      <c r="C3858" s="84"/>
      <c r="D3858" s="84"/>
      <c r="E3858" s="84"/>
      <c r="G3858" s="104"/>
      <c r="H3858" s="140"/>
    </row>
    <row r="3859" spans="1:8" s="65" customFormat="1">
      <c r="A3859" s="120"/>
      <c r="B3859" s="73"/>
      <c r="C3859" s="73"/>
      <c r="D3859" s="73"/>
      <c r="E3859" s="73"/>
      <c r="G3859" s="121"/>
      <c r="H3859" s="140"/>
    </row>
    <row r="3860" spans="1:8" s="65" customFormat="1" ht="15" customHeight="1">
      <c r="A3860" s="128"/>
      <c r="B3860" s="141"/>
      <c r="C3860" s="141"/>
      <c r="D3860" s="141"/>
      <c r="E3860" s="141"/>
      <c r="F3860" s="141"/>
      <c r="G3860" s="141"/>
      <c r="H3860" s="140"/>
    </row>
    <row r="3861" spans="1:8" s="65" customFormat="1" ht="16.5">
      <c r="A3861" s="150"/>
      <c r="B3861" s="161"/>
      <c r="C3861" s="148"/>
      <c r="D3861" s="84"/>
      <c r="E3861" s="84"/>
      <c r="F3861" s="84"/>
      <c r="G3861" s="154"/>
      <c r="H3861" s="140"/>
    </row>
    <row r="3862" spans="1:8" s="65" customFormat="1" ht="14.25" customHeight="1">
      <c r="A3862" s="150"/>
      <c r="B3862" s="161"/>
      <c r="C3862" s="148"/>
      <c r="D3862" s="84"/>
      <c r="E3862" s="84"/>
      <c r="F3862" s="84"/>
      <c r="G3862" s="154"/>
      <c r="H3862" s="140"/>
    </row>
    <row r="3863" spans="1:8" s="65" customFormat="1" ht="14.25" customHeight="1">
      <c r="A3863" s="150"/>
      <c r="B3863" s="161"/>
      <c r="C3863" s="148"/>
      <c r="D3863" s="84"/>
      <c r="E3863" s="84"/>
      <c r="F3863" s="84"/>
      <c r="G3863" s="154"/>
      <c r="H3863" s="140"/>
    </row>
    <row r="3864" spans="1:8" s="65" customFormat="1" ht="14.25" customHeight="1">
      <c r="A3864" s="150"/>
      <c r="B3864" s="161"/>
      <c r="C3864" s="148"/>
      <c r="D3864" s="84"/>
      <c r="E3864" s="84"/>
      <c r="F3864" s="84"/>
      <c r="G3864" s="154"/>
      <c r="H3864" s="140"/>
    </row>
    <row r="3865" spans="1:8" s="65" customFormat="1" ht="14.25" customHeight="1">
      <c r="A3865" s="150"/>
      <c r="B3865" s="161"/>
      <c r="C3865" s="148"/>
      <c r="D3865" s="84"/>
      <c r="E3865" s="84"/>
      <c r="F3865" s="84"/>
      <c r="G3865" s="154"/>
      <c r="H3865" s="140"/>
    </row>
    <row r="3866" spans="1:8" s="65" customFormat="1" ht="16.5">
      <c r="A3866" s="150"/>
      <c r="B3866" s="161"/>
      <c r="C3866" s="148"/>
      <c r="D3866" s="84"/>
      <c r="E3866" s="84"/>
      <c r="F3866" s="84"/>
      <c r="G3866" s="154"/>
      <c r="H3866" s="145"/>
    </row>
    <row r="3867" spans="1:8" s="65" customFormat="1">
      <c r="A3867" s="91"/>
      <c r="B3867" s="91"/>
      <c r="C3867" s="91"/>
      <c r="D3867" s="91"/>
      <c r="E3867" s="91"/>
      <c r="G3867" s="104"/>
      <c r="H3867" s="140"/>
    </row>
    <row r="3868" spans="1:8" s="65" customFormat="1">
      <c r="A3868" s="120"/>
      <c r="B3868" s="73"/>
      <c r="C3868" s="73"/>
      <c r="D3868" s="73"/>
      <c r="E3868" s="73"/>
      <c r="G3868" s="121"/>
      <c r="H3868" s="140"/>
    </row>
    <row r="3869" spans="1:8" s="65" customFormat="1">
      <c r="A3869" s="128"/>
      <c r="B3869" s="141"/>
      <c r="C3869" s="141"/>
      <c r="D3869" s="141"/>
      <c r="E3869" s="141"/>
      <c r="F3869" s="141"/>
      <c r="G3869" s="141"/>
      <c r="H3869" s="140"/>
    </row>
    <row r="3870" spans="1:8" s="65" customFormat="1">
      <c r="A3870" s="146"/>
      <c r="B3870" s="83"/>
      <c r="C3870" s="148"/>
      <c r="D3870" s="84"/>
      <c r="E3870" s="84"/>
      <c r="F3870" s="84"/>
      <c r="G3870" s="144"/>
      <c r="H3870" s="145"/>
    </row>
    <row r="3871" spans="1:8" s="65" customFormat="1">
      <c r="A3871" s="91"/>
      <c r="B3871" s="91"/>
      <c r="C3871" s="91"/>
      <c r="D3871" s="91"/>
      <c r="E3871" s="91"/>
      <c r="G3871" s="104"/>
      <c r="H3871" s="140"/>
    </row>
    <row r="3872" spans="1:8" s="65" customFormat="1">
      <c r="A3872" s="120"/>
      <c r="B3872" s="73"/>
      <c r="C3872" s="73"/>
      <c r="D3872" s="73"/>
      <c r="E3872" s="73"/>
      <c r="G3872" s="121"/>
      <c r="H3872" s="140"/>
    </row>
    <row r="3873" spans="1:9" s="65" customFormat="1">
      <c r="A3873" s="128"/>
      <c r="B3873" s="141"/>
      <c r="C3873" s="141"/>
      <c r="D3873" s="141"/>
      <c r="E3873" s="141"/>
      <c r="F3873" s="141"/>
      <c r="G3873" s="141"/>
      <c r="H3873" s="140"/>
    </row>
    <row r="3874" spans="1:9" s="65" customFormat="1">
      <c r="A3874" s="142"/>
      <c r="B3874" s="143"/>
      <c r="C3874" s="143"/>
      <c r="D3874" s="143"/>
      <c r="E3874" s="143"/>
      <c r="F3874" s="84"/>
      <c r="G3874" s="144"/>
      <c r="H3874" s="145"/>
    </row>
    <row r="3875" spans="1:9" s="65" customFormat="1">
      <c r="A3875" s="123"/>
      <c r="B3875" s="95"/>
      <c r="C3875" s="95"/>
      <c r="D3875" s="95"/>
      <c r="E3875" s="95"/>
      <c r="G3875" s="104"/>
      <c r="H3875" s="121"/>
    </row>
    <row r="3876" spans="1:9" s="65" customFormat="1">
      <c r="A3876" s="123"/>
      <c r="B3876" s="95"/>
      <c r="C3876" s="95"/>
      <c r="D3876" s="95"/>
      <c r="E3876" s="95"/>
      <c r="G3876" s="121"/>
      <c r="H3876" s="133"/>
    </row>
    <row r="3877" spans="1:9" s="65" customFormat="1">
      <c r="B3877" s="97"/>
      <c r="C3877" s="98"/>
      <c r="D3877" s="98"/>
      <c r="E3877" s="98"/>
      <c r="G3877" s="128"/>
    </row>
    <row r="3878" spans="1:9" s="65" customFormat="1">
      <c r="B3878" s="97"/>
      <c r="C3878" s="98"/>
      <c r="D3878" s="98"/>
      <c r="E3878" s="98"/>
      <c r="F3878" s="128"/>
      <c r="G3878" s="133"/>
      <c r="H3878" s="134"/>
    </row>
    <row r="3879" spans="1:9" s="65" customFormat="1">
      <c r="A3879" s="633"/>
      <c r="B3879" s="633"/>
      <c r="C3879" s="633"/>
      <c r="D3879" s="633"/>
      <c r="E3879" s="633"/>
      <c r="F3879" s="633"/>
      <c r="G3879" s="633"/>
    </row>
    <row r="3880" spans="1:9" s="65" customFormat="1">
      <c r="H3880" s="138"/>
      <c r="I3880" s="151"/>
    </row>
    <row r="3881" spans="1:9" s="65" customFormat="1">
      <c r="A3881" s="645"/>
      <c r="B3881" s="138"/>
      <c r="C3881" s="138"/>
      <c r="D3881" s="138"/>
      <c r="E3881" s="138"/>
      <c r="F3881" s="138"/>
      <c r="G3881" s="138"/>
      <c r="H3881" s="138"/>
      <c r="I3881" s="152"/>
    </row>
    <row r="3882" spans="1:9" s="65" customFormat="1">
      <c r="A3882" s="645"/>
      <c r="B3882" s="138"/>
      <c r="C3882" s="138"/>
      <c r="D3882" s="138"/>
      <c r="E3882" s="138"/>
      <c r="F3882" s="138"/>
      <c r="G3882" s="138"/>
    </row>
    <row r="3883" spans="1:9" s="65" customFormat="1">
      <c r="A3883" s="69"/>
      <c r="B3883" s="69"/>
      <c r="C3883" s="69"/>
      <c r="D3883" s="69"/>
      <c r="E3883" s="69"/>
    </row>
    <row r="3884" spans="1:9" s="65" customFormat="1">
      <c r="A3884" s="120"/>
      <c r="B3884" s="73"/>
      <c r="C3884" s="73"/>
      <c r="D3884" s="73"/>
      <c r="E3884" s="73"/>
      <c r="F3884" s="121"/>
      <c r="G3884" s="121"/>
      <c r="H3884" s="121"/>
    </row>
    <row r="3885" spans="1:9" s="65" customFormat="1">
      <c r="A3885" s="128"/>
      <c r="B3885" s="141"/>
      <c r="C3885" s="141"/>
      <c r="D3885" s="141"/>
      <c r="E3885" s="141"/>
      <c r="F3885" s="141"/>
      <c r="G3885" s="141"/>
      <c r="H3885" s="121"/>
    </row>
    <row r="3886" spans="1:9" s="65" customFormat="1">
      <c r="A3886" s="142"/>
      <c r="B3886" s="143"/>
      <c r="C3886" s="143"/>
      <c r="D3886" s="143"/>
      <c r="E3886" s="143"/>
      <c r="F3886" s="84"/>
      <c r="G3886" s="144"/>
      <c r="H3886" s="145"/>
    </row>
    <row r="3887" spans="1:9" s="65" customFormat="1">
      <c r="A3887" s="84"/>
      <c r="B3887" s="83"/>
      <c r="C3887" s="84"/>
      <c r="D3887" s="84"/>
      <c r="E3887" s="84"/>
      <c r="G3887" s="104"/>
      <c r="H3887" s="140"/>
    </row>
    <row r="3888" spans="1:9" s="65" customFormat="1">
      <c r="A3888" s="120"/>
      <c r="B3888" s="73"/>
      <c r="C3888" s="73"/>
      <c r="D3888" s="73"/>
      <c r="E3888" s="73"/>
      <c r="G3888" s="121"/>
      <c r="H3888" s="140"/>
    </row>
    <row r="3889" spans="1:8" s="65" customFormat="1">
      <c r="A3889" s="128"/>
      <c r="B3889" s="141"/>
      <c r="C3889" s="141"/>
      <c r="D3889" s="141"/>
      <c r="E3889" s="141"/>
      <c r="F3889" s="141"/>
      <c r="G3889" s="141"/>
      <c r="H3889" s="140"/>
    </row>
    <row r="3890" spans="1:8" s="65" customFormat="1" ht="16.5">
      <c r="A3890" s="150"/>
      <c r="B3890" s="161"/>
      <c r="C3890" s="148"/>
      <c r="D3890" s="84"/>
      <c r="E3890" s="84"/>
      <c r="F3890" s="84"/>
      <c r="G3890" s="154"/>
      <c r="H3890" s="140"/>
    </row>
    <row r="3891" spans="1:8" s="65" customFormat="1" ht="16.5">
      <c r="A3891" s="150"/>
      <c r="B3891" s="161"/>
      <c r="C3891" s="148"/>
      <c r="D3891" s="84"/>
      <c r="E3891" s="84"/>
      <c r="F3891" s="84"/>
      <c r="G3891" s="154"/>
      <c r="H3891" s="140"/>
    </row>
    <row r="3892" spans="1:8" s="65" customFormat="1" ht="16.5">
      <c r="A3892" s="150"/>
      <c r="B3892" s="161"/>
      <c r="C3892" s="148"/>
      <c r="D3892" s="84"/>
      <c r="E3892" s="84"/>
      <c r="F3892" s="84"/>
      <c r="G3892" s="154"/>
      <c r="H3892" s="140"/>
    </row>
    <row r="3893" spans="1:8" s="65" customFormat="1" ht="16.5">
      <c r="A3893" s="150"/>
      <c r="B3893" s="161"/>
      <c r="C3893" s="148"/>
      <c r="D3893" s="84"/>
      <c r="E3893" s="84"/>
      <c r="F3893" s="84"/>
      <c r="G3893" s="154"/>
      <c r="H3893" s="140"/>
    </row>
    <row r="3894" spans="1:8" s="65" customFormat="1" ht="16.5">
      <c r="A3894" s="150"/>
      <c r="B3894" s="161"/>
      <c r="C3894" s="148"/>
      <c r="D3894" s="84"/>
      <c r="E3894" s="84"/>
      <c r="F3894" s="84"/>
      <c r="G3894" s="154"/>
      <c r="H3894" s="140"/>
    </row>
    <row r="3895" spans="1:8" s="65" customFormat="1" ht="16.5">
      <c r="A3895" s="150"/>
      <c r="B3895" s="161"/>
      <c r="C3895" s="148"/>
      <c r="D3895" s="84"/>
      <c r="E3895" s="84"/>
      <c r="F3895" s="84"/>
      <c r="G3895" s="154"/>
      <c r="H3895" s="145"/>
    </row>
    <row r="3896" spans="1:8" s="65" customFormat="1">
      <c r="A3896" s="91"/>
      <c r="B3896" s="91"/>
      <c r="C3896" s="91"/>
      <c r="D3896" s="91"/>
      <c r="E3896" s="91"/>
      <c r="G3896" s="104"/>
      <c r="H3896" s="140"/>
    </row>
    <row r="3897" spans="1:8" s="65" customFormat="1">
      <c r="A3897" s="120"/>
      <c r="B3897" s="73"/>
      <c r="C3897" s="73"/>
      <c r="D3897" s="73"/>
      <c r="E3897" s="73"/>
      <c r="G3897" s="121"/>
      <c r="H3897" s="140"/>
    </row>
    <row r="3898" spans="1:8" s="65" customFormat="1">
      <c r="A3898" s="128"/>
      <c r="B3898" s="141"/>
      <c r="C3898" s="141"/>
      <c r="D3898" s="141"/>
      <c r="E3898" s="141"/>
      <c r="F3898" s="141"/>
      <c r="G3898" s="141"/>
      <c r="H3898" s="140"/>
    </row>
    <row r="3899" spans="1:8" s="65" customFormat="1">
      <c r="A3899" s="146"/>
      <c r="B3899" s="83"/>
      <c r="C3899" s="148"/>
      <c r="D3899" s="84"/>
      <c r="E3899" s="84"/>
      <c r="F3899" s="84"/>
      <c r="G3899" s="144"/>
      <c r="H3899" s="145"/>
    </row>
    <row r="3900" spans="1:8" s="65" customFormat="1">
      <c r="A3900" s="91"/>
      <c r="B3900" s="91"/>
      <c r="C3900" s="91"/>
      <c r="D3900" s="91"/>
      <c r="E3900" s="91"/>
      <c r="G3900" s="104"/>
      <c r="H3900" s="140"/>
    </row>
    <row r="3901" spans="1:8" s="65" customFormat="1">
      <c r="A3901" s="120"/>
      <c r="B3901" s="73"/>
      <c r="C3901" s="73"/>
      <c r="D3901" s="73"/>
      <c r="E3901" s="73"/>
      <c r="G3901" s="121"/>
      <c r="H3901" s="140"/>
    </row>
    <row r="3902" spans="1:8" s="65" customFormat="1">
      <c r="A3902" s="128"/>
      <c r="B3902" s="141"/>
      <c r="C3902" s="141"/>
      <c r="D3902" s="141"/>
      <c r="E3902" s="141"/>
      <c r="F3902" s="141"/>
      <c r="G3902" s="141"/>
      <c r="H3902" s="140"/>
    </row>
    <row r="3903" spans="1:8" s="65" customFormat="1">
      <c r="A3903" s="142"/>
      <c r="B3903" s="143"/>
      <c r="C3903" s="143"/>
      <c r="D3903" s="143"/>
      <c r="E3903" s="143"/>
      <c r="F3903" s="84"/>
      <c r="G3903" s="144"/>
      <c r="H3903" s="145"/>
    </row>
    <row r="3904" spans="1:8" s="65" customFormat="1">
      <c r="A3904" s="123"/>
      <c r="B3904" s="95"/>
      <c r="C3904" s="95"/>
      <c r="D3904" s="95"/>
      <c r="E3904" s="95"/>
      <c r="G3904" s="104"/>
      <c r="H3904" s="121"/>
    </row>
    <row r="3905" spans="1:9" s="65" customFormat="1">
      <c r="A3905" s="123"/>
      <c r="B3905" s="95"/>
      <c r="C3905" s="95"/>
      <c r="D3905" s="95"/>
      <c r="E3905" s="95"/>
      <c r="G3905" s="121"/>
      <c r="H3905" s="133"/>
    </row>
    <row r="3906" spans="1:9" s="65" customFormat="1">
      <c r="B3906" s="97"/>
      <c r="C3906" s="98"/>
      <c r="D3906" s="98"/>
      <c r="E3906" s="98"/>
      <c r="G3906" s="128"/>
    </row>
    <row r="3907" spans="1:9" s="65" customFormat="1">
      <c r="B3907" s="97"/>
      <c r="C3907" s="98"/>
      <c r="D3907" s="98"/>
      <c r="E3907" s="98"/>
      <c r="F3907" s="128"/>
      <c r="G3907" s="133"/>
      <c r="H3907" s="134"/>
    </row>
    <row r="3908" spans="1:9" s="65" customFormat="1">
      <c r="A3908" s="633"/>
      <c r="B3908" s="633"/>
      <c r="C3908" s="633"/>
      <c r="D3908" s="633"/>
      <c r="E3908" s="633"/>
      <c r="F3908" s="633"/>
      <c r="G3908" s="633"/>
      <c r="H3908"/>
      <c r="I3908"/>
    </row>
    <row r="3909" spans="1:9" s="65" customFormat="1">
      <c r="A3909"/>
      <c r="B3909"/>
      <c r="C3909"/>
      <c r="D3909"/>
      <c r="E3909"/>
      <c r="F3909"/>
      <c r="G3909"/>
      <c r="H3909" s="138"/>
      <c r="I3909" s="151"/>
    </row>
    <row r="3910" spans="1:9" s="65" customFormat="1">
      <c r="A3910" s="645"/>
      <c r="B3910" s="138"/>
      <c r="C3910" s="138"/>
      <c r="D3910" s="138"/>
      <c r="E3910" s="138"/>
      <c r="F3910" s="138"/>
      <c r="G3910" s="138"/>
      <c r="H3910" s="138"/>
      <c r="I3910" s="152"/>
    </row>
    <row r="3911" spans="1:9" s="65" customFormat="1">
      <c r="A3911" s="645"/>
      <c r="B3911" s="138"/>
      <c r="C3911" s="138"/>
      <c r="D3911" s="138"/>
      <c r="E3911" s="138"/>
      <c r="F3911" s="138"/>
      <c r="G3911" s="138"/>
    </row>
    <row r="3912" spans="1:9" s="65" customFormat="1">
      <c r="A3912" s="69"/>
      <c r="B3912" s="69"/>
      <c r="C3912" s="69"/>
      <c r="D3912" s="69"/>
      <c r="E3912" s="69"/>
    </row>
    <row r="3913" spans="1:9" s="65" customFormat="1">
      <c r="A3913" s="120"/>
      <c r="B3913" s="73"/>
      <c r="C3913" s="73"/>
      <c r="D3913" s="73"/>
      <c r="E3913" s="73"/>
      <c r="F3913" s="121"/>
      <c r="G3913" s="121"/>
      <c r="H3913" s="121"/>
    </row>
    <row r="3914" spans="1:9" s="65" customFormat="1">
      <c r="A3914" s="128"/>
      <c r="B3914" s="141"/>
      <c r="C3914" s="141"/>
      <c r="D3914" s="141"/>
      <c r="E3914" s="141"/>
      <c r="F3914" s="141"/>
      <c r="G3914" s="141"/>
      <c r="H3914" s="121"/>
    </row>
    <row r="3915" spans="1:9" s="65" customFormat="1" ht="16.5">
      <c r="A3915" s="150"/>
      <c r="B3915" s="161"/>
      <c r="C3915" s="148"/>
      <c r="D3915" s="84"/>
      <c r="E3915" s="84"/>
      <c r="F3915" s="84"/>
      <c r="G3915" s="154"/>
      <c r="H3915" s="121"/>
    </row>
    <row r="3916" spans="1:9" s="65" customFormat="1" ht="16.5">
      <c r="A3916" s="150"/>
      <c r="B3916" s="161"/>
      <c r="C3916" s="148"/>
      <c r="D3916" s="84"/>
      <c r="E3916" s="84"/>
      <c r="F3916" s="84"/>
      <c r="G3916" s="154"/>
      <c r="H3916" s="121"/>
    </row>
    <row r="3917" spans="1:9" s="65" customFormat="1" ht="16.5">
      <c r="A3917" s="150"/>
      <c r="B3917" s="161"/>
      <c r="C3917" s="148"/>
      <c r="D3917" s="84"/>
      <c r="E3917" s="84"/>
      <c r="F3917" s="84"/>
      <c r="G3917" s="154"/>
      <c r="H3917" s="145"/>
    </row>
    <row r="3918" spans="1:9" s="65" customFormat="1">
      <c r="A3918" s="84"/>
      <c r="B3918" s="83"/>
      <c r="C3918" s="84"/>
      <c r="D3918" s="84"/>
      <c r="E3918" s="84"/>
      <c r="G3918" s="104"/>
      <c r="H3918" s="140"/>
    </row>
    <row r="3919" spans="1:9" s="65" customFormat="1">
      <c r="A3919" s="120"/>
      <c r="B3919" s="73"/>
      <c r="C3919" s="73"/>
      <c r="D3919" s="73"/>
      <c r="E3919" s="73"/>
      <c r="G3919" s="121"/>
      <c r="H3919" s="140"/>
    </row>
    <row r="3920" spans="1:9" s="65" customFormat="1">
      <c r="A3920" s="128"/>
      <c r="B3920" s="141"/>
      <c r="C3920" s="141"/>
      <c r="D3920" s="141"/>
      <c r="E3920" s="141"/>
      <c r="F3920" s="141"/>
      <c r="G3920" s="141"/>
      <c r="H3920" s="140"/>
    </row>
    <row r="3921" spans="1:9" s="65" customFormat="1">
      <c r="A3921" s="142"/>
      <c r="B3921" s="143"/>
      <c r="C3921" s="143"/>
      <c r="D3921" s="143"/>
      <c r="E3921" s="143"/>
      <c r="F3921" s="84"/>
      <c r="G3921" s="144"/>
      <c r="H3921" s="145"/>
    </row>
    <row r="3922" spans="1:9" s="65" customFormat="1">
      <c r="A3922" s="91"/>
      <c r="B3922" s="91"/>
      <c r="C3922" s="91"/>
      <c r="D3922" s="91"/>
      <c r="E3922" s="91"/>
      <c r="G3922" s="104"/>
      <c r="H3922" s="140"/>
    </row>
    <row r="3923" spans="1:9" s="65" customFormat="1">
      <c r="A3923" s="120"/>
      <c r="B3923" s="73"/>
      <c r="C3923" s="73"/>
      <c r="D3923" s="73"/>
      <c r="E3923" s="73"/>
      <c r="G3923" s="121"/>
      <c r="H3923" s="140"/>
    </row>
    <row r="3924" spans="1:9" s="65" customFormat="1">
      <c r="A3924" s="128"/>
      <c r="B3924" s="141"/>
      <c r="C3924" s="141"/>
      <c r="D3924" s="141"/>
      <c r="E3924" s="141"/>
      <c r="F3924" s="141"/>
      <c r="G3924" s="141"/>
      <c r="H3924" s="140"/>
    </row>
    <row r="3925" spans="1:9" s="65" customFormat="1">
      <c r="A3925" s="142"/>
      <c r="B3925" s="143"/>
      <c r="C3925" s="143"/>
      <c r="D3925" s="143"/>
      <c r="E3925" s="143"/>
      <c r="F3925" s="84"/>
      <c r="G3925" s="144"/>
      <c r="H3925" s="145"/>
    </row>
    <row r="3926" spans="1:9" s="65" customFormat="1">
      <c r="A3926" s="91"/>
      <c r="B3926" s="91"/>
      <c r="C3926" s="91"/>
      <c r="D3926" s="91"/>
      <c r="E3926" s="91"/>
      <c r="G3926" s="104"/>
      <c r="H3926" s="140"/>
    </row>
    <row r="3927" spans="1:9" s="65" customFormat="1">
      <c r="A3927" s="120"/>
      <c r="B3927" s="73"/>
      <c r="C3927" s="73"/>
      <c r="D3927" s="73"/>
      <c r="E3927" s="73"/>
      <c r="G3927" s="121"/>
      <c r="H3927" s="140"/>
    </row>
    <row r="3928" spans="1:9" s="65" customFormat="1">
      <c r="A3928" s="128"/>
      <c r="B3928" s="141"/>
      <c r="C3928" s="141"/>
      <c r="D3928" s="141"/>
      <c r="E3928" s="141"/>
      <c r="F3928" s="141"/>
      <c r="G3928" s="141"/>
      <c r="H3928" s="140"/>
    </row>
    <row r="3929" spans="1:9" s="65" customFormat="1">
      <c r="A3929" s="142"/>
      <c r="B3929" s="143"/>
      <c r="C3929" s="143"/>
      <c r="D3929" s="143"/>
      <c r="E3929" s="143"/>
      <c r="F3929" s="84"/>
      <c r="G3929" s="144"/>
      <c r="H3929" s="145"/>
    </row>
    <row r="3930" spans="1:9" s="65" customFormat="1">
      <c r="A3930" s="123"/>
      <c r="B3930" s="95"/>
      <c r="C3930" s="95"/>
      <c r="D3930" s="95"/>
      <c r="E3930" s="95"/>
      <c r="G3930" s="104"/>
      <c r="H3930" s="121"/>
    </row>
    <row r="3931" spans="1:9" s="65" customFormat="1">
      <c r="A3931" s="123"/>
      <c r="B3931" s="95"/>
      <c r="C3931" s="95"/>
      <c r="D3931" s="95"/>
      <c r="E3931" s="95"/>
      <c r="G3931" s="121"/>
      <c r="H3931" s="133"/>
    </row>
    <row r="3932" spans="1:9" s="65" customFormat="1">
      <c r="B3932" s="97"/>
      <c r="C3932" s="98"/>
      <c r="D3932" s="98"/>
      <c r="E3932" s="98"/>
      <c r="G3932" s="128"/>
    </row>
    <row r="3933" spans="1:9" s="65" customFormat="1">
      <c r="B3933" s="97"/>
      <c r="C3933" s="98"/>
      <c r="D3933" s="98"/>
      <c r="E3933" s="98"/>
      <c r="F3933" s="128"/>
      <c r="G3933" s="133"/>
      <c r="H3933" s="134"/>
    </row>
    <row r="3934" spans="1:9" s="65" customFormat="1">
      <c r="A3934" s="633"/>
      <c r="B3934" s="633"/>
      <c r="C3934" s="633"/>
      <c r="D3934" s="633"/>
      <c r="E3934" s="633"/>
      <c r="F3934" s="633"/>
      <c r="G3934" s="633"/>
    </row>
    <row r="3935" spans="1:9" s="65" customFormat="1">
      <c r="H3935" s="138"/>
      <c r="I3935" s="151"/>
    </row>
    <row r="3936" spans="1:9" s="65" customFormat="1">
      <c r="A3936" s="645"/>
      <c r="B3936" s="138"/>
      <c r="C3936" s="138"/>
      <c r="D3936" s="138"/>
      <c r="E3936" s="138"/>
      <c r="F3936" s="138"/>
      <c r="G3936" s="138"/>
      <c r="H3936" s="138"/>
      <c r="I3936" s="152"/>
    </row>
    <row r="3937" spans="1:8" s="65" customFormat="1">
      <c r="A3937" s="645"/>
      <c r="B3937" s="138"/>
      <c r="C3937" s="138"/>
      <c r="D3937" s="138"/>
      <c r="E3937" s="138"/>
      <c r="F3937" s="138"/>
      <c r="G3937" s="138"/>
    </row>
    <row r="3938" spans="1:8" s="65" customFormat="1">
      <c r="A3938" s="69"/>
      <c r="B3938" s="69"/>
      <c r="C3938" s="69"/>
      <c r="D3938" s="69"/>
      <c r="E3938" s="69"/>
    </row>
    <row r="3939" spans="1:8" s="65" customFormat="1">
      <c r="A3939" s="120"/>
      <c r="B3939" s="73"/>
      <c r="C3939" s="73"/>
      <c r="D3939" s="73"/>
      <c r="E3939" s="73"/>
      <c r="F3939" s="121"/>
      <c r="G3939" s="121"/>
      <c r="H3939" s="121"/>
    </row>
    <row r="3940" spans="1:8" s="65" customFormat="1">
      <c r="A3940" s="128"/>
      <c r="B3940" s="141"/>
      <c r="C3940" s="141"/>
      <c r="D3940" s="141"/>
      <c r="E3940" s="141"/>
      <c r="F3940" s="141"/>
      <c r="G3940" s="141"/>
      <c r="H3940" s="121"/>
    </row>
    <row r="3941" spans="1:8" s="65" customFormat="1" ht="16.5">
      <c r="A3941" s="150"/>
      <c r="B3941" s="161"/>
      <c r="C3941" s="148"/>
      <c r="D3941" s="84"/>
      <c r="E3941" s="84"/>
      <c r="F3941" s="84"/>
      <c r="G3941" s="154"/>
      <c r="H3941" s="145"/>
    </row>
    <row r="3942" spans="1:8" s="65" customFormat="1">
      <c r="A3942" s="84"/>
      <c r="B3942" s="83"/>
      <c r="C3942" s="84"/>
      <c r="D3942" s="84"/>
      <c r="E3942" s="84"/>
      <c r="G3942" s="104"/>
      <c r="H3942" s="140"/>
    </row>
    <row r="3943" spans="1:8" s="65" customFormat="1">
      <c r="A3943" s="120"/>
      <c r="B3943" s="73"/>
      <c r="C3943" s="73"/>
      <c r="D3943" s="73"/>
      <c r="E3943" s="73"/>
      <c r="G3943" s="121"/>
      <c r="H3943" s="140"/>
    </row>
    <row r="3944" spans="1:8" s="65" customFormat="1">
      <c r="A3944" s="128"/>
      <c r="B3944" s="141"/>
      <c r="C3944" s="141"/>
      <c r="D3944" s="141"/>
      <c r="E3944" s="141"/>
      <c r="F3944" s="141"/>
      <c r="G3944" s="141"/>
      <c r="H3944" s="140"/>
    </row>
    <row r="3945" spans="1:8" s="65" customFormat="1" ht="16.5">
      <c r="A3945" s="150"/>
      <c r="B3945" s="161"/>
      <c r="C3945" s="148"/>
      <c r="D3945" s="84"/>
      <c r="E3945" s="84"/>
      <c r="F3945" s="84"/>
      <c r="G3945" s="154"/>
      <c r="H3945" s="140"/>
    </row>
    <row r="3946" spans="1:8" s="65" customFormat="1" ht="16.5">
      <c r="A3946" s="150"/>
      <c r="B3946" s="161"/>
      <c r="C3946" s="148"/>
      <c r="D3946" s="84"/>
      <c r="E3946" s="84"/>
      <c r="F3946" s="84"/>
      <c r="G3946" s="154"/>
      <c r="H3946" s="140"/>
    </row>
    <row r="3947" spans="1:8" s="65" customFormat="1" ht="16.5">
      <c r="A3947" s="150"/>
      <c r="B3947" s="161"/>
      <c r="C3947" s="148"/>
      <c r="D3947" s="84"/>
      <c r="E3947" s="84"/>
      <c r="F3947" s="84"/>
      <c r="G3947" s="154"/>
      <c r="H3947" s="140"/>
    </row>
    <row r="3948" spans="1:8" s="65" customFormat="1" ht="16.5">
      <c r="A3948" s="150"/>
      <c r="B3948" s="161"/>
      <c r="C3948" s="148"/>
      <c r="D3948" s="84"/>
      <c r="E3948" s="84"/>
      <c r="F3948" s="84"/>
      <c r="G3948" s="154"/>
      <c r="H3948" s="140"/>
    </row>
    <row r="3949" spans="1:8" s="65" customFormat="1" ht="16.5">
      <c r="A3949" s="150"/>
      <c r="B3949" s="161"/>
      <c r="C3949" s="148"/>
      <c r="D3949" s="84"/>
      <c r="E3949" s="84"/>
      <c r="F3949" s="84"/>
      <c r="G3949" s="154"/>
      <c r="H3949" s="145"/>
    </row>
    <row r="3950" spans="1:8" s="65" customFormat="1">
      <c r="A3950" s="91"/>
      <c r="B3950" s="91"/>
      <c r="C3950" s="91"/>
      <c r="D3950" s="91"/>
      <c r="E3950" s="91"/>
      <c r="G3950" s="104"/>
      <c r="H3950" s="140"/>
    </row>
    <row r="3951" spans="1:8" s="65" customFormat="1">
      <c r="A3951" s="120"/>
      <c r="B3951" s="73"/>
      <c r="C3951" s="73"/>
      <c r="D3951" s="73"/>
      <c r="E3951" s="73"/>
      <c r="G3951" s="121"/>
      <c r="H3951" s="140"/>
    </row>
    <row r="3952" spans="1:8" s="65" customFormat="1">
      <c r="A3952" s="128"/>
      <c r="B3952" s="141"/>
      <c r="C3952" s="141"/>
      <c r="D3952" s="141"/>
      <c r="E3952" s="141"/>
      <c r="F3952" s="141"/>
      <c r="G3952" s="141"/>
      <c r="H3952" s="140"/>
    </row>
    <row r="3953" spans="1:9" s="65" customFormat="1" ht="16.5">
      <c r="A3953" s="150"/>
      <c r="B3953" s="161"/>
      <c r="C3953" s="148"/>
      <c r="D3953" s="84"/>
      <c r="E3953" s="84"/>
      <c r="F3953" s="84"/>
      <c r="G3953" s="154"/>
      <c r="H3953" s="145"/>
    </row>
    <row r="3954" spans="1:9" s="65" customFormat="1">
      <c r="A3954" s="91"/>
      <c r="B3954" s="91"/>
      <c r="C3954" s="91"/>
      <c r="D3954" s="91"/>
      <c r="E3954" s="91"/>
      <c r="G3954" s="104"/>
      <c r="H3954" s="140"/>
    </row>
    <row r="3955" spans="1:9" s="65" customFormat="1">
      <c r="A3955" s="120"/>
      <c r="B3955" s="73"/>
      <c r="C3955" s="73"/>
      <c r="D3955" s="73"/>
      <c r="E3955" s="73"/>
      <c r="G3955" s="121"/>
      <c r="H3955" s="140"/>
    </row>
    <row r="3956" spans="1:9" s="65" customFormat="1">
      <c r="A3956" s="128"/>
      <c r="B3956" s="141"/>
      <c r="C3956" s="141"/>
      <c r="D3956" s="141"/>
      <c r="E3956" s="141"/>
      <c r="F3956" s="141"/>
      <c r="G3956" s="141"/>
      <c r="H3956" s="140"/>
    </row>
    <row r="3957" spans="1:9" s="65" customFormat="1">
      <c r="A3957" s="142"/>
      <c r="B3957" s="143"/>
      <c r="C3957" s="143"/>
      <c r="D3957" s="143"/>
      <c r="E3957" s="143"/>
      <c r="F3957" s="84"/>
      <c r="G3957" s="144"/>
      <c r="H3957" s="145"/>
    </row>
    <row r="3958" spans="1:9" s="65" customFormat="1">
      <c r="A3958" s="123"/>
      <c r="B3958" s="95"/>
      <c r="C3958" s="95"/>
      <c r="D3958" s="95"/>
      <c r="E3958" s="95"/>
      <c r="G3958" s="104"/>
      <c r="H3958" s="121"/>
    </row>
    <row r="3959" spans="1:9" s="65" customFormat="1">
      <c r="A3959" s="123"/>
      <c r="B3959" s="95"/>
      <c r="C3959" s="95"/>
      <c r="D3959" s="95"/>
      <c r="E3959" s="95"/>
      <c r="G3959" s="121"/>
      <c r="H3959" s="133"/>
    </row>
    <row r="3960" spans="1:9" s="65" customFormat="1">
      <c r="B3960" s="97"/>
      <c r="C3960" s="98"/>
      <c r="D3960" s="98"/>
      <c r="E3960" s="98"/>
      <c r="G3960" s="128"/>
    </row>
    <row r="3961" spans="1:9" s="65" customFormat="1">
      <c r="B3961" s="97"/>
      <c r="C3961" s="98"/>
      <c r="D3961" s="98"/>
      <c r="E3961" s="98"/>
      <c r="F3961" s="128"/>
      <c r="G3961" s="133"/>
      <c r="H3961" s="134"/>
    </row>
    <row r="3962" spans="1:9" s="65" customFormat="1">
      <c r="A3962" s="633"/>
      <c r="B3962" s="633"/>
      <c r="C3962" s="633"/>
      <c r="D3962" s="633"/>
      <c r="E3962" s="633"/>
      <c r="F3962" s="633"/>
      <c r="G3962" s="633"/>
    </row>
    <row r="3963" spans="1:9" s="65" customFormat="1">
      <c r="H3963" s="138"/>
      <c r="I3963" s="151"/>
    </row>
    <row r="3964" spans="1:9" s="65" customFormat="1">
      <c r="A3964" s="645"/>
      <c r="B3964" s="138"/>
      <c r="C3964" s="138"/>
      <c r="D3964" s="138"/>
      <c r="E3964" s="138"/>
      <c r="F3964" s="138"/>
      <c r="G3964" s="138"/>
      <c r="H3964" s="138"/>
      <c r="I3964" s="152"/>
    </row>
    <row r="3965" spans="1:9" s="65" customFormat="1">
      <c r="A3965" s="645"/>
      <c r="B3965" s="138"/>
      <c r="C3965" s="138"/>
      <c r="D3965" s="138"/>
      <c r="E3965" s="138"/>
      <c r="F3965" s="138"/>
      <c r="G3965" s="138"/>
    </row>
    <row r="3966" spans="1:9" s="65" customFormat="1">
      <c r="A3966" s="69"/>
      <c r="B3966" s="69"/>
      <c r="C3966" s="69"/>
      <c r="D3966" s="69"/>
      <c r="E3966" s="69"/>
    </row>
    <row r="3967" spans="1:9" s="65" customFormat="1">
      <c r="A3967" s="120"/>
      <c r="B3967" s="73"/>
      <c r="C3967" s="73"/>
      <c r="D3967" s="73"/>
      <c r="E3967" s="73"/>
      <c r="F3967" s="121"/>
      <c r="G3967" s="121"/>
      <c r="H3967" s="121"/>
    </row>
    <row r="3968" spans="1:9" s="65" customFormat="1">
      <c r="A3968" s="128"/>
      <c r="B3968" s="141"/>
      <c r="C3968" s="141"/>
      <c r="D3968" s="141"/>
      <c r="E3968" s="141"/>
      <c r="F3968" s="141"/>
      <c r="G3968" s="141"/>
      <c r="H3968" s="121"/>
    </row>
    <row r="3969" spans="1:8" s="65" customFormat="1" ht="16.5">
      <c r="A3969" s="150"/>
      <c r="B3969" s="161"/>
      <c r="C3969" s="148"/>
      <c r="D3969" s="84"/>
      <c r="E3969" s="84"/>
      <c r="F3969" s="84"/>
      <c r="G3969" s="154"/>
      <c r="H3969" s="145"/>
    </row>
    <row r="3970" spans="1:8" s="65" customFormat="1">
      <c r="A3970" s="84"/>
      <c r="B3970" s="83"/>
      <c r="C3970" s="84"/>
      <c r="D3970" s="84"/>
      <c r="E3970" s="84"/>
      <c r="G3970" s="104"/>
      <c r="H3970" s="140"/>
    </row>
    <row r="3971" spans="1:8" s="65" customFormat="1">
      <c r="A3971" s="120"/>
      <c r="B3971" s="73"/>
      <c r="C3971" s="73"/>
      <c r="D3971" s="73"/>
      <c r="E3971" s="73"/>
      <c r="G3971" s="121"/>
      <c r="H3971" s="140"/>
    </row>
    <row r="3972" spans="1:8" s="65" customFormat="1">
      <c r="A3972" s="128"/>
      <c r="B3972" s="141"/>
      <c r="C3972" s="141"/>
      <c r="D3972" s="141"/>
      <c r="E3972" s="141"/>
      <c r="F3972" s="141"/>
      <c r="G3972" s="141"/>
      <c r="H3972" s="140"/>
    </row>
    <row r="3973" spans="1:8" s="65" customFormat="1" ht="16.5">
      <c r="A3973" s="150"/>
      <c r="B3973" s="161"/>
      <c r="C3973" s="148"/>
      <c r="D3973" s="84"/>
      <c r="E3973" s="84"/>
      <c r="F3973" s="84"/>
      <c r="G3973" s="154"/>
      <c r="H3973" s="140"/>
    </row>
    <row r="3974" spans="1:8" s="65" customFormat="1" ht="16.5">
      <c r="A3974" s="150"/>
      <c r="B3974" s="161"/>
      <c r="C3974" s="148"/>
      <c r="D3974" s="84"/>
      <c r="E3974" s="84"/>
      <c r="F3974" s="84"/>
      <c r="G3974" s="154"/>
      <c r="H3974" s="140"/>
    </row>
    <row r="3975" spans="1:8" s="65" customFormat="1" ht="16.5">
      <c r="A3975" s="150"/>
      <c r="B3975" s="161"/>
      <c r="C3975" s="148"/>
      <c r="D3975" s="84"/>
      <c r="E3975" s="84"/>
      <c r="F3975" s="84"/>
      <c r="G3975" s="154"/>
      <c r="H3975" s="140"/>
    </row>
    <row r="3976" spans="1:8" s="65" customFormat="1" ht="16.5">
      <c r="A3976" s="150"/>
      <c r="B3976" s="161"/>
      <c r="C3976" s="148"/>
      <c r="D3976" s="84"/>
      <c r="E3976" s="84"/>
      <c r="F3976" s="84"/>
      <c r="G3976" s="154"/>
      <c r="H3976" s="145"/>
    </row>
    <row r="3977" spans="1:8" s="65" customFormat="1">
      <c r="A3977" s="91"/>
      <c r="B3977" s="91"/>
      <c r="C3977" s="91"/>
      <c r="D3977" s="91"/>
      <c r="E3977" s="91"/>
      <c r="G3977" s="104"/>
      <c r="H3977" s="140"/>
    </row>
    <row r="3978" spans="1:8" s="65" customFormat="1">
      <c r="A3978" s="120"/>
      <c r="B3978" s="73"/>
      <c r="C3978" s="73"/>
      <c r="D3978" s="73"/>
      <c r="E3978" s="73"/>
      <c r="G3978" s="121"/>
      <c r="H3978" s="140"/>
    </row>
    <row r="3979" spans="1:8" s="65" customFormat="1">
      <c r="A3979" s="128"/>
      <c r="B3979" s="141"/>
      <c r="C3979" s="141"/>
      <c r="D3979" s="141"/>
      <c r="E3979" s="141"/>
      <c r="F3979" s="141"/>
      <c r="G3979" s="141"/>
      <c r="H3979" s="140"/>
    </row>
    <row r="3980" spans="1:8" s="65" customFormat="1" ht="16.5">
      <c r="A3980" s="150"/>
      <c r="B3980" s="161"/>
      <c r="C3980" s="148"/>
      <c r="D3980" s="84"/>
      <c r="E3980" s="84"/>
      <c r="F3980" s="84"/>
      <c r="G3980" s="154"/>
      <c r="H3980" s="145"/>
    </row>
    <row r="3981" spans="1:8" s="65" customFormat="1">
      <c r="A3981" s="91"/>
      <c r="B3981" s="91"/>
      <c r="C3981" s="91"/>
      <c r="D3981" s="91"/>
      <c r="E3981" s="91"/>
      <c r="G3981" s="104"/>
      <c r="H3981" s="140"/>
    </row>
    <row r="3982" spans="1:8" s="65" customFormat="1">
      <c r="A3982" s="120"/>
      <c r="B3982" s="73"/>
      <c r="C3982" s="73"/>
      <c r="D3982" s="73"/>
      <c r="E3982" s="73"/>
      <c r="G3982" s="121"/>
      <c r="H3982" s="140"/>
    </row>
    <row r="3983" spans="1:8" s="65" customFormat="1">
      <c r="A3983" s="128"/>
      <c r="B3983" s="141"/>
      <c r="C3983" s="141"/>
      <c r="D3983" s="141"/>
      <c r="E3983" s="141"/>
      <c r="F3983" s="141"/>
      <c r="G3983" s="141"/>
      <c r="H3983" s="140"/>
    </row>
    <row r="3984" spans="1:8" s="65" customFormat="1">
      <c r="A3984" s="142"/>
      <c r="B3984" s="143"/>
      <c r="C3984" s="143"/>
      <c r="D3984" s="143"/>
      <c r="E3984" s="143"/>
      <c r="F3984" s="84"/>
      <c r="G3984" s="144"/>
      <c r="H3984" s="145"/>
    </row>
    <row r="3985" spans="1:9" s="65" customFormat="1">
      <c r="A3985" s="123"/>
      <c r="B3985" s="95"/>
      <c r="C3985" s="95"/>
      <c r="D3985" s="95"/>
      <c r="E3985" s="95"/>
      <c r="G3985" s="104"/>
      <c r="H3985" s="121"/>
    </row>
    <row r="3986" spans="1:9" s="65" customFormat="1">
      <c r="A3986" s="123"/>
      <c r="B3986" s="95"/>
      <c r="C3986" s="95"/>
      <c r="D3986" s="95"/>
      <c r="E3986" s="95"/>
      <c r="G3986" s="121"/>
      <c r="H3986" s="133"/>
    </row>
    <row r="3987" spans="1:9" s="65" customFormat="1">
      <c r="B3987" s="97"/>
      <c r="C3987" s="98"/>
      <c r="D3987" s="98"/>
      <c r="E3987" s="98"/>
      <c r="G3987" s="128"/>
    </row>
    <row r="3988" spans="1:9" s="65" customFormat="1">
      <c r="B3988" s="97"/>
      <c r="C3988" s="98"/>
      <c r="D3988" s="98"/>
      <c r="E3988" s="98"/>
      <c r="F3988" s="128"/>
      <c r="G3988" s="133"/>
      <c r="H3988" s="134"/>
    </row>
    <row r="3989" spans="1:9" s="65" customFormat="1">
      <c r="A3989" s="633"/>
      <c r="B3989" s="633"/>
      <c r="C3989" s="633"/>
      <c r="D3989" s="633"/>
      <c r="E3989" s="633"/>
      <c r="F3989" s="633"/>
      <c r="G3989" s="633"/>
    </row>
    <row r="3990" spans="1:9" s="65" customFormat="1">
      <c r="H3990" s="138"/>
      <c r="I3990" s="151"/>
    </row>
    <row r="3991" spans="1:9" s="65" customFormat="1">
      <c r="A3991" s="645"/>
      <c r="B3991" s="138"/>
      <c r="C3991" s="138"/>
      <c r="D3991" s="138"/>
      <c r="E3991" s="138"/>
      <c r="F3991" s="138"/>
      <c r="G3991" s="138"/>
      <c r="H3991" s="138"/>
      <c r="I3991" s="152"/>
    </row>
    <row r="3992" spans="1:9" s="65" customFormat="1">
      <c r="A3992" s="645"/>
      <c r="B3992" s="138"/>
      <c r="C3992" s="138"/>
      <c r="D3992" s="138"/>
      <c r="E3992" s="138"/>
      <c r="F3992" s="138"/>
      <c r="G3992" s="138"/>
    </row>
    <row r="3993" spans="1:9" s="65" customFormat="1">
      <c r="A3993" s="69"/>
      <c r="B3993" s="69"/>
      <c r="C3993" s="69"/>
      <c r="D3993" s="69"/>
      <c r="E3993" s="69"/>
    </row>
    <row r="3994" spans="1:9" s="65" customFormat="1">
      <c r="A3994" s="120"/>
      <c r="B3994" s="73"/>
      <c r="C3994" s="73"/>
      <c r="D3994" s="73"/>
      <c r="E3994" s="73"/>
      <c r="F3994" s="121"/>
      <c r="G3994" s="121"/>
      <c r="H3994" s="121"/>
    </row>
    <row r="3995" spans="1:9" s="65" customFormat="1">
      <c r="A3995" s="128"/>
      <c r="B3995" s="141"/>
      <c r="C3995" s="141"/>
      <c r="D3995" s="141"/>
      <c r="E3995" s="141"/>
      <c r="F3995" s="141"/>
      <c r="G3995" s="141"/>
      <c r="H3995" s="121"/>
    </row>
    <row r="3996" spans="1:9" s="65" customFormat="1" ht="16.5">
      <c r="A3996" s="150"/>
      <c r="B3996" s="161"/>
      <c r="C3996" s="148"/>
      <c r="D3996" s="84"/>
      <c r="E3996" s="84"/>
      <c r="F3996" s="84"/>
      <c r="G3996" s="154"/>
      <c r="H3996" s="145"/>
    </row>
    <row r="3997" spans="1:9" s="65" customFormat="1">
      <c r="A3997" s="84"/>
      <c r="B3997" s="83"/>
      <c r="C3997" s="84"/>
      <c r="D3997" s="84"/>
      <c r="E3997" s="84"/>
      <c r="G3997" s="104"/>
      <c r="H3997" s="140"/>
    </row>
    <row r="3998" spans="1:9" s="65" customFormat="1">
      <c r="A3998" s="120"/>
      <c r="B3998" s="73"/>
      <c r="C3998" s="73"/>
      <c r="D3998" s="73"/>
      <c r="E3998" s="73"/>
      <c r="G3998" s="121"/>
      <c r="H3998" s="140"/>
    </row>
    <row r="3999" spans="1:9" s="65" customFormat="1">
      <c r="A3999" s="128"/>
      <c r="B3999" s="141"/>
      <c r="C3999" s="141"/>
      <c r="D3999" s="141"/>
      <c r="E3999" s="141"/>
      <c r="F3999" s="141"/>
      <c r="G3999" s="141"/>
      <c r="H3999" s="140"/>
    </row>
    <row r="4000" spans="1:9" s="65" customFormat="1" ht="16.5">
      <c r="A4000" s="150"/>
      <c r="B4000" s="161"/>
      <c r="C4000" s="148"/>
      <c r="D4000" s="84"/>
      <c r="E4000" s="84"/>
      <c r="F4000" s="84"/>
      <c r="G4000" s="154"/>
      <c r="H4000" s="140"/>
    </row>
    <row r="4001" spans="1:8" s="65" customFormat="1" ht="16.5">
      <c r="A4001" s="150"/>
      <c r="B4001" s="161"/>
      <c r="C4001" s="148"/>
      <c r="D4001" s="84"/>
      <c r="E4001" s="84"/>
      <c r="F4001" s="84"/>
      <c r="G4001" s="154"/>
      <c r="H4001" s="140"/>
    </row>
    <row r="4002" spans="1:8" s="65" customFormat="1" ht="16.5">
      <c r="A4002" s="150"/>
      <c r="B4002" s="161"/>
      <c r="C4002" s="148"/>
      <c r="D4002" s="84"/>
      <c r="E4002" s="84"/>
      <c r="F4002" s="84"/>
      <c r="G4002" s="154"/>
      <c r="H4002" s="140"/>
    </row>
    <row r="4003" spans="1:8" s="65" customFormat="1" ht="16.5">
      <c r="A4003" s="150"/>
      <c r="B4003" s="161"/>
      <c r="C4003" s="148"/>
      <c r="D4003" s="84"/>
      <c r="E4003" s="84"/>
      <c r="F4003" s="84"/>
      <c r="G4003" s="154"/>
      <c r="H4003" s="145"/>
    </row>
    <row r="4004" spans="1:8" s="65" customFormat="1">
      <c r="A4004" s="91"/>
      <c r="B4004" s="91"/>
      <c r="C4004" s="91"/>
      <c r="D4004" s="91"/>
      <c r="E4004" s="91"/>
      <c r="G4004" s="104"/>
      <c r="H4004" s="140"/>
    </row>
    <row r="4005" spans="1:8" s="65" customFormat="1">
      <c r="A4005" s="120"/>
      <c r="B4005" s="73"/>
      <c r="C4005" s="73"/>
      <c r="D4005" s="73"/>
      <c r="E4005" s="73"/>
      <c r="G4005" s="121"/>
      <c r="H4005" s="140"/>
    </row>
    <row r="4006" spans="1:8" s="65" customFormat="1">
      <c r="A4006" s="128"/>
      <c r="B4006" s="141"/>
      <c r="C4006" s="141"/>
      <c r="D4006" s="141"/>
      <c r="E4006" s="141"/>
      <c r="F4006" s="141"/>
      <c r="G4006" s="141"/>
      <c r="H4006" s="140"/>
    </row>
    <row r="4007" spans="1:8" s="65" customFormat="1" ht="16.5">
      <c r="A4007" s="150"/>
      <c r="B4007" s="161"/>
      <c r="C4007" s="148"/>
      <c r="D4007" s="84"/>
      <c r="E4007" s="84"/>
      <c r="F4007" s="84"/>
      <c r="G4007" s="154"/>
      <c r="H4007" s="145"/>
    </row>
    <row r="4008" spans="1:8" s="65" customFormat="1">
      <c r="A4008" s="91"/>
      <c r="B4008" s="91"/>
      <c r="C4008" s="91"/>
      <c r="D4008" s="91"/>
      <c r="E4008" s="91"/>
      <c r="G4008" s="104"/>
      <c r="H4008" s="140"/>
    </row>
    <row r="4009" spans="1:8" s="65" customFormat="1">
      <c r="A4009" s="120"/>
      <c r="B4009" s="73"/>
      <c r="C4009" s="73"/>
      <c r="D4009" s="73"/>
      <c r="E4009" s="73"/>
      <c r="G4009" s="121"/>
      <c r="H4009" s="140"/>
    </row>
    <row r="4010" spans="1:8" s="65" customFormat="1">
      <c r="A4010" s="128"/>
      <c r="B4010" s="141"/>
      <c r="C4010" s="141"/>
      <c r="D4010" s="141"/>
      <c r="E4010" s="141"/>
      <c r="F4010" s="141"/>
      <c r="G4010" s="141"/>
      <c r="H4010" s="140"/>
    </row>
    <row r="4011" spans="1:8" s="65" customFormat="1">
      <c r="A4011" s="142"/>
      <c r="B4011" s="143"/>
      <c r="C4011" s="143"/>
      <c r="D4011" s="143"/>
      <c r="E4011" s="143"/>
      <c r="F4011" s="84"/>
      <c r="G4011" s="144"/>
      <c r="H4011" s="145"/>
    </row>
    <row r="4012" spans="1:8" s="65" customFormat="1">
      <c r="A4012" s="123"/>
      <c r="B4012" s="95"/>
      <c r="C4012" s="95"/>
      <c r="D4012" s="95"/>
      <c r="E4012" s="95"/>
      <c r="G4012" s="104"/>
      <c r="H4012" s="121"/>
    </row>
    <row r="4013" spans="1:8" s="65" customFormat="1">
      <c r="A4013" s="123"/>
      <c r="B4013" s="95"/>
      <c r="C4013" s="95"/>
      <c r="D4013" s="95"/>
      <c r="E4013" s="95"/>
      <c r="G4013" s="121"/>
      <c r="H4013" s="133"/>
    </row>
    <row r="4014" spans="1:8" s="65" customFormat="1">
      <c r="B4014" s="97"/>
      <c r="C4014" s="98"/>
      <c r="D4014" s="98"/>
      <c r="E4014" s="98"/>
      <c r="G4014" s="128"/>
    </row>
    <row r="4015" spans="1:8" s="65" customFormat="1">
      <c r="B4015" s="97"/>
      <c r="C4015" s="98"/>
      <c r="D4015" s="98"/>
      <c r="E4015" s="98"/>
      <c r="F4015" s="128"/>
      <c r="G4015" s="133"/>
      <c r="H4015" s="134"/>
    </row>
    <row r="4016" spans="1:8" s="65" customFormat="1">
      <c r="A4016" s="633"/>
      <c r="B4016" s="633"/>
      <c r="C4016" s="633"/>
      <c r="D4016" s="633"/>
      <c r="E4016" s="633"/>
      <c r="F4016" s="633"/>
      <c r="G4016" s="633"/>
    </row>
    <row r="4017" spans="1:9" s="65" customFormat="1">
      <c r="H4017" s="138"/>
      <c r="I4017" s="151"/>
    </row>
    <row r="4018" spans="1:9" s="65" customFormat="1">
      <c r="A4018" s="645"/>
      <c r="B4018" s="138"/>
      <c r="C4018" s="138"/>
      <c r="D4018" s="138"/>
      <c r="E4018" s="138"/>
      <c r="F4018" s="138"/>
      <c r="G4018" s="138"/>
      <c r="H4018" s="138"/>
      <c r="I4018" s="152"/>
    </row>
    <row r="4019" spans="1:9" s="65" customFormat="1">
      <c r="A4019" s="645"/>
      <c r="B4019" s="138"/>
      <c r="C4019" s="138"/>
      <c r="D4019" s="138"/>
      <c r="E4019" s="138"/>
      <c r="F4019" s="138"/>
      <c r="G4019" s="138"/>
    </row>
    <row r="4020" spans="1:9" s="65" customFormat="1">
      <c r="A4020" s="69"/>
      <c r="B4020" s="69"/>
      <c r="C4020" s="69"/>
      <c r="D4020" s="69"/>
      <c r="E4020" s="69"/>
    </row>
    <row r="4021" spans="1:9" s="65" customFormat="1">
      <c r="A4021" s="120"/>
      <c r="B4021" s="73"/>
      <c r="C4021" s="73"/>
      <c r="D4021" s="73"/>
      <c r="E4021" s="73"/>
      <c r="F4021" s="121"/>
      <c r="G4021" s="121"/>
      <c r="H4021" s="121"/>
    </row>
    <row r="4022" spans="1:9" s="65" customFormat="1">
      <c r="A4022" s="128"/>
      <c r="B4022" s="141"/>
      <c r="C4022" s="141"/>
      <c r="D4022" s="141"/>
      <c r="E4022" s="141"/>
      <c r="F4022" s="141"/>
      <c r="G4022" s="141"/>
      <c r="H4022" s="121"/>
    </row>
    <row r="4023" spans="1:9" s="65" customFormat="1" ht="16.5">
      <c r="A4023" s="150"/>
      <c r="B4023" s="161"/>
      <c r="C4023" s="148"/>
      <c r="D4023" s="84"/>
      <c r="E4023" s="84"/>
      <c r="F4023" s="84"/>
      <c r="G4023" s="154"/>
      <c r="H4023" s="121"/>
    </row>
    <row r="4024" spans="1:9" s="65" customFormat="1" ht="16.5">
      <c r="A4024" s="150"/>
      <c r="B4024" s="161"/>
      <c r="C4024" s="148"/>
      <c r="D4024" s="84"/>
      <c r="E4024" s="84"/>
      <c r="F4024" s="84"/>
      <c r="G4024" s="154"/>
      <c r="H4024" s="145"/>
    </row>
    <row r="4025" spans="1:9" s="65" customFormat="1">
      <c r="A4025" s="84"/>
      <c r="B4025" s="83"/>
      <c r="C4025" s="84"/>
      <c r="D4025" s="84"/>
      <c r="E4025" s="84"/>
      <c r="G4025" s="104"/>
      <c r="H4025" s="140"/>
    </row>
    <row r="4026" spans="1:9" s="65" customFormat="1">
      <c r="A4026" s="120"/>
      <c r="B4026" s="73"/>
      <c r="C4026" s="73"/>
      <c r="D4026" s="73"/>
      <c r="E4026" s="73"/>
      <c r="G4026" s="121"/>
      <c r="H4026" s="140"/>
    </row>
    <row r="4027" spans="1:9" s="65" customFormat="1">
      <c r="A4027" s="128"/>
      <c r="B4027" s="141"/>
      <c r="C4027" s="141"/>
      <c r="D4027" s="141"/>
      <c r="E4027" s="141"/>
      <c r="F4027" s="141"/>
      <c r="G4027" s="141"/>
      <c r="H4027" s="140"/>
    </row>
    <row r="4028" spans="1:9" s="65" customFormat="1" ht="16.5">
      <c r="A4028" s="150"/>
      <c r="B4028" s="161"/>
      <c r="C4028" s="148"/>
      <c r="D4028" s="84"/>
      <c r="E4028" s="84"/>
      <c r="F4028" s="84"/>
      <c r="G4028" s="154"/>
      <c r="H4028" s="140"/>
    </row>
    <row r="4029" spans="1:9" s="65" customFormat="1" ht="16.5">
      <c r="A4029" s="150"/>
      <c r="B4029" s="161"/>
      <c r="C4029" s="148"/>
      <c r="D4029" s="84"/>
      <c r="E4029" s="84"/>
      <c r="F4029" s="84"/>
      <c r="G4029" s="154"/>
      <c r="H4029" s="140"/>
    </row>
    <row r="4030" spans="1:9" s="65" customFormat="1" ht="16.5">
      <c r="A4030" s="150"/>
      <c r="B4030" s="161"/>
      <c r="C4030" s="148"/>
      <c r="D4030" s="84"/>
      <c r="E4030" s="84"/>
      <c r="F4030" s="84"/>
      <c r="G4030" s="154"/>
      <c r="H4030" s="140"/>
    </row>
    <row r="4031" spans="1:9" s="65" customFormat="1" ht="16.5">
      <c r="A4031" s="150"/>
      <c r="B4031" s="161"/>
      <c r="C4031" s="148"/>
      <c r="D4031" s="84"/>
      <c r="E4031" s="84"/>
      <c r="F4031" s="84"/>
      <c r="G4031" s="154"/>
      <c r="H4031" s="140"/>
    </row>
    <row r="4032" spans="1:9" s="65" customFormat="1" ht="16.5">
      <c r="A4032" s="150"/>
      <c r="B4032" s="161"/>
      <c r="C4032" s="148"/>
      <c r="D4032" s="84"/>
      <c r="E4032" s="84"/>
      <c r="F4032" s="84"/>
      <c r="G4032" s="154"/>
      <c r="H4032" s="145"/>
    </row>
    <row r="4033" spans="1:9" s="65" customFormat="1">
      <c r="A4033" s="91"/>
      <c r="B4033" s="91"/>
      <c r="C4033" s="91"/>
      <c r="D4033" s="91"/>
      <c r="E4033" s="91"/>
      <c r="G4033" s="104"/>
      <c r="H4033" s="140"/>
    </row>
    <row r="4034" spans="1:9" s="65" customFormat="1">
      <c r="A4034" s="120"/>
      <c r="B4034" s="73"/>
      <c r="C4034" s="73"/>
      <c r="D4034" s="73"/>
      <c r="E4034" s="73"/>
      <c r="G4034" s="121"/>
      <c r="H4034" s="140"/>
    </row>
    <row r="4035" spans="1:9" s="65" customFormat="1">
      <c r="A4035" s="128"/>
      <c r="B4035" s="141"/>
      <c r="C4035" s="141"/>
      <c r="D4035" s="141"/>
      <c r="E4035" s="141"/>
      <c r="F4035" s="141"/>
      <c r="G4035" s="141"/>
      <c r="H4035" s="140"/>
    </row>
    <row r="4036" spans="1:9" s="65" customFormat="1">
      <c r="A4036" s="146"/>
      <c r="B4036" s="83"/>
      <c r="C4036" s="148"/>
      <c r="D4036" s="84"/>
      <c r="E4036" s="84"/>
      <c r="F4036" s="84"/>
      <c r="G4036" s="144"/>
      <c r="H4036" s="145"/>
    </row>
    <row r="4037" spans="1:9" s="65" customFormat="1">
      <c r="A4037" s="91"/>
      <c r="B4037" s="91"/>
      <c r="C4037" s="91"/>
      <c r="D4037" s="91"/>
      <c r="E4037" s="91"/>
      <c r="G4037" s="104"/>
      <c r="H4037" s="140"/>
    </row>
    <row r="4038" spans="1:9" s="65" customFormat="1">
      <c r="A4038" s="120"/>
      <c r="B4038" s="73"/>
      <c r="C4038" s="73"/>
      <c r="D4038" s="73"/>
      <c r="E4038" s="73"/>
      <c r="G4038" s="121"/>
      <c r="H4038" s="140"/>
    </row>
    <row r="4039" spans="1:9" s="65" customFormat="1">
      <c r="A4039" s="128"/>
      <c r="B4039" s="141"/>
      <c r="C4039" s="141"/>
      <c r="D4039" s="141"/>
      <c r="E4039" s="141"/>
      <c r="F4039" s="141"/>
      <c r="G4039" s="141"/>
      <c r="H4039" s="140"/>
    </row>
    <row r="4040" spans="1:9" s="65" customFormat="1">
      <c r="A4040" s="142"/>
      <c r="B4040" s="143"/>
      <c r="C4040" s="143"/>
      <c r="D4040" s="143"/>
      <c r="E4040" s="143"/>
      <c r="F4040" s="84"/>
      <c r="G4040" s="144"/>
      <c r="H4040" s="145"/>
    </row>
    <row r="4041" spans="1:9" s="65" customFormat="1">
      <c r="A4041" s="123"/>
      <c r="B4041" s="95"/>
      <c r="C4041" s="95"/>
      <c r="D4041" s="95"/>
      <c r="E4041" s="95"/>
      <c r="G4041" s="104"/>
      <c r="H4041" s="121"/>
    </row>
    <row r="4042" spans="1:9" s="65" customFormat="1">
      <c r="A4042" s="123"/>
      <c r="B4042" s="95"/>
      <c r="C4042" s="95"/>
      <c r="D4042" s="95"/>
      <c r="E4042" s="95"/>
      <c r="G4042" s="121"/>
      <c r="H4042" s="133"/>
    </row>
    <row r="4043" spans="1:9" s="65" customFormat="1">
      <c r="B4043" s="97"/>
      <c r="C4043" s="98"/>
      <c r="D4043" s="98"/>
      <c r="E4043" s="98"/>
      <c r="G4043" s="128"/>
    </row>
    <row r="4044" spans="1:9" s="65" customFormat="1">
      <c r="B4044" s="97"/>
      <c r="C4044" s="98"/>
      <c r="D4044" s="98"/>
      <c r="E4044" s="98"/>
      <c r="F4044" s="128"/>
      <c r="G4044" s="133"/>
      <c r="H4044" s="134"/>
    </row>
    <row r="4045" spans="1:9" s="65" customFormat="1">
      <c r="A4045" s="633"/>
      <c r="B4045" s="633"/>
      <c r="C4045" s="633"/>
      <c r="D4045" s="633"/>
      <c r="E4045" s="633"/>
      <c r="F4045" s="633"/>
      <c r="G4045" s="633"/>
    </row>
    <row r="4046" spans="1:9" s="65" customFormat="1">
      <c r="H4046" s="138"/>
      <c r="I4046" s="151"/>
    </row>
    <row r="4047" spans="1:9" s="65" customFormat="1">
      <c r="A4047" s="645"/>
      <c r="B4047" s="138"/>
      <c r="C4047" s="138"/>
      <c r="D4047" s="138"/>
      <c r="E4047" s="138"/>
      <c r="F4047" s="138"/>
      <c r="G4047" s="138"/>
      <c r="H4047" s="138"/>
      <c r="I4047" s="152"/>
    </row>
    <row r="4048" spans="1:9" s="65" customFormat="1">
      <c r="A4048" s="645"/>
      <c r="B4048" s="138"/>
      <c r="C4048" s="138"/>
      <c r="D4048" s="138"/>
      <c r="E4048" s="138"/>
      <c r="F4048" s="138"/>
      <c r="G4048" s="138"/>
    </row>
    <row r="4049" spans="1:8" s="65" customFormat="1">
      <c r="A4049" s="69"/>
      <c r="B4049" s="69"/>
      <c r="C4049" s="69"/>
      <c r="D4049" s="69"/>
      <c r="E4049" s="69"/>
    </row>
    <row r="4050" spans="1:8" s="65" customFormat="1">
      <c r="A4050" s="120"/>
      <c r="B4050" s="73"/>
      <c r="C4050" s="73"/>
      <c r="D4050" s="73"/>
      <c r="E4050" s="73"/>
      <c r="F4050" s="121"/>
      <c r="G4050" s="121"/>
      <c r="H4050" s="121"/>
    </row>
    <row r="4051" spans="1:8" s="65" customFormat="1">
      <c r="A4051" s="128"/>
      <c r="B4051" s="141"/>
      <c r="C4051" s="141"/>
      <c r="D4051" s="141"/>
      <c r="E4051" s="141"/>
      <c r="F4051" s="141"/>
      <c r="G4051" s="141"/>
      <c r="H4051" s="121"/>
    </row>
    <row r="4052" spans="1:8" s="65" customFormat="1" ht="16.5">
      <c r="A4052" s="150"/>
      <c r="B4052" s="161"/>
      <c r="C4052" s="148"/>
      <c r="D4052" s="84"/>
      <c r="E4052" s="84"/>
      <c r="F4052" s="84"/>
      <c r="G4052" s="154"/>
      <c r="H4052" s="121"/>
    </row>
    <row r="4053" spans="1:8" s="65" customFormat="1" ht="16.5">
      <c r="A4053" s="150"/>
      <c r="B4053" s="161"/>
      <c r="C4053" s="148"/>
      <c r="D4053" s="84"/>
      <c r="E4053" s="84"/>
      <c r="F4053" s="84"/>
      <c r="G4053" s="154"/>
      <c r="H4053" s="145"/>
    </row>
    <row r="4054" spans="1:8" s="65" customFormat="1">
      <c r="A4054" s="84"/>
      <c r="B4054" s="83"/>
      <c r="C4054" s="84"/>
      <c r="D4054" s="84"/>
      <c r="E4054" s="84"/>
      <c r="G4054" s="104"/>
      <c r="H4054" s="140"/>
    </row>
    <row r="4055" spans="1:8" s="65" customFormat="1">
      <c r="A4055" s="120"/>
      <c r="B4055" s="73"/>
      <c r="C4055" s="73"/>
      <c r="D4055" s="73"/>
      <c r="E4055" s="73"/>
      <c r="G4055" s="121"/>
      <c r="H4055" s="140"/>
    </row>
    <row r="4056" spans="1:8" s="65" customFormat="1">
      <c r="A4056" s="128"/>
      <c r="B4056" s="141"/>
      <c r="C4056" s="141"/>
      <c r="D4056" s="141"/>
      <c r="E4056" s="141"/>
      <c r="F4056" s="141"/>
      <c r="G4056" s="141"/>
      <c r="H4056" s="140"/>
    </row>
    <row r="4057" spans="1:8" s="65" customFormat="1" ht="16.5">
      <c r="A4057" s="150"/>
      <c r="B4057" s="161"/>
      <c r="C4057" s="148"/>
      <c r="D4057" s="84"/>
      <c r="E4057" s="84"/>
      <c r="F4057" s="84"/>
      <c r="G4057" s="154"/>
      <c r="H4057" s="140"/>
    </row>
    <row r="4058" spans="1:8" s="65" customFormat="1" ht="16.5">
      <c r="A4058" s="150"/>
      <c r="B4058" s="161"/>
      <c r="C4058" s="148"/>
      <c r="D4058" s="84"/>
      <c r="E4058" s="84"/>
      <c r="F4058" s="84"/>
      <c r="G4058" s="154"/>
      <c r="H4058" s="140"/>
    </row>
    <row r="4059" spans="1:8" s="65" customFormat="1" ht="16.5">
      <c r="A4059" s="150"/>
      <c r="B4059" s="161"/>
      <c r="C4059" s="148"/>
      <c r="D4059" s="84"/>
      <c r="E4059" s="84"/>
      <c r="F4059" s="84"/>
      <c r="G4059" s="154"/>
      <c r="H4059" s="140"/>
    </row>
    <row r="4060" spans="1:8" s="65" customFormat="1" ht="16.5">
      <c r="A4060" s="150"/>
      <c r="B4060" s="161"/>
      <c r="C4060" s="148"/>
      <c r="D4060" s="84"/>
      <c r="E4060" s="84"/>
      <c r="F4060" s="84"/>
      <c r="G4060" s="154"/>
      <c r="H4060" s="140"/>
    </row>
    <row r="4061" spans="1:8" s="65" customFormat="1" ht="16.5">
      <c r="A4061" s="150"/>
      <c r="B4061" s="161"/>
      <c r="C4061" s="148"/>
      <c r="D4061" s="84"/>
      <c r="E4061" s="84"/>
      <c r="F4061" s="84"/>
      <c r="G4061" s="154"/>
      <c r="H4061" s="145"/>
    </row>
    <row r="4062" spans="1:8" s="65" customFormat="1">
      <c r="A4062" s="91"/>
      <c r="B4062" s="91"/>
      <c r="C4062" s="91"/>
      <c r="D4062" s="91"/>
      <c r="E4062" s="91"/>
      <c r="G4062" s="104"/>
      <c r="H4062" s="140"/>
    </row>
    <row r="4063" spans="1:8" s="65" customFormat="1">
      <c r="A4063" s="120"/>
      <c r="B4063" s="73"/>
      <c r="C4063" s="73"/>
      <c r="D4063" s="73"/>
      <c r="E4063" s="73"/>
      <c r="G4063" s="121"/>
      <c r="H4063" s="140"/>
    </row>
    <row r="4064" spans="1:8" s="65" customFormat="1">
      <c r="A4064" s="128"/>
      <c r="B4064" s="141"/>
      <c r="C4064" s="141"/>
      <c r="D4064" s="141"/>
      <c r="E4064" s="141"/>
      <c r="F4064" s="141"/>
      <c r="G4064" s="141"/>
      <c r="H4064" s="140"/>
    </row>
    <row r="4065" spans="1:9" s="65" customFormat="1">
      <c r="A4065" s="146"/>
      <c r="B4065" s="83"/>
      <c r="C4065" s="148"/>
      <c r="D4065" s="84"/>
      <c r="E4065" s="84"/>
      <c r="F4065" s="84"/>
      <c r="G4065" s="144"/>
      <c r="H4065" s="140"/>
    </row>
    <row r="4066" spans="1:9" s="65" customFormat="1">
      <c r="A4066" s="146"/>
      <c r="B4066" s="83"/>
      <c r="C4066" s="148"/>
      <c r="D4066" s="84"/>
      <c r="E4066" s="84"/>
      <c r="F4066" s="84"/>
      <c r="G4066" s="144"/>
      <c r="H4066" s="145"/>
    </row>
    <row r="4067" spans="1:9" s="65" customFormat="1">
      <c r="A4067" s="91"/>
      <c r="B4067" s="91"/>
      <c r="C4067" s="91"/>
      <c r="D4067" s="91"/>
      <c r="E4067" s="91"/>
      <c r="G4067" s="104"/>
      <c r="H4067" s="140"/>
    </row>
    <row r="4068" spans="1:9" s="65" customFormat="1">
      <c r="A4068" s="120"/>
      <c r="B4068" s="73"/>
      <c r="C4068" s="73"/>
      <c r="D4068" s="73"/>
      <c r="E4068" s="73"/>
      <c r="G4068" s="121"/>
      <c r="H4068" s="140"/>
    </row>
    <row r="4069" spans="1:9" s="65" customFormat="1">
      <c r="A4069" s="128"/>
      <c r="B4069" s="141"/>
      <c r="C4069" s="141"/>
      <c r="D4069" s="141"/>
      <c r="E4069" s="141"/>
      <c r="F4069" s="141"/>
      <c r="G4069" s="141"/>
      <c r="H4069" s="140"/>
    </row>
    <row r="4070" spans="1:9" s="65" customFormat="1">
      <c r="A4070" s="142"/>
      <c r="B4070" s="143"/>
      <c r="C4070" s="143"/>
      <c r="D4070" s="143"/>
      <c r="E4070" s="143"/>
      <c r="F4070" s="84"/>
      <c r="G4070" s="144"/>
      <c r="H4070" s="145"/>
    </row>
    <row r="4071" spans="1:9" s="65" customFormat="1">
      <c r="A4071" s="123"/>
      <c r="B4071" s="95"/>
      <c r="C4071" s="95"/>
      <c r="D4071" s="95"/>
      <c r="E4071" s="95"/>
      <c r="G4071" s="104"/>
      <c r="H4071" s="121"/>
    </row>
    <row r="4072" spans="1:9" s="65" customFormat="1">
      <c r="A4072" s="123"/>
      <c r="B4072" s="95"/>
      <c r="C4072" s="95"/>
      <c r="D4072" s="95"/>
      <c r="E4072" s="95"/>
      <c r="G4072" s="121"/>
      <c r="H4072" s="133"/>
    </row>
    <row r="4073" spans="1:9" s="65" customFormat="1">
      <c r="B4073" s="97"/>
      <c r="C4073" s="98"/>
      <c r="D4073" s="98"/>
      <c r="E4073" s="98"/>
      <c r="G4073" s="128"/>
    </row>
    <row r="4074" spans="1:9" s="65" customFormat="1">
      <c r="B4074" s="97"/>
      <c r="C4074" s="98"/>
      <c r="D4074" s="98"/>
      <c r="E4074" s="98"/>
      <c r="F4074" s="128"/>
      <c r="G4074" s="133"/>
      <c r="H4074" s="134"/>
    </row>
    <row r="4075" spans="1:9" s="65" customFormat="1">
      <c r="A4075" s="633"/>
      <c r="B4075" s="633"/>
      <c r="C4075" s="633"/>
      <c r="D4075" s="633"/>
      <c r="E4075" s="633"/>
      <c r="F4075" s="633"/>
      <c r="G4075" s="633"/>
    </row>
    <row r="4076" spans="1:9" s="65" customFormat="1">
      <c r="H4076" s="138"/>
      <c r="I4076" s="151"/>
    </row>
    <row r="4077" spans="1:9" s="65" customFormat="1">
      <c r="A4077" s="645"/>
      <c r="B4077" s="138"/>
      <c r="C4077" s="138"/>
      <c r="D4077" s="138"/>
      <c r="E4077" s="138"/>
      <c r="F4077" s="138"/>
      <c r="G4077" s="138"/>
      <c r="H4077" s="138"/>
      <c r="I4077" s="152"/>
    </row>
    <row r="4078" spans="1:9" s="65" customFormat="1">
      <c r="A4078" s="645"/>
      <c r="B4078" s="138"/>
      <c r="C4078" s="138"/>
      <c r="D4078" s="138"/>
      <c r="E4078" s="138"/>
      <c r="F4078" s="138"/>
      <c r="G4078" s="138"/>
    </row>
    <row r="4079" spans="1:9" s="65" customFormat="1">
      <c r="A4079" s="69"/>
      <c r="B4079" s="69"/>
      <c r="C4079" s="69"/>
      <c r="D4079" s="69"/>
      <c r="E4079" s="69"/>
    </row>
    <row r="4080" spans="1:9" s="65" customFormat="1">
      <c r="A4080" s="120"/>
      <c r="B4080" s="73"/>
      <c r="C4080" s="73"/>
      <c r="D4080" s="73"/>
      <c r="E4080" s="73"/>
      <c r="F4080" s="121"/>
      <c r="G4080" s="121"/>
      <c r="H4080" s="121"/>
    </row>
    <row r="4081" spans="1:8" s="65" customFormat="1">
      <c r="A4081" s="128"/>
      <c r="B4081" s="141"/>
      <c r="C4081" s="141"/>
      <c r="D4081" s="141"/>
      <c r="E4081" s="141"/>
      <c r="F4081" s="141"/>
      <c r="G4081" s="141"/>
      <c r="H4081" s="121"/>
    </row>
    <row r="4082" spans="1:8" s="65" customFormat="1" ht="16.5">
      <c r="A4082" s="150"/>
      <c r="B4082" s="161"/>
      <c r="C4082" s="148"/>
      <c r="D4082" s="84"/>
      <c r="E4082" s="84"/>
      <c r="F4082" s="84"/>
      <c r="G4082" s="154"/>
      <c r="H4082" s="145"/>
    </row>
    <row r="4083" spans="1:8" s="65" customFormat="1">
      <c r="A4083" s="84"/>
      <c r="B4083" s="83"/>
      <c r="C4083" s="84"/>
      <c r="D4083" s="84"/>
      <c r="E4083" s="84"/>
      <c r="G4083" s="104"/>
      <c r="H4083" s="140"/>
    </row>
    <row r="4084" spans="1:8" s="65" customFormat="1">
      <c r="A4084" s="120"/>
      <c r="B4084" s="73"/>
      <c r="C4084" s="73"/>
      <c r="D4084" s="73"/>
      <c r="E4084" s="73"/>
      <c r="G4084" s="121"/>
      <c r="H4084" s="140"/>
    </row>
    <row r="4085" spans="1:8" s="65" customFormat="1">
      <c r="A4085" s="128"/>
      <c r="B4085" s="141"/>
      <c r="C4085" s="141"/>
      <c r="D4085" s="141"/>
      <c r="E4085" s="141"/>
      <c r="F4085" s="141"/>
      <c r="G4085" s="141"/>
      <c r="H4085" s="140"/>
    </row>
    <row r="4086" spans="1:8" s="65" customFormat="1">
      <c r="A4086" s="146"/>
      <c r="B4086" s="83"/>
      <c r="C4086" s="148"/>
      <c r="D4086" s="84"/>
      <c r="E4086" s="84"/>
      <c r="F4086" s="84"/>
      <c r="G4086" s="144"/>
      <c r="H4086" s="140"/>
    </row>
    <row r="4087" spans="1:8" s="65" customFormat="1">
      <c r="A4087" s="146"/>
      <c r="B4087" s="83"/>
      <c r="C4087" s="148"/>
      <c r="D4087" s="84"/>
      <c r="E4087" s="84"/>
      <c r="F4087" s="84"/>
      <c r="G4087" s="144"/>
      <c r="H4087" s="140"/>
    </row>
    <row r="4088" spans="1:8" s="65" customFormat="1">
      <c r="A4088" s="146"/>
      <c r="B4088" s="83"/>
      <c r="C4088" s="148"/>
      <c r="D4088" s="84"/>
      <c r="E4088" s="84"/>
      <c r="F4088" s="84"/>
      <c r="G4088" s="144"/>
      <c r="H4088" s="140"/>
    </row>
    <row r="4089" spans="1:8" s="65" customFormat="1">
      <c r="A4089" s="146"/>
      <c r="B4089" s="83"/>
      <c r="C4089" s="148"/>
      <c r="D4089" s="84"/>
      <c r="E4089" s="84"/>
      <c r="F4089" s="84"/>
      <c r="G4089" s="144"/>
      <c r="H4089" s="140"/>
    </row>
    <row r="4090" spans="1:8" s="65" customFormat="1">
      <c r="A4090" s="146"/>
      <c r="B4090" s="83"/>
      <c r="C4090" s="148"/>
      <c r="D4090" s="84"/>
      <c r="E4090" s="84"/>
      <c r="F4090" s="84"/>
      <c r="G4090" s="144"/>
      <c r="H4090" s="140"/>
    </row>
    <row r="4091" spans="1:8" s="65" customFormat="1">
      <c r="A4091" s="146"/>
      <c r="B4091" s="83"/>
      <c r="C4091" s="148"/>
      <c r="D4091" s="84"/>
      <c r="E4091" s="84"/>
      <c r="F4091" s="84"/>
      <c r="G4091" s="144"/>
      <c r="H4091" s="145"/>
    </row>
    <row r="4092" spans="1:8" s="65" customFormat="1">
      <c r="A4092" s="91"/>
      <c r="B4092" s="91"/>
      <c r="C4092" s="91"/>
      <c r="D4092" s="91"/>
      <c r="E4092" s="91"/>
      <c r="G4092" s="104"/>
      <c r="H4092" s="140"/>
    </row>
    <row r="4093" spans="1:8" s="65" customFormat="1">
      <c r="A4093" s="120"/>
      <c r="B4093" s="73"/>
      <c r="C4093" s="73"/>
      <c r="D4093" s="73"/>
      <c r="E4093" s="73"/>
      <c r="G4093" s="121"/>
      <c r="H4093" s="140"/>
    </row>
    <row r="4094" spans="1:8" s="65" customFormat="1">
      <c r="A4094" s="128"/>
      <c r="B4094" s="141"/>
      <c r="C4094" s="141"/>
      <c r="D4094" s="141"/>
      <c r="E4094" s="141"/>
      <c r="F4094" s="141"/>
      <c r="G4094" s="141"/>
      <c r="H4094" s="140"/>
    </row>
    <row r="4095" spans="1:8" s="65" customFormat="1">
      <c r="A4095" s="146"/>
      <c r="B4095" s="83"/>
      <c r="C4095" s="148"/>
      <c r="D4095" s="84"/>
      <c r="E4095" s="84"/>
      <c r="F4095" s="84"/>
      <c r="G4095" s="144"/>
      <c r="H4095" s="145"/>
    </row>
    <row r="4096" spans="1:8" s="65" customFormat="1">
      <c r="A4096" s="91"/>
      <c r="B4096" s="91"/>
      <c r="C4096" s="91"/>
      <c r="D4096" s="91"/>
      <c r="E4096" s="91"/>
      <c r="G4096" s="104"/>
      <c r="H4096" s="140"/>
    </row>
    <row r="4097" spans="1:9" s="65" customFormat="1">
      <c r="A4097" s="120"/>
      <c r="B4097" s="73"/>
      <c r="C4097" s="73"/>
      <c r="D4097" s="73"/>
      <c r="E4097" s="73"/>
      <c r="G4097" s="121"/>
      <c r="H4097" s="140"/>
    </row>
    <row r="4098" spans="1:9" s="65" customFormat="1">
      <c r="A4098" s="128"/>
      <c r="B4098" s="141"/>
      <c r="C4098" s="141"/>
      <c r="D4098" s="141"/>
      <c r="E4098" s="141"/>
      <c r="F4098" s="141"/>
      <c r="G4098" s="141"/>
      <c r="H4098" s="140"/>
    </row>
    <row r="4099" spans="1:9" s="65" customFormat="1">
      <c r="A4099" s="142"/>
      <c r="B4099" s="143"/>
      <c r="C4099" s="143"/>
      <c r="D4099" s="143"/>
      <c r="E4099" s="143"/>
      <c r="F4099" s="84"/>
      <c r="G4099" s="144"/>
      <c r="H4099" s="145"/>
    </row>
    <row r="4100" spans="1:9" s="65" customFormat="1">
      <c r="A4100" s="123"/>
      <c r="B4100" s="95"/>
      <c r="C4100" s="95"/>
      <c r="D4100" s="95"/>
      <c r="E4100" s="95"/>
      <c r="G4100" s="104"/>
      <c r="H4100" s="121"/>
    </row>
    <row r="4101" spans="1:9" s="65" customFormat="1">
      <c r="A4101" s="123"/>
      <c r="B4101" s="95"/>
      <c r="C4101" s="95"/>
      <c r="D4101" s="95"/>
      <c r="E4101" s="95"/>
      <c r="G4101" s="121"/>
      <c r="H4101" s="133"/>
    </row>
    <row r="4102" spans="1:9" s="65" customFormat="1">
      <c r="B4102" s="97"/>
      <c r="C4102" s="98"/>
      <c r="D4102" s="98"/>
      <c r="E4102" s="98"/>
      <c r="G4102" s="128"/>
    </row>
    <row r="4103" spans="1:9" s="65" customFormat="1">
      <c r="B4103" s="97"/>
      <c r="C4103" s="98"/>
      <c r="D4103" s="98"/>
      <c r="E4103" s="98"/>
      <c r="F4103" s="128"/>
      <c r="G4103" s="133"/>
      <c r="H4103" s="134"/>
    </row>
    <row r="4104" spans="1:9" s="65" customFormat="1">
      <c r="A4104" s="633"/>
      <c r="B4104" s="633"/>
      <c r="C4104" s="633"/>
      <c r="D4104" s="633"/>
      <c r="E4104" s="633"/>
      <c r="F4104" s="633"/>
      <c r="G4104" s="633"/>
    </row>
    <row r="4105" spans="1:9" s="65" customFormat="1">
      <c r="H4105" s="138"/>
      <c r="I4105" s="151"/>
    </row>
    <row r="4106" spans="1:9" s="65" customFormat="1">
      <c r="A4106" s="645"/>
      <c r="B4106" s="138"/>
      <c r="C4106" s="138"/>
      <c r="D4106" s="138"/>
      <c r="E4106" s="138"/>
      <c r="F4106" s="138"/>
      <c r="G4106" s="138"/>
      <c r="H4106" s="138"/>
      <c r="I4106" s="152"/>
    </row>
    <row r="4107" spans="1:9" s="65" customFormat="1">
      <c r="A4107" s="645"/>
      <c r="B4107" s="138"/>
      <c r="C4107" s="138"/>
      <c r="D4107" s="138"/>
      <c r="E4107" s="138"/>
      <c r="F4107" s="138"/>
      <c r="G4107" s="138"/>
    </row>
    <row r="4108" spans="1:9" s="65" customFormat="1">
      <c r="A4108" s="69"/>
      <c r="B4108" s="69"/>
      <c r="C4108" s="69"/>
      <c r="D4108" s="69"/>
      <c r="E4108" s="69"/>
    </row>
    <row r="4109" spans="1:9" s="65" customFormat="1">
      <c r="A4109" s="120"/>
      <c r="B4109" s="73"/>
      <c r="C4109" s="73"/>
      <c r="D4109" s="73"/>
      <c r="E4109" s="73"/>
      <c r="F4109" s="121"/>
      <c r="G4109" s="121"/>
      <c r="H4109" s="121"/>
    </row>
    <row r="4110" spans="1:9" s="65" customFormat="1">
      <c r="A4110" s="128"/>
      <c r="B4110" s="141"/>
      <c r="C4110" s="141"/>
      <c r="D4110" s="141"/>
      <c r="E4110" s="141"/>
      <c r="F4110" s="141"/>
      <c r="G4110" s="141"/>
      <c r="H4110" s="121"/>
    </row>
    <row r="4111" spans="1:9" s="65" customFormat="1" ht="16.5">
      <c r="A4111" s="150"/>
      <c r="B4111" s="161"/>
      <c r="C4111" s="148"/>
      <c r="D4111" s="84"/>
      <c r="E4111" s="84"/>
      <c r="F4111" s="84"/>
      <c r="G4111" s="154"/>
      <c r="H4111" s="145"/>
    </row>
    <row r="4112" spans="1:9" s="65" customFormat="1">
      <c r="A4112" s="84"/>
      <c r="B4112" s="83"/>
      <c r="C4112" s="84"/>
      <c r="D4112" s="84"/>
      <c r="E4112" s="84"/>
      <c r="G4112" s="104"/>
      <c r="H4112" s="140"/>
    </row>
    <row r="4113" spans="1:8" s="65" customFormat="1">
      <c r="A4113" s="120"/>
      <c r="B4113" s="73"/>
      <c r="C4113" s="73"/>
      <c r="D4113" s="73"/>
      <c r="E4113" s="73"/>
      <c r="G4113" s="121"/>
      <c r="H4113" s="140"/>
    </row>
    <row r="4114" spans="1:8" s="65" customFormat="1">
      <c r="A4114" s="128"/>
      <c r="B4114" s="141"/>
      <c r="C4114" s="141"/>
      <c r="D4114" s="141"/>
      <c r="E4114" s="141"/>
      <c r="F4114" s="141"/>
      <c r="G4114" s="141"/>
      <c r="H4114" s="140"/>
    </row>
    <row r="4115" spans="1:8" s="65" customFormat="1">
      <c r="A4115" s="146"/>
      <c r="B4115" s="83"/>
      <c r="C4115" s="148"/>
      <c r="D4115" s="84"/>
      <c r="E4115" s="84"/>
      <c r="F4115" s="84"/>
      <c r="G4115" s="144"/>
      <c r="H4115" s="140"/>
    </row>
    <row r="4116" spans="1:8" s="65" customFormat="1">
      <c r="A4116" s="146"/>
      <c r="B4116" s="83"/>
      <c r="C4116" s="148"/>
      <c r="D4116" s="84"/>
      <c r="E4116" s="84"/>
      <c r="F4116" s="84"/>
      <c r="G4116" s="144"/>
      <c r="H4116" s="140"/>
    </row>
    <row r="4117" spans="1:8" s="65" customFormat="1">
      <c r="A4117" s="146"/>
      <c r="B4117" s="83"/>
      <c r="C4117" s="148"/>
      <c r="D4117" s="84"/>
      <c r="E4117" s="84"/>
      <c r="F4117" s="84"/>
      <c r="G4117" s="144"/>
      <c r="H4117" s="145"/>
    </row>
    <row r="4118" spans="1:8" s="65" customFormat="1">
      <c r="A4118" s="91"/>
      <c r="B4118" s="91"/>
      <c r="C4118" s="91"/>
      <c r="D4118" s="91"/>
      <c r="E4118" s="91"/>
      <c r="G4118" s="104"/>
      <c r="H4118" s="140"/>
    </row>
    <row r="4119" spans="1:8" s="65" customFormat="1">
      <c r="A4119" s="120"/>
      <c r="B4119" s="73"/>
      <c r="C4119" s="73"/>
      <c r="D4119" s="73"/>
      <c r="E4119" s="73"/>
      <c r="G4119" s="121"/>
      <c r="H4119" s="140"/>
    </row>
    <row r="4120" spans="1:8" s="65" customFormat="1">
      <c r="A4120" s="128"/>
      <c r="B4120" s="141"/>
      <c r="C4120" s="141"/>
      <c r="D4120" s="141"/>
      <c r="E4120" s="141"/>
      <c r="F4120" s="141"/>
      <c r="G4120" s="141"/>
      <c r="H4120" s="140"/>
    </row>
    <row r="4121" spans="1:8" s="65" customFormat="1">
      <c r="A4121" s="146"/>
      <c r="B4121" s="83"/>
      <c r="C4121" s="148"/>
      <c r="D4121" s="84"/>
      <c r="E4121" s="84"/>
      <c r="F4121" s="84"/>
      <c r="G4121" s="144"/>
      <c r="H4121" s="145"/>
    </row>
    <row r="4122" spans="1:8" s="65" customFormat="1">
      <c r="A4122" s="91"/>
      <c r="B4122" s="91"/>
      <c r="C4122" s="91"/>
      <c r="D4122" s="91"/>
      <c r="E4122" s="91"/>
      <c r="G4122" s="104"/>
      <c r="H4122" s="140"/>
    </row>
    <row r="4123" spans="1:8" s="65" customFormat="1">
      <c r="A4123" s="120"/>
      <c r="B4123" s="73"/>
      <c r="C4123" s="73"/>
      <c r="D4123" s="73"/>
      <c r="E4123" s="73"/>
      <c r="G4123" s="121"/>
      <c r="H4123" s="140"/>
    </row>
    <row r="4124" spans="1:8" s="65" customFormat="1">
      <c r="A4124" s="128"/>
      <c r="B4124" s="141"/>
      <c r="C4124" s="141"/>
      <c r="D4124" s="141"/>
      <c r="E4124" s="141"/>
      <c r="F4124" s="141"/>
      <c r="G4124" s="141"/>
      <c r="H4124" s="140"/>
    </row>
    <row r="4125" spans="1:8" s="65" customFormat="1">
      <c r="A4125" s="142"/>
      <c r="B4125" s="143"/>
      <c r="C4125" s="143"/>
      <c r="D4125" s="143"/>
      <c r="E4125" s="143"/>
      <c r="F4125" s="84"/>
      <c r="G4125" s="144"/>
      <c r="H4125" s="145"/>
    </row>
    <row r="4126" spans="1:8" s="65" customFormat="1">
      <c r="A4126" s="123"/>
      <c r="B4126" s="95"/>
      <c r="C4126" s="95"/>
      <c r="D4126" s="95"/>
      <c r="E4126" s="95"/>
      <c r="G4126" s="104"/>
      <c r="H4126" s="121"/>
    </row>
    <row r="4127" spans="1:8" s="65" customFormat="1">
      <c r="A4127" s="123"/>
      <c r="B4127" s="95"/>
      <c r="C4127" s="95"/>
      <c r="D4127" s="95"/>
      <c r="E4127" s="95"/>
      <c r="G4127" s="121"/>
      <c r="H4127" s="133"/>
    </row>
    <row r="4128" spans="1:8" s="65" customFormat="1">
      <c r="B4128" s="97"/>
      <c r="C4128" s="98"/>
      <c r="D4128" s="98"/>
      <c r="E4128" s="98"/>
      <c r="G4128" s="128"/>
    </row>
    <row r="4129" spans="1:9" s="65" customFormat="1">
      <c r="B4129" s="97"/>
      <c r="C4129" s="98"/>
      <c r="D4129" s="98"/>
      <c r="E4129" s="98"/>
      <c r="F4129" s="128"/>
      <c r="G4129" s="133"/>
      <c r="H4129" s="134"/>
    </row>
    <row r="4130" spans="1:9" s="65" customFormat="1">
      <c r="A4130" s="633"/>
      <c r="B4130" s="633"/>
      <c r="C4130" s="633"/>
      <c r="D4130" s="633"/>
      <c r="E4130" s="633"/>
      <c r="F4130" s="633"/>
      <c r="G4130" s="633"/>
    </row>
    <row r="4131" spans="1:9" s="65" customFormat="1">
      <c r="H4131" s="138"/>
      <c r="I4131" s="151"/>
    </row>
    <row r="4132" spans="1:9" s="65" customFormat="1">
      <c r="A4132" s="645"/>
      <c r="B4132" s="138"/>
      <c r="C4132" s="138"/>
      <c r="D4132" s="138"/>
      <c r="E4132" s="138"/>
      <c r="F4132" s="138"/>
      <c r="G4132" s="138"/>
      <c r="H4132" s="138"/>
      <c r="I4132" s="152"/>
    </row>
    <row r="4133" spans="1:9" s="65" customFormat="1">
      <c r="A4133" s="645"/>
      <c r="B4133" s="138"/>
      <c r="C4133" s="138"/>
      <c r="D4133" s="138"/>
      <c r="E4133" s="138"/>
      <c r="F4133" s="138"/>
      <c r="G4133" s="138"/>
    </row>
    <row r="4134" spans="1:9" s="65" customFormat="1">
      <c r="A4134" s="69"/>
      <c r="B4134" s="69"/>
      <c r="C4134" s="69"/>
      <c r="D4134" s="69"/>
      <c r="E4134" s="69"/>
    </row>
    <row r="4135" spans="1:9" s="65" customFormat="1">
      <c r="A4135" s="120"/>
      <c r="B4135" s="73"/>
      <c r="C4135" s="73"/>
      <c r="D4135" s="73"/>
      <c r="E4135" s="73"/>
      <c r="F4135" s="121"/>
      <c r="G4135" s="121"/>
      <c r="H4135" s="121"/>
    </row>
    <row r="4136" spans="1:9" s="65" customFormat="1">
      <c r="A4136" s="128"/>
      <c r="B4136" s="141"/>
      <c r="C4136" s="141"/>
      <c r="D4136" s="141"/>
      <c r="E4136" s="141"/>
      <c r="F4136" s="141"/>
      <c r="G4136" s="141"/>
      <c r="H4136" s="121"/>
    </row>
    <row r="4137" spans="1:9" s="65" customFormat="1" ht="16.5">
      <c r="A4137" s="150"/>
      <c r="B4137" s="161"/>
      <c r="C4137" s="148"/>
      <c r="D4137" s="84"/>
      <c r="E4137" s="84"/>
      <c r="F4137" s="84"/>
      <c r="G4137" s="154"/>
      <c r="H4137" s="121"/>
    </row>
    <row r="4138" spans="1:9" s="65" customFormat="1" ht="16.5">
      <c r="A4138" s="150"/>
      <c r="B4138" s="161"/>
      <c r="C4138" s="148"/>
      <c r="D4138" s="84"/>
      <c r="E4138" s="84"/>
      <c r="F4138" s="84"/>
      <c r="G4138" s="154"/>
      <c r="H4138" s="145"/>
    </row>
    <row r="4139" spans="1:9" s="65" customFormat="1">
      <c r="A4139" s="84"/>
      <c r="B4139" s="83"/>
      <c r="C4139" s="84"/>
      <c r="D4139" s="84"/>
      <c r="E4139" s="84"/>
      <c r="G4139" s="104"/>
      <c r="H4139" s="140"/>
    </row>
    <row r="4140" spans="1:9" s="65" customFormat="1">
      <c r="A4140" s="120"/>
      <c r="B4140" s="73"/>
      <c r="C4140" s="73"/>
      <c r="D4140" s="73"/>
      <c r="E4140" s="73"/>
      <c r="G4140" s="121"/>
      <c r="H4140" s="140"/>
    </row>
    <row r="4141" spans="1:9" s="65" customFormat="1">
      <c r="A4141" s="128"/>
      <c r="B4141" s="141"/>
      <c r="C4141" s="141"/>
      <c r="D4141" s="141"/>
      <c r="E4141" s="141"/>
      <c r="F4141" s="141"/>
      <c r="G4141" s="141"/>
      <c r="H4141" s="140"/>
    </row>
    <row r="4142" spans="1:9" s="65" customFormat="1">
      <c r="A4142" s="146"/>
      <c r="B4142" s="83"/>
      <c r="C4142" s="148"/>
      <c r="D4142" s="84"/>
      <c r="E4142" s="84"/>
      <c r="F4142" s="84"/>
      <c r="G4142" s="144"/>
      <c r="H4142" s="140"/>
    </row>
    <row r="4143" spans="1:9" s="65" customFormat="1">
      <c r="A4143" s="146"/>
      <c r="B4143" s="83"/>
      <c r="C4143" s="148"/>
      <c r="D4143" s="84"/>
      <c r="E4143" s="84"/>
      <c r="F4143" s="84"/>
      <c r="G4143" s="144"/>
      <c r="H4143" s="140"/>
    </row>
    <row r="4144" spans="1:9" s="65" customFormat="1">
      <c r="A4144" s="146"/>
      <c r="B4144" s="83"/>
      <c r="C4144" s="148"/>
      <c r="D4144" s="84"/>
      <c r="E4144" s="84"/>
      <c r="F4144" s="84"/>
      <c r="G4144" s="144"/>
      <c r="H4144" s="145"/>
    </row>
    <row r="4145" spans="1:9" s="65" customFormat="1">
      <c r="A4145" s="91"/>
      <c r="B4145" s="91"/>
      <c r="C4145" s="91"/>
      <c r="D4145" s="91"/>
      <c r="E4145" s="91"/>
      <c r="G4145" s="104"/>
      <c r="H4145" s="140"/>
    </row>
    <row r="4146" spans="1:9" s="65" customFormat="1">
      <c r="A4146" s="120"/>
      <c r="B4146" s="73"/>
      <c r="C4146" s="73"/>
      <c r="D4146" s="73"/>
      <c r="E4146" s="73"/>
      <c r="G4146" s="121"/>
      <c r="H4146" s="140"/>
    </row>
    <row r="4147" spans="1:9" s="65" customFormat="1">
      <c r="A4147" s="128"/>
      <c r="B4147" s="141"/>
      <c r="C4147" s="141"/>
      <c r="D4147" s="141"/>
      <c r="E4147" s="141"/>
      <c r="F4147" s="141"/>
      <c r="G4147" s="141"/>
      <c r="H4147" s="140"/>
    </row>
    <row r="4148" spans="1:9" s="65" customFormat="1">
      <c r="A4148" s="146"/>
      <c r="B4148" s="83"/>
      <c r="C4148" s="148"/>
      <c r="D4148" s="148"/>
      <c r="E4148" s="84"/>
      <c r="F4148" s="84"/>
      <c r="G4148" s="144"/>
      <c r="H4148" s="145"/>
    </row>
    <row r="4149" spans="1:9" s="65" customFormat="1">
      <c r="A4149" s="91"/>
      <c r="B4149" s="91"/>
      <c r="C4149" s="91"/>
      <c r="D4149" s="91"/>
      <c r="E4149" s="91"/>
      <c r="G4149" s="104"/>
      <c r="H4149" s="140"/>
    </row>
    <row r="4150" spans="1:9" s="65" customFormat="1">
      <c r="A4150" s="120"/>
      <c r="B4150" s="73"/>
      <c r="C4150" s="73"/>
      <c r="D4150" s="73"/>
      <c r="E4150" s="73"/>
      <c r="G4150" s="121"/>
      <c r="H4150" s="140"/>
    </row>
    <row r="4151" spans="1:9" s="65" customFormat="1">
      <c r="A4151" s="128"/>
      <c r="B4151" s="141"/>
      <c r="C4151" s="141"/>
      <c r="D4151" s="141"/>
      <c r="E4151" s="141"/>
      <c r="F4151" s="141"/>
      <c r="G4151" s="141"/>
      <c r="H4151" s="140"/>
    </row>
    <row r="4152" spans="1:9" s="65" customFormat="1">
      <c r="A4152" s="142"/>
      <c r="B4152" s="143"/>
      <c r="C4152" s="143"/>
      <c r="D4152" s="143"/>
      <c r="E4152" s="143"/>
      <c r="F4152" s="84"/>
      <c r="G4152" s="144"/>
      <c r="H4152" s="145"/>
    </row>
    <row r="4153" spans="1:9" s="65" customFormat="1">
      <c r="A4153" s="123"/>
      <c r="B4153" s="95"/>
      <c r="C4153" s="95"/>
      <c r="D4153" s="95"/>
      <c r="E4153" s="95"/>
      <c r="G4153" s="104"/>
      <c r="H4153" s="121"/>
    </row>
    <row r="4154" spans="1:9" s="65" customFormat="1">
      <c r="A4154" s="123"/>
      <c r="B4154" s="95"/>
      <c r="C4154" s="95"/>
      <c r="D4154" s="95"/>
      <c r="E4154" s="95"/>
      <c r="G4154" s="121"/>
      <c r="H4154" s="133"/>
    </row>
    <row r="4155" spans="1:9" s="65" customFormat="1">
      <c r="B4155" s="97"/>
      <c r="C4155" s="98"/>
      <c r="D4155" s="98"/>
      <c r="E4155" s="98"/>
      <c r="G4155" s="128"/>
    </row>
    <row r="4156" spans="1:9" s="65" customFormat="1">
      <c r="B4156" s="97"/>
      <c r="C4156" s="98"/>
      <c r="D4156" s="98"/>
      <c r="E4156" s="98"/>
      <c r="F4156" s="128"/>
      <c r="G4156" s="133"/>
      <c r="H4156" s="134"/>
    </row>
    <row r="4157" spans="1:9" s="65" customFormat="1">
      <c r="A4157" s="633"/>
      <c r="B4157" s="633"/>
      <c r="C4157" s="633"/>
      <c r="D4157" s="633"/>
      <c r="E4157" s="633"/>
      <c r="F4157" s="633"/>
      <c r="G4157" s="633"/>
    </row>
    <row r="4158" spans="1:9" s="65" customFormat="1">
      <c r="H4158" s="138"/>
      <c r="I4158" s="151"/>
    </row>
    <row r="4159" spans="1:9" s="65" customFormat="1">
      <c r="A4159" s="645"/>
      <c r="B4159" s="138"/>
      <c r="C4159" s="138"/>
      <c r="D4159" s="138"/>
      <c r="E4159" s="138"/>
      <c r="F4159" s="138"/>
      <c r="G4159" s="138"/>
      <c r="H4159" s="138"/>
      <c r="I4159" s="152"/>
    </row>
    <row r="4160" spans="1:9" s="65" customFormat="1">
      <c r="A4160" s="645"/>
      <c r="B4160" s="138"/>
      <c r="C4160" s="138"/>
      <c r="D4160" s="138"/>
      <c r="E4160" s="138"/>
      <c r="F4160" s="138"/>
      <c r="G4160" s="138"/>
    </row>
    <row r="4161" spans="1:8" s="65" customFormat="1">
      <c r="A4161" s="69"/>
      <c r="B4161" s="69"/>
      <c r="C4161" s="69"/>
      <c r="D4161" s="69"/>
      <c r="E4161" s="69"/>
    </row>
    <row r="4162" spans="1:8" s="65" customFormat="1">
      <c r="A4162" s="120"/>
      <c r="B4162" s="73"/>
      <c r="C4162" s="73"/>
      <c r="D4162" s="73"/>
      <c r="E4162" s="73"/>
      <c r="F4162" s="121"/>
      <c r="G4162" s="121"/>
      <c r="H4162" s="121"/>
    </row>
    <row r="4163" spans="1:8" s="65" customFormat="1">
      <c r="A4163" s="128"/>
      <c r="B4163" s="141"/>
      <c r="C4163" s="141"/>
      <c r="D4163" s="141"/>
      <c r="E4163" s="141"/>
      <c r="F4163" s="141"/>
      <c r="G4163" s="141"/>
      <c r="H4163" s="121"/>
    </row>
    <row r="4164" spans="1:8" s="65" customFormat="1" ht="16.5">
      <c r="A4164" s="150"/>
      <c r="B4164" s="161"/>
      <c r="C4164" s="148"/>
      <c r="D4164" s="84"/>
      <c r="E4164" s="84"/>
      <c r="F4164" s="84"/>
      <c r="G4164" s="154"/>
      <c r="H4164" s="121"/>
    </row>
    <row r="4165" spans="1:8" s="65" customFormat="1" ht="16.5">
      <c r="A4165" s="150"/>
      <c r="B4165" s="161"/>
      <c r="C4165" s="148"/>
      <c r="D4165" s="84"/>
      <c r="E4165" s="84"/>
      <c r="F4165" s="84"/>
      <c r="G4165" s="154"/>
      <c r="H4165" s="145"/>
    </row>
    <row r="4166" spans="1:8" s="65" customFormat="1">
      <c r="A4166" s="84"/>
      <c r="B4166" s="83"/>
      <c r="C4166" s="84"/>
      <c r="D4166" s="84"/>
      <c r="E4166" s="84"/>
      <c r="G4166" s="104"/>
      <c r="H4166" s="140"/>
    </row>
    <row r="4167" spans="1:8" s="65" customFormat="1">
      <c r="A4167" s="120"/>
      <c r="B4167" s="73"/>
      <c r="C4167" s="73"/>
      <c r="D4167" s="73"/>
      <c r="E4167" s="73"/>
      <c r="G4167" s="121"/>
      <c r="H4167" s="140"/>
    </row>
    <row r="4168" spans="1:8" s="65" customFormat="1">
      <c r="A4168" s="128"/>
      <c r="B4168" s="141"/>
      <c r="C4168" s="141"/>
      <c r="D4168" s="141"/>
      <c r="E4168" s="141"/>
      <c r="F4168" s="141"/>
      <c r="G4168" s="141"/>
      <c r="H4168" s="140"/>
    </row>
    <row r="4169" spans="1:8" s="65" customFormat="1">
      <c r="A4169" s="146"/>
      <c r="B4169" s="83"/>
      <c r="C4169" s="148"/>
      <c r="D4169" s="84"/>
      <c r="E4169" s="84"/>
      <c r="F4169" s="84"/>
      <c r="G4169" s="144"/>
      <c r="H4169" s="140"/>
    </row>
    <row r="4170" spans="1:8" s="65" customFormat="1">
      <c r="A4170" s="146"/>
      <c r="B4170" s="83"/>
      <c r="C4170" s="148"/>
      <c r="D4170" s="84"/>
      <c r="E4170" s="84"/>
      <c r="F4170" s="84"/>
      <c r="G4170" s="144"/>
      <c r="H4170" s="145"/>
    </row>
    <row r="4171" spans="1:8" s="65" customFormat="1">
      <c r="A4171" s="91"/>
      <c r="B4171" s="91"/>
      <c r="C4171" s="91"/>
      <c r="D4171" s="91"/>
      <c r="E4171" s="91"/>
      <c r="G4171" s="104"/>
      <c r="H4171" s="140"/>
    </row>
    <row r="4172" spans="1:8" s="65" customFormat="1">
      <c r="A4172" s="120"/>
      <c r="B4172" s="73"/>
      <c r="C4172" s="73"/>
      <c r="D4172" s="73"/>
      <c r="E4172" s="73"/>
      <c r="G4172" s="121"/>
      <c r="H4172" s="140"/>
    </row>
    <row r="4173" spans="1:8" s="65" customFormat="1">
      <c r="A4173" s="128"/>
      <c r="B4173" s="141"/>
      <c r="C4173" s="141"/>
      <c r="D4173" s="141"/>
      <c r="E4173" s="141"/>
      <c r="F4173" s="141"/>
      <c r="G4173" s="141"/>
      <c r="H4173" s="140"/>
    </row>
    <row r="4174" spans="1:8" s="65" customFormat="1">
      <c r="A4174" s="146"/>
      <c r="B4174" s="83"/>
      <c r="C4174" s="148"/>
      <c r="D4174" s="148"/>
      <c r="E4174" s="84"/>
      <c r="F4174" s="84"/>
      <c r="G4174" s="144"/>
      <c r="H4174" s="145"/>
    </row>
    <row r="4175" spans="1:8" s="65" customFormat="1">
      <c r="A4175" s="91"/>
      <c r="B4175" s="91"/>
      <c r="C4175" s="91"/>
      <c r="D4175" s="91"/>
      <c r="E4175" s="91"/>
      <c r="G4175" s="104"/>
      <c r="H4175" s="140"/>
    </row>
    <row r="4176" spans="1:8" s="65" customFormat="1">
      <c r="A4176" s="120"/>
      <c r="B4176" s="73"/>
      <c r="C4176" s="73"/>
      <c r="D4176" s="73"/>
      <c r="E4176" s="73"/>
      <c r="G4176" s="121"/>
      <c r="H4176" s="140"/>
    </row>
    <row r="4177" spans="1:9" s="65" customFormat="1">
      <c r="A4177" s="128"/>
      <c r="B4177" s="141"/>
      <c r="C4177" s="141"/>
      <c r="D4177" s="141"/>
      <c r="E4177" s="141"/>
      <c r="F4177" s="141"/>
      <c r="G4177" s="141"/>
      <c r="H4177" s="140"/>
    </row>
    <row r="4178" spans="1:9" s="65" customFormat="1">
      <c r="A4178" s="142"/>
      <c r="B4178" s="143"/>
      <c r="C4178" s="143"/>
      <c r="D4178" s="143"/>
      <c r="E4178" s="143"/>
      <c r="F4178" s="84"/>
      <c r="G4178" s="144"/>
      <c r="H4178" s="145"/>
    </row>
    <row r="4179" spans="1:9" s="65" customFormat="1">
      <c r="A4179" s="123"/>
      <c r="B4179" s="95"/>
      <c r="C4179" s="95"/>
      <c r="D4179" s="95"/>
      <c r="E4179" s="95"/>
      <c r="G4179" s="104"/>
      <c r="H4179" s="121"/>
    </row>
    <row r="4180" spans="1:9" s="65" customFormat="1">
      <c r="A4180" s="123"/>
      <c r="B4180" s="95"/>
      <c r="C4180" s="95"/>
      <c r="D4180" s="95"/>
      <c r="E4180" s="95"/>
      <c r="G4180" s="121"/>
      <c r="H4180" s="133"/>
    </row>
    <row r="4181" spans="1:9" s="65" customFormat="1">
      <c r="B4181" s="97"/>
      <c r="C4181" s="98"/>
      <c r="D4181" s="98"/>
      <c r="E4181" s="98"/>
      <c r="G4181" s="128"/>
    </row>
    <row r="4182" spans="1:9" s="65" customFormat="1">
      <c r="B4182" s="97"/>
      <c r="C4182" s="98"/>
      <c r="D4182" s="98"/>
      <c r="E4182" s="98"/>
      <c r="F4182" s="128"/>
      <c r="G4182" s="133"/>
      <c r="H4182" s="134"/>
    </row>
    <row r="4183" spans="1:9" s="65" customFormat="1">
      <c r="A4183" s="633"/>
      <c r="B4183" s="633"/>
      <c r="C4183" s="633"/>
      <c r="D4183" s="633"/>
      <c r="E4183" s="633"/>
      <c r="F4183" s="633"/>
      <c r="G4183" s="633"/>
    </row>
    <row r="4184" spans="1:9" s="65" customFormat="1">
      <c r="H4184" s="138"/>
      <c r="I4184" s="151"/>
    </row>
    <row r="4185" spans="1:9" s="65" customFormat="1">
      <c r="A4185" s="645"/>
      <c r="B4185" s="138"/>
      <c r="C4185" s="138"/>
      <c r="D4185" s="138"/>
      <c r="E4185" s="138"/>
      <c r="F4185" s="138"/>
      <c r="G4185" s="138"/>
      <c r="H4185" s="138"/>
      <c r="I4185" s="152"/>
    </row>
    <row r="4186" spans="1:9" s="65" customFormat="1">
      <c r="A4186" s="645"/>
      <c r="B4186" s="138"/>
      <c r="C4186" s="138"/>
      <c r="D4186" s="138"/>
      <c r="E4186" s="138"/>
      <c r="F4186" s="138"/>
      <c r="G4186" s="138"/>
    </row>
    <row r="4187" spans="1:9" s="65" customFormat="1">
      <c r="A4187" s="69"/>
      <c r="B4187" s="69"/>
      <c r="C4187" s="69"/>
      <c r="D4187" s="69"/>
      <c r="E4187" s="69"/>
    </row>
    <row r="4188" spans="1:9" s="65" customFormat="1">
      <c r="A4188" s="120"/>
      <c r="B4188" s="73"/>
      <c r="C4188" s="73"/>
      <c r="D4188" s="73"/>
      <c r="E4188" s="73"/>
      <c r="F4188" s="121"/>
      <c r="G4188" s="121"/>
      <c r="H4188" s="121"/>
    </row>
    <row r="4189" spans="1:9" s="65" customFormat="1">
      <c r="A4189" s="128"/>
      <c r="B4189" s="141"/>
      <c r="C4189" s="141"/>
      <c r="D4189" s="141"/>
      <c r="E4189" s="141"/>
      <c r="F4189" s="141"/>
      <c r="G4189" s="141"/>
      <c r="H4189" s="121"/>
    </row>
    <row r="4190" spans="1:9" s="65" customFormat="1" ht="16.5">
      <c r="A4190" s="150"/>
      <c r="B4190" s="161"/>
      <c r="C4190" s="148"/>
      <c r="D4190" s="84"/>
      <c r="E4190" s="84"/>
      <c r="F4190" s="84"/>
      <c r="G4190" s="154"/>
      <c r="H4190" s="121"/>
    </row>
    <row r="4191" spans="1:9" s="65" customFormat="1" ht="16.5">
      <c r="A4191" s="150"/>
      <c r="B4191" s="161"/>
      <c r="C4191" s="148"/>
      <c r="D4191" s="84"/>
      <c r="E4191" s="84"/>
      <c r="F4191" s="84"/>
      <c r="G4191" s="154"/>
      <c r="H4191" s="145"/>
    </row>
    <row r="4192" spans="1:9" s="65" customFormat="1">
      <c r="A4192" s="84"/>
      <c r="B4192" s="83"/>
      <c r="C4192" s="84"/>
      <c r="D4192" s="84"/>
      <c r="E4192" s="84"/>
      <c r="G4192" s="104"/>
      <c r="H4192" s="140"/>
    </row>
    <row r="4193" spans="1:8" s="65" customFormat="1">
      <c r="A4193" s="120"/>
      <c r="B4193" s="73"/>
      <c r="C4193" s="73"/>
      <c r="D4193" s="73"/>
      <c r="E4193" s="73"/>
      <c r="G4193" s="121"/>
      <c r="H4193" s="140"/>
    </row>
    <row r="4194" spans="1:8" s="65" customFormat="1">
      <c r="A4194" s="128"/>
      <c r="B4194" s="141"/>
      <c r="C4194" s="141"/>
      <c r="D4194" s="141"/>
      <c r="E4194" s="141"/>
      <c r="F4194" s="141"/>
      <c r="G4194" s="141"/>
      <c r="H4194" s="140"/>
    </row>
    <row r="4195" spans="1:8" s="65" customFormat="1">
      <c r="A4195" s="146"/>
      <c r="B4195" s="83"/>
      <c r="C4195" s="148"/>
      <c r="D4195" s="84"/>
      <c r="E4195" s="84"/>
      <c r="F4195" s="84"/>
      <c r="G4195" s="144"/>
      <c r="H4195" s="140"/>
    </row>
    <row r="4196" spans="1:8" s="65" customFormat="1">
      <c r="A4196" s="146"/>
      <c r="B4196" s="83"/>
      <c r="C4196" s="148"/>
      <c r="D4196" s="84"/>
      <c r="E4196" s="84"/>
      <c r="F4196" s="84"/>
      <c r="G4196" s="144"/>
      <c r="H4196" s="140"/>
    </row>
    <row r="4197" spans="1:8" s="65" customFormat="1">
      <c r="A4197" s="146"/>
      <c r="B4197" s="83"/>
      <c r="C4197" s="148"/>
      <c r="D4197" s="84"/>
      <c r="E4197" s="84"/>
      <c r="F4197" s="84"/>
      <c r="G4197" s="144"/>
      <c r="H4197" s="140"/>
    </row>
    <row r="4198" spans="1:8" s="65" customFormat="1">
      <c r="A4198" s="146"/>
      <c r="B4198" s="83"/>
      <c r="C4198" s="148"/>
      <c r="D4198" s="84"/>
      <c r="E4198" s="84"/>
      <c r="F4198" s="84"/>
      <c r="G4198" s="144"/>
      <c r="H4198" s="145"/>
    </row>
    <row r="4199" spans="1:8" s="65" customFormat="1">
      <c r="A4199" s="91"/>
      <c r="B4199" s="91"/>
      <c r="C4199" s="91"/>
      <c r="D4199" s="91"/>
      <c r="E4199" s="91"/>
      <c r="G4199" s="104"/>
      <c r="H4199" s="140"/>
    </row>
    <row r="4200" spans="1:8" s="65" customFormat="1">
      <c r="A4200" s="120"/>
      <c r="B4200" s="73"/>
      <c r="C4200" s="73"/>
      <c r="D4200" s="73"/>
      <c r="E4200" s="73"/>
      <c r="G4200" s="121"/>
      <c r="H4200" s="140"/>
    </row>
    <row r="4201" spans="1:8" s="65" customFormat="1">
      <c r="A4201" s="128"/>
      <c r="B4201" s="141"/>
      <c r="C4201" s="141"/>
      <c r="D4201" s="141"/>
      <c r="E4201" s="141"/>
      <c r="F4201" s="141"/>
      <c r="G4201" s="141"/>
      <c r="H4201" s="140"/>
    </row>
    <row r="4202" spans="1:8" s="65" customFormat="1">
      <c r="A4202" s="146"/>
      <c r="B4202" s="83"/>
      <c r="C4202" s="148"/>
      <c r="D4202" s="148"/>
      <c r="E4202" s="84"/>
      <c r="F4202" s="84"/>
      <c r="G4202" s="144"/>
      <c r="H4202" s="145"/>
    </row>
    <row r="4203" spans="1:8" s="65" customFormat="1">
      <c r="A4203" s="91"/>
      <c r="B4203" s="91"/>
      <c r="C4203" s="91"/>
      <c r="D4203" s="91"/>
      <c r="E4203" s="91"/>
      <c r="G4203" s="104"/>
      <c r="H4203" s="140"/>
    </row>
    <row r="4204" spans="1:8" s="65" customFormat="1">
      <c r="A4204" s="120"/>
      <c r="B4204" s="73"/>
      <c r="C4204" s="73"/>
      <c r="D4204" s="73"/>
      <c r="E4204" s="73"/>
      <c r="G4204" s="121"/>
      <c r="H4204" s="140"/>
    </row>
    <row r="4205" spans="1:8" s="65" customFormat="1">
      <c r="A4205" s="128"/>
      <c r="B4205" s="141"/>
      <c r="C4205" s="141"/>
      <c r="D4205" s="141"/>
      <c r="E4205" s="141"/>
      <c r="F4205" s="141"/>
      <c r="G4205" s="141"/>
      <c r="H4205" s="140"/>
    </row>
    <row r="4206" spans="1:8" s="65" customFormat="1">
      <c r="A4206" s="142"/>
      <c r="B4206" s="143"/>
      <c r="C4206" s="143"/>
      <c r="D4206" s="143"/>
      <c r="E4206" s="143"/>
      <c r="F4206" s="84"/>
      <c r="G4206" s="144"/>
      <c r="H4206" s="145"/>
    </row>
    <row r="4207" spans="1:8" s="65" customFormat="1">
      <c r="A4207" s="123"/>
      <c r="B4207" s="95"/>
      <c r="C4207" s="95"/>
      <c r="D4207" s="95"/>
      <c r="E4207" s="95"/>
      <c r="G4207" s="104"/>
      <c r="H4207" s="121"/>
    </row>
    <row r="4208" spans="1:8" s="65" customFormat="1">
      <c r="A4208" s="123"/>
      <c r="B4208" s="95"/>
      <c r="C4208" s="95"/>
      <c r="D4208" s="95"/>
      <c r="E4208" s="95"/>
      <c r="G4208" s="121"/>
      <c r="H4208" s="133"/>
    </row>
    <row r="4209" spans="1:9" s="65" customFormat="1">
      <c r="B4209" s="97"/>
      <c r="C4209" s="98"/>
      <c r="D4209" s="98"/>
      <c r="E4209" s="98"/>
      <c r="G4209" s="128"/>
    </row>
    <row r="4210" spans="1:9" s="65" customFormat="1">
      <c r="B4210" s="97"/>
      <c r="C4210" s="98"/>
      <c r="D4210" s="98"/>
      <c r="E4210" s="98"/>
      <c r="F4210" s="128"/>
      <c r="G4210" s="133"/>
      <c r="H4210" s="134"/>
    </row>
    <row r="4211" spans="1:9" s="65" customFormat="1">
      <c r="A4211" s="633"/>
      <c r="B4211" s="633"/>
      <c r="C4211" s="633"/>
      <c r="D4211" s="633"/>
      <c r="E4211" s="633"/>
      <c r="F4211" s="633"/>
      <c r="G4211" s="633"/>
    </row>
    <row r="4212" spans="1:9" s="65" customFormat="1">
      <c r="H4212" s="138"/>
      <c r="I4212" s="151"/>
    </row>
    <row r="4213" spans="1:9" s="65" customFormat="1">
      <c r="A4213" s="645"/>
      <c r="B4213" s="138"/>
      <c r="C4213" s="138"/>
      <c r="D4213" s="138"/>
      <c r="E4213" s="138"/>
      <c r="F4213" s="138"/>
      <c r="G4213" s="138"/>
      <c r="H4213" s="138"/>
      <c r="I4213" s="152"/>
    </row>
    <row r="4214" spans="1:9" s="65" customFormat="1">
      <c r="A4214" s="645"/>
      <c r="B4214" s="138"/>
      <c r="C4214" s="138"/>
      <c r="D4214" s="138"/>
      <c r="E4214" s="138"/>
      <c r="F4214" s="138"/>
      <c r="G4214" s="138"/>
    </row>
    <row r="4215" spans="1:9" s="65" customFormat="1">
      <c r="A4215" s="69"/>
      <c r="B4215" s="69"/>
      <c r="C4215" s="69"/>
      <c r="D4215" s="69"/>
      <c r="E4215" s="69"/>
    </row>
    <row r="4216" spans="1:9" s="65" customFormat="1">
      <c r="A4216" s="120"/>
      <c r="B4216" s="73"/>
      <c r="C4216" s="73"/>
      <c r="D4216" s="73"/>
      <c r="E4216" s="73"/>
      <c r="F4216" s="121"/>
      <c r="G4216" s="121"/>
      <c r="H4216" s="121"/>
    </row>
    <row r="4217" spans="1:9" s="65" customFormat="1">
      <c r="A4217" s="128"/>
      <c r="B4217" s="141"/>
      <c r="C4217" s="141"/>
      <c r="D4217" s="141"/>
      <c r="E4217" s="141"/>
      <c r="F4217" s="141"/>
      <c r="G4217" s="141"/>
      <c r="H4217" s="121"/>
    </row>
    <row r="4218" spans="1:9" s="65" customFormat="1" ht="16.5">
      <c r="A4218" s="150"/>
      <c r="B4218" s="161"/>
      <c r="C4218" s="148"/>
      <c r="D4218" s="84"/>
      <c r="E4218" s="84"/>
      <c r="F4218" s="84"/>
      <c r="G4218" s="154"/>
      <c r="H4218" s="121"/>
    </row>
    <row r="4219" spans="1:9" s="65" customFormat="1" ht="16.5">
      <c r="A4219" s="150"/>
      <c r="B4219" s="161"/>
      <c r="C4219" s="148"/>
      <c r="D4219" s="84"/>
      <c r="E4219" s="84"/>
      <c r="F4219" s="84"/>
      <c r="G4219" s="154"/>
      <c r="H4219" s="121"/>
    </row>
    <row r="4220" spans="1:9" s="65" customFormat="1" ht="16.5">
      <c r="A4220" s="150"/>
      <c r="B4220" s="161"/>
      <c r="C4220" s="148"/>
      <c r="D4220" s="84"/>
      <c r="E4220" s="84"/>
      <c r="F4220" s="84"/>
      <c r="G4220" s="154"/>
      <c r="H4220" s="121"/>
    </row>
    <row r="4221" spans="1:9" s="65" customFormat="1" ht="16.5">
      <c r="A4221" s="150"/>
      <c r="B4221" s="161"/>
      <c r="C4221" s="148"/>
      <c r="D4221" s="84"/>
      <c r="E4221" s="84"/>
      <c r="F4221" s="84"/>
      <c r="G4221" s="154"/>
      <c r="H4221" s="121"/>
    </row>
    <row r="4222" spans="1:9" s="65" customFormat="1" ht="16.5">
      <c r="A4222" s="150"/>
      <c r="B4222" s="161"/>
      <c r="C4222" s="148"/>
      <c r="D4222" s="84"/>
      <c r="E4222" s="84"/>
      <c r="F4222" s="84"/>
      <c r="G4222" s="154"/>
      <c r="H4222" s="145"/>
    </row>
    <row r="4223" spans="1:9" s="65" customFormat="1">
      <c r="A4223" s="84"/>
      <c r="B4223" s="83"/>
      <c r="C4223" s="84"/>
      <c r="D4223" s="84"/>
      <c r="E4223" s="84"/>
      <c r="G4223" s="104"/>
      <c r="H4223" s="140"/>
    </row>
    <row r="4224" spans="1:9" s="65" customFormat="1">
      <c r="A4224" s="120"/>
      <c r="B4224" s="73"/>
      <c r="C4224" s="73"/>
      <c r="D4224" s="73"/>
      <c r="E4224" s="73"/>
      <c r="G4224" s="121"/>
      <c r="H4224" s="140"/>
    </row>
    <row r="4225" spans="1:8" s="65" customFormat="1">
      <c r="A4225" s="128"/>
      <c r="B4225" s="141"/>
      <c r="C4225" s="141"/>
      <c r="D4225" s="141"/>
      <c r="E4225" s="141"/>
      <c r="F4225" s="141"/>
      <c r="G4225" s="141"/>
      <c r="H4225" s="140"/>
    </row>
    <row r="4226" spans="1:8" s="65" customFormat="1">
      <c r="A4226" s="146"/>
      <c r="B4226" s="83"/>
      <c r="C4226" s="148"/>
      <c r="D4226" s="84"/>
      <c r="E4226" s="84"/>
      <c r="F4226" s="84"/>
      <c r="G4226" s="144"/>
      <c r="H4226" s="140"/>
    </row>
    <row r="4227" spans="1:8" s="65" customFormat="1">
      <c r="A4227" s="146"/>
      <c r="B4227" s="83"/>
      <c r="C4227" s="148"/>
      <c r="D4227" s="84"/>
      <c r="E4227" s="84"/>
      <c r="F4227" s="84"/>
      <c r="G4227" s="144"/>
      <c r="H4227" s="140"/>
    </row>
    <row r="4228" spans="1:8" s="65" customFormat="1">
      <c r="A4228" s="146"/>
      <c r="B4228" s="83"/>
      <c r="C4228" s="148"/>
      <c r="D4228" s="84"/>
      <c r="E4228" s="84"/>
      <c r="F4228" s="84"/>
      <c r="G4228" s="164"/>
      <c r="H4228" s="145"/>
    </row>
    <row r="4229" spans="1:8" s="65" customFormat="1">
      <c r="A4229" s="91"/>
      <c r="B4229" s="91"/>
      <c r="C4229" s="91"/>
      <c r="D4229" s="91"/>
      <c r="E4229" s="91"/>
      <c r="G4229" s="104"/>
      <c r="H4229" s="140"/>
    </row>
    <row r="4230" spans="1:8" s="65" customFormat="1">
      <c r="A4230" s="120"/>
      <c r="B4230" s="73"/>
      <c r="C4230" s="73"/>
      <c r="D4230" s="73"/>
      <c r="E4230" s="73"/>
      <c r="G4230" s="121"/>
      <c r="H4230" s="140"/>
    </row>
    <row r="4231" spans="1:8" s="65" customFormat="1">
      <c r="A4231" s="128"/>
      <c r="B4231" s="141"/>
      <c r="C4231" s="141"/>
      <c r="D4231" s="141"/>
      <c r="E4231" s="141"/>
      <c r="F4231" s="141"/>
      <c r="G4231" s="141"/>
      <c r="H4231" s="140"/>
    </row>
    <row r="4232" spans="1:8" s="65" customFormat="1">
      <c r="A4232" s="146"/>
      <c r="B4232" s="83"/>
      <c r="C4232" s="148"/>
      <c r="D4232" s="148"/>
      <c r="E4232" s="84"/>
      <c r="F4232" s="84"/>
      <c r="G4232" s="144"/>
      <c r="H4232" s="145"/>
    </row>
    <row r="4233" spans="1:8" s="65" customFormat="1">
      <c r="A4233" s="91"/>
      <c r="B4233" s="91"/>
      <c r="C4233" s="91"/>
      <c r="D4233" s="91"/>
      <c r="E4233" s="91"/>
      <c r="G4233" s="104"/>
      <c r="H4233" s="140"/>
    </row>
    <row r="4234" spans="1:8" s="65" customFormat="1">
      <c r="A4234" s="120"/>
      <c r="B4234" s="73"/>
      <c r="C4234" s="73"/>
      <c r="D4234" s="73"/>
      <c r="E4234" s="73"/>
      <c r="G4234" s="121"/>
      <c r="H4234" s="140"/>
    </row>
    <row r="4235" spans="1:8" s="65" customFormat="1">
      <c r="A4235" s="128"/>
      <c r="B4235" s="141"/>
      <c r="C4235" s="141"/>
      <c r="D4235" s="141"/>
      <c r="E4235" s="141"/>
      <c r="F4235" s="141"/>
      <c r="G4235" s="141"/>
      <c r="H4235" s="140"/>
    </row>
    <row r="4236" spans="1:8" s="65" customFormat="1">
      <c r="A4236" s="142"/>
      <c r="B4236" s="143"/>
      <c r="C4236" s="143"/>
      <c r="D4236" s="143"/>
      <c r="E4236" s="143"/>
      <c r="F4236" s="84"/>
      <c r="G4236" s="144"/>
      <c r="H4236" s="145"/>
    </row>
    <row r="4237" spans="1:8" s="65" customFormat="1">
      <c r="A4237" s="123"/>
      <c r="B4237" s="95"/>
      <c r="C4237" s="95"/>
      <c r="D4237" s="95"/>
      <c r="E4237" s="95"/>
      <c r="G4237" s="104"/>
      <c r="H4237" s="121"/>
    </row>
    <row r="4238" spans="1:8" s="65" customFormat="1">
      <c r="A4238" s="123"/>
      <c r="B4238" s="95"/>
      <c r="C4238" s="95"/>
      <c r="D4238" s="95"/>
      <c r="E4238" s="95"/>
      <c r="G4238" s="121"/>
      <c r="H4238" s="133"/>
    </row>
    <row r="4239" spans="1:8" s="65" customFormat="1">
      <c r="B4239" s="97"/>
      <c r="C4239" s="98"/>
      <c r="D4239" s="98"/>
      <c r="E4239" s="98"/>
      <c r="G4239" s="128"/>
    </row>
    <row r="4240" spans="1:8" s="65" customFormat="1">
      <c r="B4240" s="97"/>
      <c r="C4240" s="98"/>
      <c r="D4240" s="98"/>
      <c r="E4240" s="98"/>
      <c r="F4240" s="128"/>
      <c r="G4240" s="133"/>
      <c r="H4240" s="134"/>
    </row>
    <row r="4241" spans="1:9" s="65" customFormat="1">
      <c r="A4241" s="633"/>
      <c r="B4241" s="633"/>
      <c r="C4241" s="633"/>
      <c r="D4241" s="633"/>
      <c r="E4241" s="633"/>
      <c r="F4241" s="633"/>
      <c r="G4241" s="633"/>
    </row>
    <row r="4242" spans="1:9" s="65" customFormat="1">
      <c r="H4242" s="138"/>
      <c r="I4242" s="151"/>
    </row>
    <row r="4243" spans="1:9" s="65" customFormat="1">
      <c r="A4243" s="645"/>
      <c r="B4243" s="138"/>
      <c r="C4243" s="138"/>
      <c r="D4243" s="138"/>
      <c r="E4243" s="138"/>
      <c r="F4243" s="138"/>
      <c r="G4243" s="138"/>
      <c r="H4243" s="138"/>
      <c r="I4243" s="152"/>
    </row>
    <row r="4244" spans="1:9" s="65" customFormat="1">
      <c r="A4244" s="645"/>
      <c r="B4244" s="138"/>
      <c r="C4244" s="138"/>
      <c r="D4244" s="138"/>
      <c r="E4244" s="138"/>
      <c r="F4244" s="138"/>
      <c r="G4244" s="138"/>
    </row>
    <row r="4245" spans="1:9" s="65" customFormat="1">
      <c r="A4245" s="69"/>
      <c r="B4245" s="69"/>
      <c r="C4245" s="69"/>
      <c r="D4245" s="69"/>
      <c r="E4245" s="69"/>
    </row>
    <row r="4246" spans="1:9" s="65" customFormat="1">
      <c r="A4246" s="120"/>
      <c r="B4246" s="73"/>
      <c r="C4246" s="73"/>
      <c r="D4246" s="73"/>
      <c r="E4246" s="73"/>
      <c r="F4246" s="121"/>
      <c r="G4246" s="121"/>
      <c r="H4246" s="121"/>
    </row>
    <row r="4247" spans="1:9" s="65" customFormat="1">
      <c r="A4247" s="128"/>
      <c r="B4247" s="141"/>
      <c r="C4247" s="141"/>
      <c r="D4247" s="141"/>
      <c r="E4247" s="141"/>
      <c r="F4247" s="141"/>
      <c r="G4247" s="141"/>
      <c r="H4247" s="121"/>
    </row>
    <row r="4248" spans="1:9" s="65" customFormat="1" ht="16.5">
      <c r="A4248" s="150"/>
      <c r="B4248" s="161"/>
      <c r="C4248" s="148"/>
      <c r="D4248" s="84"/>
      <c r="E4248" s="84"/>
      <c r="F4248" s="84"/>
      <c r="G4248" s="154"/>
      <c r="H4248" s="121"/>
    </row>
    <row r="4249" spans="1:9" s="65" customFormat="1" ht="16.5">
      <c r="A4249" s="150"/>
      <c r="B4249" s="161"/>
      <c r="C4249" s="148"/>
      <c r="D4249" s="84"/>
      <c r="E4249" s="84"/>
      <c r="F4249" s="84"/>
      <c r="G4249" s="154"/>
      <c r="H4249" s="145"/>
    </row>
    <row r="4250" spans="1:9" s="65" customFormat="1">
      <c r="A4250" s="84"/>
      <c r="B4250" s="83"/>
      <c r="C4250" s="84"/>
      <c r="D4250" s="84"/>
      <c r="E4250" s="84"/>
      <c r="G4250" s="104"/>
      <c r="H4250" s="140"/>
    </row>
    <row r="4251" spans="1:9" s="65" customFormat="1">
      <c r="A4251" s="120"/>
      <c r="B4251" s="73"/>
      <c r="C4251" s="73"/>
      <c r="D4251" s="73"/>
      <c r="E4251" s="73"/>
      <c r="G4251" s="121"/>
      <c r="H4251" s="140"/>
    </row>
    <row r="4252" spans="1:9" s="65" customFormat="1">
      <c r="A4252" s="128"/>
      <c r="B4252" s="141"/>
      <c r="C4252" s="141"/>
      <c r="D4252" s="141"/>
      <c r="E4252" s="141"/>
      <c r="F4252" s="141"/>
      <c r="G4252" s="141"/>
      <c r="H4252" s="140"/>
    </row>
    <row r="4253" spans="1:9" s="65" customFormat="1">
      <c r="A4253" s="146"/>
      <c r="B4253" s="83"/>
      <c r="C4253" s="148"/>
      <c r="D4253" s="84"/>
      <c r="E4253" s="84"/>
      <c r="F4253" s="84"/>
      <c r="G4253" s="144"/>
      <c r="H4253" s="140"/>
    </row>
    <row r="4254" spans="1:9" s="65" customFormat="1">
      <c r="A4254" s="146"/>
      <c r="B4254" s="83"/>
      <c r="C4254" s="148"/>
      <c r="D4254" s="84"/>
      <c r="E4254" s="84"/>
      <c r="F4254" s="84"/>
      <c r="G4254" s="170"/>
      <c r="H4254" s="145"/>
    </row>
    <row r="4255" spans="1:9" s="65" customFormat="1">
      <c r="A4255" s="91"/>
      <c r="B4255" s="91"/>
      <c r="C4255" s="91"/>
      <c r="D4255" s="91"/>
      <c r="E4255" s="91"/>
      <c r="G4255" s="104"/>
      <c r="H4255" s="140"/>
    </row>
    <row r="4256" spans="1:9" s="65" customFormat="1">
      <c r="A4256" s="120"/>
      <c r="B4256" s="73"/>
      <c r="C4256" s="73"/>
      <c r="D4256" s="73"/>
      <c r="E4256" s="73"/>
      <c r="G4256" s="121"/>
      <c r="H4256" s="140"/>
    </row>
    <row r="4257" spans="1:9" s="65" customFormat="1">
      <c r="A4257" s="128"/>
      <c r="B4257" s="141"/>
      <c r="C4257" s="141"/>
      <c r="D4257" s="141"/>
      <c r="E4257" s="141"/>
      <c r="F4257" s="141"/>
      <c r="G4257" s="141"/>
      <c r="H4257" s="140"/>
    </row>
    <row r="4258" spans="1:9" s="65" customFormat="1">
      <c r="A4258" s="146"/>
      <c r="B4258" s="83"/>
      <c r="C4258" s="148"/>
      <c r="D4258" s="148"/>
      <c r="E4258" s="84"/>
      <c r="F4258" s="84"/>
      <c r="G4258" s="144"/>
      <c r="H4258" s="145"/>
    </row>
    <row r="4259" spans="1:9" s="65" customFormat="1">
      <c r="A4259" s="91"/>
      <c r="B4259" s="91"/>
      <c r="C4259" s="91"/>
      <c r="D4259" s="91"/>
      <c r="E4259" s="91"/>
      <c r="G4259" s="104"/>
      <c r="H4259" s="140"/>
    </row>
    <row r="4260" spans="1:9" s="65" customFormat="1">
      <c r="A4260" s="120"/>
      <c r="B4260" s="73"/>
      <c r="C4260" s="73"/>
      <c r="D4260" s="73"/>
      <c r="E4260" s="73"/>
      <c r="G4260" s="121"/>
      <c r="H4260" s="140"/>
    </row>
    <row r="4261" spans="1:9" s="65" customFormat="1">
      <c r="A4261" s="128"/>
      <c r="B4261" s="141"/>
      <c r="C4261" s="141"/>
      <c r="D4261" s="141"/>
      <c r="E4261" s="141"/>
      <c r="F4261" s="141"/>
      <c r="G4261" s="141"/>
      <c r="H4261" s="140"/>
    </row>
    <row r="4262" spans="1:9" s="65" customFormat="1">
      <c r="A4262" s="142"/>
      <c r="B4262" s="143"/>
      <c r="C4262" s="143"/>
      <c r="D4262" s="143"/>
      <c r="E4262" s="143"/>
      <c r="F4262" s="84"/>
      <c r="G4262" s="144"/>
      <c r="H4262" s="145"/>
    </row>
    <row r="4263" spans="1:9" s="65" customFormat="1">
      <c r="A4263" s="123"/>
      <c r="B4263" s="95"/>
      <c r="C4263" s="95"/>
      <c r="D4263" s="95"/>
      <c r="E4263" s="95"/>
      <c r="G4263" s="104"/>
      <c r="H4263" s="121"/>
    </row>
    <row r="4264" spans="1:9" s="65" customFormat="1">
      <c r="A4264" s="123"/>
      <c r="B4264" s="95"/>
      <c r="C4264" s="95"/>
      <c r="D4264" s="95"/>
      <c r="E4264" s="95"/>
      <c r="G4264" s="121"/>
      <c r="H4264" s="133"/>
    </row>
    <row r="4265" spans="1:9" s="65" customFormat="1">
      <c r="B4265" s="97"/>
      <c r="C4265" s="98"/>
      <c r="D4265" s="98"/>
      <c r="E4265" s="98"/>
      <c r="G4265" s="128"/>
    </row>
    <row r="4266" spans="1:9" s="65" customFormat="1">
      <c r="B4266" s="97"/>
      <c r="C4266" s="98"/>
      <c r="D4266" s="98"/>
      <c r="E4266" s="98"/>
      <c r="F4266" s="128"/>
      <c r="G4266" s="133"/>
      <c r="H4266" s="134"/>
    </row>
    <row r="4267" spans="1:9" s="65" customFormat="1">
      <c r="A4267" s="633"/>
      <c r="B4267" s="633"/>
      <c r="C4267" s="633"/>
      <c r="D4267" s="633"/>
      <c r="E4267" s="633"/>
      <c r="F4267" s="633"/>
      <c r="G4267" s="633"/>
    </row>
    <row r="4268" spans="1:9" s="65" customFormat="1">
      <c r="H4268" s="138"/>
      <c r="I4268" s="151"/>
    </row>
    <row r="4269" spans="1:9" s="65" customFormat="1">
      <c r="A4269" s="645"/>
      <c r="B4269" s="138"/>
      <c r="C4269" s="138"/>
      <c r="D4269" s="138"/>
      <c r="E4269" s="138"/>
      <c r="F4269" s="138"/>
      <c r="G4269" s="138"/>
      <c r="H4269" s="138"/>
      <c r="I4269" s="152"/>
    </row>
    <row r="4270" spans="1:9" s="65" customFormat="1">
      <c r="A4270" s="645"/>
      <c r="B4270" s="138"/>
      <c r="C4270" s="138"/>
      <c r="D4270" s="138"/>
      <c r="E4270" s="138"/>
      <c r="F4270" s="138"/>
      <c r="G4270" s="138"/>
    </row>
    <row r="4271" spans="1:9" s="65" customFormat="1">
      <c r="A4271" s="69"/>
      <c r="B4271" s="69"/>
      <c r="C4271" s="69"/>
      <c r="D4271" s="69"/>
      <c r="E4271" s="69"/>
    </row>
    <row r="4272" spans="1:9" s="65" customFormat="1">
      <c r="A4272" s="120"/>
      <c r="B4272" s="73"/>
      <c r="C4272" s="73"/>
      <c r="D4272" s="73"/>
      <c r="E4272" s="73"/>
      <c r="F4272" s="121"/>
      <c r="G4272" s="121"/>
      <c r="H4272" s="121"/>
    </row>
    <row r="4273" spans="1:8" s="65" customFormat="1">
      <c r="A4273" s="128"/>
      <c r="B4273" s="141"/>
      <c r="C4273" s="141"/>
      <c r="D4273" s="141"/>
      <c r="E4273" s="141"/>
      <c r="F4273" s="141"/>
      <c r="G4273" s="141"/>
      <c r="H4273" s="121"/>
    </row>
    <row r="4274" spans="1:8" s="65" customFormat="1" ht="16.5">
      <c r="A4274" s="150"/>
      <c r="B4274" s="161"/>
      <c r="C4274" s="148"/>
      <c r="D4274" s="84"/>
      <c r="E4274" s="84"/>
      <c r="F4274" s="84"/>
      <c r="G4274" s="154"/>
      <c r="H4274" s="121"/>
    </row>
    <row r="4275" spans="1:8" s="65" customFormat="1" ht="16.5">
      <c r="A4275" s="150"/>
      <c r="B4275" s="161"/>
      <c r="C4275" s="148"/>
      <c r="D4275" s="84"/>
      <c r="E4275" s="84"/>
      <c r="F4275" s="84"/>
      <c r="G4275" s="154"/>
      <c r="H4275" s="121"/>
    </row>
    <row r="4276" spans="1:8" s="65" customFormat="1" ht="16.5">
      <c r="A4276" s="150"/>
      <c r="B4276" s="161"/>
      <c r="C4276" s="148"/>
      <c r="D4276" s="84"/>
      <c r="E4276" s="84"/>
      <c r="F4276" s="84"/>
      <c r="G4276" s="154"/>
      <c r="H4276" s="121"/>
    </row>
    <row r="4277" spans="1:8" s="65" customFormat="1" ht="16.5">
      <c r="A4277" s="150"/>
      <c r="B4277" s="161"/>
      <c r="C4277" s="148"/>
      <c r="D4277" s="84"/>
      <c r="E4277" s="84"/>
      <c r="F4277" s="84"/>
      <c r="G4277" s="154"/>
      <c r="H4277" s="121"/>
    </row>
    <row r="4278" spans="1:8" s="65" customFormat="1" ht="16.5">
      <c r="A4278" s="150"/>
      <c r="B4278" s="161"/>
      <c r="C4278" s="148"/>
      <c r="D4278" s="84"/>
      <c r="E4278" s="84"/>
      <c r="F4278" s="84"/>
      <c r="G4278" s="154"/>
      <c r="H4278" s="145"/>
    </row>
    <row r="4279" spans="1:8" s="65" customFormat="1">
      <c r="A4279" s="84"/>
      <c r="B4279" s="83"/>
      <c r="C4279" s="84"/>
      <c r="D4279" s="84"/>
      <c r="E4279" s="84"/>
      <c r="G4279" s="104"/>
      <c r="H4279" s="140"/>
    </row>
    <row r="4280" spans="1:8" s="65" customFormat="1">
      <c r="A4280" s="120"/>
      <c r="B4280" s="73"/>
      <c r="C4280" s="73"/>
      <c r="D4280" s="73"/>
      <c r="E4280" s="73"/>
      <c r="G4280" s="121"/>
      <c r="H4280" s="140"/>
    </row>
    <row r="4281" spans="1:8" s="65" customFormat="1">
      <c r="A4281" s="128"/>
      <c r="B4281" s="141"/>
      <c r="C4281" s="141"/>
      <c r="D4281" s="141"/>
      <c r="E4281" s="141"/>
      <c r="F4281" s="141"/>
      <c r="G4281" s="141"/>
      <c r="H4281" s="140"/>
    </row>
    <row r="4282" spans="1:8" s="65" customFormat="1">
      <c r="A4282" s="146"/>
      <c r="B4282" s="83"/>
      <c r="C4282" s="148"/>
      <c r="D4282" s="84"/>
      <c r="E4282" s="84"/>
      <c r="F4282" s="84"/>
      <c r="G4282" s="144"/>
      <c r="H4282" s="140"/>
    </row>
    <row r="4283" spans="1:8" s="65" customFormat="1">
      <c r="A4283" s="146"/>
      <c r="B4283" s="83"/>
      <c r="C4283" s="148"/>
      <c r="D4283" s="84"/>
      <c r="E4283" s="84"/>
      <c r="F4283" s="84"/>
      <c r="G4283" s="170"/>
      <c r="H4283" s="140"/>
    </row>
    <row r="4284" spans="1:8" s="65" customFormat="1">
      <c r="A4284" s="146"/>
      <c r="B4284" s="83"/>
      <c r="C4284" s="148"/>
      <c r="D4284" s="84"/>
      <c r="E4284" s="84"/>
      <c r="F4284" s="84"/>
      <c r="G4284" s="170"/>
      <c r="H4284" s="145"/>
    </row>
    <row r="4285" spans="1:8" s="65" customFormat="1">
      <c r="A4285" s="91"/>
      <c r="B4285" s="91"/>
      <c r="C4285" s="91"/>
      <c r="D4285" s="91"/>
      <c r="E4285" s="91"/>
      <c r="G4285" s="104"/>
      <c r="H4285" s="140"/>
    </row>
    <row r="4286" spans="1:8" s="65" customFormat="1">
      <c r="A4286" s="120"/>
      <c r="B4286" s="73"/>
      <c r="C4286" s="73"/>
      <c r="D4286" s="73"/>
      <c r="E4286" s="73"/>
      <c r="G4286" s="121"/>
      <c r="H4286" s="140"/>
    </row>
    <row r="4287" spans="1:8" s="65" customFormat="1">
      <c r="A4287" s="128"/>
      <c r="B4287" s="141"/>
      <c r="C4287" s="141"/>
      <c r="D4287" s="141"/>
      <c r="E4287" s="141"/>
      <c r="F4287" s="141"/>
      <c r="G4287" s="141"/>
      <c r="H4287" s="140"/>
    </row>
    <row r="4288" spans="1:8" s="65" customFormat="1">
      <c r="A4288" s="146"/>
      <c r="B4288" s="83"/>
      <c r="C4288" s="148"/>
      <c r="D4288" s="148"/>
      <c r="E4288" s="84"/>
      <c r="F4288" s="84"/>
      <c r="G4288" s="144"/>
      <c r="H4288" s="145"/>
    </row>
    <row r="4289" spans="1:9" s="65" customFormat="1">
      <c r="A4289" s="91"/>
      <c r="B4289" s="91"/>
      <c r="C4289" s="91"/>
      <c r="D4289" s="91"/>
      <c r="E4289" s="91"/>
      <c r="G4289" s="104"/>
      <c r="H4289" s="140"/>
    </row>
    <row r="4290" spans="1:9" s="65" customFormat="1">
      <c r="A4290" s="120"/>
      <c r="B4290" s="73"/>
      <c r="C4290" s="73"/>
      <c r="D4290" s="73"/>
      <c r="E4290" s="73"/>
      <c r="G4290" s="121"/>
      <c r="H4290" s="140"/>
    </row>
    <row r="4291" spans="1:9" s="65" customFormat="1">
      <c r="A4291" s="128"/>
      <c r="B4291" s="141"/>
      <c r="C4291" s="141"/>
      <c r="D4291" s="141"/>
      <c r="E4291" s="141"/>
      <c r="F4291" s="141"/>
      <c r="G4291" s="141"/>
      <c r="H4291" s="140"/>
    </row>
    <row r="4292" spans="1:9" s="65" customFormat="1">
      <c r="A4292" s="142"/>
      <c r="B4292" s="143"/>
      <c r="C4292" s="143"/>
      <c r="D4292" s="143"/>
      <c r="E4292" s="143"/>
      <c r="F4292" s="84"/>
      <c r="G4292" s="144"/>
      <c r="H4292" s="145"/>
    </row>
    <row r="4293" spans="1:9" s="65" customFormat="1">
      <c r="A4293" s="123"/>
      <c r="B4293" s="95"/>
      <c r="C4293" s="95"/>
      <c r="D4293" s="95"/>
      <c r="E4293" s="95"/>
      <c r="G4293" s="104"/>
      <c r="H4293" s="121"/>
    </row>
    <row r="4294" spans="1:9" s="65" customFormat="1">
      <c r="A4294" s="123"/>
      <c r="B4294" s="95"/>
      <c r="C4294" s="95"/>
      <c r="D4294" s="95"/>
      <c r="E4294" s="95"/>
      <c r="G4294" s="121"/>
      <c r="H4294" s="133"/>
    </row>
    <row r="4295" spans="1:9" s="65" customFormat="1">
      <c r="B4295" s="97"/>
      <c r="C4295" s="98"/>
      <c r="D4295" s="98"/>
      <c r="E4295" s="98"/>
      <c r="G4295" s="128"/>
    </row>
    <row r="4296" spans="1:9" s="65" customFormat="1">
      <c r="B4296" s="97"/>
      <c r="C4296" s="98"/>
      <c r="D4296" s="98"/>
      <c r="E4296" s="98"/>
      <c r="F4296" s="128"/>
      <c r="G4296" s="133"/>
      <c r="H4296" s="134"/>
    </row>
    <row r="4297" spans="1:9" s="65" customFormat="1">
      <c r="A4297" s="633"/>
      <c r="B4297" s="633"/>
      <c r="C4297" s="633"/>
      <c r="D4297" s="633"/>
      <c r="E4297" s="633"/>
      <c r="F4297" s="633"/>
      <c r="G4297" s="633"/>
    </row>
    <row r="4298" spans="1:9" s="65" customFormat="1">
      <c r="H4298" s="138"/>
      <c r="I4298" s="151"/>
    </row>
    <row r="4299" spans="1:9" s="65" customFormat="1">
      <c r="A4299" s="645"/>
      <c r="B4299" s="138"/>
      <c r="C4299" s="138"/>
      <c r="D4299" s="138"/>
      <c r="E4299" s="138"/>
      <c r="F4299" s="138"/>
      <c r="G4299" s="138"/>
      <c r="H4299" s="138"/>
      <c r="I4299" s="152"/>
    </row>
    <row r="4300" spans="1:9" s="65" customFormat="1">
      <c r="A4300" s="645"/>
      <c r="B4300" s="138"/>
      <c r="C4300" s="138"/>
      <c r="D4300" s="138"/>
      <c r="E4300" s="138"/>
      <c r="F4300" s="138"/>
      <c r="G4300" s="138"/>
    </row>
    <row r="4301" spans="1:9" s="65" customFormat="1">
      <c r="A4301" s="69"/>
      <c r="B4301" s="69"/>
      <c r="C4301" s="69"/>
      <c r="D4301" s="69"/>
      <c r="E4301" s="69"/>
    </row>
    <row r="4302" spans="1:9" s="65" customFormat="1">
      <c r="A4302" s="120"/>
      <c r="B4302" s="73"/>
      <c r="C4302" s="73"/>
      <c r="D4302" s="73"/>
      <c r="E4302" s="73"/>
      <c r="F4302" s="121"/>
      <c r="G4302" s="121"/>
      <c r="H4302" s="121"/>
    </row>
    <row r="4303" spans="1:9" s="65" customFormat="1">
      <c r="A4303" s="128"/>
      <c r="B4303" s="141"/>
      <c r="C4303" s="141"/>
      <c r="D4303" s="141"/>
      <c r="E4303" s="141"/>
      <c r="F4303" s="141"/>
      <c r="G4303" s="141"/>
      <c r="H4303" s="121"/>
    </row>
    <row r="4304" spans="1:9" s="65" customFormat="1">
      <c r="A4304" s="150"/>
      <c r="B4304" s="83"/>
      <c r="C4304" s="148"/>
      <c r="D4304" s="84"/>
      <c r="E4304" s="84"/>
      <c r="F4304" s="84"/>
      <c r="G4304" s="154"/>
      <c r="H4304" s="145"/>
    </row>
    <row r="4305" spans="1:8" s="65" customFormat="1">
      <c r="A4305" s="84"/>
      <c r="B4305" s="83"/>
      <c r="C4305" s="84"/>
      <c r="D4305" s="84"/>
      <c r="E4305" s="84"/>
      <c r="G4305" s="104"/>
      <c r="H4305" s="140"/>
    </row>
    <row r="4306" spans="1:8" s="65" customFormat="1">
      <c r="A4306" s="120"/>
      <c r="B4306" s="73"/>
      <c r="C4306" s="73"/>
      <c r="D4306" s="73"/>
      <c r="E4306" s="73"/>
      <c r="G4306" s="121"/>
      <c r="H4306" s="140"/>
    </row>
    <row r="4307" spans="1:8" s="65" customFormat="1">
      <c r="A4307" s="128"/>
      <c r="B4307" s="141"/>
      <c r="C4307" s="141"/>
      <c r="D4307" s="141"/>
      <c r="E4307" s="141"/>
      <c r="F4307" s="141"/>
      <c r="G4307" s="141"/>
      <c r="H4307" s="140"/>
    </row>
    <row r="4308" spans="1:8" s="65" customFormat="1">
      <c r="A4308" s="150"/>
      <c r="B4308" s="83"/>
      <c r="C4308" s="148"/>
      <c r="D4308" s="84"/>
      <c r="E4308" s="84"/>
      <c r="F4308" s="84"/>
      <c r="G4308" s="154"/>
      <c r="H4308" s="140"/>
    </row>
    <row r="4309" spans="1:8" s="65" customFormat="1">
      <c r="A4309" s="150"/>
      <c r="B4309" s="83"/>
      <c r="C4309" s="148"/>
      <c r="D4309" s="84"/>
      <c r="E4309" s="84"/>
      <c r="F4309" s="84"/>
      <c r="G4309" s="154"/>
      <c r="H4309" s="140"/>
    </row>
    <row r="4310" spans="1:8" s="65" customFormat="1">
      <c r="A4310" s="150"/>
      <c r="B4310" s="83"/>
      <c r="C4310" s="148"/>
      <c r="D4310" s="84"/>
      <c r="E4310" s="84"/>
      <c r="F4310" s="84"/>
      <c r="G4310" s="154"/>
      <c r="H4310" s="140"/>
    </row>
    <row r="4311" spans="1:8" s="65" customFormat="1">
      <c r="A4311" s="150"/>
      <c r="B4311" s="83"/>
      <c r="C4311" s="148"/>
      <c r="D4311" s="84"/>
      <c r="E4311" s="84"/>
      <c r="F4311" s="84"/>
      <c r="G4311" s="154"/>
      <c r="H4311" s="140"/>
    </row>
    <row r="4312" spans="1:8" s="65" customFormat="1">
      <c r="A4312" s="150"/>
      <c r="B4312" s="83"/>
      <c r="C4312" s="148"/>
      <c r="D4312" s="84"/>
      <c r="E4312" s="84"/>
      <c r="F4312" s="84"/>
      <c r="G4312" s="154"/>
      <c r="H4312" s="140"/>
    </row>
    <row r="4313" spans="1:8" s="65" customFormat="1">
      <c r="A4313" s="150"/>
      <c r="B4313" s="83"/>
      <c r="C4313" s="148"/>
      <c r="D4313" s="84"/>
      <c r="E4313" s="84"/>
      <c r="F4313" s="84"/>
      <c r="G4313" s="154"/>
      <c r="H4313" s="145"/>
    </row>
    <row r="4314" spans="1:8" s="65" customFormat="1">
      <c r="A4314" s="91"/>
      <c r="B4314" s="91"/>
      <c r="C4314" s="91"/>
      <c r="D4314" s="91"/>
      <c r="E4314" s="91"/>
      <c r="G4314" s="104"/>
      <c r="H4314" s="140"/>
    </row>
    <row r="4315" spans="1:8" s="65" customFormat="1">
      <c r="A4315" s="120"/>
      <c r="B4315" s="73"/>
      <c r="C4315" s="73"/>
      <c r="D4315" s="73"/>
      <c r="E4315" s="73"/>
      <c r="G4315" s="121"/>
      <c r="H4315" s="140"/>
    </row>
    <row r="4316" spans="1:8" s="65" customFormat="1">
      <c r="A4316" s="128"/>
      <c r="B4316" s="141"/>
      <c r="C4316" s="141"/>
      <c r="D4316" s="141"/>
      <c r="E4316" s="141"/>
      <c r="F4316" s="141"/>
      <c r="G4316" s="141"/>
      <c r="H4316" s="140"/>
    </row>
    <row r="4317" spans="1:8" s="65" customFormat="1">
      <c r="A4317" s="146"/>
      <c r="B4317" s="83"/>
      <c r="C4317" s="148"/>
      <c r="D4317" s="84"/>
      <c r="E4317" s="84"/>
      <c r="F4317" s="84"/>
      <c r="G4317" s="144"/>
      <c r="H4317" s="145"/>
    </row>
    <row r="4318" spans="1:8" s="65" customFormat="1">
      <c r="A4318" s="91"/>
      <c r="B4318" s="91"/>
      <c r="C4318" s="91"/>
      <c r="D4318" s="91"/>
      <c r="E4318" s="91"/>
      <c r="G4318" s="104"/>
      <c r="H4318" s="140"/>
    </row>
    <row r="4319" spans="1:8" s="65" customFormat="1">
      <c r="A4319" s="120"/>
      <c r="B4319" s="73"/>
      <c r="C4319" s="73"/>
      <c r="D4319" s="73"/>
      <c r="E4319" s="73"/>
      <c r="G4319" s="121"/>
      <c r="H4319" s="140"/>
    </row>
    <row r="4320" spans="1:8" s="65" customFormat="1">
      <c r="A4320" s="128"/>
      <c r="B4320" s="141"/>
      <c r="C4320" s="141"/>
      <c r="D4320" s="141"/>
      <c r="E4320" s="141"/>
      <c r="F4320" s="141"/>
      <c r="G4320" s="141"/>
      <c r="H4320" s="140"/>
    </row>
    <row r="4321" spans="1:9" s="65" customFormat="1">
      <c r="A4321" s="142"/>
      <c r="B4321" s="143"/>
      <c r="C4321" s="143"/>
      <c r="D4321" s="143"/>
      <c r="E4321" s="143"/>
      <c r="F4321" s="84"/>
      <c r="G4321" s="144"/>
      <c r="H4321" s="145"/>
    </row>
    <row r="4322" spans="1:9" s="65" customFormat="1">
      <c r="A4322" s="123"/>
      <c r="B4322" s="95"/>
      <c r="C4322" s="95"/>
      <c r="D4322" s="95"/>
      <c r="E4322" s="95"/>
      <c r="G4322" s="104"/>
      <c r="H4322" s="121"/>
    </row>
    <row r="4323" spans="1:9" s="65" customFormat="1">
      <c r="A4323" s="123"/>
      <c r="B4323" s="95"/>
      <c r="C4323" s="95"/>
      <c r="D4323" s="95"/>
      <c r="E4323" s="95"/>
      <c r="G4323" s="121"/>
      <c r="H4323" s="133"/>
    </row>
    <row r="4324" spans="1:9" s="65" customFormat="1">
      <c r="B4324" s="97"/>
      <c r="C4324" s="98"/>
      <c r="D4324" s="98"/>
      <c r="E4324" s="98"/>
      <c r="G4324" s="128"/>
    </row>
    <row r="4325" spans="1:9" s="65" customFormat="1">
      <c r="B4325" s="97"/>
      <c r="C4325" s="98"/>
      <c r="D4325" s="98"/>
      <c r="E4325" s="98"/>
      <c r="F4325" s="128"/>
      <c r="G4325" s="133"/>
      <c r="H4325" s="134"/>
    </row>
    <row r="4326" spans="1:9" s="65" customFormat="1">
      <c r="A4326" s="633"/>
      <c r="B4326" s="633"/>
      <c r="C4326" s="633"/>
      <c r="D4326" s="633"/>
      <c r="E4326" s="633"/>
      <c r="F4326" s="633"/>
      <c r="G4326" s="633"/>
    </row>
    <row r="4327" spans="1:9" s="65" customFormat="1">
      <c r="H4327" s="138"/>
      <c r="I4327" s="151"/>
    </row>
    <row r="4328" spans="1:9" s="65" customFormat="1">
      <c r="A4328" s="645"/>
      <c r="B4328" s="138"/>
      <c r="C4328" s="138"/>
      <c r="D4328" s="138"/>
      <c r="E4328" s="138"/>
      <c r="F4328" s="138"/>
      <c r="G4328" s="138"/>
      <c r="H4328" s="138"/>
      <c r="I4328" s="152"/>
    </row>
    <row r="4329" spans="1:9" s="65" customFormat="1">
      <c r="A4329" s="645"/>
      <c r="B4329" s="138"/>
      <c r="C4329" s="138"/>
      <c r="D4329" s="138"/>
      <c r="E4329" s="138"/>
      <c r="F4329" s="138"/>
      <c r="G4329" s="138"/>
    </row>
    <row r="4330" spans="1:9" s="65" customFormat="1">
      <c r="A4330" s="69"/>
      <c r="B4330" s="69"/>
      <c r="C4330" s="69"/>
      <c r="D4330" s="69"/>
      <c r="E4330" s="69"/>
    </row>
    <row r="4331" spans="1:9" s="65" customFormat="1">
      <c r="A4331" s="120"/>
      <c r="B4331" s="73"/>
      <c r="C4331" s="73"/>
      <c r="D4331" s="73"/>
      <c r="E4331" s="73"/>
      <c r="F4331" s="121"/>
      <c r="G4331" s="121"/>
      <c r="H4331" s="121"/>
    </row>
    <row r="4332" spans="1:9" s="65" customFormat="1">
      <c r="A4332" s="128"/>
      <c r="B4332" s="141"/>
      <c r="C4332" s="141"/>
      <c r="D4332" s="141"/>
      <c r="E4332" s="141"/>
      <c r="F4332" s="141"/>
      <c r="G4332" s="141"/>
      <c r="H4332" s="121"/>
    </row>
    <row r="4333" spans="1:9" s="65" customFormat="1">
      <c r="A4333" s="150"/>
      <c r="B4333" s="83"/>
      <c r="C4333" s="148"/>
      <c r="D4333" s="84"/>
      <c r="E4333" s="84"/>
      <c r="F4333" s="84"/>
      <c r="G4333" s="154"/>
      <c r="H4333" s="121"/>
    </row>
    <row r="4334" spans="1:9" s="65" customFormat="1">
      <c r="A4334" s="150"/>
      <c r="B4334" s="83"/>
      <c r="C4334" s="148"/>
      <c r="D4334" s="84"/>
      <c r="E4334" s="84"/>
      <c r="F4334" s="84"/>
      <c r="G4334" s="154"/>
      <c r="H4334" s="121"/>
    </row>
    <row r="4335" spans="1:9" s="65" customFormat="1">
      <c r="A4335" s="150"/>
      <c r="B4335" s="83"/>
      <c r="C4335" s="148"/>
      <c r="D4335" s="84"/>
      <c r="E4335" s="84"/>
      <c r="F4335" s="84"/>
      <c r="G4335" s="154"/>
      <c r="H4335" s="145"/>
    </row>
    <row r="4336" spans="1:9" s="65" customFormat="1">
      <c r="A4336" s="84"/>
      <c r="B4336" s="83"/>
      <c r="C4336" s="84"/>
      <c r="D4336" s="84"/>
      <c r="E4336" s="84"/>
      <c r="G4336" s="104"/>
      <c r="H4336" s="140"/>
    </row>
    <row r="4337" spans="1:8" s="65" customFormat="1">
      <c r="A4337" s="120"/>
      <c r="B4337" s="73"/>
      <c r="C4337" s="73"/>
      <c r="D4337" s="73"/>
      <c r="E4337" s="73"/>
      <c r="G4337" s="121"/>
      <c r="H4337" s="140"/>
    </row>
    <row r="4338" spans="1:8" s="65" customFormat="1">
      <c r="A4338" s="128"/>
      <c r="B4338" s="141"/>
      <c r="C4338" s="141"/>
      <c r="D4338" s="141"/>
      <c r="E4338" s="141"/>
      <c r="F4338" s="141"/>
      <c r="G4338" s="141"/>
      <c r="H4338" s="140"/>
    </row>
    <row r="4339" spans="1:8" s="65" customFormat="1">
      <c r="A4339" s="150"/>
      <c r="B4339" s="83"/>
      <c r="C4339" s="148"/>
      <c r="D4339" s="84"/>
      <c r="E4339" s="84"/>
      <c r="F4339" s="84"/>
      <c r="G4339" s="154"/>
      <c r="H4339" s="140"/>
    </row>
    <row r="4340" spans="1:8" s="65" customFormat="1">
      <c r="A4340" s="150"/>
      <c r="B4340" s="83"/>
      <c r="C4340" s="148"/>
      <c r="D4340" s="84"/>
      <c r="E4340" s="84"/>
      <c r="F4340" s="84"/>
      <c r="G4340" s="154"/>
      <c r="H4340" s="140"/>
    </row>
    <row r="4341" spans="1:8" s="65" customFormat="1">
      <c r="A4341" s="150"/>
      <c r="B4341" s="83"/>
      <c r="C4341" s="148"/>
      <c r="D4341" s="84"/>
      <c r="E4341" s="84"/>
      <c r="F4341" s="84"/>
      <c r="G4341" s="154"/>
      <c r="H4341" s="140"/>
    </row>
    <row r="4342" spans="1:8" s="65" customFormat="1">
      <c r="A4342" s="150"/>
      <c r="B4342" s="83"/>
      <c r="C4342" s="148"/>
      <c r="D4342" s="84"/>
      <c r="E4342" s="84"/>
      <c r="F4342" s="84"/>
      <c r="G4342" s="154"/>
      <c r="H4342" s="145"/>
    </row>
    <row r="4343" spans="1:8" s="65" customFormat="1">
      <c r="A4343" s="91"/>
      <c r="B4343" s="91"/>
      <c r="C4343" s="91"/>
      <c r="D4343" s="91"/>
      <c r="E4343" s="91"/>
      <c r="G4343" s="104"/>
      <c r="H4343" s="140"/>
    </row>
    <row r="4344" spans="1:8" s="65" customFormat="1">
      <c r="A4344" s="120"/>
      <c r="B4344" s="73"/>
      <c r="C4344" s="73"/>
      <c r="D4344" s="73"/>
      <c r="E4344" s="73"/>
      <c r="G4344" s="121"/>
      <c r="H4344" s="140"/>
    </row>
    <row r="4345" spans="1:8" s="65" customFormat="1">
      <c r="A4345" s="128"/>
      <c r="B4345" s="141"/>
      <c r="C4345" s="141"/>
      <c r="D4345" s="141"/>
      <c r="E4345" s="141"/>
      <c r="F4345" s="141"/>
      <c r="G4345" s="141"/>
      <c r="H4345" s="140"/>
    </row>
    <row r="4346" spans="1:8" s="65" customFormat="1">
      <c r="A4346" s="146"/>
      <c r="B4346" s="83"/>
      <c r="C4346" s="148"/>
      <c r="D4346" s="84"/>
      <c r="E4346" s="84"/>
      <c r="F4346" s="84"/>
      <c r="G4346" s="144"/>
      <c r="H4346" s="145"/>
    </row>
    <row r="4347" spans="1:8" s="65" customFormat="1">
      <c r="A4347" s="91"/>
      <c r="B4347" s="91"/>
      <c r="C4347" s="91"/>
      <c r="D4347" s="91"/>
      <c r="E4347" s="91"/>
      <c r="G4347" s="104"/>
      <c r="H4347" s="140"/>
    </row>
    <row r="4348" spans="1:8" s="65" customFormat="1">
      <c r="A4348" s="120"/>
      <c r="B4348" s="73"/>
      <c r="C4348" s="73"/>
      <c r="D4348" s="73"/>
      <c r="E4348" s="73"/>
      <c r="G4348" s="121"/>
      <c r="H4348" s="140"/>
    </row>
    <row r="4349" spans="1:8" s="65" customFormat="1">
      <c r="A4349" s="128"/>
      <c r="B4349" s="141"/>
      <c r="C4349" s="141"/>
      <c r="D4349" s="141"/>
      <c r="E4349" s="141"/>
      <c r="F4349" s="141"/>
      <c r="G4349" s="141"/>
      <c r="H4349" s="140"/>
    </row>
    <row r="4350" spans="1:8" s="65" customFormat="1">
      <c r="A4350" s="142"/>
      <c r="B4350" s="143"/>
      <c r="C4350" s="143"/>
      <c r="D4350" s="143"/>
      <c r="E4350" s="143"/>
      <c r="F4350" s="84"/>
      <c r="G4350" s="144"/>
      <c r="H4350" s="145"/>
    </row>
    <row r="4351" spans="1:8" s="65" customFormat="1">
      <c r="A4351" s="123"/>
      <c r="B4351" s="95"/>
      <c r="C4351" s="95"/>
      <c r="D4351" s="95"/>
      <c r="E4351" s="95"/>
      <c r="G4351" s="104"/>
      <c r="H4351" s="121"/>
    </row>
    <row r="4352" spans="1:8" s="65" customFormat="1">
      <c r="A4352" s="123"/>
      <c r="B4352" s="95"/>
      <c r="C4352" s="95"/>
      <c r="D4352" s="95"/>
      <c r="E4352" s="95"/>
      <c r="G4352" s="121"/>
      <c r="H4352" s="133"/>
    </row>
    <row r="4353" spans="1:9" s="65" customFormat="1">
      <c r="B4353" s="97"/>
      <c r="C4353" s="98"/>
      <c r="D4353" s="98"/>
      <c r="E4353" s="98"/>
      <c r="G4353" s="128"/>
    </row>
    <row r="4354" spans="1:9" s="65" customFormat="1">
      <c r="B4354" s="97"/>
      <c r="C4354" s="98"/>
      <c r="D4354" s="98"/>
      <c r="E4354" s="98"/>
      <c r="F4354" s="128"/>
      <c r="G4354" s="133"/>
      <c r="H4354" s="134"/>
    </row>
    <row r="4355" spans="1:9" s="65" customFormat="1">
      <c r="A4355" s="633"/>
      <c r="B4355" s="633"/>
      <c r="C4355" s="633"/>
      <c r="D4355" s="633"/>
      <c r="E4355" s="633"/>
      <c r="F4355" s="633"/>
      <c r="G4355" s="633"/>
    </row>
    <row r="4356" spans="1:9" s="65" customFormat="1">
      <c r="H4356" s="138"/>
      <c r="I4356" s="151"/>
    </row>
    <row r="4357" spans="1:9" s="65" customFormat="1">
      <c r="A4357" s="645"/>
      <c r="B4357" s="138"/>
      <c r="C4357" s="138"/>
      <c r="D4357" s="138"/>
      <c r="E4357" s="138"/>
      <c r="F4357" s="138"/>
      <c r="G4357" s="138"/>
      <c r="H4357" s="138"/>
      <c r="I4357" s="152"/>
    </row>
    <row r="4358" spans="1:9" s="65" customFormat="1">
      <c r="A4358" s="645"/>
      <c r="B4358" s="138"/>
      <c r="C4358" s="138"/>
      <c r="D4358" s="138"/>
      <c r="E4358" s="138"/>
      <c r="F4358" s="138"/>
      <c r="G4358" s="138"/>
    </row>
    <row r="4359" spans="1:9" s="65" customFormat="1">
      <c r="A4359" s="69"/>
      <c r="B4359" s="69"/>
      <c r="C4359" s="69"/>
      <c r="D4359" s="69"/>
      <c r="E4359" s="69"/>
    </row>
    <row r="4360" spans="1:9" s="65" customFormat="1">
      <c r="A4360" s="120"/>
      <c r="B4360" s="73"/>
      <c r="C4360" s="73"/>
      <c r="D4360" s="73"/>
      <c r="E4360" s="73"/>
      <c r="F4360" s="121"/>
      <c r="G4360" s="121"/>
      <c r="H4360" s="121"/>
    </row>
    <row r="4361" spans="1:9" s="65" customFormat="1">
      <c r="A4361" s="128"/>
      <c r="B4361" s="141"/>
      <c r="C4361" s="141"/>
      <c r="D4361" s="141"/>
      <c r="E4361" s="141"/>
      <c r="F4361" s="141"/>
      <c r="G4361" s="141"/>
      <c r="H4361" s="121"/>
    </row>
    <row r="4362" spans="1:9" s="65" customFormat="1">
      <c r="A4362" s="150"/>
      <c r="B4362" s="83"/>
      <c r="C4362" s="148"/>
      <c r="D4362" s="84"/>
      <c r="E4362" s="84"/>
      <c r="F4362" s="84"/>
      <c r="G4362" s="154"/>
      <c r="H4362" s="145"/>
    </row>
    <row r="4363" spans="1:9" s="65" customFormat="1">
      <c r="A4363" s="84"/>
      <c r="B4363" s="83"/>
      <c r="C4363" s="84"/>
      <c r="D4363" s="84"/>
      <c r="E4363" s="84"/>
      <c r="G4363" s="104"/>
      <c r="H4363" s="140"/>
    </row>
    <row r="4364" spans="1:9" s="65" customFormat="1">
      <c r="A4364" s="120"/>
      <c r="B4364" s="73"/>
      <c r="C4364" s="73"/>
      <c r="D4364" s="73"/>
      <c r="E4364" s="73"/>
      <c r="G4364" s="121"/>
      <c r="H4364" s="140"/>
    </row>
    <row r="4365" spans="1:9" s="65" customFormat="1">
      <c r="A4365" s="128"/>
      <c r="B4365" s="141"/>
      <c r="C4365" s="141"/>
      <c r="D4365" s="141"/>
      <c r="E4365" s="141"/>
      <c r="F4365" s="141"/>
      <c r="G4365" s="141"/>
      <c r="H4365" s="140"/>
    </row>
    <row r="4366" spans="1:9" s="65" customFormat="1">
      <c r="A4366" s="150"/>
      <c r="B4366" s="83"/>
      <c r="C4366" s="148"/>
      <c r="D4366" s="84"/>
      <c r="E4366" s="84"/>
      <c r="F4366" s="84"/>
      <c r="G4366" s="154"/>
      <c r="H4366" s="140"/>
    </row>
    <row r="4367" spans="1:9" s="65" customFormat="1">
      <c r="A4367" s="150"/>
      <c r="B4367" s="83"/>
      <c r="C4367" s="148"/>
      <c r="D4367" s="84"/>
      <c r="E4367" s="84"/>
      <c r="F4367" s="84"/>
      <c r="G4367" s="154"/>
      <c r="H4367" s="140"/>
    </row>
    <row r="4368" spans="1:9" s="65" customFormat="1">
      <c r="A4368" s="150"/>
      <c r="B4368" s="83"/>
      <c r="C4368" s="148"/>
      <c r="D4368" s="84"/>
      <c r="E4368" s="84"/>
      <c r="F4368" s="84"/>
      <c r="G4368" s="154"/>
      <c r="H4368" s="140"/>
    </row>
    <row r="4369" spans="1:9" s="65" customFormat="1">
      <c r="A4369" s="150"/>
      <c r="B4369" s="83"/>
      <c r="C4369" s="148"/>
      <c r="D4369" s="84"/>
      <c r="E4369" s="84"/>
      <c r="F4369" s="84"/>
      <c r="G4369" s="154"/>
      <c r="H4369" s="145"/>
    </row>
    <row r="4370" spans="1:9" s="65" customFormat="1">
      <c r="A4370" s="91"/>
      <c r="B4370" s="91"/>
      <c r="C4370" s="91"/>
      <c r="D4370" s="91"/>
      <c r="E4370" s="91"/>
      <c r="G4370" s="104"/>
      <c r="H4370" s="140"/>
    </row>
    <row r="4371" spans="1:9" s="65" customFormat="1">
      <c r="A4371" s="120"/>
      <c r="B4371" s="73"/>
      <c r="C4371" s="73"/>
      <c r="D4371" s="73"/>
      <c r="E4371" s="73"/>
      <c r="G4371" s="121"/>
      <c r="H4371" s="140"/>
    </row>
    <row r="4372" spans="1:9" s="65" customFormat="1">
      <c r="A4372" s="128"/>
      <c r="B4372" s="141"/>
      <c r="C4372" s="141"/>
      <c r="D4372" s="141"/>
      <c r="E4372" s="141"/>
      <c r="F4372" s="141"/>
      <c r="G4372" s="141"/>
      <c r="H4372" s="140"/>
    </row>
    <row r="4373" spans="1:9" s="65" customFormat="1">
      <c r="A4373" s="146"/>
      <c r="B4373" s="83"/>
      <c r="C4373" s="148"/>
      <c r="D4373" s="84"/>
      <c r="E4373" s="84"/>
      <c r="F4373" s="84"/>
      <c r="G4373" s="144"/>
      <c r="H4373" s="145"/>
    </row>
    <row r="4374" spans="1:9" s="65" customFormat="1">
      <c r="A4374" s="91"/>
      <c r="B4374" s="91"/>
      <c r="C4374" s="91"/>
      <c r="D4374" s="91"/>
      <c r="E4374" s="91"/>
      <c r="G4374" s="104"/>
      <c r="H4374" s="140"/>
    </row>
    <row r="4375" spans="1:9" s="65" customFormat="1">
      <c r="A4375" s="120"/>
      <c r="B4375" s="73"/>
      <c r="C4375" s="73"/>
      <c r="D4375" s="73"/>
      <c r="E4375" s="73"/>
      <c r="G4375" s="121"/>
      <c r="H4375" s="140"/>
    </row>
    <row r="4376" spans="1:9" s="65" customFormat="1">
      <c r="A4376" s="128"/>
      <c r="B4376" s="141"/>
      <c r="C4376" s="141"/>
      <c r="D4376" s="141"/>
      <c r="E4376" s="141"/>
      <c r="F4376" s="141"/>
      <c r="G4376" s="141"/>
      <c r="H4376" s="140"/>
    </row>
    <row r="4377" spans="1:9" s="65" customFormat="1">
      <c r="A4377" s="142"/>
      <c r="B4377" s="143"/>
      <c r="C4377" s="143"/>
      <c r="D4377" s="143"/>
      <c r="E4377" s="143"/>
      <c r="F4377" s="84"/>
      <c r="G4377" s="144"/>
      <c r="H4377" s="145"/>
    </row>
    <row r="4378" spans="1:9" s="65" customFormat="1">
      <c r="A4378" s="123"/>
      <c r="B4378" s="95"/>
      <c r="C4378" s="95"/>
      <c r="D4378" s="95"/>
      <c r="E4378" s="95"/>
      <c r="G4378" s="104"/>
      <c r="H4378" s="121"/>
    </row>
    <row r="4379" spans="1:9" s="65" customFormat="1">
      <c r="A4379" s="123"/>
      <c r="B4379" s="95"/>
      <c r="C4379" s="95"/>
      <c r="D4379" s="95"/>
      <c r="E4379" s="95"/>
      <c r="G4379" s="121"/>
      <c r="H4379" s="133"/>
    </row>
    <row r="4380" spans="1:9" s="65" customFormat="1">
      <c r="B4380" s="97"/>
      <c r="C4380" s="98"/>
      <c r="D4380" s="98"/>
      <c r="E4380" s="98"/>
      <c r="G4380" s="128"/>
    </row>
    <row r="4381" spans="1:9" s="65" customFormat="1">
      <c r="B4381" s="97"/>
      <c r="C4381" s="98"/>
      <c r="D4381" s="98"/>
      <c r="E4381" s="98"/>
      <c r="F4381" s="128"/>
      <c r="G4381" s="133"/>
      <c r="H4381" s="134"/>
    </row>
    <row r="4382" spans="1:9" s="65" customFormat="1">
      <c r="A4382" s="633"/>
      <c r="B4382" s="633"/>
      <c r="C4382" s="633"/>
      <c r="D4382" s="633"/>
      <c r="E4382" s="633"/>
      <c r="F4382" s="633"/>
      <c r="G4382" s="633"/>
    </row>
    <row r="4383" spans="1:9" s="65" customFormat="1">
      <c r="H4383" s="138"/>
      <c r="I4383" s="151"/>
    </row>
    <row r="4384" spans="1:9" s="65" customFormat="1">
      <c r="A4384" s="645"/>
      <c r="B4384" s="138"/>
      <c r="C4384" s="138"/>
      <c r="D4384" s="138"/>
      <c r="E4384" s="138"/>
      <c r="F4384" s="138"/>
      <c r="G4384" s="138"/>
      <c r="H4384" s="138"/>
      <c r="I4384" s="152"/>
    </row>
    <row r="4385" spans="1:8" s="65" customFormat="1">
      <c r="A4385" s="645"/>
      <c r="B4385" s="138"/>
      <c r="C4385" s="138"/>
      <c r="D4385" s="138"/>
      <c r="E4385" s="138"/>
      <c r="F4385" s="138"/>
      <c r="G4385" s="138"/>
    </row>
    <row r="4386" spans="1:8" s="65" customFormat="1">
      <c r="A4386" s="69"/>
      <c r="B4386" s="69"/>
      <c r="C4386" s="69"/>
      <c r="D4386" s="69"/>
      <c r="E4386" s="69"/>
    </row>
    <row r="4387" spans="1:8" s="65" customFormat="1">
      <c r="A4387" s="120"/>
      <c r="B4387" s="73"/>
      <c r="C4387" s="73"/>
      <c r="D4387" s="73"/>
      <c r="E4387" s="73"/>
      <c r="F4387" s="121"/>
      <c r="G4387" s="121"/>
      <c r="H4387" s="121"/>
    </row>
    <row r="4388" spans="1:8" s="65" customFormat="1">
      <c r="A4388" s="128"/>
      <c r="B4388" s="141"/>
      <c r="C4388" s="141"/>
      <c r="D4388" s="141"/>
      <c r="E4388" s="141"/>
      <c r="F4388" s="141"/>
      <c r="G4388" s="141"/>
      <c r="H4388" s="121"/>
    </row>
    <row r="4389" spans="1:8" s="65" customFormat="1">
      <c r="A4389" s="150"/>
      <c r="B4389" s="83"/>
      <c r="C4389" s="148"/>
      <c r="D4389" s="84"/>
      <c r="E4389" s="84"/>
      <c r="F4389" s="84"/>
      <c r="G4389" s="154"/>
      <c r="H4389" s="121"/>
    </row>
    <row r="4390" spans="1:8" s="65" customFormat="1">
      <c r="A4390" s="150"/>
      <c r="B4390" s="83"/>
      <c r="C4390" s="148"/>
      <c r="D4390" s="84"/>
      <c r="E4390" s="84"/>
      <c r="F4390" s="84"/>
      <c r="G4390" s="154"/>
      <c r="H4390" s="145"/>
    </row>
    <row r="4391" spans="1:8" s="65" customFormat="1">
      <c r="A4391" s="84"/>
      <c r="B4391" s="83"/>
      <c r="C4391" s="84"/>
      <c r="D4391" s="84"/>
      <c r="E4391" s="84"/>
      <c r="G4391" s="104"/>
      <c r="H4391" s="140"/>
    </row>
    <row r="4392" spans="1:8" s="65" customFormat="1">
      <c r="A4392" s="120"/>
      <c r="B4392" s="73"/>
      <c r="C4392" s="73"/>
      <c r="D4392" s="73"/>
      <c r="E4392" s="73"/>
      <c r="G4392" s="121"/>
      <c r="H4392" s="140"/>
    </row>
    <row r="4393" spans="1:8" s="65" customFormat="1">
      <c r="A4393" s="128"/>
      <c r="B4393" s="141"/>
      <c r="C4393" s="141"/>
      <c r="D4393" s="141"/>
      <c r="E4393" s="141"/>
      <c r="F4393" s="141"/>
      <c r="G4393" s="141"/>
      <c r="H4393" s="140"/>
    </row>
    <row r="4394" spans="1:8" s="65" customFormat="1">
      <c r="A4394" s="150"/>
      <c r="B4394" s="83"/>
      <c r="C4394" s="148"/>
      <c r="D4394" s="84"/>
      <c r="E4394" s="84"/>
      <c r="F4394" s="84"/>
      <c r="G4394" s="154"/>
      <c r="H4394" s="140"/>
    </row>
    <row r="4395" spans="1:8" s="65" customFormat="1">
      <c r="A4395" s="150"/>
      <c r="B4395" s="83"/>
      <c r="C4395" s="148"/>
      <c r="D4395" s="84"/>
      <c r="E4395" s="84"/>
      <c r="F4395" s="84"/>
      <c r="G4395" s="154"/>
      <c r="H4395" s="140"/>
    </row>
    <row r="4396" spans="1:8" s="65" customFormat="1">
      <c r="A4396" s="150"/>
      <c r="B4396" s="83"/>
      <c r="C4396" s="148"/>
      <c r="D4396" s="84"/>
      <c r="E4396" s="84"/>
      <c r="F4396" s="84"/>
      <c r="G4396" s="154"/>
      <c r="H4396" s="145"/>
    </row>
    <row r="4397" spans="1:8" s="65" customFormat="1">
      <c r="A4397" s="91"/>
      <c r="B4397" s="91"/>
      <c r="C4397" s="91"/>
      <c r="D4397" s="91"/>
      <c r="E4397" s="91"/>
      <c r="G4397" s="104"/>
      <c r="H4397" s="140"/>
    </row>
    <row r="4398" spans="1:8" s="65" customFormat="1">
      <c r="A4398" s="120"/>
      <c r="B4398" s="73"/>
      <c r="C4398" s="73"/>
      <c r="D4398" s="73"/>
      <c r="E4398" s="73"/>
      <c r="G4398" s="121"/>
      <c r="H4398" s="140"/>
    </row>
    <row r="4399" spans="1:8" s="65" customFormat="1">
      <c r="A4399" s="128"/>
      <c r="B4399" s="141"/>
      <c r="C4399" s="141"/>
      <c r="D4399" s="141"/>
      <c r="E4399" s="141"/>
      <c r="F4399" s="141"/>
      <c r="G4399" s="141"/>
      <c r="H4399" s="140"/>
    </row>
    <row r="4400" spans="1:8" s="65" customFormat="1">
      <c r="A4400" s="146"/>
      <c r="B4400" s="83"/>
      <c r="C4400" s="148"/>
      <c r="D4400" s="84"/>
      <c r="E4400" s="84"/>
      <c r="F4400" s="84"/>
      <c r="G4400" s="144"/>
      <c r="H4400" s="145"/>
    </row>
    <row r="4401" spans="1:9" s="65" customFormat="1">
      <c r="A4401" s="91"/>
      <c r="B4401" s="91"/>
      <c r="C4401" s="91"/>
      <c r="D4401" s="91"/>
      <c r="E4401" s="91"/>
      <c r="G4401" s="104"/>
      <c r="H4401" s="140"/>
    </row>
    <row r="4402" spans="1:9" s="65" customFormat="1">
      <c r="A4402" s="120"/>
      <c r="B4402" s="73"/>
      <c r="C4402" s="73"/>
      <c r="D4402" s="73"/>
      <c r="E4402" s="73"/>
      <c r="G4402" s="121"/>
      <c r="H4402" s="140"/>
    </row>
    <row r="4403" spans="1:9" s="65" customFormat="1">
      <c r="A4403" s="128"/>
      <c r="B4403" s="141"/>
      <c r="C4403" s="141"/>
      <c r="D4403" s="141"/>
      <c r="E4403" s="141"/>
      <c r="F4403" s="141"/>
      <c r="G4403" s="141"/>
      <c r="H4403" s="140"/>
    </row>
    <row r="4404" spans="1:9" s="65" customFormat="1">
      <c r="A4404" s="142"/>
      <c r="B4404" s="143"/>
      <c r="C4404" s="143"/>
      <c r="D4404" s="143"/>
      <c r="E4404" s="143"/>
      <c r="F4404" s="84"/>
      <c r="G4404" s="144"/>
      <c r="H4404" s="145"/>
    </row>
    <row r="4405" spans="1:9" s="65" customFormat="1">
      <c r="A4405" s="123"/>
      <c r="B4405" s="95"/>
      <c r="C4405" s="95"/>
      <c r="D4405" s="95"/>
      <c r="E4405" s="95"/>
      <c r="G4405" s="104"/>
      <c r="H4405" s="121"/>
    </row>
    <row r="4406" spans="1:9" s="65" customFormat="1">
      <c r="A4406" s="123"/>
      <c r="B4406" s="95"/>
      <c r="C4406" s="95"/>
      <c r="D4406" s="95"/>
      <c r="E4406" s="95"/>
      <c r="G4406" s="121"/>
      <c r="H4406" s="133"/>
    </row>
    <row r="4407" spans="1:9" s="65" customFormat="1">
      <c r="B4407" s="97"/>
      <c r="C4407" s="98"/>
      <c r="D4407" s="98"/>
      <c r="E4407" s="98"/>
      <c r="G4407" s="128"/>
    </row>
    <row r="4408" spans="1:9" s="65" customFormat="1">
      <c r="B4408" s="97"/>
      <c r="C4408" s="98"/>
      <c r="D4408" s="98"/>
      <c r="E4408" s="98"/>
      <c r="F4408" s="128"/>
      <c r="G4408" s="133"/>
      <c r="H4408" s="134"/>
    </row>
    <row r="4409" spans="1:9" s="65" customFormat="1">
      <c r="A4409" s="633"/>
      <c r="B4409" s="633"/>
      <c r="C4409" s="633"/>
      <c r="D4409" s="633"/>
      <c r="E4409" s="633"/>
      <c r="F4409" s="633"/>
      <c r="G4409" s="633"/>
    </row>
    <row r="4410" spans="1:9" s="65" customFormat="1">
      <c r="H4410" s="138"/>
      <c r="I4410" s="151"/>
    </row>
    <row r="4411" spans="1:9" s="65" customFormat="1">
      <c r="A4411" s="645"/>
      <c r="B4411" s="138"/>
      <c r="C4411" s="138"/>
      <c r="D4411" s="138"/>
      <c r="E4411" s="138"/>
      <c r="F4411" s="138"/>
      <c r="G4411" s="138"/>
      <c r="H4411" s="138"/>
      <c r="I4411" s="152"/>
    </row>
    <row r="4412" spans="1:9" s="65" customFormat="1">
      <c r="A4412" s="645"/>
      <c r="B4412" s="138"/>
      <c r="C4412" s="138"/>
      <c r="D4412" s="138"/>
      <c r="E4412" s="138"/>
      <c r="F4412" s="138"/>
      <c r="G4412" s="138"/>
    </row>
    <row r="4413" spans="1:9" s="65" customFormat="1">
      <c r="A4413" s="69"/>
      <c r="B4413" s="69"/>
      <c r="C4413" s="69"/>
      <c r="D4413" s="69"/>
      <c r="E4413" s="69"/>
    </row>
    <row r="4414" spans="1:9" s="65" customFormat="1">
      <c r="A4414" s="120"/>
      <c r="B4414" s="73"/>
      <c r="C4414" s="73"/>
      <c r="D4414" s="73"/>
      <c r="E4414" s="73"/>
      <c r="F4414" s="121"/>
      <c r="G4414" s="121"/>
      <c r="H4414" s="121"/>
    </row>
    <row r="4415" spans="1:9" s="65" customFormat="1">
      <c r="A4415" s="128"/>
      <c r="B4415" s="141"/>
      <c r="C4415" s="141"/>
      <c r="D4415" s="141"/>
      <c r="E4415" s="141"/>
      <c r="F4415" s="141"/>
      <c r="G4415" s="141"/>
      <c r="H4415" s="121"/>
    </row>
    <row r="4416" spans="1:9" s="65" customFormat="1">
      <c r="A4416" s="150"/>
      <c r="B4416" s="83"/>
      <c r="C4416" s="148"/>
      <c r="D4416" s="84"/>
      <c r="E4416" s="84"/>
      <c r="F4416" s="84"/>
      <c r="G4416" s="154"/>
      <c r="H4416" s="145"/>
    </row>
    <row r="4417" spans="1:8" s="65" customFormat="1">
      <c r="A4417" s="84"/>
      <c r="B4417" s="83"/>
      <c r="C4417" s="84"/>
      <c r="D4417" s="84"/>
      <c r="E4417" s="84"/>
      <c r="G4417" s="104"/>
      <c r="H4417" s="140"/>
    </row>
    <row r="4418" spans="1:8" s="65" customFormat="1">
      <c r="A4418" s="120"/>
      <c r="B4418" s="73"/>
      <c r="C4418" s="73"/>
      <c r="D4418" s="73"/>
      <c r="E4418" s="73"/>
      <c r="G4418" s="121"/>
      <c r="H4418" s="140"/>
    </row>
    <row r="4419" spans="1:8" s="65" customFormat="1">
      <c r="A4419" s="128"/>
      <c r="B4419" s="141"/>
      <c r="C4419" s="141"/>
      <c r="D4419" s="141"/>
      <c r="E4419" s="141"/>
      <c r="F4419" s="141"/>
      <c r="G4419" s="141"/>
      <c r="H4419" s="140"/>
    </row>
    <row r="4420" spans="1:8" s="65" customFormat="1">
      <c r="A4420" s="150"/>
      <c r="B4420" s="83"/>
      <c r="C4420" s="148"/>
      <c r="D4420" s="84"/>
      <c r="E4420" s="84"/>
      <c r="F4420" s="84"/>
      <c r="G4420" s="154"/>
      <c r="H4420" s="140"/>
    </row>
    <row r="4421" spans="1:8" s="65" customFormat="1">
      <c r="A4421" s="150"/>
      <c r="B4421" s="83"/>
      <c r="C4421" s="148"/>
      <c r="D4421" s="84"/>
      <c r="E4421" s="84"/>
      <c r="F4421" s="84"/>
      <c r="G4421" s="154"/>
      <c r="H4421" s="140"/>
    </row>
    <row r="4422" spans="1:8" s="65" customFormat="1">
      <c r="A4422" s="150"/>
      <c r="B4422" s="83"/>
      <c r="C4422" s="148"/>
      <c r="D4422" s="84"/>
      <c r="E4422" s="84"/>
      <c r="F4422" s="84"/>
      <c r="G4422" s="154"/>
      <c r="H4422" s="140"/>
    </row>
    <row r="4423" spans="1:8" s="65" customFormat="1">
      <c r="A4423" s="150"/>
      <c r="B4423" s="83"/>
      <c r="C4423" s="148"/>
      <c r="D4423" s="84"/>
      <c r="E4423" s="84"/>
      <c r="F4423" s="84"/>
      <c r="G4423" s="154"/>
      <c r="H4423" s="140"/>
    </row>
    <row r="4424" spans="1:8" s="65" customFormat="1">
      <c r="A4424" s="150"/>
      <c r="B4424" s="83"/>
      <c r="C4424" s="148"/>
      <c r="D4424" s="84"/>
      <c r="E4424" s="84"/>
      <c r="F4424" s="84"/>
      <c r="G4424" s="154"/>
      <c r="H4424" s="145"/>
    </row>
    <row r="4425" spans="1:8" s="65" customFormat="1">
      <c r="A4425" s="91"/>
      <c r="B4425" s="91"/>
      <c r="C4425" s="91"/>
      <c r="D4425" s="91"/>
      <c r="E4425" s="91"/>
      <c r="G4425" s="104"/>
      <c r="H4425" s="140"/>
    </row>
    <row r="4426" spans="1:8" s="65" customFormat="1">
      <c r="A4426" s="120"/>
      <c r="B4426" s="73"/>
      <c r="C4426" s="73"/>
      <c r="D4426" s="73"/>
      <c r="E4426" s="73"/>
      <c r="G4426" s="121"/>
      <c r="H4426" s="140"/>
    </row>
    <row r="4427" spans="1:8" s="65" customFormat="1">
      <c r="A4427" s="128"/>
      <c r="B4427" s="141"/>
      <c r="C4427" s="141"/>
      <c r="D4427" s="141"/>
      <c r="E4427" s="141"/>
      <c r="F4427" s="141"/>
      <c r="G4427" s="141"/>
      <c r="H4427" s="140"/>
    </row>
    <row r="4428" spans="1:8" s="65" customFormat="1">
      <c r="A4428" s="146"/>
      <c r="B4428" s="83"/>
      <c r="C4428" s="148"/>
      <c r="D4428" s="84"/>
      <c r="E4428" s="84"/>
      <c r="F4428" s="84"/>
      <c r="G4428" s="144"/>
      <c r="H4428" s="145"/>
    </row>
    <row r="4429" spans="1:8" s="65" customFormat="1">
      <c r="A4429" s="91"/>
      <c r="B4429" s="91"/>
      <c r="C4429" s="91"/>
      <c r="D4429" s="91"/>
      <c r="E4429" s="91"/>
      <c r="G4429" s="104"/>
      <c r="H4429" s="140"/>
    </row>
    <row r="4430" spans="1:8" s="65" customFormat="1">
      <c r="A4430" s="120"/>
      <c r="B4430" s="73"/>
      <c r="C4430" s="73"/>
      <c r="D4430" s="73"/>
      <c r="E4430" s="73"/>
      <c r="G4430" s="121"/>
      <c r="H4430" s="140"/>
    </row>
    <row r="4431" spans="1:8" s="65" customFormat="1">
      <c r="A4431" s="128"/>
      <c r="B4431" s="141"/>
      <c r="C4431" s="141"/>
      <c r="D4431" s="141"/>
      <c r="E4431" s="141"/>
      <c r="F4431" s="141"/>
      <c r="G4431" s="141"/>
      <c r="H4431" s="140"/>
    </row>
    <row r="4432" spans="1:8" s="65" customFormat="1">
      <c r="A4432" s="142"/>
      <c r="B4432" s="143"/>
      <c r="C4432" s="143"/>
      <c r="D4432" s="143"/>
      <c r="E4432" s="143"/>
      <c r="F4432" s="84"/>
      <c r="G4432" s="144"/>
      <c r="H4432" s="145"/>
    </row>
    <row r="4433" spans="1:9" s="65" customFormat="1">
      <c r="A4433" s="123"/>
      <c r="B4433" s="95"/>
      <c r="C4433" s="95"/>
      <c r="D4433" s="95"/>
      <c r="E4433" s="95"/>
      <c r="G4433" s="104"/>
      <c r="H4433" s="121"/>
    </row>
    <row r="4434" spans="1:9" s="65" customFormat="1">
      <c r="A4434" s="123"/>
      <c r="B4434" s="95"/>
      <c r="C4434" s="95"/>
      <c r="D4434" s="95"/>
      <c r="E4434" s="95"/>
      <c r="G4434" s="121"/>
      <c r="H4434" s="133"/>
    </row>
    <row r="4435" spans="1:9" s="65" customFormat="1">
      <c r="B4435" s="97"/>
      <c r="C4435" s="98"/>
      <c r="D4435" s="98"/>
      <c r="E4435" s="98"/>
      <c r="G4435" s="128"/>
    </row>
    <row r="4436" spans="1:9" s="65" customFormat="1">
      <c r="B4436" s="97"/>
      <c r="C4436" s="98"/>
      <c r="D4436" s="98"/>
      <c r="E4436" s="98"/>
      <c r="F4436" s="128"/>
      <c r="G4436" s="133"/>
      <c r="H4436" s="134"/>
    </row>
    <row r="4437" spans="1:9" s="65" customFormat="1">
      <c r="A4437" s="633"/>
      <c r="B4437" s="633"/>
      <c r="C4437" s="633"/>
      <c r="D4437" s="633"/>
      <c r="E4437" s="633"/>
      <c r="F4437" s="633"/>
      <c r="G4437" s="633"/>
    </row>
    <row r="4438" spans="1:9" s="65" customFormat="1">
      <c r="H4438" s="138"/>
      <c r="I4438" s="151"/>
    </row>
    <row r="4439" spans="1:9" s="65" customFormat="1">
      <c r="A4439" s="645"/>
      <c r="B4439" s="138"/>
      <c r="C4439" s="138"/>
      <c r="D4439" s="138"/>
      <c r="E4439" s="138"/>
      <c r="F4439" s="138"/>
      <c r="G4439" s="138"/>
      <c r="H4439" s="138"/>
      <c r="I4439" s="152"/>
    </row>
    <row r="4440" spans="1:9" s="65" customFormat="1">
      <c r="A4440" s="645"/>
      <c r="B4440" s="138"/>
      <c r="C4440" s="138"/>
      <c r="D4440" s="138"/>
      <c r="E4440" s="138"/>
      <c r="F4440" s="138"/>
      <c r="G4440" s="138"/>
    </row>
    <row r="4441" spans="1:9" s="65" customFormat="1">
      <c r="A4441" s="69"/>
      <c r="B4441" s="69"/>
      <c r="C4441" s="69"/>
      <c r="D4441" s="69"/>
      <c r="E4441" s="69"/>
    </row>
    <row r="4442" spans="1:9" s="65" customFormat="1">
      <c r="A4442" s="120"/>
      <c r="B4442" s="73"/>
      <c r="C4442" s="73"/>
      <c r="D4442" s="73"/>
      <c r="E4442" s="73"/>
      <c r="F4442" s="121"/>
      <c r="G4442" s="121"/>
      <c r="H4442" s="121"/>
    </row>
    <row r="4443" spans="1:9" s="65" customFormat="1">
      <c r="A4443" s="128"/>
      <c r="B4443" s="141"/>
      <c r="C4443" s="141"/>
      <c r="D4443" s="141"/>
      <c r="E4443" s="141"/>
      <c r="F4443" s="141"/>
      <c r="G4443" s="141"/>
      <c r="H4443" s="121"/>
    </row>
    <row r="4444" spans="1:9" s="65" customFormat="1">
      <c r="A4444" s="150"/>
      <c r="B4444" s="83"/>
      <c r="C4444" s="148"/>
      <c r="D4444" s="84"/>
      <c r="E4444" s="84"/>
      <c r="F4444" s="84"/>
      <c r="G4444" s="154"/>
      <c r="H4444" s="121"/>
    </row>
    <row r="4445" spans="1:9" s="65" customFormat="1">
      <c r="A4445" s="150"/>
      <c r="B4445" s="83"/>
      <c r="C4445" s="148"/>
      <c r="D4445" s="84"/>
      <c r="E4445" s="84"/>
      <c r="F4445" s="84"/>
      <c r="G4445" s="154"/>
      <c r="H4445" s="121"/>
    </row>
    <row r="4446" spans="1:9" s="65" customFormat="1">
      <c r="A4446" s="150"/>
      <c r="B4446" s="83"/>
      <c r="C4446" s="148"/>
      <c r="D4446" s="84"/>
      <c r="E4446" s="84"/>
      <c r="F4446" s="84"/>
      <c r="G4446" s="154"/>
      <c r="H4446" s="145"/>
    </row>
    <row r="4447" spans="1:9" s="65" customFormat="1">
      <c r="A4447" s="84"/>
      <c r="B4447" s="83"/>
      <c r="C4447" s="84"/>
      <c r="D4447" s="84"/>
      <c r="E4447" s="84"/>
      <c r="G4447" s="104"/>
      <c r="H4447" s="140"/>
    </row>
    <row r="4448" spans="1:9" s="65" customFormat="1">
      <c r="A4448" s="120"/>
      <c r="B4448" s="73"/>
      <c r="C4448" s="73"/>
      <c r="D4448" s="73"/>
      <c r="E4448" s="73"/>
      <c r="G4448" s="121"/>
      <c r="H4448" s="140"/>
    </row>
    <row r="4449" spans="1:8" s="65" customFormat="1">
      <c r="A4449" s="128"/>
      <c r="B4449" s="141"/>
      <c r="C4449" s="141"/>
      <c r="D4449" s="141"/>
      <c r="E4449" s="141"/>
      <c r="F4449" s="141"/>
      <c r="G4449" s="141"/>
      <c r="H4449" s="140"/>
    </row>
    <row r="4450" spans="1:8" s="65" customFormat="1">
      <c r="A4450" s="150"/>
      <c r="B4450" s="83"/>
      <c r="C4450" s="148"/>
      <c r="D4450" s="84"/>
      <c r="E4450" s="84"/>
      <c r="F4450" s="84"/>
      <c r="G4450" s="154"/>
      <c r="H4450" s="140"/>
    </row>
    <row r="4451" spans="1:8" s="65" customFormat="1">
      <c r="A4451" s="150"/>
      <c r="B4451" s="83"/>
      <c r="C4451" s="148"/>
      <c r="D4451" s="84"/>
      <c r="E4451" s="84"/>
      <c r="F4451" s="84"/>
      <c r="G4451" s="154"/>
      <c r="H4451" s="140"/>
    </row>
    <row r="4452" spans="1:8" s="65" customFormat="1">
      <c r="A4452" s="150"/>
      <c r="B4452" s="83"/>
      <c r="C4452" s="148"/>
      <c r="D4452" s="84"/>
      <c r="E4452" s="84"/>
      <c r="F4452" s="84"/>
      <c r="G4452" s="154"/>
      <c r="H4452" s="140"/>
    </row>
    <row r="4453" spans="1:8" s="65" customFormat="1">
      <c r="A4453" s="150"/>
      <c r="B4453" s="83"/>
      <c r="C4453" s="148"/>
      <c r="D4453" s="84"/>
      <c r="E4453" s="84"/>
      <c r="F4453" s="84"/>
      <c r="G4453" s="154"/>
      <c r="H4453" s="140"/>
    </row>
    <row r="4454" spans="1:8" s="65" customFormat="1">
      <c r="A4454" s="150"/>
      <c r="B4454" s="83"/>
      <c r="C4454" s="148"/>
      <c r="D4454" s="84"/>
      <c r="E4454" s="84"/>
      <c r="F4454" s="84"/>
      <c r="G4454" s="154"/>
      <c r="H4454" s="140"/>
    </row>
    <row r="4455" spans="1:8" s="65" customFormat="1">
      <c r="A4455" s="150"/>
      <c r="B4455" s="83"/>
      <c r="C4455" s="148"/>
      <c r="D4455" s="84"/>
      <c r="E4455" s="84"/>
      <c r="F4455" s="84"/>
      <c r="G4455" s="154"/>
      <c r="H4455" s="140"/>
    </row>
    <row r="4456" spans="1:8" s="65" customFormat="1">
      <c r="A4456" s="150"/>
      <c r="B4456" s="83"/>
      <c r="C4456" s="148"/>
      <c r="D4456" s="84"/>
      <c r="E4456" s="84"/>
      <c r="F4456" s="84"/>
      <c r="G4456" s="154"/>
      <c r="H4456" s="140"/>
    </row>
    <row r="4457" spans="1:8" s="65" customFormat="1">
      <c r="A4457" s="150"/>
      <c r="B4457" s="83"/>
      <c r="C4457" s="148"/>
      <c r="D4457" s="84"/>
      <c r="E4457" s="84"/>
      <c r="F4457" s="84"/>
      <c r="G4457" s="154"/>
      <c r="H4457" s="145"/>
    </row>
    <row r="4458" spans="1:8" s="65" customFormat="1">
      <c r="A4458" s="91"/>
      <c r="B4458" s="91"/>
      <c r="C4458" s="91"/>
      <c r="D4458" s="91"/>
      <c r="E4458" s="91"/>
      <c r="G4458" s="104"/>
      <c r="H4458" s="140"/>
    </row>
    <row r="4459" spans="1:8" s="65" customFormat="1">
      <c r="A4459" s="120"/>
      <c r="B4459" s="73"/>
      <c r="C4459" s="73"/>
      <c r="D4459" s="73"/>
      <c r="E4459" s="73"/>
      <c r="G4459" s="121"/>
      <c r="H4459" s="140"/>
    </row>
    <row r="4460" spans="1:8" s="65" customFormat="1">
      <c r="A4460" s="128"/>
      <c r="B4460" s="141"/>
      <c r="C4460" s="141"/>
      <c r="D4460" s="141"/>
      <c r="E4460" s="141"/>
      <c r="F4460" s="141"/>
      <c r="G4460" s="141"/>
      <c r="H4460" s="140"/>
    </row>
    <row r="4461" spans="1:8" s="65" customFormat="1">
      <c r="A4461" s="146"/>
      <c r="B4461" s="83"/>
      <c r="C4461" s="148"/>
      <c r="D4461" s="84"/>
      <c r="E4461" s="84"/>
      <c r="F4461" s="84"/>
      <c r="G4461" s="144"/>
      <c r="H4461" s="140"/>
    </row>
    <row r="4462" spans="1:8" s="65" customFormat="1">
      <c r="A4462" s="146"/>
      <c r="B4462" s="83"/>
      <c r="C4462" s="148"/>
      <c r="D4462" s="84"/>
      <c r="E4462" s="84"/>
      <c r="F4462" s="84"/>
      <c r="G4462" s="144"/>
      <c r="H4462" s="140"/>
    </row>
    <row r="4463" spans="1:8" s="65" customFormat="1">
      <c r="A4463" s="146"/>
      <c r="B4463" s="83"/>
      <c r="C4463" s="148"/>
      <c r="D4463" s="84"/>
      <c r="E4463" s="84"/>
      <c r="F4463" s="84"/>
      <c r="G4463" s="144"/>
      <c r="H4463" s="145"/>
    </row>
    <row r="4464" spans="1:8" s="65" customFormat="1">
      <c r="A4464" s="91"/>
      <c r="B4464" s="91"/>
      <c r="C4464" s="91"/>
      <c r="D4464" s="91"/>
      <c r="E4464" s="91"/>
      <c r="G4464" s="104"/>
      <c r="H4464" s="140"/>
    </row>
    <row r="4465" spans="1:9" s="65" customFormat="1">
      <c r="A4465" s="120"/>
      <c r="B4465" s="73"/>
      <c r="C4465" s="73"/>
      <c r="D4465" s="73"/>
      <c r="E4465" s="73"/>
      <c r="G4465" s="121"/>
      <c r="H4465" s="140"/>
    </row>
    <row r="4466" spans="1:9" s="65" customFormat="1">
      <c r="A4466" s="128"/>
      <c r="B4466" s="141"/>
      <c r="C4466" s="141"/>
      <c r="D4466" s="141"/>
      <c r="E4466" s="141"/>
      <c r="F4466" s="141"/>
      <c r="G4466" s="141"/>
      <c r="H4466" s="140"/>
    </row>
    <row r="4467" spans="1:9" s="65" customFormat="1">
      <c r="A4467" s="142"/>
      <c r="B4467" s="143"/>
      <c r="C4467" s="143"/>
      <c r="D4467" s="143"/>
      <c r="E4467" s="143"/>
      <c r="F4467" s="84"/>
      <c r="G4467" s="144"/>
      <c r="H4467" s="145"/>
    </row>
    <row r="4468" spans="1:9" s="65" customFormat="1">
      <c r="A4468" s="123"/>
      <c r="B4468" s="95"/>
      <c r="C4468" s="95"/>
      <c r="D4468" s="95"/>
      <c r="E4468" s="95"/>
      <c r="G4468" s="104"/>
      <c r="H4468" s="121"/>
    </row>
    <row r="4469" spans="1:9" s="65" customFormat="1">
      <c r="A4469" s="123"/>
      <c r="B4469" s="95"/>
      <c r="C4469" s="95"/>
      <c r="D4469" s="95"/>
      <c r="E4469" s="95"/>
      <c r="G4469" s="121"/>
      <c r="H4469" s="133"/>
    </row>
    <row r="4470" spans="1:9" s="65" customFormat="1">
      <c r="B4470" s="97"/>
      <c r="C4470" s="98"/>
      <c r="D4470" s="98"/>
      <c r="E4470" s="98"/>
      <c r="G4470" s="128"/>
    </row>
    <row r="4471" spans="1:9" s="65" customFormat="1">
      <c r="B4471" s="97"/>
      <c r="C4471" s="98"/>
      <c r="D4471" s="98"/>
      <c r="E4471" s="98"/>
      <c r="F4471" s="128"/>
      <c r="G4471" s="133"/>
      <c r="H4471" s="134"/>
    </row>
    <row r="4472" spans="1:9" s="65" customFormat="1">
      <c r="A4472" s="633"/>
      <c r="B4472" s="633"/>
      <c r="C4472" s="633"/>
      <c r="D4472" s="633"/>
      <c r="E4472" s="633"/>
      <c r="F4472" s="633"/>
      <c r="G4472" s="633"/>
    </row>
    <row r="4473" spans="1:9" s="65" customFormat="1">
      <c r="H4473" s="138"/>
      <c r="I4473" s="151"/>
    </row>
    <row r="4474" spans="1:9" s="65" customFormat="1">
      <c r="A4474" s="645"/>
      <c r="B4474" s="138"/>
      <c r="C4474" s="138"/>
      <c r="D4474" s="138"/>
      <c r="E4474" s="138"/>
      <c r="F4474" s="138"/>
      <c r="G4474" s="138"/>
      <c r="H4474" s="138"/>
      <c r="I4474" s="152"/>
    </row>
    <row r="4475" spans="1:9" s="65" customFormat="1">
      <c r="A4475" s="645"/>
      <c r="B4475" s="138"/>
      <c r="C4475" s="138"/>
      <c r="D4475" s="138"/>
      <c r="E4475" s="138"/>
      <c r="F4475" s="138"/>
      <c r="G4475" s="138"/>
    </row>
    <row r="4476" spans="1:9" s="65" customFormat="1">
      <c r="A4476" s="69"/>
      <c r="B4476" s="69"/>
      <c r="C4476" s="69"/>
      <c r="D4476" s="69"/>
      <c r="E4476" s="69"/>
    </row>
    <row r="4477" spans="1:9" s="65" customFormat="1">
      <c r="A4477" s="120"/>
      <c r="B4477" s="73"/>
      <c r="C4477" s="73"/>
      <c r="D4477" s="73"/>
      <c r="E4477" s="73"/>
      <c r="F4477" s="121"/>
      <c r="G4477" s="121"/>
      <c r="H4477" s="121"/>
    </row>
    <row r="4478" spans="1:9" s="65" customFormat="1">
      <c r="A4478" s="128"/>
      <c r="B4478" s="141"/>
      <c r="C4478" s="141"/>
      <c r="D4478" s="141"/>
      <c r="E4478" s="141"/>
      <c r="F4478" s="141"/>
      <c r="G4478" s="141"/>
      <c r="H4478" s="121"/>
    </row>
    <row r="4479" spans="1:9" s="65" customFormat="1">
      <c r="A4479" s="150"/>
      <c r="B4479" s="83"/>
      <c r="C4479" s="148"/>
      <c r="D4479" s="84"/>
      <c r="E4479" s="84"/>
      <c r="F4479" s="84"/>
      <c r="G4479" s="154"/>
      <c r="H4479" s="145"/>
    </row>
    <row r="4480" spans="1:9" s="65" customFormat="1">
      <c r="A4480" s="84"/>
      <c r="B4480" s="83"/>
      <c r="C4480" s="84"/>
      <c r="D4480" s="84"/>
      <c r="E4480" s="84"/>
      <c r="G4480" s="104"/>
      <c r="H4480" s="140"/>
    </row>
    <row r="4481" spans="1:8" s="65" customFormat="1">
      <c r="A4481" s="120"/>
      <c r="B4481" s="73"/>
      <c r="C4481" s="73"/>
      <c r="D4481" s="73"/>
      <c r="E4481" s="73"/>
      <c r="G4481" s="121"/>
      <c r="H4481" s="140"/>
    </row>
    <row r="4482" spans="1:8" s="65" customFormat="1">
      <c r="A4482" s="128"/>
      <c r="B4482" s="141"/>
      <c r="C4482" s="141"/>
      <c r="D4482" s="141"/>
      <c r="E4482" s="141"/>
      <c r="F4482" s="141"/>
      <c r="G4482" s="141"/>
      <c r="H4482" s="140"/>
    </row>
    <row r="4483" spans="1:8" s="65" customFormat="1">
      <c r="A4483" s="150"/>
      <c r="B4483" s="83"/>
      <c r="C4483" s="148"/>
      <c r="D4483" s="84"/>
      <c r="E4483" s="84"/>
      <c r="F4483" s="84"/>
      <c r="G4483" s="154"/>
      <c r="H4483" s="140"/>
    </row>
    <row r="4484" spans="1:8" s="65" customFormat="1">
      <c r="A4484" s="150"/>
      <c r="B4484" s="83"/>
      <c r="C4484" s="148"/>
      <c r="D4484" s="84"/>
      <c r="E4484" s="84"/>
      <c r="F4484" s="84"/>
      <c r="G4484" s="154"/>
      <c r="H4484" s="145"/>
    </row>
    <row r="4485" spans="1:8" s="65" customFormat="1">
      <c r="A4485" s="91"/>
      <c r="B4485" s="91"/>
      <c r="C4485" s="91"/>
      <c r="D4485" s="91"/>
      <c r="E4485" s="91"/>
      <c r="G4485" s="104"/>
      <c r="H4485" s="140"/>
    </row>
    <row r="4486" spans="1:8" s="65" customFormat="1">
      <c r="A4486" s="120"/>
      <c r="B4486" s="73"/>
      <c r="C4486" s="73"/>
      <c r="D4486" s="73"/>
      <c r="E4486" s="73"/>
      <c r="G4486" s="121"/>
      <c r="H4486" s="140"/>
    </row>
    <row r="4487" spans="1:8" s="65" customFormat="1">
      <c r="A4487" s="128"/>
      <c r="B4487" s="141"/>
      <c r="C4487" s="141"/>
      <c r="D4487" s="141"/>
      <c r="E4487" s="141"/>
      <c r="F4487" s="141"/>
      <c r="G4487" s="141"/>
      <c r="H4487" s="140"/>
    </row>
    <row r="4488" spans="1:8" s="65" customFormat="1">
      <c r="A4488" s="146"/>
      <c r="B4488" s="83"/>
      <c r="C4488" s="148"/>
      <c r="D4488" s="84"/>
      <c r="E4488" s="84"/>
      <c r="F4488" s="84"/>
      <c r="G4488" s="144"/>
      <c r="H4488" s="145"/>
    </row>
    <row r="4489" spans="1:8" s="65" customFormat="1">
      <c r="A4489" s="91"/>
      <c r="B4489" s="91"/>
      <c r="C4489" s="91"/>
      <c r="D4489" s="91"/>
      <c r="E4489" s="91"/>
      <c r="G4489" s="104"/>
      <c r="H4489" s="140"/>
    </row>
    <row r="4490" spans="1:8" s="65" customFormat="1">
      <c r="A4490" s="120"/>
      <c r="B4490" s="73"/>
      <c r="C4490" s="73"/>
      <c r="D4490" s="73"/>
      <c r="E4490" s="73"/>
      <c r="G4490" s="121"/>
      <c r="H4490" s="140"/>
    </row>
    <row r="4491" spans="1:8" s="65" customFormat="1">
      <c r="A4491" s="128"/>
      <c r="B4491" s="141"/>
      <c r="C4491" s="141"/>
      <c r="D4491" s="141"/>
      <c r="E4491" s="141"/>
      <c r="F4491" s="141"/>
      <c r="G4491" s="141"/>
      <c r="H4491" s="140"/>
    </row>
    <row r="4492" spans="1:8" s="65" customFormat="1">
      <c r="A4492" s="142"/>
      <c r="B4492" s="143"/>
      <c r="C4492" s="143"/>
      <c r="D4492" s="143"/>
      <c r="E4492" s="143"/>
      <c r="F4492" s="84"/>
      <c r="G4492" s="144"/>
      <c r="H4492" s="145"/>
    </row>
    <row r="4493" spans="1:8" s="65" customFormat="1">
      <c r="A4493" s="123"/>
      <c r="B4493" s="95"/>
      <c r="C4493" s="95"/>
      <c r="D4493" s="95"/>
      <c r="E4493" s="95"/>
      <c r="G4493" s="104"/>
      <c r="H4493" s="121"/>
    </row>
    <row r="4494" spans="1:8" s="65" customFormat="1">
      <c r="A4494" s="123"/>
      <c r="B4494" s="95"/>
      <c r="C4494" s="95"/>
      <c r="D4494" s="95"/>
      <c r="E4494" s="95"/>
      <c r="G4494" s="121"/>
      <c r="H4494" s="133"/>
    </row>
    <row r="4495" spans="1:8" s="65" customFormat="1">
      <c r="B4495" s="97"/>
      <c r="C4495" s="98"/>
      <c r="D4495" s="98"/>
      <c r="E4495" s="98"/>
      <c r="G4495" s="128"/>
    </row>
    <row r="4496" spans="1:8" s="65" customFormat="1">
      <c r="B4496" s="97"/>
      <c r="C4496" s="98"/>
      <c r="D4496" s="98"/>
      <c r="E4496" s="98"/>
      <c r="F4496" s="128"/>
      <c r="G4496" s="133"/>
      <c r="H4496" s="134"/>
    </row>
    <row r="4497" spans="1:9" s="65" customFormat="1">
      <c r="A4497" s="633"/>
      <c r="B4497" s="633"/>
      <c r="C4497" s="633"/>
      <c r="D4497" s="633"/>
      <c r="E4497" s="633"/>
      <c r="F4497" s="633"/>
      <c r="G4497" s="633"/>
    </row>
    <row r="4498" spans="1:9" s="65" customFormat="1">
      <c r="H4498" s="138"/>
      <c r="I4498" s="151"/>
    </row>
    <row r="4499" spans="1:9" s="65" customFormat="1">
      <c r="A4499" s="645"/>
      <c r="B4499" s="138"/>
      <c r="C4499" s="138"/>
      <c r="D4499" s="138"/>
      <c r="E4499" s="138"/>
      <c r="F4499" s="138"/>
      <c r="G4499" s="138"/>
      <c r="H4499" s="138"/>
      <c r="I4499" s="152"/>
    </row>
    <row r="4500" spans="1:9" s="65" customFormat="1">
      <c r="A4500" s="645"/>
      <c r="B4500" s="138"/>
      <c r="C4500" s="138"/>
      <c r="D4500" s="138"/>
      <c r="E4500" s="138"/>
      <c r="F4500" s="138"/>
      <c r="G4500" s="138"/>
    </row>
    <row r="4501" spans="1:9" s="65" customFormat="1">
      <c r="A4501" s="69"/>
      <c r="B4501" s="69"/>
      <c r="C4501" s="69"/>
      <c r="D4501" s="69"/>
      <c r="E4501" s="69"/>
    </row>
    <row r="4502" spans="1:9" s="65" customFormat="1">
      <c r="A4502" s="120"/>
      <c r="B4502" s="73"/>
      <c r="C4502" s="73"/>
      <c r="D4502" s="73"/>
      <c r="E4502" s="73"/>
      <c r="F4502" s="121"/>
      <c r="G4502" s="121"/>
      <c r="H4502" s="121"/>
    </row>
    <row r="4503" spans="1:9" s="65" customFormat="1">
      <c r="A4503" s="128"/>
      <c r="B4503" s="141"/>
      <c r="C4503" s="141"/>
      <c r="D4503" s="141"/>
      <c r="E4503" s="141"/>
      <c r="F4503" s="141"/>
      <c r="G4503" s="141"/>
      <c r="H4503" s="121"/>
    </row>
    <row r="4504" spans="1:9" s="65" customFormat="1">
      <c r="A4504" s="150"/>
      <c r="B4504" s="83"/>
      <c r="C4504" s="148"/>
      <c r="D4504" s="84"/>
      <c r="E4504" s="84"/>
      <c r="F4504" s="84"/>
      <c r="G4504" s="154"/>
      <c r="H4504" s="145"/>
    </row>
    <row r="4505" spans="1:9" s="65" customFormat="1">
      <c r="A4505" s="84"/>
      <c r="B4505" s="83"/>
      <c r="C4505" s="84"/>
      <c r="D4505" s="84"/>
      <c r="E4505" s="84"/>
      <c r="G4505" s="104"/>
      <c r="H4505" s="140"/>
    </row>
    <row r="4506" spans="1:9" s="65" customFormat="1">
      <c r="A4506" s="120"/>
      <c r="B4506" s="73"/>
      <c r="C4506" s="73"/>
      <c r="D4506" s="73"/>
      <c r="E4506" s="73"/>
      <c r="G4506" s="121"/>
      <c r="H4506" s="140"/>
    </row>
    <row r="4507" spans="1:9" s="65" customFormat="1">
      <c r="A4507" s="128"/>
      <c r="B4507" s="141"/>
      <c r="C4507" s="141"/>
      <c r="D4507" s="141"/>
      <c r="E4507" s="141"/>
      <c r="F4507" s="141"/>
      <c r="G4507" s="141"/>
      <c r="H4507" s="140"/>
    </row>
    <row r="4508" spans="1:9" s="65" customFormat="1">
      <c r="A4508" s="150"/>
      <c r="B4508" s="83"/>
      <c r="C4508" s="148"/>
      <c r="D4508" s="84"/>
      <c r="E4508" s="84"/>
      <c r="F4508" s="84"/>
      <c r="G4508" s="154"/>
      <c r="H4508" s="140"/>
    </row>
    <row r="4509" spans="1:9" s="65" customFormat="1">
      <c r="A4509" s="150"/>
      <c r="B4509" s="83"/>
      <c r="C4509" s="148"/>
      <c r="D4509" s="84"/>
      <c r="E4509" s="84"/>
      <c r="F4509" s="84"/>
      <c r="G4509" s="154"/>
      <c r="H4509" s="145"/>
    </row>
    <row r="4510" spans="1:9" s="65" customFormat="1">
      <c r="A4510" s="91"/>
      <c r="B4510" s="91"/>
      <c r="C4510" s="91"/>
      <c r="D4510" s="91"/>
      <c r="E4510" s="91"/>
      <c r="G4510" s="104"/>
      <c r="H4510" s="140"/>
    </row>
    <row r="4511" spans="1:9" s="65" customFormat="1">
      <c r="A4511" s="120"/>
      <c r="B4511" s="73"/>
      <c r="C4511" s="73"/>
      <c r="D4511" s="73"/>
      <c r="E4511" s="73"/>
      <c r="G4511" s="121"/>
      <c r="H4511" s="140"/>
    </row>
    <row r="4512" spans="1:9" s="65" customFormat="1">
      <c r="A4512" s="128"/>
      <c r="B4512" s="141"/>
      <c r="C4512" s="141"/>
      <c r="D4512" s="141"/>
      <c r="E4512" s="141"/>
      <c r="F4512" s="141"/>
      <c r="G4512" s="141"/>
      <c r="H4512" s="140"/>
    </row>
    <row r="4513" spans="1:9" s="65" customFormat="1">
      <c r="A4513" s="146"/>
      <c r="B4513" s="83"/>
      <c r="C4513" s="148"/>
      <c r="D4513" s="84"/>
      <c r="E4513" s="84"/>
      <c r="F4513" s="84"/>
      <c r="G4513" s="144"/>
      <c r="H4513" s="145"/>
    </row>
    <row r="4514" spans="1:9" s="65" customFormat="1">
      <c r="A4514" s="91"/>
      <c r="B4514" s="91"/>
      <c r="C4514" s="91"/>
      <c r="D4514" s="91"/>
      <c r="E4514" s="91"/>
      <c r="G4514" s="104"/>
      <c r="H4514" s="140"/>
    </row>
    <row r="4515" spans="1:9" s="65" customFormat="1">
      <c r="A4515" s="120"/>
      <c r="B4515" s="73"/>
      <c r="C4515" s="73"/>
      <c r="D4515" s="73"/>
      <c r="E4515" s="73"/>
      <c r="G4515" s="121"/>
      <c r="H4515" s="140"/>
    </row>
    <row r="4516" spans="1:9" s="65" customFormat="1">
      <c r="A4516" s="128"/>
      <c r="B4516" s="141"/>
      <c r="C4516" s="141"/>
      <c r="D4516" s="141"/>
      <c r="E4516" s="141"/>
      <c r="F4516" s="141"/>
      <c r="G4516" s="141"/>
      <c r="H4516" s="140"/>
    </row>
    <row r="4517" spans="1:9" s="65" customFormat="1">
      <c r="A4517" s="142"/>
      <c r="B4517" s="143"/>
      <c r="C4517" s="143"/>
      <c r="D4517" s="143"/>
      <c r="E4517" s="143"/>
      <c r="F4517" s="84"/>
      <c r="G4517" s="144"/>
      <c r="H4517" s="145"/>
    </row>
    <row r="4518" spans="1:9" s="65" customFormat="1">
      <c r="A4518" s="123"/>
      <c r="B4518" s="95"/>
      <c r="C4518" s="95"/>
      <c r="D4518" s="95"/>
      <c r="E4518" s="95"/>
      <c r="G4518" s="104"/>
      <c r="H4518" s="121"/>
    </row>
    <row r="4519" spans="1:9" s="65" customFormat="1">
      <c r="A4519" s="123"/>
      <c r="B4519" s="95"/>
      <c r="C4519" s="95"/>
      <c r="D4519" s="95"/>
      <c r="E4519" s="95"/>
      <c r="G4519" s="121"/>
      <c r="H4519" s="133"/>
    </row>
    <row r="4520" spans="1:9" s="65" customFormat="1">
      <c r="B4520" s="97"/>
      <c r="C4520" s="98"/>
      <c r="D4520" s="98"/>
      <c r="E4520" s="98"/>
      <c r="G4520" s="128"/>
    </row>
    <row r="4521" spans="1:9" s="65" customFormat="1">
      <c r="B4521" s="97"/>
      <c r="C4521" s="98"/>
      <c r="D4521" s="98"/>
      <c r="E4521" s="98"/>
      <c r="F4521" s="128"/>
      <c r="G4521" s="133"/>
      <c r="H4521" s="134"/>
    </row>
    <row r="4522" spans="1:9" s="65" customFormat="1">
      <c r="A4522" s="633"/>
      <c r="B4522" s="633"/>
      <c r="C4522" s="633"/>
      <c r="D4522" s="633"/>
      <c r="E4522" s="633"/>
      <c r="F4522" s="633"/>
      <c r="G4522" s="633"/>
    </row>
    <row r="4523" spans="1:9" s="65" customFormat="1">
      <c r="H4523" s="138"/>
      <c r="I4523" s="151"/>
    </row>
    <row r="4524" spans="1:9" s="65" customFormat="1">
      <c r="A4524" s="645"/>
      <c r="B4524" s="138"/>
      <c r="C4524" s="138"/>
      <c r="D4524" s="138"/>
      <c r="E4524" s="138"/>
      <c r="F4524" s="138"/>
      <c r="G4524" s="138"/>
      <c r="H4524" s="138"/>
      <c r="I4524" s="152"/>
    </row>
    <row r="4525" spans="1:9" s="65" customFormat="1">
      <c r="A4525" s="645"/>
      <c r="B4525" s="138"/>
      <c r="C4525" s="138"/>
      <c r="D4525" s="138"/>
      <c r="E4525" s="138"/>
      <c r="F4525" s="138"/>
      <c r="G4525" s="138"/>
    </row>
    <row r="4526" spans="1:9" s="65" customFormat="1">
      <c r="A4526" s="69"/>
      <c r="B4526" s="69"/>
      <c r="C4526" s="69"/>
      <c r="D4526" s="69"/>
      <c r="E4526" s="69"/>
    </row>
    <row r="4527" spans="1:9" s="65" customFormat="1">
      <c r="A4527" s="120"/>
      <c r="B4527" s="73"/>
      <c r="C4527" s="73"/>
      <c r="D4527" s="73"/>
      <c r="E4527" s="73"/>
      <c r="F4527" s="121"/>
      <c r="G4527" s="121"/>
      <c r="H4527" s="121"/>
    </row>
    <row r="4528" spans="1:9" s="65" customFormat="1">
      <c r="A4528" s="128"/>
      <c r="B4528" s="141"/>
      <c r="C4528" s="141"/>
      <c r="D4528" s="141"/>
      <c r="E4528" s="141"/>
      <c r="F4528" s="141"/>
      <c r="G4528" s="141"/>
      <c r="H4528" s="121"/>
    </row>
    <row r="4529" spans="1:8" s="65" customFormat="1">
      <c r="A4529" s="150"/>
      <c r="B4529" s="83"/>
      <c r="C4529" s="148"/>
      <c r="D4529" s="84"/>
      <c r="E4529" s="84"/>
      <c r="F4529" s="84"/>
      <c r="G4529" s="154"/>
      <c r="H4529" s="145"/>
    </row>
    <row r="4530" spans="1:8" s="65" customFormat="1">
      <c r="A4530" s="84"/>
      <c r="B4530" s="83"/>
      <c r="C4530" s="84"/>
      <c r="D4530" s="84"/>
      <c r="E4530" s="84"/>
      <c r="G4530" s="104"/>
      <c r="H4530" s="140"/>
    </row>
    <row r="4531" spans="1:8" s="65" customFormat="1">
      <c r="A4531" s="120"/>
      <c r="B4531" s="73"/>
      <c r="C4531" s="73"/>
      <c r="D4531" s="73"/>
      <c r="E4531" s="73"/>
      <c r="G4531" s="121"/>
      <c r="H4531" s="140"/>
    </row>
    <row r="4532" spans="1:8" s="65" customFormat="1">
      <c r="A4532" s="128"/>
      <c r="B4532" s="141"/>
      <c r="C4532" s="141"/>
      <c r="D4532" s="141"/>
      <c r="E4532" s="141"/>
      <c r="F4532" s="141"/>
      <c r="G4532" s="141"/>
      <c r="H4532" s="140"/>
    </row>
    <row r="4533" spans="1:8" s="65" customFormat="1">
      <c r="A4533" s="150"/>
      <c r="B4533" s="83"/>
      <c r="C4533" s="148"/>
      <c r="D4533" s="84"/>
      <c r="E4533" s="84"/>
      <c r="F4533" s="84"/>
      <c r="G4533" s="154"/>
      <c r="H4533" s="140"/>
    </row>
    <row r="4534" spans="1:8" s="65" customFormat="1">
      <c r="A4534" s="150"/>
      <c r="B4534" s="83"/>
      <c r="C4534" s="148"/>
      <c r="D4534" s="84"/>
      <c r="E4534" s="84"/>
      <c r="F4534" s="84"/>
      <c r="G4534" s="154"/>
      <c r="H4534" s="140"/>
    </row>
    <row r="4535" spans="1:8" s="65" customFormat="1">
      <c r="A4535" s="150"/>
      <c r="B4535" s="83"/>
      <c r="C4535" s="148"/>
      <c r="D4535" s="84"/>
      <c r="E4535" s="84"/>
      <c r="F4535" s="84"/>
      <c r="G4535" s="154"/>
      <c r="H4535" s="140"/>
    </row>
    <row r="4536" spans="1:8" s="65" customFormat="1">
      <c r="A4536" s="150"/>
      <c r="B4536" s="83"/>
      <c r="C4536" s="148"/>
      <c r="D4536" s="84"/>
      <c r="E4536" s="84"/>
      <c r="F4536" s="84"/>
      <c r="G4536" s="154"/>
      <c r="H4536" s="140"/>
    </row>
    <row r="4537" spans="1:8" s="65" customFormat="1">
      <c r="A4537" s="150"/>
      <c r="B4537" s="83"/>
      <c r="C4537" s="148"/>
      <c r="D4537" s="84"/>
      <c r="E4537" s="84"/>
      <c r="F4537" s="84"/>
      <c r="G4537" s="154"/>
      <c r="H4537" s="140"/>
    </row>
    <row r="4538" spans="1:8" s="65" customFormat="1">
      <c r="A4538" s="150"/>
      <c r="B4538" s="83"/>
      <c r="C4538" s="148"/>
      <c r="D4538" s="84"/>
      <c r="E4538" s="84"/>
      <c r="F4538" s="84"/>
      <c r="G4538" s="154"/>
      <c r="H4538" s="140"/>
    </row>
    <row r="4539" spans="1:8" s="65" customFormat="1">
      <c r="A4539" s="150"/>
      <c r="B4539" s="83"/>
      <c r="C4539" s="148"/>
      <c r="D4539" s="84"/>
      <c r="E4539" s="84"/>
      <c r="F4539" s="84"/>
      <c r="G4539" s="154"/>
      <c r="H4539" s="140"/>
    </row>
    <row r="4540" spans="1:8" s="65" customFormat="1">
      <c r="A4540" s="150"/>
      <c r="B4540" s="83"/>
      <c r="C4540" s="148"/>
      <c r="D4540" s="84"/>
      <c r="E4540" s="84"/>
      <c r="F4540" s="84"/>
      <c r="G4540" s="154"/>
      <c r="H4540" s="140"/>
    </row>
    <row r="4541" spans="1:8" s="65" customFormat="1">
      <c r="A4541" s="150"/>
      <c r="B4541" s="83"/>
      <c r="C4541" s="148"/>
      <c r="D4541" s="84"/>
      <c r="E4541" s="84"/>
      <c r="F4541" s="84"/>
      <c r="G4541" s="154"/>
      <c r="H4541" s="140"/>
    </row>
    <row r="4542" spans="1:8" s="65" customFormat="1">
      <c r="A4542" s="150"/>
      <c r="B4542" s="83"/>
      <c r="C4542" s="148"/>
      <c r="D4542" s="84"/>
      <c r="E4542" s="84"/>
      <c r="F4542" s="84"/>
      <c r="G4542" s="154"/>
      <c r="H4542" s="145"/>
    </row>
    <row r="4543" spans="1:8" s="65" customFormat="1">
      <c r="A4543" s="91"/>
      <c r="B4543" s="91"/>
      <c r="C4543" s="91"/>
      <c r="D4543" s="91"/>
      <c r="E4543" s="91"/>
      <c r="G4543" s="104"/>
      <c r="H4543" s="140"/>
    </row>
    <row r="4544" spans="1:8" s="65" customFormat="1">
      <c r="A4544" s="120"/>
      <c r="B4544" s="73"/>
      <c r="C4544" s="73"/>
      <c r="D4544" s="73"/>
      <c r="E4544" s="73"/>
      <c r="G4544" s="121"/>
      <c r="H4544" s="140"/>
    </row>
    <row r="4545" spans="1:9" s="65" customFormat="1">
      <c r="A4545" s="128"/>
      <c r="B4545" s="141"/>
      <c r="C4545" s="141"/>
      <c r="D4545" s="141"/>
      <c r="E4545" s="141"/>
      <c r="F4545" s="141"/>
      <c r="G4545" s="141"/>
      <c r="H4545" s="140"/>
    </row>
    <row r="4546" spans="1:9" s="65" customFormat="1">
      <c r="A4546" s="146"/>
      <c r="B4546" s="83"/>
      <c r="C4546" s="148"/>
      <c r="D4546" s="84"/>
      <c r="E4546" s="84"/>
      <c r="F4546" s="84"/>
      <c r="G4546" s="144"/>
      <c r="H4546" s="145"/>
    </row>
    <row r="4547" spans="1:9" s="65" customFormat="1">
      <c r="A4547" s="91"/>
      <c r="B4547" s="91"/>
      <c r="C4547" s="91"/>
      <c r="D4547" s="91"/>
      <c r="E4547" s="91"/>
      <c r="G4547" s="104"/>
      <c r="H4547" s="140"/>
    </row>
    <row r="4548" spans="1:9" s="65" customFormat="1">
      <c r="A4548" s="120"/>
      <c r="B4548" s="73"/>
      <c r="C4548" s="73"/>
      <c r="D4548" s="73"/>
      <c r="E4548" s="73"/>
      <c r="G4548" s="121"/>
      <c r="H4548" s="140"/>
    </row>
    <row r="4549" spans="1:9" s="65" customFormat="1">
      <c r="A4549" s="128"/>
      <c r="B4549" s="141"/>
      <c r="C4549" s="141"/>
      <c r="D4549" s="141"/>
      <c r="E4549" s="141"/>
      <c r="F4549" s="141"/>
      <c r="G4549" s="141"/>
      <c r="H4549" s="140"/>
    </row>
    <row r="4550" spans="1:9" s="65" customFormat="1">
      <c r="A4550" s="142"/>
      <c r="B4550" s="143"/>
      <c r="C4550" s="143"/>
      <c r="D4550" s="143"/>
      <c r="E4550" s="143"/>
      <c r="F4550" s="84"/>
      <c r="G4550" s="144"/>
      <c r="H4550" s="145"/>
    </row>
    <row r="4551" spans="1:9" s="65" customFormat="1">
      <c r="A4551" s="123"/>
      <c r="B4551" s="95"/>
      <c r="C4551" s="95"/>
      <c r="D4551" s="95"/>
      <c r="E4551" s="95"/>
      <c r="G4551" s="104"/>
      <c r="H4551" s="121"/>
    </row>
    <row r="4552" spans="1:9" s="65" customFormat="1" ht="15" customHeight="1">
      <c r="A4552" s="123"/>
      <c r="B4552" s="95"/>
      <c r="C4552" s="95"/>
      <c r="D4552" s="95"/>
      <c r="E4552" s="95"/>
      <c r="G4552" s="121"/>
      <c r="H4552" s="133"/>
    </row>
    <row r="4553" spans="1:9" s="65" customFormat="1">
      <c r="B4553" s="97"/>
      <c r="C4553" s="98"/>
      <c r="D4553" s="98"/>
      <c r="E4553" s="98"/>
      <c r="G4553" s="128"/>
    </row>
    <row r="4554" spans="1:9" s="65" customFormat="1">
      <c r="B4554" s="97"/>
      <c r="C4554" s="98"/>
      <c r="D4554" s="98"/>
      <c r="E4554" s="98"/>
      <c r="F4554" s="128"/>
      <c r="G4554" s="133"/>
      <c r="H4554" s="134"/>
    </row>
    <row r="4555" spans="1:9" s="65" customFormat="1">
      <c r="A4555" s="633"/>
      <c r="B4555" s="633"/>
      <c r="C4555" s="633"/>
      <c r="D4555" s="633"/>
      <c r="E4555" s="633"/>
      <c r="F4555" s="633"/>
      <c r="G4555" s="633"/>
    </row>
    <row r="4556" spans="1:9" s="65" customFormat="1">
      <c r="H4556" s="138"/>
      <c r="I4556" s="151"/>
    </row>
    <row r="4557" spans="1:9" s="65" customFormat="1">
      <c r="A4557" s="645"/>
      <c r="B4557" s="138"/>
      <c r="C4557" s="138"/>
      <c r="D4557" s="138"/>
      <c r="E4557" s="138"/>
      <c r="F4557" s="138"/>
      <c r="G4557" s="138"/>
      <c r="H4557" s="138"/>
      <c r="I4557" s="152"/>
    </row>
    <row r="4558" spans="1:9" s="65" customFormat="1">
      <c r="A4558" s="645"/>
      <c r="B4558" s="138"/>
      <c r="C4558" s="138"/>
      <c r="D4558" s="138"/>
      <c r="E4558" s="138"/>
      <c r="F4558" s="138"/>
      <c r="G4558" s="138"/>
    </row>
    <row r="4559" spans="1:9" s="65" customFormat="1">
      <c r="A4559" s="69"/>
      <c r="B4559" s="69"/>
      <c r="C4559" s="69"/>
      <c r="D4559" s="69"/>
      <c r="E4559" s="69"/>
    </row>
    <row r="4560" spans="1:9" s="65" customFormat="1">
      <c r="A4560" s="120"/>
      <c r="B4560" s="73"/>
      <c r="C4560" s="73"/>
      <c r="D4560" s="73"/>
      <c r="E4560" s="73"/>
      <c r="F4560" s="121"/>
      <c r="G4560" s="121"/>
      <c r="H4560" s="121"/>
    </row>
    <row r="4561" spans="1:8" s="65" customFormat="1">
      <c r="A4561" s="128"/>
      <c r="B4561" s="141"/>
      <c r="C4561" s="141"/>
      <c r="D4561" s="141"/>
      <c r="E4561" s="141"/>
      <c r="F4561" s="141"/>
      <c r="G4561" s="141"/>
      <c r="H4561" s="121"/>
    </row>
    <row r="4562" spans="1:8" s="65" customFormat="1">
      <c r="A4562" s="150"/>
      <c r="B4562" s="83"/>
      <c r="C4562" s="148"/>
      <c r="D4562" s="84"/>
      <c r="E4562" s="84"/>
      <c r="F4562" s="84"/>
      <c r="G4562" s="154"/>
      <c r="H4562" s="145"/>
    </row>
    <row r="4563" spans="1:8" s="65" customFormat="1">
      <c r="A4563" s="84"/>
      <c r="B4563" s="83"/>
      <c r="C4563" s="84"/>
      <c r="D4563" s="84"/>
      <c r="E4563" s="84"/>
      <c r="G4563" s="104"/>
      <c r="H4563" s="140"/>
    </row>
    <row r="4564" spans="1:8" s="65" customFormat="1">
      <c r="A4564" s="120"/>
      <c r="B4564" s="73"/>
      <c r="C4564" s="73"/>
      <c r="D4564" s="73"/>
      <c r="E4564" s="73"/>
      <c r="G4564" s="121"/>
      <c r="H4564" s="140"/>
    </row>
    <row r="4565" spans="1:8" s="65" customFormat="1">
      <c r="A4565" s="128"/>
      <c r="B4565" s="141"/>
      <c r="C4565" s="141"/>
      <c r="D4565" s="141"/>
      <c r="E4565" s="141"/>
      <c r="F4565" s="141"/>
      <c r="G4565" s="141"/>
      <c r="H4565" s="140"/>
    </row>
    <row r="4566" spans="1:8" s="65" customFormat="1">
      <c r="A4566" s="150"/>
      <c r="B4566" s="83"/>
      <c r="C4566" s="148"/>
      <c r="D4566" s="84"/>
      <c r="E4566" s="84"/>
      <c r="F4566" s="84"/>
      <c r="G4566" s="154"/>
      <c r="H4566" s="140"/>
    </row>
    <row r="4567" spans="1:8" s="65" customFormat="1">
      <c r="A4567" s="150"/>
      <c r="B4567" s="83"/>
      <c r="C4567" s="148"/>
      <c r="D4567" s="84"/>
      <c r="E4567" s="84"/>
      <c r="F4567" s="84"/>
      <c r="G4567" s="154"/>
      <c r="H4567" s="140"/>
    </row>
    <row r="4568" spans="1:8" s="65" customFormat="1">
      <c r="A4568" s="150"/>
      <c r="B4568" s="83"/>
      <c r="C4568" s="148"/>
      <c r="D4568" s="84"/>
      <c r="E4568" s="84"/>
      <c r="F4568" s="84"/>
      <c r="G4568" s="154"/>
      <c r="H4568" s="140"/>
    </row>
    <row r="4569" spans="1:8" s="65" customFormat="1">
      <c r="A4569" s="150"/>
      <c r="B4569" s="83"/>
      <c r="C4569" s="148"/>
      <c r="D4569" s="84"/>
      <c r="E4569" s="84"/>
      <c r="F4569" s="84"/>
      <c r="G4569" s="154"/>
      <c r="H4569" s="140"/>
    </row>
    <row r="4570" spans="1:8" s="65" customFormat="1">
      <c r="A4570" s="150"/>
      <c r="B4570" s="83"/>
      <c r="C4570" s="148"/>
      <c r="D4570" s="84"/>
      <c r="E4570" s="84"/>
      <c r="F4570" s="84"/>
      <c r="G4570" s="154"/>
      <c r="H4570" s="140"/>
    </row>
    <row r="4571" spans="1:8" s="65" customFormat="1">
      <c r="A4571" s="150"/>
      <c r="B4571" s="83"/>
      <c r="C4571" s="148"/>
      <c r="D4571" s="84"/>
      <c r="E4571" s="84"/>
      <c r="F4571" s="84"/>
      <c r="G4571" s="154"/>
      <c r="H4571" s="140"/>
    </row>
    <row r="4572" spans="1:8" s="65" customFormat="1">
      <c r="A4572" s="150"/>
      <c r="B4572" s="83"/>
      <c r="C4572" s="148"/>
      <c r="D4572" s="84"/>
      <c r="E4572" s="84"/>
      <c r="F4572" s="84"/>
      <c r="G4572" s="154"/>
      <c r="H4572" s="140"/>
    </row>
    <row r="4573" spans="1:8" s="65" customFormat="1">
      <c r="A4573" s="150"/>
      <c r="B4573" s="83"/>
      <c r="C4573" s="148"/>
      <c r="D4573" s="84"/>
      <c r="E4573" s="84"/>
      <c r="F4573" s="84"/>
      <c r="G4573" s="154"/>
      <c r="H4573" s="140"/>
    </row>
    <row r="4574" spans="1:8" s="65" customFormat="1">
      <c r="A4574" s="150"/>
      <c r="B4574" s="83"/>
      <c r="C4574" s="148"/>
      <c r="D4574" s="84"/>
      <c r="E4574" s="84"/>
      <c r="F4574" s="84"/>
      <c r="G4574" s="154"/>
      <c r="H4574" s="140"/>
    </row>
    <row r="4575" spans="1:8" s="65" customFormat="1">
      <c r="A4575" s="150"/>
      <c r="B4575" s="83"/>
      <c r="C4575" s="148"/>
      <c r="D4575" s="84"/>
      <c r="E4575" s="84"/>
      <c r="F4575" s="84"/>
      <c r="G4575" s="154"/>
      <c r="H4575" s="145"/>
    </row>
    <row r="4576" spans="1:8" s="65" customFormat="1">
      <c r="A4576" s="91"/>
      <c r="B4576" s="91"/>
      <c r="C4576" s="91"/>
      <c r="D4576" s="91"/>
      <c r="E4576" s="91"/>
      <c r="G4576" s="104"/>
      <c r="H4576" s="140"/>
    </row>
    <row r="4577" spans="1:9" s="65" customFormat="1">
      <c r="A4577" s="120"/>
      <c r="B4577" s="73"/>
      <c r="C4577" s="73"/>
      <c r="D4577" s="73"/>
      <c r="E4577" s="73"/>
      <c r="G4577" s="121"/>
      <c r="H4577" s="140"/>
    </row>
    <row r="4578" spans="1:9" s="65" customFormat="1">
      <c r="A4578" s="128"/>
      <c r="B4578" s="141"/>
      <c r="C4578" s="141"/>
      <c r="D4578" s="141"/>
      <c r="E4578" s="141"/>
      <c r="F4578" s="141"/>
      <c r="G4578" s="141"/>
      <c r="H4578" s="140"/>
    </row>
    <row r="4579" spans="1:9" s="65" customFormat="1">
      <c r="A4579" s="146"/>
      <c r="B4579" s="83"/>
      <c r="C4579" s="148"/>
      <c r="D4579" s="84"/>
      <c r="E4579" s="84"/>
      <c r="F4579" s="84"/>
      <c r="G4579" s="144"/>
      <c r="H4579" s="145"/>
    </row>
    <row r="4580" spans="1:9" s="65" customFormat="1">
      <c r="A4580" s="91"/>
      <c r="B4580" s="91"/>
      <c r="C4580" s="91"/>
      <c r="D4580" s="91"/>
      <c r="E4580" s="91"/>
      <c r="G4580" s="104"/>
      <c r="H4580" s="140"/>
    </row>
    <row r="4581" spans="1:9" s="65" customFormat="1">
      <c r="A4581" s="120"/>
      <c r="B4581" s="73"/>
      <c r="C4581" s="73"/>
      <c r="D4581" s="73"/>
      <c r="E4581" s="73"/>
      <c r="G4581" s="121"/>
      <c r="H4581" s="140"/>
    </row>
    <row r="4582" spans="1:9" s="65" customFormat="1">
      <c r="A4582" s="128"/>
      <c r="B4582" s="141"/>
      <c r="C4582" s="141"/>
      <c r="D4582" s="141"/>
      <c r="E4582" s="141"/>
      <c r="F4582" s="141"/>
      <c r="G4582" s="141"/>
      <c r="H4582" s="140"/>
    </row>
    <row r="4583" spans="1:9" s="65" customFormat="1">
      <c r="A4583" s="142"/>
      <c r="B4583" s="143"/>
      <c r="C4583" s="143"/>
      <c r="D4583" s="143"/>
      <c r="E4583" s="143"/>
      <c r="F4583" s="84"/>
      <c r="G4583" s="144"/>
      <c r="H4583" s="145"/>
    </row>
    <row r="4584" spans="1:9" s="65" customFormat="1">
      <c r="A4584" s="123"/>
      <c r="B4584" s="95"/>
      <c r="C4584" s="95"/>
      <c r="D4584" s="95"/>
      <c r="E4584" s="95"/>
      <c r="G4584" s="104"/>
      <c r="H4584" s="121"/>
    </row>
    <row r="4585" spans="1:9" s="65" customFormat="1">
      <c r="A4585" s="123"/>
      <c r="B4585" s="95"/>
      <c r="C4585" s="95"/>
      <c r="D4585" s="95"/>
      <c r="E4585" s="95"/>
      <c r="G4585" s="121"/>
      <c r="H4585" s="133"/>
    </row>
    <row r="4586" spans="1:9" s="65" customFormat="1">
      <c r="B4586" s="97"/>
      <c r="C4586" s="98"/>
      <c r="D4586" s="98"/>
      <c r="E4586" s="98"/>
      <c r="G4586" s="128"/>
    </row>
    <row r="4587" spans="1:9" s="65" customFormat="1">
      <c r="B4587" s="97"/>
      <c r="C4587" s="98"/>
      <c r="D4587" s="98"/>
      <c r="E4587" s="98"/>
      <c r="F4587" s="128"/>
      <c r="G4587" s="133"/>
      <c r="H4587" s="134"/>
    </row>
    <row r="4588" spans="1:9" s="65" customFormat="1">
      <c r="A4588" s="633"/>
      <c r="B4588" s="633"/>
      <c r="C4588" s="633"/>
      <c r="D4588" s="633"/>
      <c r="E4588" s="633"/>
      <c r="F4588" s="633"/>
      <c r="G4588" s="633"/>
    </row>
    <row r="4589" spans="1:9" s="65" customFormat="1">
      <c r="H4589" s="138"/>
      <c r="I4589" s="151"/>
    </row>
    <row r="4590" spans="1:9" s="65" customFormat="1">
      <c r="A4590" s="645"/>
      <c r="B4590" s="138"/>
      <c r="C4590" s="138"/>
      <c r="D4590" s="138"/>
      <c r="E4590" s="138"/>
      <c r="F4590" s="138"/>
      <c r="G4590" s="138"/>
      <c r="H4590" s="138"/>
      <c r="I4590" s="152"/>
    </row>
    <row r="4591" spans="1:9" s="65" customFormat="1">
      <c r="A4591" s="645"/>
      <c r="B4591" s="138"/>
      <c r="C4591" s="138"/>
      <c r="D4591" s="138"/>
      <c r="E4591" s="138"/>
      <c r="F4591" s="138"/>
      <c r="G4591" s="138"/>
    </row>
    <row r="4592" spans="1:9" s="65" customFormat="1">
      <c r="A4592" s="69"/>
      <c r="B4592" s="69"/>
      <c r="C4592" s="69"/>
      <c r="D4592" s="69"/>
      <c r="E4592" s="69"/>
    </row>
    <row r="4593" spans="1:8" s="65" customFormat="1">
      <c r="A4593" s="120"/>
      <c r="B4593" s="73"/>
      <c r="C4593" s="73"/>
      <c r="D4593" s="73"/>
      <c r="E4593" s="73"/>
      <c r="F4593" s="121"/>
      <c r="G4593" s="121"/>
      <c r="H4593" s="121"/>
    </row>
    <row r="4594" spans="1:8" s="65" customFormat="1">
      <c r="A4594" s="128"/>
      <c r="B4594" s="141"/>
      <c r="C4594" s="141"/>
      <c r="D4594" s="141"/>
      <c r="E4594" s="141"/>
      <c r="F4594" s="141"/>
      <c r="G4594" s="141"/>
      <c r="H4594" s="121"/>
    </row>
    <row r="4595" spans="1:8" s="65" customFormat="1">
      <c r="A4595" s="150"/>
      <c r="B4595" s="83"/>
      <c r="C4595" s="148"/>
      <c r="D4595" s="84"/>
      <c r="E4595" s="84"/>
      <c r="F4595" s="84"/>
      <c r="G4595" s="154"/>
      <c r="H4595" s="145"/>
    </row>
    <row r="4596" spans="1:8" s="65" customFormat="1">
      <c r="A4596" s="84"/>
      <c r="B4596" s="83"/>
      <c r="C4596" s="84"/>
      <c r="D4596" s="84"/>
      <c r="E4596" s="84"/>
      <c r="G4596" s="104"/>
      <c r="H4596" s="140"/>
    </row>
    <row r="4597" spans="1:8" s="65" customFormat="1">
      <c r="A4597" s="120"/>
      <c r="B4597" s="73"/>
      <c r="C4597" s="73"/>
      <c r="D4597" s="73"/>
      <c r="E4597" s="73"/>
      <c r="G4597" s="121"/>
      <c r="H4597" s="140"/>
    </row>
    <row r="4598" spans="1:8" s="65" customFormat="1">
      <c r="A4598" s="128"/>
      <c r="B4598" s="141"/>
      <c r="C4598" s="141"/>
      <c r="D4598" s="141"/>
      <c r="E4598" s="141"/>
      <c r="F4598" s="141"/>
      <c r="G4598" s="141"/>
      <c r="H4598" s="140"/>
    </row>
    <row r="4599" spans="1:8" s="65" customFormat="1">
      <c r="A4599" s="150"/>
      <c r="B4599" s="83"/>
      <c r="C4599" s="148"/>
      <c r="D4599" s="84"/>
      <c r="E4599" s="84"/>
      <c r="F4599" s="84"/>
      <c r="G4599" s="154"/>
      <c r="H4599" s="140"/>
    </row>
    <row r="4600" spans="1:8" s="65" customFormat="1">
      <c r="A4600" s="150"/>
      <c r="B4600" s="83"/>
      <c r="C4600" s="148"/>
      <c r="D4600" s="84"/>
      <c r="E4600" s="84"/>
      <c r="F4600" s="84"/>
      <c r="G4600" s="154"/>
      <c r="H4600" s="140"/>
    </row>
    <row r="4601" spans="1:8" s="65" customFormat="1">
      <c r="A4601" s="150"/>
      <c r="B4601" s="83"/>
      <c r="C4601" s="148"/>
      <c r="D4601" s="84"/>
      <c r="E4601" s="84"/>
      <c r="F4601" s="84"/>
      <c r="G4601" s="154"/>
      <c r="H4601" s="140"/>
    </row>
    <row r="4602" spans="1:8" s="65" customFormat="1">
      <c r="A4602" s="150"/>
      <c r="B4602" s="83"/>
      <c r="C4602" s="148"/>
      <c r="D4602" s="84"/>
      <c r="E4602" s="84"/>
      <c r="F4602" s="84"/>
      <c r="G4602" s="154"/>
      <c r="H4602" s="140"/>
    </row>
    <row r="4603" spans="1:8" s="65" customFormat="1">
      <c r="A4603" s="150"/>
      <c r="B4603" s="83"/>
      <c r="C4603" s="148"/>
      <c r="D4603" s="84"/>
      <c r="E4603" s="84"/>
      <c r="F4603" s="84"/>
      <c r="G4603" s="154"/>
      <c r="H4603" s="140"/>
    </row>
    <row r="4604" spans="1:8" s="65" customFormat="1">
      <c r="A4604" s="150"/>
      <c r="B4604" s="83"/>
      <c r="C4604" s="148"/>
      <c r="D4604" s="84"/>
      <c r="E4604" s="84"/>
      <c r="F4604" s="84"/>
      <c r="G4604" s="154"/>
      <c r="H4604" s="140"/>
    </row>
    <row r="4605" spans="1:8" s="65" customFormat="1">
      <c r="A4605" s="150"/>
      <c r="B4605" s="83"/>
      <c r="C4605" s="148"/>
      <c r="D4605" s="84"/>
      <c r="E4605" s="84"/>
      <c r="F4605" s="84"/>
      <c r="G4605" s="154"/>
      <c r="H4605" s="140"/>
    </row>
    <row r="4606" spans="1:8" s="65" customFormat="1">
      <c r="A4606" s="150"/>
      <c r="B4606" s="83"/>
      <c r="C4606" s="148"/>
      <c r="D4606" s="84"/>
      <c r="E4606" s="84"/>
      <c r="F4606" s="84"/>
      <c r="G4606" s="154"/>
      <c r="H4606" s="140"/>
    </row>
    <row r="4607" spans="1:8" s="65" customFormat="1">
      <c r="A4607" s="150"/>
      <c r="B4607" s="83"/>
      <c r="C4607" s="148"/>
      <c r="D4607" s="84"/>
      <c r="E4607" s="84"/>
      <c r="F4607" s="84"/>
      <c r="G4607" s="154"/>
      <c r="H4607" s="140"/>
    </row>
    <row r="4608" spans="1:8" s="65" customFormat="1">
      <c r="A4608" s="150"/>
      <c r="B4608" s="83"/>
      <c r="C4608" s="148"/>
      <c r="D4608" s="84"/>
      <c r="E4608" s="84"/>
      <c r="F4608" s="84"/>
      <c r="G4608" s="154"/>
      <c r="H4608" s="145"/>
    </row>
    <row r="4609" spans="1:9" s="65" customFormat="1">
      <c r="A4609" s="91"/>
      <c r="B4609" s="91"/>
      <c r="C4609" s="91"/>
      <c r="D4609" s="91"/>
      <c r="E4609" s="91"/>
      <c r="G4609" s="104"/>
      <c r="H4609" s="140"/>
    </row>
    <row r="4610" spans="1:9" s="65" customFormat="1">
      <c r="A4610" s="120"/>
      <c r="B4610" s="73"/>
      <c r="C4610" s="73"/>
      <c r="D4610" s="73"/>
      <c r="E4610" s="73"/>
      <c r="G4610" s="121"/>
      <c r="H4610" s="140"/>
    </row>
    <row r="4611" spans="1:9" s="65" customFormat="1">
      <c r="A4611" s="128"/>
      <c r="B4611" s="141"/>
      <c r="C4611" s="141"/>
      <c r="D4611" s="141"/>
      <c r="E4611" s="141"/>
      <c r="F4611" s="141"/>
      <c r="G4611" s="141"/>
      <c r="H4611" s="140"/>
    </row>
    <row r="4612" spans="1:9" s="65" customFormat="1">
      <c r="A4612" s="146"/>
      <c r="B4612" s="83"/>
      <c r="C4612" s="148"/>
      <c r="D4612" s="84"/>
      <c r="E4612" s="84"/>
      <c r="F4612" s="84"/>
      <c r="G4612" s="144"/>
      <c r="H4612" s="145"/>
    </row>
    <row r="4613" spans="1:9" s="65" customFormat="1">
      <c r="A4613" s="91"/>
      <c r="B4613" s="91"/>
      <c r="C4613" s="91"/>
      <c r="D4613" s="91"/>
      <c r="E4613" s="91"/>
      <c r="G4613" s="104"/>
      <c r="H4613" s="140"/>
    </row>
    <row r="4614" spans="1:9" s="65" customFormat="1">
      <c r="A4614" s="120"/>
      <c r="B4614" s="73"/>
      <c r="C4614" s="73"/>
      <c r="D4614" s="73"/>
      <c r="E4614" s="73"/>
      <c r="G4614" s="121"/>
      <c r="H4614" s="140"/>
    </row>
    <row r="4615" spans="1:9" s="65" customFormat="1">
      <c r="A4615" s="128"/>
      <c r="B4615" s="141"/>
      <c r="C4615" s="141"/>
      <c r="D4615" s="141"/>
      <c r="E4615" s="141"/>
      <c r="F4615" s="141"/>
      <c r="G4615" s="141"/>
      <c r="H4615" s="140"/>
    </row>
    <row r="4616" spans="1:9" s="65" customFormat="1">
      <c r="A4616" s="142"/>
      <c r="B4616" s="143"/>
      <c r="C4616" s="143"/>
      <c r="D4616" s="143"/>
      <c r="E4616" s="143"/>
      <c r="F4616" s="84"/>
      <c r="G4616" s="144"/>
      <c r="H4616" s="145"/>
    </row>
    <row r="4617" spans="1:9" s="65" customFormat="1">
      <c r="A4617" s="123"/>
      <c r="B4617" s="95"/>
      <c r="C4617" s="95"/>
      <c r="D4617" s="95"/>
      <c r="E4617" s="95"/>
      <c r="G4617" s="104"/>
      <c r="H4617" s="121"/>
    </row>
    <row r="4618" spans="1:9" s="65" customFormat="1">
      <c r="A4618" s="123"/>
      <c r="B4618" s="95"/>
      <c r="C4618" s="95"/>
      <c r="D4618" s="95"/>
      <c r="E4618" s="95"/>
      <c r="G4618" s="121"/>
      <c r="H4618" s="133"/>
    </row>
    <row r="4619" spans="1:9" s="65" customFormat="1">
      <c r="B4619" s="97"/>
      <c r="C4619" s="98"/>
      <c r="D4619" s="98"/>
      <c r="E4619" s="98"/>
      <c r="G4619" s="128"/>
    </row>
    <row r="4620" spans="1:9" s="65" customFormat="1">
      <c r="B4620" s="97"/>
      <c r="C4620" s="98"/>
      <c r="D4620" s="98"/>
      <c r="E4620" s="98"/>
      <c r="F4620" s="128"/>
      <c r="G4620" s="133"/>
      <c r="H4620" s="134"/>
    </row>
    <row r="4621" spans="1:9" s="65" customFormat="1">
      <c r="A4621" s="633"/>
      <c r="B4621" s="633"/>
      <c r="C4621" s="633"/>
      <c r="D4621" s="633"/>
      <c r="E4621" s="633"/>
      <c r="F4621" s="633"/>
      <c r="G4621" s="633"/>
    </row>
    <row r="4622" spans="1:9" s="65" customFormat="1">
      <c r="H4622" s="138"/>
      <c r="I4622" s="151"/>
    </row>
    <row r="4623" spans="1:9" s="65" customFormat="1">
      <c r="A4623" s="645"/>
      <c r="B4623" s="138"/>
      <c r="C4623" s="138"/>
      <c r="D4623" s="138"/>
      <c r="E4623" s="138"/>
      <c r="F4623" s="138"/>
      <c r="G4623" s="138"/>
      <c r="H4623" s="138"/>
      <c r="I4623" s="152"/>
    </row>
    <row r="4624" spans="1:9" s="65" customFormat="1">
      <c r="A4624" s="645"/>
      <c r="B4624" s="138"/>
      <c r="C4624" s="138"/>
      <c r="D4624" s="138"/>
      <c r="E4624" s="138"/>
      <c r="F4624" s="138"/>
      <c r="G4624" s="138"/>
    </row>
    <row r="4625" spans="1:8" s="65" customFormat="1">
      <c r="A4625" s="69"/>
      <c r="B4625" s="69"/>
      <c r="C4625" s="69"/>
      <c r="D4625" s="69"/>
      <c r="E4625" s="69"/>
    </row>
    <row r="4626" spans="1:8" s="65" customFormat="1">
      <c r="A4626" s="120"/>
      <c r="B4626" s="73"/>
      <c r="C4626" s="73"/>
      <c r="D4626" s="73"/>
      <c r="E4626" s="73"/>
      <c r="F4626" s="121"/>
      <c r="G4626" s="121"/>
      <c r="H4626" s="121"/>
    </row>
    <row r="4627" spans="1:8" s="65" customFormat="1">
      <c r="A4627" s="128"/>
      <c r="B4627" s="141"/>
      <c r="C4627" s="141"/>
      <c r="D4627" s="141"/>
      <c r="E4627" s="141"/>
      <c r="F4627" s="141"/>
      <c r="G4627" s="141"/>
      <c r="H4627" s="121"/>
    </row>
    <row r="4628" spans="1:8" s="65" customFormat="1">
      <c r="A4628" s="150"/>
      <c r="B4628" s="83"/>
      <c r="C4628" s="148"/>
      <c r="D4628" s="84"/>
      <c r="E4628" s="84"/>
      <c r="F4628" s="84"/>
      <c r="G4628" s="154"/>
      <c r="H4628" s="121"/>
    </row>
    <row r="4629" spans="1:8" s="65" customFormat="1">
      <c r="A4629" s="150"/>
      <c r="B4629" s="83"/>
      <c r="C4629" s="148"/>
      <c r="D4629" s="84"/>
      <c r="E4629" s="84"/>
      <c r="F4629" s="84"/>
      <c r="G4629" s="154"/>
      <c r="H4629" s="121"/>
    </row>
    <row r="4630" spans="1:8" s="65" customFormat="1">
      <c r="A4630" s="150"/>
      <c r="B4630" s="83"/>
      <c r="C4630" s="148"/>
      <c r="D4630" s="84"/>
      <c r="E4630" s="84"/>
      <c r="F4630" s="84"/>
      <c r="G4630" s="154"/>
      <c r="H4630" s="121"/>
    </row>
    <row r="4631" spans="1:8" s="65" customFormat="1">
      <c r="A4631" s="150"/>
      <c r="B4631" s="83"/>
      <c r="C4631" s="148"/>
      <c r="D4631" s="84"/>
      <c r="E4631" s="84"/>
      <c r="F4631" s="84"/>
      <c r="G4631" s="154"/>
      <c r="H4631" s="121"/>
    </row>
    <row r="4632" spans="1:8" s="65" customFormat="1">
      <c r="A4632" s="150"/>
      <c r="B4632" s="83"/>
      <c r="C4632" s="148"/>
      <c r="D4632" s="84"/>
      <c r="E4632" s="84"/>
      <c r="F4632" s="84"/>
      <c r="G4632" s="154"/>
      <c r="H4632" s="145"/>
    </row>
    <row r="4633" spans="1:8" s="65" customFormat="1">
      <c r="A4633" s="84"/>
      <c r="B4633" s="83"/>
      <c r="C4633" s="84"/>
      <c r="D4633" s="84"/>
      <c r="E4633" s="84"/>
      <c r="G4633" s="104"/>
      <c r="H4633" s="140"/>
    </row>
    <row r="4634" spans="1:8" s="65" customFormat="1">
      <c r="A4634" s="120"/>
      <c r="B4634" s="73"/>
      <c r="C4634" s="73"/>
      <c r="D4634" s="73"/>
      <c r="E4634" s="73"/>
      <c r="G4634" s="121"/>
      <c r="H4634" s="140"/>
    </row>
    <row r="4635" spans="1:8" s="65" customFormat="1">
      <c r="A4635" s="128"/>
      <c r="B4635" s="141"/>
      <c r="C4635" s="141"/>
      <c r="D4635" s="141"/>
      <c r="E4635" s="141"/>
      <c r="F4635" s="141"/>
      <c r="G4635" s="141"/>
      <c r="H4635" s="140"/>
    </row>
    <row r="4636" spans="1:8" s="65" customFormat="1">
      <c r="A4636" s="150"/>
      <c r="B4636" s="83"/>
      <c r="C4636" s="148"/>
      <c r="D4636" s="84"/>
      <c r="E4636" s="84"/>
      <c r="F4636" s="84"/>
      <c r="G4636" s="154"/>
      <c r="H4636" s="140"/>
    </row>
    <row r="4637" spans="1:8" s="65" customFormat="1">
      <c r="A4637" s="150"/>
      <c r="B4637" s="83"/>
      <c r="C4637" s="148"/>
      <c r="D4637" s="84"/>
      <c r="E4637" s="84"/>
      <c r="F4637" s="84"/>
      <c r="G4637" s="154"/>
      <c r="H4637" s="140"/>
    </row>
    <row r="4638" spans="1:8" s="65" customFormat="1">
      <c r="A4638" s="150"/>
      <c r="B4638" s="83"/>
      <c r="C4638" s="148"/>
      <c r="D4638" s="84"/>
      <c r="E4638" s="84"/>
      <c r="F4638" s="84"/>
      <c r="G4638" s="154"/>
      <c r="H4638" s="140"/>
    </row>
    <row r="4639" spans="1:8" s="65" customFormat="1">
      <c r="A4639" s="150"/>
      <c r="B4639" s="83"/>
      <c r="C4639" s="148"/>
      <c r="D4639" s="84"/>
      <c r="E4639" s="84"/>
      <c r="F4639" s="84"/>
      <c r="G4639" s="154"/>
      <c r="H4639" s="140"/>
    </row>
    <row r="4640" spans="1:8" s="65" customFormat="1">
      <c r="A4640" s="150"/>
      <c r="B4640" s="83"/>
      <c r="C4640" s="148"/>
      <c r="D4640" s="84"/>
      <c r="E4640" s="84"/>
      <c r="F4640" s="84"/>
      <c r="G4640" s="154"/>
      <c r="H4640" s="140"/>
    </row>
    <row r="4641" spans="1:8" s="65" customFormat="1">
      <c r="A4641" s="150"/>
      <c r="B4641" s="83"/>
      <c r="C4641" s="148"/>
      <c r="D4641" s="84"/>
      <c r="E4641" s="84"/>
      <c r="F4641" s="84"/>
      <c r="G4641" s="154"/>
      <c r="H4641" s="140"/>
    </row>
    <row r="4642" spans="1:8" s="65" customFormat="1">
      <c r="A4642" s="150"/>
      <c r="B4642" s="83"/>
      <c r="C4642" s="148"/>
      <c r="D4642" s="84"/>
      <c r="E4642" s="84"/>
      <c r="F4642" s="84"/>
      <c r="G4642" s="154"/>
      <c r="H4642" s="145"/>
    </row>
    <row r="4643" spans="1:8" s="65" customFormat="1">
      <c r="A4643" s="91"/>
      <c r="B4643" s="91"/>
      <c r="C4643" s="91"/>
      <c r="D4643" s="91"/>
      <c r="E4643" s="91"/>
      <c r="G4643" s="104"/>
      <c r="H4643" s="140"/>
    </row>
    <row r="4644" spans="1:8" s="65" customFormat="1">
      <c r="A4644" s="120"/>
      <c r="B4644" s="73"/>
      <c r="C4644" s="73"/>
      <c r="D4644" s="73"/>
      <c r="E4644" s="73"/>
      <c r="G4644" s="121"/>
      <c r="H4644" s="140"/>
    </row>
    <row r="4645" spans="1:8" s="65" customFormat="1">
      <c r="A4645" s="128"/>
      <c r="B4645" s="141"/>
      <c r="C4645" s="141"/>
      <c r="D4645" s="141"/>
      <c r="E4645" s="141"/>
      <c r="F4645" s="141"/>
      <c r="G4645" s="141"/>
      <c r="H4645" s="140"/>
    </row>
    <row r="4646" spans="1:8" s="65" customFormat="1">
      <c r="A4646" s="146"/>
      <c r="B4646" s="83"/>
      <c r="C4646" s="148"/>
      <c r="D4646" s="84"/>
      <c r="E4646" s="84"/>
      <c r="F4646" s="84"/>
      <c r="G4646" s="144"/>
      <c r="H4646" s="140"/>
    </row>
    <row r="4647" spans="1:8" s="65" customFormat="1">
      <c r="A4647" s="146"/>
      <c r="B4647" s="83"/>
      <c r="C4647" s="148"/>
      <c r="D4647" s="84"/>
      <c r="E4647" s="84"/>
      <c r="F4647" s="84"/>
      <c r="G4647" s="144"/>
      <c r="H4647" s="145"/>
    </row>
    <row r="4648" spans="1:8" s="65" customFormat="1">
      <c r="A4648" s="91"/>
      <c r="B4648" s="91"/>
      <c r="C4648" s="91"/>
      <c r="D4648" s="91"/>
      <c r="E4648" s="91"/>
      <c r="G4648" s="104"/>
      <c r="H4648" s="140"/>
    </row>
    <row r="4649" spans="1:8" s="65" customFormat="1">
      <c r="A4649" s="120"/>
      <c r="B4649" s="73"/>
      <c r="C4649" s="73"/>
      <c r="D4649" s="73"/>
      <c r="E4649" s="73"/>
      <c r="G4649" s="121"/>
      <c r="H4649" s="140"/>
    </row>
    <row r="4650" spans="1:8" s="65" customFormat="1">
      <c r="A4650" s="128"/>
      <c r="B4650" s="141"/>
      <c r="C4650" s="141"/>
      <c r="D4650" s="141"/>
      <c r="E4650" s="141"/>
      <c r="F4650" s="141"/>
      <c r="G4650" s="141"/>
      <c r="H4650" s="140"/>
    </row>
    <row r="4651" spans="1:8" s="65" customFormat="1">
      <c r="A4651" s="142"/>
      <c r="B4651" s="143"/>
      <c r="C4651" s="143"/>
      <c r="D4651" s="143"/>
      <c r="E4651" s="143"/>
      <c r="F4651" s="84"/>
      <c r="G4651" s="144"/>
      <c r="H4651" s="145"/>
    </row>
    <row r="4652" spans="1:8" s="65" customFormat="1">
      <c r="A4652" s="123"/>
      <c r="B4652" s="95"/>
      <c r="C4652" s="95"/>
      <c r="D4652" s="95"/>
      <c r="E4652" s="95"/>
      <c r="G4652" s="104"/>
      <c r="H4652" s="121"/>
    </row>
    <row r="4653" spans="1:8" s="65" customFormat="1">
      <c r="A4653" s="123"/>
      <c r="B4653" s="95"/>
      <c r="C4653" s="95"/>
      <c r="D4653" s="95"/>
      <c r="E4653" s="95"/>
      <c r="G4653" s="121"/>
      <c r="H4653" s="133"/>
    </row>
    <row r="4654" spans="1:8" s="65" customFormat="1">
      <c r="B4654" s="97"/>
      <c r="C4654" s="98"/>
      <c r="D4654" s="98"/>
      <c r="E4654" s="98"/>
      <c r="G4654" s="128"/>
    </row>
    <row r="4655" spans="1:8" s="65" customFormat="1">
      <c r="B4655" s="97"/>
      <c r="C4655" s="98"/>
      <c r="D4655" s="98"/>
      <c r="E4655" s="98"/>
      <c r="F4655" s="128"/>
      <c r="G4655" s="133"/>
      <c r="H4655" s="134"/>
    </row>
    <row r="4656" spans="1:8" s="65" customFormat="1">
      <c r="A4656" s="633"/>
      <c r="B4656" s="633"/>
      <c r="C4656" s="633"/>
      <c r="D4656" s="633"/>
      <c r="E4656" s="633"/>
      <c r="F4656" s="633"/>
      <c r="G4656" s="633"/>
    </row>
    <row r="4657" spans="1:9" s="65" customFormat="1">
      <c r="H4657" s="138"/>
      <c r="I4657" s="151"/>
    </row>
    <row r="4658" spans="1:9" s="65" customFormat="1">
      <c r="A4658" s="645"/>
      <c r="B4658" s="138"/>
      <c r="C4658" s="138"/>
      <c r="D4658" s="138"/>
      <c r="E4658" s="138"/>
      <c r="F4658" s="138"/>
      <c r="G4658" s="138"/>
      <c r="H4658" s="138"/>
      <c r="I4658" s="152"/>
    </row>
    <row r="4659" spans="1:9" s="65" customFormat="1">
      <c r="A4659" s="645"/>
      <c r="B4659" s="138"/>
      <c r="C4659" s="138"/>
      <c r="D4659" s="138"/>
      <c r="E4659" s="138"/>
      <c r="F4659" s="138"/>
      <c r="G4659" s="138"/>
    </row>
    <row r="4660" spans="1:9" s="65" customFormat="1">
      <c r="A4660" s="69"/>
      <c r="B4660" s="69"/>
      <c r="C4660" s="69"/>
      <c r="D4660" s="69"/>
      <c r="E4660" s="69"/>
    </row>
    <row r="4661" spans="1:9" s="65" customFormat="1">
      <c r="A4661" s="120"/>
      <c r="B4661" s="73"/>
      <c r="C4661" s="73"/>
      <c r="D4661" s="73"/>
      <c r="E4661" s="73"/>
      <c r="F4661" s="121"/>
      <c r="G4661" s="121"/>
      <c r="H4661" s="121"/>
    </row>
    <row r="4662" spans="1:9" s="65" customFormat="1">
      <c r="A4662" s="128"/>
      <c r="B4662" s="141"/>
      <c r="C4662" s="141"/>
      <c r="D4662" s="141"/>
      <c r="E4662" s="141"/>
      <c r="F4662" s="141"/>
      <c r="G4662" s="141"/>
      <c r="H4662" s="121"/>
    </row>
    <row r="4663" spans="1:9" s="65" customFormat="1">
      <c r="A4663" s="150"/>
      <c r="B4663" s="83"/>
      <c r="C4663" s="148"/>
      <c r="D4663" s="84"/>
      <c r="E4663" s="84"/>
      <c r="F4663" s="84"/>
      <c r="G4663" s="154"/>
      <c r="H4663" s="121"/>
    </row>
    <row r="4664" spans="1:9" s="65" customFormat="1">
      <c r="A4664" s="150"/>
      <c r="B4664" s="83"/>
      <c r="C4664" s="148"/>
      <c r="D4664" s="84"/>
      <c r="E4664" s="84"/>
      <c r="F4664" s="84"/>
      <c r="G4664" s="154"/>
      <c r="H4664" s="121"/>
    </row>
    <row r="4665" spans="1:9" s="65" customFormat="1">
      <c r="A4665" s="150"/>
      <c r="B4665" s="83"/>
      <c r="C4665" s="148"/>
      <c r="D4665" s="84"/>
      <c r="E4665" s="84"/>
      <c r="F4665" s="84"/>
      <c r="G4665" s="154"/>
      <c r="H4665" s="145"/>
    </row>
    <row r="4666" spans="1:9" s="65" customFormat="1">
      <c r="A4666" s="84"/>
      <c r="B4666" s="83"/>
      <c r="C4666" s="84"/>
      <c r="D4666" s="84"/>
      <c r="E4666" s="84"/>
      <c r="G4666" s="104"/>
      <c r="H4666" s="140"/>
    </row>
    <row r="4667" spans="1:9" s="65" customFormat="1">
      <c r="A4667" s="120"/>
      <c r="B4667" s="73"/>
      <c r="C4667" s="73"/>
      <c r="D4667" s="73"/>
      <c r="E4667" s="73"/>
      <c r="G4667" s="121"/>
      <c r="H4667" s="140"/>
    </row>
    <row r="4668" spans="1:9" s="65" customFormat="1">
      <c r="A4668" s="128"/>
      <c r="B4668" s="141"/>
      <c r="C4668" s="141"/>
      <c r="D4668" s="141"/>
      <c r="E4668" s="141"/>
      <c r="F4668" s="141"/>
      <c r="G4668" s="141"/>
      <c r="H4668" s="140"/>
    </row>
    <row r="4669" spans="1:9" s="65" customFormat="1">
      <c r="A4669" s="150"/>
      <c r="B4669" s="83"/>
      <c r="C4669" s="148"/>
      <c r="D4669" s="84"/>
      <c r="E4669" s="84"/>
      <c r="F4669" s="84"/>
      <c r="G4669" s="154"/>
      <c r="H4669" s="140"/>
    </row>
    <row r="4670" spans="1:9" s="65" customFormat="1">
      <c r="A4670" s="150"/>
      <c r="B4670" s="83"/>
      <c r="C4670" s="148"/>
      <c r="D4670" s="84"/>
      <c r="E4670" s="84"/>
      <c r="F4670" s="84"/>
      <c r="G4670" s="154"/>
      <c r="H4670" s="145"/>
    </row>
    <row r="4671" spans="1:9" s="65" customFormat="1">
      <c r="A4671" s="91"/>
      <c r="B4671" s="91"/>
      <c r="C4671" s="91"/>
      <c r="D4671" s="91"/>
      <c r="E4671" s="91"/>
      <c r="G4671" s="104"/>
      <c r="H4671" s="140"/>
    </row>
    <row r="4672" spans="1:9" s="65" customFormat="1">
      <c r="A4672" s="120"/>
      <c r="B4672" s="73"/>
      <c r="C4672" s="73"/>
      <c r="D4672" s="73"/>
      <c r="E4672" s="73"/>
      <c r="G4672" s="121"/>
      <c r="H4672" s="140"/>
    </row>
    <row r="4673" spans="1:9" s="65" customFormat="1">
      <c r="A4673" s="128"/>
      <c r="B4673" s="141"/>
      <c r="C4673" s="141"/>
      <c r="D4673" s="141"/>
      <c r="E4673" s="141"/>
      <c r="F4673" s="141"/>
      <c r="G4673" s="141"/>
      <c r="H4673" s="140"/>
    </row>
    <row r="4674" spans="1:9" s="65" customFormat="1">
      <c r="A4674" s="146"/>
      <c r="B4674" s="83"/>
      <c r="C4674" s="148"/>
      <c r="D4674" s="84"/>
      <c r="E4674" s="84"/>
      <c r="F4674" s="84"/>
      <c r="G4674" s="144"/>
      <c r="H4674" s="145"/>
    </row>
    <row r="4675" spans="1:9" s="65" customFormat="1">
      <c r="A4675" s="91"/>
      <c r="B4675" s="91"/>
      <c r="C4675" s="91"/>
      <c r="D4675" s="91"/>
      <c r="E4675" s="91"/>
      <c r="G4675" s="104"/>
      <c r="H4675" s="140"/>
    </row>
    <row r="4676" spans="1:9" s="65" customFormat="1">
      <c r="A4676" s="120"/>
      <c r="B4676" s="73"/>
      <c r="C4676" s="73"/>
      <c r="D4676" s="73"/>
      <c r="E4676" s="73"/>
      <c r="G4676" s="121"/>
      <c r="H4676" s="140"/>
    </row>
    <row r="4677" spans="1:9" s="65" customFormat="1">
      <c r="A4677" s="128"/>
      <c r="B4677" s="141"/>
      <c r="C4677" s="141"/>
      <c r="D4677" s="141"/>
      <c r="E4677" s="141"/>
      <c r="F4677" s="141"/>
      <c r="G4677" s="141"/>
      <c r="H4677" s="140"/>
    </row>
    <row r="4678" spans="1:9" s="65" customFormat="1">
      <c r="A4678" s="142"/>
      <c r="B4678" s="143"/>
      <c r="C4678" s="143"/>
      <c r="D4678" s="143"/>
      <c r="E4678" s="143"/>
      <c r="F4678" s="84"/>
      <c r="G4678" s="144"/>
      <c r="H4678" s="145"/>
    </row>
    <row r="4679" spans="1:9" s="65" customFormat="1">
      <c r="A4679" s="123"/>
      <c r="B4679" s="95"/>
      <c r="C4679" s="95"/>
      <c r="D4679" s="95"/>
      <c r="E4679" s="95"/>
      <c r="G4679" s="104"/>
      <c r="H4679" s="121"/>
    </row>
    <row r="4680" spans="1:9" s="65" customFormat="1">
      <c r="A4680" s="123"/>
      <c r="B4680" s="95"/>
      <c r="C4680" s="95"/>
      <c r="D4680" s="95"/>
      <c r="E4680" s="95"/>
      <c r="G4680" s="121"/>
      <c r="H4680" s="133"/>
    </row>
    <row r="4681" spans="1:9" s="65" customFormat="1">
      <c r="B4681" s="97"/>
      <c r="C4681" s="98"/>
      <c r="D4681" s="98"/>
      <c r="E4681" s="98"/>
      <c r="G4681" s="128"/>
    </row>
    <row r="4682" spans="1:9" s="65" customFormat="1">
      <c r="B4682" s="97"/>
      <c r="C4682" s="98"/>
      <c r="D4682" s="98"/>
      <c r="E4682" s="98"/>
      <c r="F4682" s="128"/>
      <c r="G4682" s="133"/>
      <c r="H4682" s="134"/>
    </row>
    <row r="4683" spans="1:9" s="65" customFormat="1">
      <c r="A4683" s="633"/>
      <c r="B4683" s="633"/>
      <c r="C4683" s="633"/>
      <c r="D4683" s="633"/>
      <c r="E4683" s="633"/>
      <c r="F4683" s="633"/>
      <c r="G4683" s="633"/>
    </row>
    <row r="4684" spans="1:9" s="65" customFormat="1">
      <c r="H4684" s="138"/>
      <c r="I4684" s="151"/>
    </row>
    <row r="4685" spans="1:9" s="65" customFormat="1">
      <c r="A4685" s="645"/>
      <c r="B4685" s="138"/>
      <c r="C4685" s="138"/>
      <c r="D4685" s="138"/>
      <c r="E4685" s="138"/>
      <c r="F4685" s="138"/>
      <c r="G4685" s="138"/>
      <c r="H4685" s="138"/>
      <c r="I4685" s="152"/>
    </row>
    <row r="4686" spans="1:9" s="65" customFormat="1">
      <c r="A4686" s="645"/>
      <c r="B4686" s="138"/>
      <c r="C4686" s="138"/>
      <c r="D4686" s="138"/>
      <c r="E4686" s="138"/>
      <c r="F4686" s="138"/>
      <c r="G4686" s="138"/>
    </row>
    <row r="4687" spans="1:9" s="65" customFormat="1">
      <c r="A4687" s="69"/>
      <c r="B4687" s="69"/>
      <c r="C4687" s="69"/>
      <c r="D4687" s="69"/>
      <c r="E4687" s="69"/>
    </row>
    <row r="4688" spans="1:9" s="65" customFormat="1">
      <c r="A4688" s="120"/>
      <c r="B4688" s="73"/>
      <c r="C4688" s="73"/>
      <c r="D4688" s="73"/>
      <c r="E4688" s="73"/>
      <c r="F4688" s="121"/>
      <c r="G4688" s="121"/>
      <c r="H4688" s="121"/>
    </row>
    <row r="4689" spans="1:8" s="65" customFormat="1">
      <c r="A4689" s="128"/>
      <c r="B4689" s="141"/>
      <c r="C4689" s="141"/>
      <c r="D4689" s="141"/>
      <c r="E4689" s="141"/>
      <c r="F4689" s="141"/>
      <c r="G4689" s="141"/>
      <c r="H4689" s="121"/>
    </row>
    <row r="4690" spans="1:8" s="65" customFormat="1">
      <c r="A4690" s="150"/>
      <c r="B4690" s="83"/>
      <c r="C4690" s="148"/>
      <c r="D4690" s="84"/>
      <c r="E4690" s="84"/>
      <c r="F4690" s="84"/>
      <c r="G4690" s="154"/>
      <c r="H4690" s="145"/>
    </row>
    <row r="4691" spans="1:8" s="65" customFormat="1">
      <c r="A4691" s="84"/>
      <c r="B4691" s="83"/>
      <c r="C4691" s="84"/>
      <c r="D4691" s="84"/>
      <c r="E4691" s="84"/>
      <c r="G4691" s="104"/>
      <c r="H4691" s="140"/>
    </row>
    <row r="4692" spans="1:8" s="65" customFormat="1">
      <c r="A4692" s="120"/>
      <c r="B4692" s="73"/>
      <c r="C4692" s="73"/>
      <c r="D4692" s="73"/>
      <c r="E4692" s="73"/>
      <c r="G4692" s="121"/>
      <c r="H4692" s="140"/>
    </row>
    <row r="4693" spans="1:8" s="65" customFormat="1">
      <c r="A4693" s="128"/>
      <c r="B4693" s="141"/>
      <c r="C4693" s="141"/>
      <c r="D4693" s="141"/>
      <c r="E4693" s="141"/>
      <c r="F4693" s="141"/>
      <c r="G4693" s="141"/>
      <c r="H4693" s="140"/>
    </row>
    <row r="4694" spans="1:8" s="65" customFormat="1">
      <c r="A4694" s="150"/>
      <c r="B4694" s="83"/>
      <c r="C4694" s="148"/>
      <c r="D4694" s="84"/>
      <c r="E4694" s="84"/>
      <c r="F4694" s="84"/>
      <c r="G4694" s="154"/>
      <c r="H4694" s="140"/>
    </row>
    <row r="4695" spans="1:8" s="65" customFormat="1">
      <c r="A4695" s="150"/>
      <c r="B4695" s="83"/>
      <c r="C4695" s="148"/>
      <c r="D4695" s="84"/>
      <c r="E4695" s="84"/>
      <c r="F4695" s="84"/>
      <c r="G4695" s="154"/>
      <c r="H4695" s="140"/>
    </row>
    <row r="4696" spans="1:8" s="65" customFormat="1">
      <c r="A4696" s="150"/>
      <c r="B4696" s="83"/>
      <c r="C4696" s="148"/>
      <c r="D4696" s="84"/>
      <c r="E4696" s="84"/>
      <c r="F4696" s="84"/>
      <c r="G4696" s="154"/>
      <c r="H4696" s="145"/>
    </row>
    <row r="4697" spans="1:8" s="65" customFormat="1">
      <c r="A4697" s="91"/>
      <c r="B4697" s="91"/>
      <c r="C4697" s="91"/>
      <c r="D4697" s="91"/>
      <c r="E4697" s="91"/>
      <c r="G4697" s="104"/>
      <c r="H4697" s="140"/>
    </row>
    <row r="4698" spans="1:8" s="65" customFormat="1">
      <c r="A4698" s="120"/>
      <c r="B4698" s="73"/>
      <c r="C4698" s="73"/>
      <c r="D4698" s="73"/>
      <c r="E4698" s="73"/>
      <c r="G4698" s="121"/>
      <c r="H4698" s="140"/>
    </row>
    <row r="4699" spans="1:8" s="65" customFormat="1">
      <c r="A4699" s="128"/>
      <c r="B4699" s="141"/>
      <c r="C4699" s="141"/>
      <c r="D4699" s="141"/>
      <c r="E4699" s="141"/>
      <c r="F4699" s="141"/>
      <c r="G4699" s="141"/>
      <c r="H4699" s="140"/>
    </row>
    <row r="4700" spans="1:8" s="65" customFormat="1">
      <c r="A4700" s="146"/>
      <c r="B4700" s="83"/>
      <c r="C4700" s="148"/>
      <c r="D4700" s="84"/>
      <c r="E4700" s="84"/>
      <c r="F4700" s="84"/>
      <c r="G4700" s="144"/>
      <c r="H4700" s="145"/>
    </row>
    <row r="4701" spans="1:8" s="65" customFormat="1">
      <c r="A4701" s="91"/>
      <c r="B4701" s="91"/>
      <c r="C4701" s="91"/>
      <c r="D4701" s="91"/>
      <c r="E4701" s="91"/>
      <c r="G4701" s="104"/>
      <c r="H4701" s="140"/>
    </row>
    <row r="4702" spans="1:8" s="65" customFormat="1">
      <c r="A4702" s="120"/>
      <c r="B4702" s="73"/>
      <c r="C4702" s="73"/>
      <c r="D4702" s="73"/>
      <c r="E4702" s="73"/>
      <c r="G4702" s="121"/>
      <c r="H4702" s="140"/>
    </row>
    <row r="4703" spans="1:8" s="65" customFormat="1">
      <c r="A4703" s="128"/>
      <c r="B4703" s="141"/>
      <c r="C4703" s="141"/>
      <c r="D4703" s="141"/>
      <c r="E4703" s="141"/>
      <c r="F4703" s="141"/>
      <c r="G4703" s="141"/>
      <c r="H4703" s="140"/>
    </row>
    <row r="4704" spans="1:8" s="65" customFormat="1">
      <c r="A4704" s="142"/>
      <c r="B4704" s="143"/>
      <c r="C4704" s="143"/>
      <c r="D4704" s="143"/>
      <c r="E4704" s="143"/>
      <c r="F4704" s="84"/>
      <c r="G4704" s="144"/>
      <c r="H4704" s="145"/>
    </row>
    <row r="4705" spans="1:9" s="65" customFormat="1">
      <c r="A4705" s="123"/>
      <c r="B4705" s="95"/>
      <c r="C4705" s="95"/>
      <c r="D4705" s="95"/>
      <c r="E4705" s="95"/>
      <c r="G4705" s="104"/>
      <c r="H4705" s="121"/>
    </row>
    <row r="4706" spans="1:9" s="65" customFormat="1">
      <c r="A4706" s="123"/>
      <c r="B4706" s="95"/>
      <c r="C4706" s="95"/>
      <c r="D4706" s="95"/>
      <c r="E4706" s="95"/>
      <c r="G4706" s="121"/>
      <c r="H4706" s="133"/>
    </row>
    <row r="4707" spans="1:9" s="65" customFormat="1">
      <c r="B4707" s="97"/>
      <c r="C4707" s="98"/>
      <c r="D4707" s="98"/>
      <c r="E4707" s="98"/>
      <c r="G4707" s="128"/>
    </row>
    <row r="4708" spans="1:9" s="65" customFormat="1">
      <c r="B4708" s="97"/>
      <c r="C4708" s="98"/>
      <c r="D4708" s="98"/>
      <c r="E4708" s="98"/>
      <c r="F4708" s="128"/>
      <c r="G4708" s="133"/>
      <c r="H4708" s="134"/>
    </row>
    <row r="4709" spans="1:9" s="65" customFormat="1">
      <c r="A4709" s="633"/>
      <c r="B4709" s="633"/>
      <c r="C4709" s="633"/>
      <c r="D4709" s="633"/>
      <c r="E4709" s="633"/>
      <c r="F4709" s="633"/>
      <c r="G4709" s="633"/>
    </row>
    <row r="4710" spans="1:9" s="65" customFormat="1">
      <c r="H4710" s="138"/>
      <c r="I4710" s="151"/>
    </row>
    <row r="4711" spans="1:9" s="65" customFormat="1">
      <c r="A4711" s="645"/>
      <c r="B4711" s="138"/>
      <c r="C4711" s="138"/>
      <c r="D4711" s="138"/>
      <c r="E4711" s="138"/>
      <c r="F4711" s="138"/>
      <c r="G4711" s="138"/>
      <c r="H4711" s="138"/>
      <c r="I4711" s="152"/>
    </row>
    <row r="4712" spans="1:9" s="65" customFormat="1">
      <c r="A4712" s="645"/>
      <c r="B4712" s="138"/>
      <c r="C4712" s="138"/>
      <c r="D4712" s="138"/>
      <c r="E4712" s="138"/>
      <c r="F4712" s="138"/>
      <c r="G4712" s="138"/>
    </row>
    <row r="4713" spans="1:9" s="65" customFormat="1">
      <c r="A4713" s="69"/>
      <c r="B4713" s="69"/>
      <c r="C4713" s="69"/>
      <c r="D4713" s="69"/>
      <c r="E4713" s="69"/>
    </row>
    <row r="4714" spans="1:9" s="65" customFormat="1">
      <c r="A4714" s="120"/>
      <c r="B4714" s="73"/>
      <c r="C4714" s="73"/>
      <c r="D4714" s="73"/>
      <c r="E4714" s="73"/>
      <c r="F4714" s="121"/>
      <c r="G4714" s="121"/>
      <c r="H4714" s="121"/>
    </row>
    <row r="4715" spans="1:9" s="65" customFormat="1">
      <c r="A4715" s="128"/>
      <c r="B4715" s="141"/>
      <c r="C4715" s="141"/>
      <c r="D4715" s="141"/>
      <c r="E4715" s="141"/>
      <c r="F4715" s="141"/>
      <c r="G4715" s="141"/>
      <c r="H4715" s="121"/>
    </row>
    <row r="4716" spans="1:9" s="65" customFormat="1">
      <c r="A4716" s="150"/>
      <c r="B4716" s="83"/>
      <c r="C4716" s="148"/>
      <c r="D4716" s="84"/>
      <c r="E4716" s="84"/>
      <c r="F4716" s="84"/>
      <c r="G4716" s="154"/>
      <c r="H4716" s="121"/>
    </row>
    <row r="4717" spans="1:9" s="65" customFormat="1">
      <c r="A4717" s="150"/>
      <c r="B4717" s="83"/>
      <c r="C4717" s="148"/>
      <c r="D4717" s="84"/>
      <c r="E4717" s="84"/>
      <c r="F4717" s="84"/>
      <c r="G4717" s="154"/>
      <c r="H4717" s="145"/>
    </row>
    <row r="4718" spans="1:9" s="65" customFormat="1">
      <c r="A4718" s="84"/>
      <c r="B4718" s="83"/>
      <c r="C4718" s="84"/>
      <c r="D4718" s="84"/>
      <c r="E4718" s="84"/>
      <c r="G4718" s="104"/>
      <c r="H4718" s="140"/>
    </row>
    <row r="4719" spans="1:9" s="65" customFormat="1">
      <c r="A4719" s="120"/>
      <c r="B4719" s="73"/>
      <c r="C4719" s="73"/>
      <c r="D4719" s="73"/>
      <c r="E4719" s="73"/>
      <c r="G4719" s="121"/>
      <c r="H4719" s="140"/>
    </row>
    <row r="4720" spans="1:9" s="65" customFormat="1">
      <c r="A4720" s="128"/>
      <c r="B4720" s="141"/>
      <c r="C4720" s="141"/>
      <c r="D4720" s="141"/>
      <c r="E4720" s="141"/>
      <c r="F4720" s="141"/>
      <c r="G4720" s="141"/>
      <c r="H4720" s="140"/>
    </row>
    <row r="4721" spans="1:9" s="65" customFormat="1">
      <c r="A4721" s="150"/>
      <c r="B4721" s="83"/>
      <c r="C4721" s="148"/>
      <c r="D4721" s="84"/>
      <c r="E4721" s="84"/>
      <c r="F4721" s="84"/>
      <c r="G4721" s="154"/>
      <c r="H4721" s="140"/>
    </row>
    <row r="4722" spans="1:9" s="65" customFormat="1">
      <c r="A4722" s="150"/>
      <c r="B4722" s="83"/>
      <c r="C4722" s="148"/>
      <c r="D4722" s="84"/>
      <c r="E4722" s="84"/>
      <c r="F4722" s="84"/>
      <c r="G4722" s="154"/>
      <c r="H4722" s="145"/>
    </row>
    <row r="4723" spans="1:9" s="65" customFormat="1">
      <c r="A4723" s="91"/>
      <c r="B4723" s="91"/>
      <c r="C4723" s="91"/>
      <c r="D4723" s="91"/>
      <c r="E4723" s="91"/>
      <c r="G4723" s="104"/>
      <c r="H4723" s="140"/>
    </row>
    <row r="4724" spans="1:9" s="65" customFormat="1">
      <c r="A4724" s="120"/>
      <c r="B4724" s="73"/>
      <c r="C4724" s="73"/>
      <c r="D4724" s="73"/>
      <c r="E4724" s="73"/>
      <c r="G4724" s="121"/>
      <c r="H4724" s="140"/>
    </row>
    <row r="4725" spans="1:9" s="65" customFormat="1">
      <c r="A4725" s="128"/>
      <c r="B4725" s="141"/>
      <c r="C4725" s="141"/>
      <c r="D4725" s="141"/>
      <c r="E4725" s="141"/>
      <c r="F4725" s="141"/>
      <c r="G4725" s="141"/>
      <c r="H4725" s="140"/>
    </row>
    <row r="4726" spans="1:9" s="65" customFormat="1">
      <c r="A4726" s="146"/>
      <c r="B4726" s="83"/>
      <c r="C4726" s="148"/>
      <c r="D4726" s="84"/>
      <c r="E4726" s="84"/>
      <c r="F4726" s="84"/>
      <c r="G4726" s="144"/>
      <c r="H4726" s="145"/>
    </row>
    <row r="4727" spans="1:9" s="65" customFormat="1">
      <c r="A4727" s="91"/>
      <c r="B4727" s="91"/>
      <c r="C4727" s="91"/>
      <c r="D4727" s="91"/>
      <c r="E4727" s="91"/>
      <c r="G4727" s="104"/>
      <c r="H4727" s="140"/>
    </row>
    <row r="4728" spans="1:9" s="65" customFormat="1">
      <c r="A4728" s="120"/>
      <c r="B4728" s="73"/>
      <c r="C4728" s="73"/>
      <c r="D4728" s="73"/>
      <c r="E4728" s="73"/>
      <c r="G4728" s="121"/>
      <c r="H4728" s="140"/>
    </row>
    <row r="4729" spans="1:9" s="65" customFormat="1">
      <c r="A4729" s="128"/>
      <c r="B4729" s="141"/>
      <c r="C4729" s="141"/>
      <c r="D4729" s="141"/>
      <c r="E4729" s="141"/>
      <c r="F4729" s="141"/>
      <c r="G4729" s="141"/>
      <c r="H4729" s="140"/>
    </row>
    <row r="4730" spans="1:9" s="65" customFormat="1">
      <c r="A4730" s="142"/>
      <c r="B4730" s="143"/>
      <c r="C4730" s="143"/>
      <c r="D4730" s="143"/>
      <c r="E4730" s="143"/>
      <c r="F4730" s="84"/>
      <c r="G4730" s="144"/>
      <c r="H4730" s="145"/>
    </row>
    <row r="4731" spans="1:9" s="65" customFormat="1">
      <c r="A4731" s="123"/>
      <c r="B4731" s="95"/>
      <c r="C4731" s="95"/>
      <c r="D4731" s="95"/>
      <c r="E4731" s="95"/>
      <c r="G4731" s="104"/>
      <c r="H4731" s="121"/>
    </row>
    <row r="4732" spans="1:9" s="65" customFormat="1">
      <c r="A4732" s="123"/>
      <c r="B4732" s="95"/>
      <c r="C4732" s="95"/>
      <c r="D4732" s="95"/>
      <c r="E4732" s="95"/>
      <c r="G4732" s="121"/>
      <c r="H4732" s="133"/>
    </row>
    <row r="4733" spans="1:9" s="65" customFormat="1">
      <c r="B4733" s="97"/>
      <c r="C4733" s="98"/>
      <c r="D4733" s="98"/>
      <c r="E4733" s="98"/>
      <c r="G4733" s="128"/>
    </row>
    <row r="4734" spans="1:9" s="65" customFormat="1">
      <c r="B4734" s="97"/>
      <c r="C4734" s="98"/>
      <c r="D4734" s="98"/>
      <c r="E4734" s="98"/>
      <c r="F4734" s="128"/>
      <c r="G4734" s="133"/>
      <c r="H4734" s="134"/>
    </row>
    <row r="4735" spans="1:9" s="65" customFormat="1">
      <c r="A4735" s="633"/>
      <c r="B4735" s="633"/>
      <c r="C4735" s="633"/>
      <c r="D4735" s="633"/>
      <c r="E4735" s="633"/>
      <c r="F4735" s="633"/>
      <c r="G4735" s="633"/>
    </row>
    <row r="4736" spans="1:9" s="65" customFormat="1">
      <c r="H4736" s="138"/>
      <c r="I4736" s="151"/>
    </row>
    <row r="4737" spans="1:9" s="65" customFormat="1">
      <c r="A4737" s="645"/>
      <c r="B4737" s="138"/>
      <c r="C4737" s="138"/>
      <c r="D4737" s="138"/>
      <c r="E4737" s="138"/>
      <c r="F4737" s="138"/>
      <c r="G4737" s="138"/>
      <c r="H4737" s="138"/>
      <c r="I4737" s="152"/>
    </row>
    <row r="4738" spans="1:9" s="65" customFormat="1">
      <c r="A4738" s="645"/>
      <c r="B4738" s="138"/>
      <c r="C4738" s="138"/>
      <c r="D4738" s="138"/>
      <c r="E4738" s="138"/>
      <c r="F4738" s="138"/>
      <c r="G4738" s="138"/>
    </row>
    <row r="4739" spans="1:9" s="65" customFormat="1">
      <c r="A4739" s="69"/>
      <c r="B4739" s="69"/>
      <c r="C4739" s="69"/>
      <c r="D4739" s="69"/>
      <c r="E4739" s="69"/>
    </row>
    <row r="4740" spans="1:9" s="65" customFormat="1">
      <c r="A4740" s="120"/>
      <c r="B4740" s="73"/>
      <c r="C4740" s="73"/>
      <c r="D4740" s="73"/>
      <c r="E4740" s="73"/>
      <c r="F4740" s="121"/>
      <c r="G4740" s="121"/>
      <c r="H4740" s="121"/>
    </row>
    <row r="4741" spans="1:9" s="65" customFormat="1">
      <c r="A4741" s="128"/>
      <c r="B4741" s="141"/>
      <c r="C4741" s="141"/>
      <c r="D4741" s="141"/>
      <c r="E4741" s="141"/>
      <c r="F4741" s="141"/>
      <c r="G4741" s="141"/>
      <c r="H4741" s="121"/>
    </row>
    <row r="4742" spans="1:9" s="65" customFormat="1">
      <c r="A4742" s="150"/>
      <c r="B4742" s="83"/>
      <c r="C4742" s="148"/>
      <c r="D4742" s="84"/>
      <c r="E4742" s="84"/>
      <c r="F4742" s="84"/>
      <c r="G4742" s="154"/>
      <c r="H4742" s="121"/>
    </row>
    <row r="4743" spans="1:9" s="65" customFormat="1">
      <c r="A4743" s="150"/>
      <c r="B4743" s="83"/>
      <c r="C4743" s="148"/>
      <c r="D4743" s="84"/>
      <c r="E4743" s="84"/>
      <c r="F4743" s="84"/>
      <c r="G4743" s="154"/>
      <c r="H4743" s="145"/>
    </row>
    <row r="4744" spans="1:9" s="65" customFormat="1">
      <c r="A4744" s="84"/>
      <c r="B4744" s="83"/>
      <c r="C4744" s="84"/>
      <c r="D4744" s="84"/>
      <c r="E4744" s="84"/>
      <c r="G4744" s="104"/>
      <c r="H4744" s="140"/>
    </row>
    <row r="4745" spans="1:9" s="65" customFormat="1">
      <c r="A4745" s="120"/>
      <c r="B4745" s="73"/>
      <c r="C4745" s="73"/>
      <c r="D4745" s="73"/>
      <c r="E4745" s="73"/>
      <c r="G4745" s="121"/>
      <c r="H4745" s="140"/>
    </row>
    <row r="4746" spans="1:9" s="65" customFormat="1">
      <c r="A4746" s="128"/>
      <c r="B4746" s="141"/>
      <c r="C4746" s="141"/>
      <c r="D4746" s="141"/>
      <c r="E4746" s="141"/>
      <c r="F4746" s="141"/>
      <c r="G4746" s="141"/>
      <c r="H4746" s="140"/>
    </row>
    <row r="4747" spans="1:9" s="65" customFormat="1">
      <c r="A4747" s="150"/>
      <c r="B4747" s="83"/>
      <c r="C4747" s="148"/>
      <c r="D4747" s="84"/>
      <c r="E4747" s="84"/>
      <c r="F4747" s="84"/>
      <c r="G4747" s="154"/>
      <c r="H4747" s="145"/>
    </row>
    <row r="4748" spans="1:9" s="65" customFormat="1">
      <c r="A4748" s="91"/>
      <c r="B4748" s="91"/>
      <c r="C4748" s="91"/>
      <c r="D4748" s="91"/>
      <c r="E4748" s="91"/>
      <c r="G4748" s="104"/>
      <c r="H4748" s="140"/>
    </row>
    <row r="4749" spans="1:9" s="65" customFormat="1">
      <c r="A4749" s="120"/>
      <c r="B4749" s="73"/>
      <c r="C4749" s="73"/>
      <c r="D4749" s="73"/>
      <c r="E4749" s="73"/>
      <c r="G4749" s="121"/>
      <c r="H4749" s="140"/>
    </row>
    <row r="4750" spans="1:9" s="65" customFormat="1">
      <c r="A4750" s="128"/>
      <c r="B4750" s="141"/>
      <c r="C4750" s="141"/>
      <c r="D4750" s="141"/>
      <c r="E4750" s="141"/>
      <c r="F4750" s="141"/>
      <c r="G4750" s="141"/>
      <c r="H4750" s="140"/>
    </row>
    <row r="4751" spans="1:9" s="65" customFormat="1">
      <c r="A4751" s="146"/>
      <c r="B4751" s="83"/>
      <c r="C4751" s="148"/>
      <c r="D4751" s="84"/>
      <c r="E4751" s="84"/>
      <c r="F4751" s="84"/>
      <c r="G4751" s="144"/>
      <c r="H4751" s="145"/>
    </row>
    <row r="4752" spans="1:9" s="65" customFormat="1">
      <c r="A4752" s="91"/>
      <c r="B4752" s="91"/>
      <c r="C4752" s="91"/>
      <c r="D4752" s="91"/>
      <c r="E4752" s="91"/>
      <c r="G4752" s="104"/>
      <c r="H4752" s="140"/>
    </row>
    <row r="4753" spans="1:9" s="65" customFormat="1">
      <c r="A4753" s="120"/>
      <c r="B4753" s="73"/>
      <c r="C4753" s="73"/>
      <c r="D4753" s="73"/>
      <c r="E4753" s="73"/>
      <c r="G4753" s="121"/>
      <c r="H4753" s="140"/>
    </row>
    <row r="4754" spans="1:9" s="65" customFormat="1">
      <c r="A4754" s="128"/>
      <c r="B4754" s="141"/>
      <c r="C4754" s="141"/>
      <c r="D4754" s="141"/>
      <c r="E4754" s="141"/>
      <c r="F4754" s="141"/>
      <c r="G4754" s="141"/>
      <c r="H4754" s="140"/>
    </row>
    <row r="4755" spans="1:9" s="65" customFormat="1">
      <c r="A4755" s="142"/>
      <c r="B4755" s="143"/>
      <c r="C4755" s="143"/>
      <c r="D4755" s="143"/>
      <c r="E4755" s="143"/>
      <c r="F4755" s="84"/>
      <c r="G4755" s="144"/>
      <c r="H4755" s="145"/>
    </row>
    <row r="4756" spans="1:9" s="65" customFormat="1">
      <c r="A4756" s="123"/>
      <c r="B4756" s="95"/>
      <c r="C4756" s="95"/>
      <c r="D4756" s="95"/>
      <c r="E4756" s="95"/>
      <c r="G4756" s="104"/>
      <c r="H4756" s="121"/>
    </row>
    <row r="4757" spans="1:9" s="65" customFormat="1">
      <c r="A4757" s="123"/>
      <c r="B4757" s="95"/>
      <c r="C4757" s="95"/>
      <c r="D4757" s="95"/>
      <c r="E4757" s="95"/>
      <c r="G4757" s="121"/>
      <c r="H4757" s="133"/>
    </row>
    <row r="4758" spans="1:9" s="65" customFormat="1">
      <c r="B4758" s="97"/>
      <c r="C4758" s="98"/>
      <c r="D4758" s="98"/>
      <c r="E4758" s="98"/>
      <c r="G4758" s="128"/>
    </row>
    <row r="4759" spans="1:9" s="65" customFormat="1">
      <c r="B4759" s="97"/>
      <c r="C4759" s="98"/>
      <c r="D4759" s="98"/>
      <c r="E4759" s="98"/>
      <c r="F4759" s="128"/>
      <c r="G4759" s="133"/>
      <c r="H4759" s="134"/>
    </row>
    <row r="4760" spans="1:9" s="65" customFormat="1">
      <c r="A4760" s="633"/>
      <c r="B4760" s="633"/>
      <c r="C4760" s="633"/>
      <c r="D4760" s="633"/>
      <c r="E4760" s="633"/>
      <c r="F4760" s="633"/>
      <c r="G4760" s="633"/>
    </row>
    <row r="4761" spans="1:9" s="65" customFormat="1">
      <c r="H4761" s="138"/>
      <c r="I4761" s="151"/>
    </row>
    <row r="4762" spans="1:9" s="65" customFormat="1">
      <c r="A4762" s="645"/>
      <c r="B4762" s="138"/>
      <c r="C4762" s="138"/>
      <c r="D4762" s="138"/>
      <c r="E4762" s="138"/>
      <c r="F4762" s="138"/>
      <c r="G4762" s="138"/>
      <c r="H4762" s="138"/>
      <c r="I4762" s="152"/>
    </row>
    <row r="4763" spans="1:9" s="65" customFormat="1">
      <c r="A4763" s="645"/>
      <c r="B4763" s="138"/>
      <c r="C4763" s="138"/>
      <c r="D4763" s="138"/>
      <c r="E4763" s="138"/>
      <c r="F4763" s="138"/>
      <c r="G4763" s="138"/>
    </row>
    <row r="4764" spans="1:9" s="65" customFormat="1">
      <c r="A4764" s="69"/>
      <c r="B4764" s="69"/>
      <c r="C4764" s="69"/>
      <c r="D4764" s="69"/>
      <c r="E4764" s="69"/>
    </row>
    <row r="4765" spans="1:9" s="65" customFormat="1">
      <c r="A4765" s="120"/>
      <c r="B4765" s="73"/>
      <c r="C4765" s="73"/>
      <c r="D4765" s="73"/>
      <c r="E4765" s="73"/>
      <c r="F4765" s="121"/>
      <c r="G4765" s="121"/>
      <c r="H4765" s="121"/>
    </row>
    <row r="4766" spans="1:9" s="65" customFormat="1">
      <c r="A4766" s="128"/>
      <c r="B4766" s="141"/>
      <c r="C4766" s="141"/>
      <c r="D4766" s="141"/>
      <c r="E4766" s="141"/>
      <c r="F4766" s="141"/>
      <c r="G4766" s="141"/>
      <c r="H4766" s="121"/>
    </row>
    <row r="4767" spans="1:9" s="65" customFormat="1">
      <c r="A4767" s="150"/>
      <c r="B4767" s="83"/>
      <c r="C4767" s="148"/>
      <c r="D4767" s="84"/>
      <c r="E4767" s="84"/>
      <c r="F4767" s="84"/>
      <c r="G4767" s="154"/>
      <c r="H4767" s="121"/>
    </row>
    <row r="4768" spans="1:9" s="65" customFormat="1">
      <c r="A4768" s="150"/>
      <c r="B4768" s="83"/>
      <c r="C4768" s="148"/>
      <c r="D4768" s="84"/>
      <c r="E4768" s="84"/>
      <c r="F4768" s="84"/>
      <c r="G4768" s="154"/>
      <c r="H4768" s="145"/>
    </row>
    <row r="4769" spans="1:8" s="65" customFormat="1">
      <c r="A4769" s="84"/>
      <c r="B4769" s="83"/>
      <c r="C4769" s="84"/>
      <c r="D4769" s="84"/>
      <c r="E4769" s="84"/>
      <c r="G4769" s="104"/>
      <c r="H4769" s="140"/>
    </row>
    <row r="4770" spans="1:8" s="65" customFormat="1">
      <c r="A4770" s="120"/>
      <c r="B4770" s="73"/>
      <c r="C4770" s="73"/>
      <c r="D4770" s="73"/>
      <c r="E4770" s="73"/>
      <c r="G4770" s="121"/>
      <c r="H4770" s="140"/>
    </row>
    <row r="4771" spans="1:8" s="65" customFormat="1">
      <c r="A4771" s="128"/>
      <c r="B4771" s="141"/>
      <c r="C4771" s="141"/>
      <c r="D4771" s="141"/>
      <c r="E4771" s="141"/>
      <c r="F4771" s="141"/>
      <c r="G4771" s="141"/>
      <c r="H4771" s="140"/>
    </row>
    <row r="4772" spans="1:8" s="65" customFormat="1">
      <c r="A4772" s="150"/>
      <c r="B4772" s="83"/>
      <c r="C4772" s="148"/>
      <c r="D4772" s="84"/>
      <c r="E4772" s="84"/>
      <c r="F4772" s="84"/>
      <c r="G4772" s="154"/>
      <c r="H4772" s="140"/>
    </row>
    <row r="4773" spans="1:8" s="65" customFormat="1">
      <c r="A4773" s="150"/>
      <c r="B4773" s="83"/>
      <c r="C4773" s="148"/>
      <c r="D4773" s="84"/>
      <c r="E4773" s="84"/>
      <c r="F4773" s="84"/>
      <c r="G4773" s="154"/>
      <c r="H4773" s="145"/>
    </row>
    <row r="4774" spans="1:8" s="65" customFormat="1">
      <c r="A4774" s="91"/>
      <c r="B4774" s="91"/>
      <c r="C4774" s="91"/>
      <c r="D4774" s="91"/>
      <c r="E4774" s="91"/>
      <c r="G4774" s="104"/>
      <c r="H4774" s="140"/>
    </row>
    <row r="4775" spans="1:8" s="65" customFormat="1">
      <c r="A4775" s="120"/>
      <c r="B4775" s="73"/>
      <c r="C4775" s="73"/>
      <c r="D4775" s="73"/>
      <c r="E4775" s="73"/>
      <c r="G4775" s="121"/>
      <c r="H4775" s="140"/>
    </row>
    <row r="4776" spans="1:8" s="65" customFormat="1">
      <c r="A4776" s="128"/>
      <c r="B4776" s="141"/>
      <c r="C4776" s="141"/>
      <c r="D4776" s="141"/>
      <c r="E4776" s="141"/>
      <c r="F4776" s="141"/>
      <c r="G4776" s="141"/>
      <c r="H4776" s="140"/>
    </row>
    <row r="4777" spans="1:8" s="65" customFormat="1">
      <c r="A4777" s="146"/>
      <c r="B4777" s="83"/>
      <c r="C4777" s="148"/>
      <c r="D4777" s="84"/>
      <c r="E4777" s="84"/>
      <c r="F4777" s="84"/>
      <c r="G4777" s="144"/>
      <c r="H4777" s="145"/>
    </row>
    <row r="4778" spans="1:8" s="65" customFormat="1">
      <c r="A4778" s="91"/>
      <c r="B4778" s="91"/>
      <c r="C4778" s="91"/>
      <c r="D4778" s="91"/>
      <c r="E4778" s="91"/>
      <c r="G4778" s="104"/>
      <c r="H4778" s="140"/>
    </row>
    <row r="4779" spans="1:8" s="65" customFormat="1">
      <c r="A4779" s="120"/>
      <c r="B4779" s="73"/>
      <c r="C4779" s="73"/>
      <c r="D4779" s="73"/>
      <c r="E4779" s="73"/>
      <c r="G4779" s="121"/>
      <c r="H4779" s="140"/>
    </row>
    <row r="4780" spans="1:8" s="65" customFormat="1">
      <c r="A4780" s="128"/>
      <c r="B4780" s="141"/>
      <c r="C4780" s="141"/>
      <c r="D4780" s="141"/>
      <c r="E4780" s="141"/>
      <c r="F4780" s="141"/>
      <c r="G4780" s="141"/>
      <c r="H4780" s="140"/>
    </row>
    <row r="4781" spans="1:8" s="65" customFormat="1">
      <c r="A4781" s="142"/>
      <c r="B4781" s="143"/>
      <c r="C4781" s="143"/>
      <c r="D4781" s="143"/>
      <c r="E4781" s="143"/>
      <c r="F4781" s="84"/>
      <c r="G4781" s="144"/>
      <c r="H4781" s="145"/>
    </row>
    <row r="4782" spans="1:8" s="65" customFormat="1">
      <c r="A4782" s="123"/>
      <c r="B4782" s="95"/>
      <c r="C4782" s="95"/>
      <c r="D4782" s="95"/>
      <c r="E4782" s="95"/>
      <c r="G4782" s="104"/>
      <c r="H4782" s="121"/>
    </row>
    <row r="4783" spans="1:8" s="65" customFormat="1">
      <c r="A4783" s="123"/>
      <c r="B4783" s="95"/>
      <c r="C4783" s="95"/>
      <c r="D4783" s="95"/>
      <c r="E4783" s="95"/>
      <c r="G4783" s="121"/>
      <c r="H4783" s="133"/>
    </row>
    <row r="4784" spans="1:8" s="65" customFormat="1">
      <c r="B4784" s="97"/>
      <c r="C4784" s="98"/>
      <c r="D4784" s="98"/>
      <c r="E4784" s="98"/>
      <c r="G4784" s="128"/>
    </row>
    <row r="4785" spans="1:9" s="65" customFormat="1">
      <c r="B4785" s="97"/>
      <c r="C4785" s="98"/>
      <c r="D4785" s="98"/>
      <c r="E4785" s="98"/>
      <c r="F4785" s="128"/>
      <c r="G4785" s="133"/>
      <c r="H4785" s="134"/>
    </row>
    <row r="4786" spans="1:9" s="65" customFormat="1">
      <c r="A4786" s="633"/>
      <c r="B4786" s="633"/>
      <c r="C4786" s="633"/>
      <c r="D4786" s="633"/>
      <c r="E4786" s="633"/>
      <c r="F4786" s="633"/>
      <c r="G4786" s="633"/>
    </row>
    <row r="4787" spans="1:9" s="65" customFormat="1">
      <c r="H4787" s="138"/>
      <c r="I4787" s="151"/>
    </row>
    <row r="4788" spans="1:9" s="65" customFormat="1">
      <c r="A4788" s="645"/>
      <c r="B4788" s="138"/>
      <c r="C4788" s="138"/>
      <c r="D4788" s="138"/>
      <c r="E4788" s="138"/>
      <c r="F4788" s="138"/>
      <c r="G4788" s="138"/>
      <c r="H4788" s="138"/>
      <c r="I4788" s="152"/>
    </row>
    <row r="4789" spans="1:9" s="65" customFormat="1">
      <c r="A4789" s="645"/>
      <c r="B4789" s="138"/>
      <c r="C4789" s="138"/>
      <c r="D4789" s="138"/>
      <c r="E4789" s="138"/>
      <c r="F4789" s="138"/>
      <c r="G4789" s="138"/>
    </row>
    <row r="4790" spans="1:9" s="65" customFormat="1">
      <c r="A4790" s="69"/>
      <c r="B4790" s="69"/>
      <c r="C4790" s="69"/>
      <c r="D4790" s="69"/>
      <c r="E4790" s="69"/>
    </row>
    <row r="4791" spans="1:9" s="65" customFormat="1">
      <c r="A4791" s="120"/>
      <c r="B4791" s="73"/>
      <c r="C4791" s="73"/>
      <c r="D4791" s="73"/>
      <c r="E4791" s="73"/>
      <c r="F4791" s="121"/>
      <c r="G4791" s="121"/>
      <c r="H4791" s="121"/>
    </row>
    <row r="4792" spans="1:9" s="65" customFormat="1">
      <c r="A4792" s="128"/>
      <c r="B4792" s="141"/>
      <c r="C4792" s="141"/>
      <c r="D4792" s="141"/>
      <c r="E4792" s="141"/>
      <c r="F4792" s="141"/>
      <c r="G4792" s="141"/>
      <c r="H4792" s="121"/>
    </row>
    <row r="4793" spans="1:9" s="65" customFormat="1">
      <c r="A4793" s="150"/>
      <c r="B4793" s="83"/>
      <c r="C4793" s="148"/>
      <c r="D4793" s="84"/>
      <c r="E4793" s="84"/>
      <c r="F4793" s="84"/>
      <c r="G4793" s="154"/>
      <c r="H4793" s="145"/>
    </row>
    <row r="4794" spans="1:9" s="65" customFormat="1">
      <c r="A4794" s="84"/>
      <c r="B4794" s="83"/>
      <c r="C4794" s="84"/>
      <c r="D4794" s="84"/>
      <c r="E4794" s="84"/>
      <c r="G4794" s="104"/>
      <c r="H4794" s="140"/>
    </row>
    <row r="4795" spans="1:9" s="65" customFormat="1">
      <c r="A4795" s="120"/>
      <c r="B4795" s="73"/>
      <c r="C4795" s="73"/>
      <c r="D4795" s="73"/>
      <c r="E4795" s="73"/>
      <c r="G4795" s="121"/>
      <c r="H4795" s="140"/>
    </row>
    <row r="4796" spans="1:9" s="65" customFormat="1">
      <c r="A4796" s="128"/>
      <c r="B4796" s="141"/>
      <c r="C4796" s="141"/>
      <c r="D4796" s="141"/>
      <c r="E4796" s="141"/>
      <c r="F4796" s="141"/>
      <c r="G4796" s="141"/>
      <c r="H4796" s="140"/>
    </row>
    <row r="4797" spans="1:9" s="65" customFormat="1">
      <c r="A4797" s="150"/>
      <c r="B4797" s="83"/>
      <c r="C4797" s="148"/>
      <c r="D4797" s="84"/>
      <c r="E4797" s="84"/>
      <c r="F4797" s="84"/>
      <c r="G4797" s="154"/>
      <c r="H4797" s="140"/>
    </row>
    <row r="4798" spans="1:9" s="65" customFormat="1">
      <c r="A4798" s="150"/>
      <c r="B4798" s="83"/>
      <c r="C4798" s="148"/>
      <c r="D4798" s="84"/>
      <c r="E4798" s="84"/>
      <c r="F4798" s="84"/>
      <c r="G4798" s="154"/>
      <c r="H4798" s="140"/>
    </row>
    <row r="4799" spans="1:9" s="65" customFormat="1">
      <c r="A4799" s="150"/>
      <c r="B4799" s="83"/>
      <c r="C4799" s="148"/>
      <c r="D4799" s="84"/>
      <c r="E4799" s="84"/>
      <c r="F4799" s="84"/>
      <c r="G4799" s="154"/>
      <c r="H4799" s="140"/>
    </row>
    <row r="4800" spans="1:9" s="65" customFormat="1">
      <c r="A4800" s="150"/>
      <c r="B4800" s="83"/>
      <c r="C4800" s="148"/>
      <c r="D4800" s="84"/>
      <c r="E4800" s="84"/>
      <c r="F4800" s="84"/>
      <c r="G4800" s="154"/>
      <c r="H4800" s="140"/>
    </row>
    <row r="4801" spans="1:9" s="65" customFormat="1">
      <c r="A4801" s="150"/>
      <c r="B4801" s="83"/>
      <c r="C4801" s="148"/>
      <c r="D4801" s="84"/>
      <c r="E4801" s="84"/>
      <c r="F4801" s="84"/>
      <c r="G4801" s="154"/>
      <c r="H4801" s="145"/>
    </row>
    <row r="4802" spans="1:9" s="65" customFormat="1">
      <c r="A4802" s="91"/>
      <c r="B4802" s="91"/>
      <c r="C4802" s="91"/>
      <c r="D4802" s="91"/>
      <c r="E4802" s="91"/>
      <c r="G4802" s="104"/>
      <c r="H4802" s="140"/>
    </row>
    <row r="4803" spans="1:9" s="65" customFormat="1">
      <c r="A4803" s="120"/>
      <c r="B4803" s="73"/>
      <c r="C4803" s="73"/>
      <c r="D4803" s="73"/>
      <c r="E4803" s="73"/>
      <c r="G4803" s="121"/>
      <c r="H4803" s="140"/>
    </row>
    <row r="4804" spans="1:9" s="65" customFormat="1">
      <c r="A4804" s="128"/>
      <c r="B4804" s="141"/>
      <c r="C4804" s="141"/>
      <c r="D4804" s="141"/>
      <c r="E4804" s="141"/>
      <c r="F4804" s="141"/>
      <c r="G4804" s="141"/>
      <c r="H4804" s="140"/>
    </row>
    <row r="4805" spans="1:9" s="65" customFormat="1">
      <c r="A4805" s="146"/>
      <c r="B4805" s="83"/>
      <c r="C4805" s="148"/>
      <c r="D4805" s="84"/>
      <c r="E4805" s="84"/>
      <c r="F4805" s="84"/>
      <c r="G4805" s="144"/>
      <c r="H4805" s="145"/>
    </row>
    <row r="4806" spans="1:9" s="65" customFormat="1">
      <c r="A4806" s="91"/>
      <c r="B4806" s="91"/>
      <c r="C4806" s="91"/>
      <c r="D4806" s="91"/>
      <c r="E4806" s="91"/>
      <c r="G4806" s="104"/>
      <c r="H4806" s="140"/>
    </row>
    <row r="4807" spans="1:9" s="65" customFormat="1">
      <c r="A4807" s="120"/>
      <c r="B4807" s="73"/>
      <c r="C4807" s="73"/>
      <c r="D4807" s="73"/>
      <c r="E4807" s="73"/>
      <c r="G4807" s="121"/>
      <c r="H4807" s="140"/>
    </row>
    <row r="4808" spans="1:9" s="65" customFormat="1">
      <c r="A4808" s="128"/>
      <c r="B4808" s="141"/>
      <c r="C4808" s="141"/>
      <c r="D4808" s="141"/>
      <c r="E4808" s="141"/>
      <c r="F4808" s="141"/>
      <c r="G4808" s="141"/>
      <c r="H4808" s="140"/>
    </row>
    <row r="4809" spans="1:9" s="65" customFormat="1">
      <c r="A4809" s="142"/>
      <c r="B4809" s="143"/>
      <c r="C4809" s="143"/>
      <c r="D4809" s="143"/>
      <c r="E4809" s="143"/>
      <c r="F4809" s="84"/>
      <c r="G4809" s="144"/>
      <c r="H4809" s="145"/>
    </row>
    <row r="4810" spans="1:9" s="65" customFormat="1">
      <c r="A4810" s="123"/>
      <c r="B4810" s="95"/>
      <c r="C4810" s="95"/>
      <c r="D4810" s="95"/>
      <c r="E4810" s="95"/>
      <c r="G4810" s="104"/>
      <c r="H4810" s="121"/>
    </row>
    <row r="4811" spans="1:9" s="65" customFormat="1">
      <c r="A4811" s="123"/>
      <c r="B4811" s="95"/>
      <c r="C4811" s="95"/>
      <c r="D4811" s="95"/>
      <c r="E4811" s="95"/>
      <c r="G4811" s="121"/>
      <c r="H4811" s="133"/>
    </row>
    <row r="4812" spans="1:9" s="65" customFormat="1">
      <c r="B4812" s="97"/>
      <c r="C4812" s="98"/>
      <c r="D4812" s="98"/>
      <c r="E4812" s="98"/>
      <c r="G4812" s="128"/>
    </row>
    <row r="4813" spans="1:9" s="65" customFormat="1">
      <c r="B4813" s="97"/>
      <c r="C4813" s="98"/>
      <c r="D4813" s="98"/>
      <c r="E4813" s="98"/>
      <c r="F4813" s="128"/>
      <c r="G4813" s="133"/>
      <c r="H4813" s="134"/>
    </row>
    <row r="4814" spans="1:9" s="65" customFormat="1">
      <c r="A4814" s="633"/>
      <c r="B4814" s="633"/>
      <c r="C4814" s="633"/>
      <c r="D4814" s="633"/>
      <c r="E4814" s="633"/>
      <c r="F4814" s="633"/>
      <c r="G4814" s="633"/>
    </row>
    <row r="4815" spans="1:9" s="65" customFormat="1">
      <c r="H4815" s="138"/>
      <c r="I4815" s="151"/>
    </row>
    <row r="4816" spans="1:9" s="65" customFormat="1">
      <c r="A4816" s="645"/>
      <c r="B4816" s="138"/>
      <c r="C4816" s="138"/>
      <c r="D4816" s="138"/>
      <c r="E4816" s="138"/>
      <c r="F4816" s="138"/>
      <c r="G4816" s="138"/>
      <c r="H4816" s="138"/>
      <c r="I4816" s="152"/>
    </row>
    <row r="4817" spans="1:8" s="65" customFormat="1">
      <c r="A4817" s="645"/>
      <c r="B4817" s="138"/>
      <c r="C4817" s="138"/>
      <c r="D4817" s="138"/>
      <c r="E4817" s="138"/>
      <c r="F4817" s="138"/>
      <c r="G4817" s="138"/>
    </row>
    <row r="4818" spans="1:8" s="65" customFormat="1">
      <c r="A4818" s="69"/>
      <c r="B4818" s="69"/>
      <c r="C4818" s="69"/>
      <c r="D4818" s="69"/>
      <c r="E4818" s="69"/>
    </row>
    <row r="4819" spans="1:8" s="65" customFormat="1">
      <c r="A4819" s="120"/>
      <c r="B4819" s="73"/>
      <c r="C4819" s="73"/>
      <c r="D4819" s="73"/>
      <c r="E4819" s="73"/>
      <c r="F4819" s="121"/>
      <c r="G4819" s="121"/>
      <c r="H4819" s="121"/>
    </row>
    <row r="4820" spans="1:8" s="65" customFormat="1">
      <c r="A4820" s="128"/>
      <c r="B4820" s="141"/>
      <c r="C4820" s="141"/>
      <c r="D4820" s="141"/>
      <c r="E4820" s="141"/>
      <c r="F4820" s="141"/>
      <c r="G4820" s="141"/>
      <c r="H4820" s="121"/>
    </row>
    <row r="4821" spans="1:8" s="65" customFormat="1">
      <c r="A4821" s="150"/>
      <c r="B4821" s="83"/>
      <c r="C4821" s="148"/>
      <c r="D4821" s="84"/>
      <c r="E4821" s="84"/>
      <c r="F4821" s="84"/>
      <c r="G4821" s="154"/>
      <c r="H4821" s="145"/>
    </row>
    <row r="4822" spans="1:8" s="65" customFormat="1">
      <c r="A4822" s="84"/>
      <c r="B4822" s="83"/>
      <c r="C4822" s="84"/>
      <c r="D4822" s="84"/>
      <c r="E4822" s="84"/>
      <c r="G4822" s="104"/>
      <c r="H4822" s="140"/>
    </row>
    <row r="4823" spans="1:8" s="65" customFormat="1">
      <c r="A4823" s="120"/>
      <c r="B4823" s="73"/>
      <c r="C4823" s="73"/>
      <c r="D4823" s="73"/>
      <c r="E4823" s="73"/>
      <c r="G4823" s="121"/>
      <c r="H4823" s="140"/>
    </row>
    <row r="4824" spans="1:8" s="65" customFormat="1">
      <c r="A4824" s="128"/>
      <c r="B4824" s="141"/>
      <c r="C4824" s="141"/>
      <c r="D4824" s="141"/>
      <c r="E4824" s="141"/>
      <c r="F4824" s="141"/>
      <c r="G4824" s="141"/>
      <c r="H4824" s="140"/>
    </row>
    <row r="4825" spans="1:8" s="65" customFormat="1">
      <c r="A4825" s="150"/>
      <c r="B4825" s="83"/>
      <c r="C4825" s="148"/>
      <c r="D4825" s="84"/>
      <c r="E4825" s="84"/>
      <c r="F4825" s="84"/>
      <c r="G4825" s="154"/>
      <c r="H4825" s="140"/>
    </row>
    <row r="4826" spans="1:8" s="65" customFormat="1">
      <c r="A4826" s="150"/>
      <c r="B4826" s="83"/>
      <c r="C4826" s="148"/>
      <c r="D4826" s="84"/>
      <c r="E4826" s="84"/>
      <c r="F4826" s="84"/>
      <c r="G4826" s="154"/>
      <c r="H4826" s="140"/>
    </row>
    <row r="4827" spans="1:8" s="65" customFormat="1">
      <c r="A4827" s="150"/>
      <c r="B4827" s="83"/>
      <c r="C4827" s="148"/>
      <c r="D4827" s="84"/>
      <c r="E4827" s="84"/>
      <c r="F4827" s="84"/>
      <c r="G4827" s="154"/>
      <c r="H4827" s="140"/>
    </row>
    <row r="4828" spans="1:8" s="65" customFormat="1">
      <c r="A4828" s="150"/>
      <c r="B4828" s="83"/>
      <c r="C4828" s="148"/>
      <c r="D4828" s="84"/>
      <c r="E4828" s="84"/>
      <c r="F4828" s="84"/>
      <c r="G4828" s="154"/>
      <c r="H4828" s="140"/>
    </row>
    <row r="4829" spans="1:8" s="65" customFormat="1">
      <c r="A4829" s="150"/>
      <c r="B4829" s="83"/>
      <c r="C4829" s="148"/>
      <c r="D4829" s="84"/>
      <c r="E4829" s="84"/>
      <c r="F4829" s="84"/>
      <c r="G4829" s="154"/>
      <c r="H4829" s="140"/>
    </row>
    <row r="4830" spans="1:8" s="65" customFormat="1">
      <c r="A4830" s="150"/>
      <c r="B4830" s="83"/>
      <c r="C4830" s="148"/>
      <c r="D4830" s="84"/>
      <c r="E4830" s="84"/>
      <c r="F4830" s="84"/>
      <c r="G4830" s="154"/>
      <c r="H4830" s="140"/>
    </row>
    <row r="4831" spans="1:8" s="65" customFormat="1">
      <c r="A4831" s="150"/>
      <c r="B4831" s="83"/>
      <c r="C4831" s="148"/>
      <c r="D4831" s="84"/>
      <c r="E4831" s="84"/>
      <c r="F4831" s="84"/>
      <c r="G4831" s="154"/>
      <c r="H4831" s="140"/>
    </row>
    <row r="4832" spans="1:8" s="65" customFormat="1">
      <c r="A4832" s="150"/>
      <c r="B4832" s="83"/>
      <c r="C4832" s="148"/>
      <c r="D4832" s="84"/>
      <c r="E4832" s="84"/>
      <c r="F4832" s="84"/>
      <c r="G4832" s="154"/>
      <c r="H4832" s="140"/>
    </row>
    <row r="4833" spans="1:9" s="65" customFormat="1">
      <c r="A4833" s="150"/>
      <c r="B4833" s="83"/>
      <c r="C4833" s="148"/>
      <c r="D4833" s="84"/>
      <c r="E4833" s="84"/>
      <c r="F4833" s="84"/>
      <c r="G4833" s="154"/>
      <c r="H4833" s="145"/>
    </row>
    <row r="4834" spans="1:9" s="65" customFormat="1">
      <c r="A4834" s="91"/>
      <c r="B4834" s="91"/>
      <c r="C4834" s="91"/>
      <c r="D4834" s="91"/>
      <c r="E4834" s="91"/>
      <c r="G4834" s="104"/>
      <c r="H4834" s="140"/>
    </row>
    <row r="4835" spans="1:9" s="65" customFormat="1">
      <c r="A4835" s="120"/>
      <c r="B4835" s="73"/>
      <c r="C4835" s="73"/>
      <c r="D4835" s="73"/>
      <c r="E4835" s="73"/>
      <c r="G4835" s="121"/>
      <c r="H4835" s="140"/>
    </row>
    <row r="4836" spans="1:9" s="65" customFormat="1">
      <c r="A4836" s="128"/>
      <c r="B4836" s="141"/>
      <c r="C4836" s="141"/>
      <c r="D4836" s="141"/>
      <c r="E4836" s="141"/>
      <c r="F4836" s="141"/>
      <c r="G4836" s="141"/>
      <c r="H4836" s="140"/>
    </row>
    <row r="4837" spans="1:9" s="65" customFormat="1">
      <c r="A4837" s="146"/>
      <c r="B4837" s="83"/>
      <c r="C4837" s="148"/>
      <c r="D4837" s="84"/>
      <c r="E4837" s="84"/>
      <c r="F4837" s="84"/>
      <c r="G4837" s="144"/>
      <c r="H4837" s="140"/>
    </row>
    <row r="4838" spans="1:9" s="65" customFormat="1">
      <c r="A4838" s="146"/>
      <c r="B4838" s="83"/>
      <c r="C4838" s="148"/>
      <c r="D4838" s="84"/>
      <c r="E4838" s="84"/>
      <c r="F4838" s="84"/>
      <c r="G4838" s="144"/>
      <c r="H4838" s="145"/>
    </row>
    <row r="4839" spans="1:9" s="65" customFormat="1">
      <c r="A4839" s="91"/>
      <c r="B4839" s="91"/>
      <c r="C4839" s="91"/>
      <c r="D4839" s="91"/>
      <c r="E4839" s="91"/>
      <c r="G4839" s="104"/>
      <c r="H4839" s="140"/>
    </row>
    <row r="4840" spans="1:9" s="65" customFormat="1">
      <c r="A4840" s="120"/>
      <c r="B4840" s="73"/>
      <c r="C4840" s="73"/>
      <c r="D4840" s="73"/>
      <c r="E4840" s="73"/>
      <c r="G4840" s="121"/>
      <c r="H4840" s="140"/>
    </row>
    <row r="4841" spans="1:9" s="65" customFormat="1">
      <c r="A4841" s="128"/>
      <c r="B4841" s="141"/>
      <c r="C4841" s="141"/>
      <c r="D4841" s="141"/>
      <c r="E4841" s="141"/>
      <c r="F4841" s="141"/>
      <c r="G4841" s="141"/>
      <c r="H4841" s="140"/>
    </row>
    <row r="4842" spans="1:9" s="65" customFormat="1">
      <c r="A4842" s="142"/>
      <c r="B4842" s="143"/>
      <c r="C4842" s="143"/>
      <c r="D4842" s="143"/>
      <c r="E4842" s="143"/>
      <c r="F4842" s="84"/>
      <c r="G4842" s="144"/>
      <c r="H4842" s="145"/>
    </row>
    <row r="4843" spans="1:9" s="65" customFormat="1">
      <c r="A4843" s="123"/>
      <c r="B4843" s="95"/>
      <c r="C4843" s="95"/>
      <c r="D4843" s="95"/>
      <c r="E4843" s="95"/>
      <c r="G4843" s="104"/>
      <c r="H4843" s="121"/>
    </row>
    <row r="4844" spans="1:9" s="65" customFormat="1">
      <c r="A4844" s="123"/>
      <c r="B4844" s="95"/>
      <c r="C4844" s="95"/>
      <c r="D4844" s="95"/>
      <c r="E4844" s="95"/>
      <c r="G4844" s="121"/>
      <c r="H4844" s="133"/>
    </row>
    <row r="4845" spans="1:9" s="65" customFormat="1">
      <c r="B4845" s="97"/>
      <c r="C4845" s="98"/>
      <c r="D4845" s="98"/>
      <c r="E4845" s="98"/>
      <c r="G4845" s="128"/>
    </row>
    <row r="4846" spans="1:9" s="65" customFormat="1">
      <c r="B4846" s="97"/>
      <c r="C4846" s="98"/>
      <c r="D4846" s="98"/>
      <c r="E4846" s="98"/>
      <c r="F4846" s="128"/>
      <c r="G4846" s="133"/>
      <c r="H4846" s="134"/>
    </row>
    <row r="4847" spans="1:9" s="65" customFormat="1">
      <c r="A4847" s="633"/>
      <c r="B4847" s="633"/>
      <c r="C4847" s="633"/>
      <c r="D4847" s="633"/>
      <c r="E4847" s="633"/>
      <c r="F4847" s="633"/>
      <c r="G4847" s="633"/>
    </row>
    <row r="4848" spans="1:9" s="65" customFormat="1">
      <c r="H4848" s="138"/>
      <c r="I4848" s="151"/>
    </row>
    <row r="4849" spans="1:9" s="65" customFormat="1">
      <c r="A4849" s="645"/>
      <c r="B4849" s="138"/>
      <c r="C4849" s="138"/>
      <c r="D4849" s="138"/>
      <c r="E4849" s="138"/>
      <c r="F4849" s="138"/>
      <c r="G4849" s="138"/>
      <c r="H4849" s="138"/>
      <c r="I4849" s="152"/>
    </row>
    <row r="4850" spans="1:9" s="65" customFormat="1">
      <c r="A4850" s="645"/>
      <c r="B4850" s="138"/>
      <c r="C4850" s="138"/>
      <c r="D4850" s="138"/>
      <c r="E4850" s="138"/>
      <c r="F4850" s="138"/>
      <c r="G4850" s="138"/>
    </row>
    <row r="4851" spans="1:9" s="65" customFormat="1">
      <c r="A4851" s="69"/>
      <c r="B4851" s="69"/>
      <c r="C4851" s="69"/>
      <c r="D4851" s="69"/>
      <c r="E4851" s="69"/>
    </row>
    <row r="4852" spans="1:9" s="65" customFormat="1">
      <c r="A4852" s="120"/>
      <c r="B4852" s="73"/>
      <c r="C4852" s="73"/>
      <c r="D4852" s="73"/>
      <c r="E4852" s="73"/>
      <c r="F4852" s="121"/>
      <c r="G4852" s="121"/>
      <c r="H4852" s="121"/>
    </row>
    <row r="4853" spans="1:9" s="65" customFormat="1">
      <c r="A4853" s="128"/>
      <c r="B4853" s="141"/>
      <c r="C4853" s="141"/>
      <c r="D4853" s="141"/>
      <c r="E4853" s="141"/>
      <c r="F4853" s="141"/>
      <c r="G4853" s="141"/>
      <c r="H4853" s="121"/>
    </row>
    <row r="4854" spans="1:9" s="65" customFormat="1">
      <c r="A4854" s="150"/>
      <c r="B4854" s="83"/>
      <c r="C4854" s="148"/>
      <c r="D4854" s="84"/>
      <c r="E4854" s="84"/>
      <c r="F4854" s="84"/>
      <c r="G4854" s="154"/>
      <c r="H4854" s="145"/>
    </row>
    <row r="4855" spans="1:9" s="65" customFormat="1">
      <c r="A4855" s="84"/>
      <c r="B4855" s="83"/>
      <c r="C4855" s="84"/>
      <c r="D4855" s="84"/>
      <c r="E4855" s="84"/>
      <c r="G4855" s="104"/>
      <c r="H4855" s="140"/>
    </row>
    <row r="4856" spans="1:9" s="65" customFormat="1">
      <c r="A4856" s="120"/>
      <c r="B4856" s="73"/>
      <c r="C4856" s="73"/>
      <c r="D4856" s="73"/>
      <c r="E4856" s="73"/>
      <c r="G4856" s="121"/>
      <c r="H4856" s="140"/>
    </row>
    <row r="4857" spans="1:9" s="65" customFormat="1">
      <c r="A4857" s="128"/>
      <c r="B4857" s="141"/>
      <c r="C4857" s="141"/>
      <c r="D4857" s="141"/>
      <c r="E4857" s="141"/>
      <c r="F4857" s="141"/>
      <c r="G4857" s="141"/>
      <c r="H4857" s="140"/>
    </row>
    <row r="4858" spans="1:9" s="65" customFormat="1">
      <c r="A4858" s="150"/>
      <c r="B4858" s="83"/>
      <c r="C4858" s="148"/>
      <c r="D4858" s="84"/>
      <c r="E4858" s="84"/>
      <c r="F4858" s="84"/>
      <c r="G4858" s="154"/>
      <c r="H4858" s="140"/>
    </row>
    <row r="4859" spans="1:9" s="65" customFormat="1">
      <c r="A4859" s="150"/>
      <c r="B4859" s="83"/>
      <c r="C4859" s="148"/>
      <c r="D4859" s="84"/>
      <c r="E4859" s="84"/>
      <c r="F4859" s="84"/>
      <c r="G4859" s="154"/>
      <c r="H4859" s="140"/>
    </row>
    <row r="4860" spans="1:9" s="65" customFormat="1">
      <c r="A4860" s="150"/>
      <c r="B4860" s="83"/>
      <c r="C4860" s="148"/>
      <c r="D4860" s="84"/>
      <c r="E4860" s="84"/>
      <c r="F4860" s="84"/>
      <c r="G4860" s="154"/>
      <c r="H4860" s="140"/>
    </row>
    <row r="4861" spans="1:9" s="65" customFormat="1">
      <c r="A4861" s="150"/>
      <c r="B4861" s="83"/>
      <c r="C4861" s="148"/>
      <c r="D4861" s="84"/>
      <c r="E4861" s="84"/>
      <c r="F4861" s="84"/>
      <c r="G4861" s="154"/>
      <c r="H4861" s="140"/>
    </row>
    <row r="4862" spans="1:9" s="65" customFormat="1">
      <c r="A4862" s="150"/>
      <c r="B4862" s="83"/>
      <c r="C4862" s="148"/>
      <c r="D4862" s="84"/>
      <c r="E4862" s="84"/>
      <c r="F4862" s="84"/>
      <c r="G4862" s="154"/>
      <c r="H4862" s="140"/>
    </row>
    <row r="4863" spans="1:9" s="65" customFormat="1">
      <c r="A4863" s="150"/>
      <c r="B4863" s="83"/>
      <c r="C4863" s="148"/>
      <c r="D4863" s="84"/>
      <c r="E4863" s="84"/>
      <c r="F4863" s="84"/>
      <c r="G4863" s="154"/>
      <c r="H4863" s="145"/>
    </row>
    <row r="4864" spans="1:9" s="65" customFormat="1">
      <c r="A4864" s="91"/>
      <c r="B4864" s="91"/>
      <c r="C4864" s="91"/>
      <c r="D4864" s="91"/>
      <c r="E4864" s="91"/>
      <c r="G4864" s="104"/>
      <c r="H4864" s="140"/>
    </row>
    <row r="4865" spans="1:9" s="65" customFormat="1">
      <c r="A4865" s="120"/>
      <c r="B4865" s="73"/>
      <c r="C4865" s="73"/>
      <c r="D4865" s="73"/>
      <c r="E4865" s="73"/>
      <c r="G4865" s="121"/>
      <c r="H4865" s="140"/>
    </row>
    <row r="4866" spans="1:9" s="65" customFormat="1">
      <c r="A4866" s="128"/>
      <c r="B4866" s="141"/>
      <c r="C4866" s="141"/>
      <c r="D4866" s="141"/>
      <c r="E4866" s="141"/>
      <c r="F4866" s="141"/>
      <c r="G4866" s="141"/>
      <c r="H4866" s="140"/>
    </row>
    <row r="4867" spans="1:9" s="65" customFormat="1">
      <c r="A4867" s="146"/>
      <c r="B4867" s="83"/>
      <c r="C4867" s="148"/>
      <c r="D4867" s="84"/>
      <c r="E4867" s="84"/>
      <c r="F4867" s="84"/>
      <c r="G4867" s="144"/>
      <c r="H4867" s="145"/>
    </row>
    <row r="4868" spans="1:9" s="65" customFormat="1">
      <c r="A4868" s="91"/>
      <c r="B4868" s="91"/>
      <c r="C4868" s="91"/>
      <c r="D4868" s="91"/>
      <c r="E4868" s="91"/>
      <c r="G4868" s="104"/>
      <c r="H4868" s="140"/>
    </row>
    <row r="4869" spans="1:9" s="65" customFormat="1">
      <c r="A4869" s="120"/>
      <c r="B4869" s="73"/>
      <c r="C4869" s="73"/>
      <c r="D4869" s="73"/>
      <c r="E4869" s="73"/>
      <c r="G4869" s="121"/>
      <c r="H4869" s="140"/>
    </row>
    <row r="4870" spans="1:9" s="65" customFormat="1">
      <c r="A4870" s="128"/>
      <c r="B4870" s="141"/>
      <c r="C4870" s="141"/>
      <c r="D4870" s="141"/>
      <c r="E4870" s="141"/>
      <c r="F4870" s="141"/>
      <c r="G4870" s="141"/>
      <c r="H4870" s="140"/>
    </row>
    <row r="4871" spans="1:9" s="65" customFormat="1">
      <c r="A4871" s="142"/>
      <c r="B4871" s="143"/>
      <c r="C4871" s="143"/>
      <c r="D4871" s="143"/>
      <c r="E4871" s="143"/>
      <c r="F4871" s="84"/>
      <c r="G4871" s="144"/>
      <c r="H4871" s="145"/>
    </row>
    <row r="4872" spans="1:9" s="65" customFormat="1">
      <c r="A4872" s="123"/>
      <c r="B4872" s="95"/>
      <c r="C4872" s="95"/>
      <c r="D4872" s="95"/>
      <c r="E4872" s="95"/>
      <c r="G4872" s="104"/>
      <c r="H4872" s="121"/>
    </row>
    <row r="4873" spans="1:9" s="65" customFormat="1">
      <c r="A4873" s="123"/>
      <c r="B4873" s="95"/>
      <c r="C4873" s="95"/>
      <c r="D4873" s="95"/>
      <c r="E4873" s="95"/>
      <c r="G4873" s="121"/>
      <c r="H4873" s="133"/>
    </row>
    <row r="4874" spans="1:9" s="65" customFormat="1">
      <c r="B4874" s="97"/>
      <c r="C4874" s="98"/>
      <c r="D4874" s="98"/>
      <c r="E4874" s="98"/>
      <c r="G4874" s="128"/>
    </row>
    <row r="4875" spans="1:9" s="65" customFormat="1">
      <c r="B4875" s="97"/>
      <c r="C4875" s="98"/>
      <c r="D4875" s="98"/>
      <c r="E4875" s="98"/>
      <c r="F4875" s="128"/>
      <c r="G4875" s="133"/>
      <c r="H4875" s="134"/>
    </row>
    <row r="4876" spans="1:9" s="65" customFormat="1">
      <c r="A4876" s="633"/>
      <c r="B4876" s="633"/>
      <c r="C4876" s="633"/>
      <c r="D4876" s="633"/>
      <c r="E4876" s="633"/>
      <c r="F4876" s="633"/>
      <c r="G4876" s="633"/>
    </row>
    <row r="4877" spans="1:9" s="65" customFormat="1">
      <c r="H4877" s="138"/>
      <c r="I4877" s="151"/>
    </row>
    <row r="4878" spans="1:9" s="65" customFormat="1">
      <c r="A4878" s="645"/>
      <c r="B4878" s="138"/>
      <c r="C4878" s="138"/>
      <c r="D4878" s="138"/>
      <c r="E4878" s="138"/>
      <c r="F4878" s="138"/>
      <c r="G4878" s="138"/>
      <c r="H4878" s="138"/>
      <c r="I4878" s="152"/>
    </row>
    <row r="4879" spans="1:9" s="65" customFormat="1">
      <c r="A4879" s="645"/>
      <c r="B4879" s="138"/>
      <c r="C4879" s="138"/>
      <c r="D4879" s="138"/>
      <c r="E4879" s="138"/>
      <c r="F4879" s="138"/>
      <c r="G4879" s="138"/>
    </row>
    <row r="4880" spans="1:9" s="65" customFormat="1">
      <c r="A4880" s="69"/>
      <c r="B4880" s="69"/>
      <c r="C4880" s="69"/>
      <c r="D4880" s="69"/>
      <c r="E4880" s="69"/>
    </row>
    <row r="4881" spans="1:8" s="65" customFormat="1">
      <c r="A4881" s="120"/>
      <c r="B4881" s="73"/>
      <c r="C4881" s="73"/>
      <c r="D4881" s="73"/>
      <c r="E4881" s="73"/>
      <c r="F4881" s="121"/>
      <c r="G4881" s="121"/>
      <c r="H4881" s="121"/>
    </row>
    <row r="4882" spans="1:8" s="65" customFormat="1">
      <c r="A4882" s="128"/>
      <c r="B4882" s="141"/>
      <c r="C4882" s="141"/>
      <c r="D4882" s="141"/>
      <c r="E4882" s="141"/>
      <c r="F4882" s="141"/>
      <c r="G4882" s="141"/>
      <c r="H4882" s="121"/>
    </row>
    <row r="4883" spans="1:8" s="65" customFormat="1">
      <c r="A4883" s="150"/>
      <c r="B4883" s="83"/>
      <c r="C4883" s="148"/>
      <c r="D4883" s="84"/>
      <c r="E4883" s="84"/>
      <c r="F4883" s="84"/>
      <c r="G4883" s="154"/>
      <c r="H4883" s="121"/>
    </row>
    <row r="4884" spans="1:8" s="65" customFormat="1">
      <c r="A4884" s="150"/>
      <c r="B4884" s="83"/>
      <c r="C4884" s="148"/>
      <c r="D4884" s="84"/>
      <c r="E4884" s="84"/>
      <c r="F4884" s="84"/>
      <c r="G4884" s="154"/>
      <c r="H4884" s="121"/>
    </row>
    <row r="4885" spans="1:8" s="65" customFormat="1">
      <c r="A4885" s="150"/>
      <c r="B4885" s="83"/>
      <c r="C4885" s="148"/>
      <c r="D4885" s="84"/>
      <c r="E4885" s="84"/>
      <c r="F4885" s="84"/>
      <c r="G4885" s="154"/>
      <c r="H4885" s="121"/>
    </row>
    <row r="4886" spans="1:8" s="65" customFormat="1">
      <c r="A4886" s="150"/>
      <c r="B4886" s="83"/>
      <c r="C4886" s="148"/>
      <c r="D4886" s="84"/>
      <c r="E4886" s="84"/>
      <c r="F4886" s="84"/>
      <c r="G4886" s="154"/>
      <c r="H4886" s="145"/>
    </row>
    <row r="4887" spans="1:8" s="65" customFormat="1">
      <c r="A4887" s="84"/>
      <c r="B4887" s="83"/>
      <c r="C4887" s="84"/>
      <c r="D4887" s="84"/>
      <c r="E4887" s="84"/>
      <c r="G4887" s="104"/>
      <c r="H4887" s="140"/>
    </row>
    <row r="4888" spans="1:8" s="65" customFormat="1">
      <c r="A4888" s="120"/>
      <c r="B4888" s="73"/>
      <c r="C4888" s="73"/>
      <c r="D4888" s="73"/>
      <c r="E4888" s="73"/>
      <c r="G4888" s="121"/>
      <c r="H4888" s="140"/>
    </row>
    <row r="4889" spans="1:8" s="65" customFormat="1">
      <c r="A4889" s="128"/>
      <c r="B4889" s="141"/>
      <c r="C4889" s="141"/>
      <c r="D4889" s="141"/>
      <c r="E4889" s="141"/>
      <c r="F4889" s="141"/>
      <c r="G4889" s="141"/>
      <c r="H4889" s="140"/>
    </row>
    <row r="4890" spans="1:8" s="65" customFormat="1">
      <c r="A4890" s="150"/>
      <c r="B4890" s="83"/>
      <c r="C4890" s="148"/>
      <c r="D4890" s="84"/>
      <c r="E4890" s="84"/>
      <c r="F4890" s="84"/>
      <c r="G4890" s="154"/>
      <c r="H4890" s="140"/>
    </row>
    <row r="4891" spans="1:8" s="65" customFormat="1">
      <c r="A4891" s="150"/>
      <c r="B4891" s="83"/>
      <c r="C4891" s="148"/>
      <c r="D4891" s="84"/>
      <c r="E4891" s="84"/>
      <c r="F4891" s="84"/>
      <c r="G4891" s="154"/>
      <c r="H4891" s="140"/>
    </row>
    <row r="4892" spans="1:8" s="65" customFormat="1">
      <c r="A4892" s="150"/>
      <c r="B4892" s="83"/>
      <c r="C4892" s="148"/>
      <c r="D4892" s="84"/>
      <c r="E4892" s="84"/>
      <c r="F4892" s="84"/>
      <c r="G4892" s="154"/>
      <c r="H4892" s="140"/>
    </row>
    <row r="4893" spans="1:8" s="65" customFormat="1">
      <c r="A4893" s="150"/>
      <c r="B4893" s="83"/>
      <c r="C4893" s="148"/>
      <c r="D4893" s="84"/>
      <c r="E4893" s="84"/>
      <c r="F4893" s="84"/>
      <c r="G4893" s="154"/>
      <c r="H4893" s="140"/>
    </row>
    <row r="4894" spans="1:8" s="65" customFormat="1">
      <c r="A4894" s="150"/>
      <c r="B4894" s="83"/>
      <c r="C4894" s="148"/>
      <c r="D4894" s="84"/>
      <c r="E4894" s="84"/>
      <c r="F4894" s="84"/>
      <c r="G4894" s="154"/>
      <c r="H4894" s="140"/>
    </row>
    <row r="4895" spans="1:8" s="65" customFormat="1">
      <c r="A4895" s="150"/>
      <c r="B4895" s="83"/>
      <c r="C4895" s="148"/>
      <c r="D4895" s="84"/>
      <c r="E4895" s="84"/>
      <c r="F4895" s="84"/>
      <c r="G4895" s="154"/>
      <c r="H4895" s="140"/>
    </row>
    <row r="4896" spans="1:8" s="65" customFormat="1">
      <c r="A4896" s="150"/>
      <c r="B4896" s="83"/>
      <c r="C4896" s="148"/>
      <c r="D4896" s="84"/>
      <c r="E4896" s="84"/>
      <c r="F4896" s="84"/>
      <c r="G4896" s="154"/>
      <c r="H4896" s="140"/>
    </row>
    <row r="4897" spans="1:9" s="65" customFormat="1">
      <c r="A4897" s="150"/>
      <c r="B4897" s="83"/>
      <c r="C4897" s="148"/>
      <c r="D4897" s="84"/>
      <c r="E4897" s="84"/>
      <c r="F4897" s="84"/>
      <c r="G4897" s="154"/>
      <c r="H4897" s="145"/>
    </row>
    <row r="4898" spans="1:9" s="65" customFormat="1">
      <c r="A4898" s="91"/>
      <c r="B4898" s="91"/>
      <c r="C4898" s="91"/>
      <c r="D4898" s="91"/>
      <c r="E4898" s="91"/>
      <c r="G4898" s="104"/>
      <c r="H4898" s="140"/>
    </row>
    <row r="4899" spans="1:9" s="65" customFormat="1">
      <c r="A4899" s="120"/>
      <c r="B4899" s="73"/>
      <c r="C4899" s="73"/>
      <c r="D4899" s="73"/>
      <c r="E4899" s="73"/>
      <c r="G4899" s="121"/>
      <c r="H4899" s="140"/>
    </row>
    <row r="4900" spans="1:9" s="65" customFormat="1">
      <c r="A4900" s="128"/>
      <c r="B4900" s="141"/>
      <c r="C4900" s="141"/>
      <c r="D4900" s="141"/>
      <c r="E4900" s="141"/>
      <c r="F4900" s="141"/>
      <c r="G4900" s="141"/>
      <c r="H4900" s="140"/>
    </row>
    <row r="4901" spans="1:9" s="65" customFormat="1">
      <c r="A4901" s="146"/>
      <c r="B4901" s="83"/>
      <c r="C4901" s="148"/>
      <c r="D4901" s="84"/>
      <c r="E4901" s="84"/>
      <c r="F4901" s="84"/>
      <c r="G4901" s="144"/>
      <c r="H4901" s="140"/>
    </row>
    <row r="4902" spans="1:9" s="65" customFormat="1">
      <c r="A4902" s="146"/>
      <c r="B4902" s="83"/>
      <c r="C4902" s="148"/>
      <c r="D4902" s="84"/>
      <c r="E4902" s="84"/>
      <c r="F4902" s="84"/>
      <c r="G4902" s="144"/>
      <c r="H4902" s="145"/>
    </row>
    <row r="4903" spans="1:9" s="65" customFormat="1">
      <c r="A4903" s="91"/>
      <c r="B4903" s="91"/>
      <c r="C4903" s="91"/>
      <c r="D4903" s="91"/>
      <c r="E4903" s="91"/>
      <c r="G4903" s="104"/>
      <c r="H4903" s="140"/>
    </row>
    <row r="4904" spans="1:9" s="65" customFormat="1">
      <c r="A4904" s="120"/>
      <c r="B4904" s="73"/>
      <c r="C4904" s="73"/>
      <c r="D4904" s="73"/>
      <c r="E4904" s="73"/>
      <c r="G4904" s="121"/>
      <c r="H4904" s="140"/>
    </row>
    <row r="4905" spans="1:9" s="65" customFormat="1">
      <c r="A4905" s="128"/>
      <c r="B4905" s="141"/>
      <c r="C4905" s="141"/>
      <c r="D4905" s="141"/>
      <c r="E4905" s="141"/>
      <c r="F4905" s="141"/>
      <c r="G4905" s="141"/>
      <c r="H4905" s="140"/>
    </row>
    <row r="4906" spans="1:9" s="65" customFormat="1">
      <c r="A4906" s="142"/>
      <c r="B4906" s="143"/>
      <c r="C4906" s="143"/>
      <c r="D4906" s="143"/>
      <c r="E4906" s="143"/>
      <c r="F4906" s="84"/>
      <c r="G4906" s="144"/>
      <c r="H4906" s="145"/>
    </row>
    <row r="4907" spans="1:9" s="65" customFormat="1">
      <c r="A4907" s="123"/>
      <c r="B4907" s="95"/>
      <c r="C4907" s="95"/>
      <c r="D4907" s="95"/>
      <c r="E4907" s="95"/>
      <c r="G4907" s="104"/>
      <c r="H4907" s="121"/>
    </row>
    <row r="4908" spans="1:9" s="65" customFormat="1">
      <c r="A4908" s="123"/>
      <c r="B4908" s="95"/>
      <c r="C4908" s="95"/>
      <c r="D4908" s="95"/>
      <c r="E4908" s="95"/>
      <c r="G4908" s="121"/>
      <c r="H4908" s="133"/>
    </row>
    <row r="4909" spans="1:9" s="65" customFormat="1">
      <c r="B4909" s="97"/>
      <c r="C4909" s="98"/>
      <c r="D4909" s="98"/>
      <c r="E4909" s="98"/>
      <c r="G4909" s="128"/>
    </row>
    <row r="4910" spans="1:9" s="65" customFormat="1">
      <c r="B4910" s="97"/>
      <c r="C4910" s="98"/>
      <c r="D4910" s="98"/>
      <c r="E4910" s="98"/>
      <c r="F4910" s="128"/>
      <c r="G4910" s="133"/>
      <c r="H4910" s="134"/>
    </row>
    <row r="4911" spans="1:9" s="65" customFormat="1">
      <c r="A4911" s="633"/>
      <c r="B4911" s="633"/>
      <c r="C4911" s="633"/>
      <c r="D4911" s="633"/>
      <c r="E4911" s="633"/>
      <c r="F4911" s="633"/>
      <c r="G4911" s="633"/>
    </row>
    <row r="4912" spans="1:9" s="65" customFormat="1">
      <c r="H4912" s="138"/>
      <c r="I4912" s="151"/>
    </row>
    <row r="4913" spans="1:9" s="65" customFormat="1">
      <c r="A4913" s="645"/>
      <c r="B4913" s="138"/>
      <c r="C4913" s="138"/>
      <c r="D4913" s="138"/>
      <c r="E4913" s="138"/>
      <c r="F4913" s="138"/>
      <c r="G4913" s="138"/>
      <c r="H4913" s="138"/>
      <c r="I4913" s="152"/>
    </row>
    <row r="4914" spans="1:9" s="65" customFormat="1">
      <c r="A4914" s="645"/>
      <c r="B4914" s="138"/>
      <c r="C4914" s="138"/>
      <c r="D4914" s="138"/>
      <c r="E4914" s="138"/>
      <c r="F4914" s="138"/>
      <c r="G4914" s="138"/>
    </row>
    <row r="4915" spans="1:9" s="65" customFormat="1">
      <c r="A4915" s="69"/>
      <c r="B4915" s="69"/>
      <c r="C4915" s="69"/>
      <c r="D4915" s="69"/>
      <c r="E4915" s="69"/>
    </row>
    <row r="4916" spans="1:9" s="65" customFormat="1">
      <c r="A4916" s="120"/>
      <c r="B4916" s="73"/>
      <c r="C4916" s="73"/>
      <c r="D4916" s="73"/>
      <c r="E4916" s="73"/>
      <c r="F4916" s="121"/>
      <c r="G4916" s="121"/>
      <c r="H4916" s="121"/>
    </row>
    <row r="4917" spans="1:9" s="65" customFormat="1">
      <c r="A4917" s="128"/>
      <c r="B4917" s="141"/>
      <c r="C4917" s="141"/>
      <c r="D4917" s="141"/>
      <c r="E4917" s="141"/>
      <c r="F4917" s="141"/>
      <c r="G4917" s="141"/>
      <c r="H4917" s="121"/>
    </row>
    <row r="4918" spans="1:9" s="65" customFormat="1">
      <c r="A4918" s="150"/>
      <c r="B4918" s="83"/>
      <c r="C4918" s="148"/>
      <c r="D4918" s="84"/>
      <c r="E4918" s="84"/>
      <c r="F4918" s="84"/>
      <c r="G4918" s="154"/>
      <c r="H4918" s="145"/>
    </row>
    <row r="4919" spans="1:9" s="65" customFormat="1">
      <c r="A4919" s="84"/>
      <c r="B4919" s="83"/>
      <c r="C4919" s="84"/>
      <c r="D4919" s="84"/>
      <c r="E4919" s="84"/>
      <c r="G4919" s="104"/>
      <c r="H4919" s="140"/>
    </row>
    <row r="4920" spans="1:9" s="65" customFormat="1">
      <c r="A4920" s="120"/>
      <c r="B4920" s="73"/>
      <c r="C4920" s="73"/>
      <c r="D4920" s="73"/>
      <c r="E4920" s="73"/>
      <c r="G4920" s="121"/>
      <c r="H4920" s="140"/>
    </row>
    <row r="4921" spans="1:9" s="65" customFormat="1">
      <c r="A4921" s="128"/>
      <c r="B4921" s="141"/>
      <c r="C4921" s="141"/>
      <c r="D4921" s="141"/>
      <c r="E4921" s="141"/>
      <c r="F4921" s="141"/>
      <c r="G4921" s="141"/>
      <c r="H4921" s="140"/>
    </row>
    <row r="4922" spans="1:9" s="65" customFormat="1">
      <c r="A4922" s="150"/>
      <c r="B4922" s="83"/>
      <c r="C4922" s="148"/>
      <c r="D4922" s="84"/>
      <c r="E4922" s="84"/>
      <c r="F4922" s="84"/>
      <c r="G4922" s="154"/>
      <c r="H4922" s="145"/>
    </row>
    <row r="4923" spans="1:9" s="65" customFormat="1">
      <c r="A4923" s="91"/>
      <c r="B4923" s="91"/>
      <c r="C4923" s="91"/>
      <c r="D4923" s="91"/>
      <c r="E4923" s="91"/>
      <c r="G4923" s="104"/>
      <c r="H4923" s="140"/>
    </row>
    <row r="4924" spans="1:9" s="65" customFormat="1">
      <c r="A4924" s="120"/>
      <c r="B4924" s="73"/>
      <c r="C4924" s="73"/>
      <c r="D4924" s="73"/>
      <c r="E4924" s="73"/>
      <c r="G4924" s="121"/>
      <c r="H4924" s="140"/>
    </row>
    <row r="4925" spans="1:9" s="65" customFormat="1">
      <c r="A4925" s="128"/>
      <c r="B4925" s="141"/>
      <c r="C4925" s="141"/>
      <c r="D4925" s="141"/>
      <c r="E4925" s="141"/>
      <c r="F4925" s="141"/>
      <c r="G4925" s="141"/>
      <c r="H4925" s="140"/>
    </row>
    <row r="4926" spans="1:9" s="65" customFormat="1">
      <c r="A4926" s="146"/>
      <c r="B4926" s="83"/>
      <c r="C4926" s="148"/>
      <c r="D4926" s="84"/>
      <c r="E4926" s="84"/>
      <c r="F4926" s="84"/>
      <c r="G4926" s="144"/>
      <c r="H4926" s="145"/>
    </row>
    <row r="4927" spans="1:9" s="65" customFormat="1">
      <c r="A4927" s="91"/>
      <c r="B4927" s="91"/>
      <c r="C4927" s="91"/>
      <c r="D4927" s="91"/>
      <c r="E4927" s="91"/>
      <c r="G4927" s="104"/>
      <c r="H4927" s="140"/>
    </row>
    <row r="4928" spans="1:9" s="65" customFormat="1">
      <c r="A4928" s="120"/>
      <c r="B4928" s="73"/>
      <c r="C4928" s="73"/>
      <c r="D4928" s="73"/>
      <c r="E4928" s="73"/>
      <c r="G4928" s="121"/>
      <c r="H4928" s="140"/>
    </row>
    <row r="4929" spans="1:9" s="65" customFormat="1">
      <c r="A4929" s="128"/>
      <c r="B4929" s="141"/>
      <c r="C4929" s="141"/>
      <c r="D4929" s="141"/>
      <c r="E4929" s="141"/>
      <c r="F4929" s="141"/>
      <c r="G4929" s="141"/>
      <c r="H4929" s="140"/>
    </row>
    <row r="4930" spans="1:9" s="65" customFormat="1">
      <c r="A4930" s="142"/>
      <c r="B4930" s="143"/>
      <c r="C4930" s="143"/>
      <c r="D4930" s="143"/>
      <c r="E4930" s="143"/>
      <c r="F4930" s="84"/>
      <c r="G4930" s="144"/>
      <c r="H4930" s="145"/>
    </row>
    <row r="4931" spans="1:9" s="65" customFormat="1">
      <c r="A4931" s="123"/>
      <c r="B4931" s="95"/>
      <c r="C4931" s="95"/>
      <c r="D4931" s="95"/>
      <c r="E4931" s="95"/>
      <c r="G4931" s="104"/>
      <c r="H4931" s="121"/>
    </row>
    <row r="4932" spans="1:9" s="65" customFormat="1">
      <c r="A4932" s="123"/>
      <c r="B4932" s="95"/>
      <c r="C4932" s="95"/>
      <c r="D4932" s="95"/>
      <c r="E4932" s="95"/>
      <c r="G4932" s="121"/>
      <c r="H4932" s="133"/>
    </row>
    <row r="4933" spans="1:9" s="65" customFormat="1">
      <c r="B4933" s="97"/>
      <c r="C4933" s="98"/>
      <c r="D4933" s="98"/>
      <c r="E4933" s="98"/>
      <c r="G4933" s="128"/>
    </row>
    <row r="4934" spans="1:9" s="65" customFormat="1">
      <c r="B4934" s="97"/>
      <c r="C4934" s="98"/>
      <c r="D4934" s="98"/>
      <c r="E4934" s="98"/>
      <c r="F4934" s="128"/>
      <c r="G4934" s="133"/>
      <c r="H4934" s="134"/>
    </row>
    <row r="4935" spans="1:9" s="65" customFormat="1">
      <c r="A4935" s="633"/>
      <c r="B4935" s="633"/>
      <c r="C4935" s="633"/>
      <c r="D4935" s="633"/>
      <c r="E4935" s="633"/>
      <c r="F4935" s="633"/>
      <c r="G4935" s="633"/>
    </row>
    <row r="4936" spans="1:9" s="65" customFormat="1">
      <c r="H4936" s="138"/>
      <c r="I4936" s="151"/>
    </row>
    <row r="4937" spans="1:9" s="65" customFormat="1">
      <c r="A4937" s="645"/>
      <c r="B4937" s="138"/>
      <c r="C4937" s="138"/>
      <c r="D4937" s="138"/>
      <c r="E4937" s="138"/>
      <c r="F4937" s="138"/>
      <c r="G4937" s="138"/>
      <c r="H4937" s="138"/>
      <c r="I4937" s="152"/>
    </row>
    <row r="4938" spans="1:9" s="65" customFormat="1">
      <c r="A4938" s="645"/>
      <c r="B4938" s="138"/>
      <c r="C4938" s="138"/>
      <c r="D4938" s="138"/>
      <c r="E4938" s="138"/>
      <c r="F4938" s="138"/>
      <c r="G4938" s="138"/>
    </row>
    <row r="4939" spans="1:9" s="65" customFormat="1">
      <c r="A4939" s="69"/>
      <c r="B4939" s="69"/>
      <c r="C4939" s="69"/>
      <c r="D4939" s="69"/>
      <c r="E4939" s="69"/>
    </row>
    <row r="4940" spans="1:9" s="65" customFormat="1">
      <c r="A4940" s="120"/>
      <c r="B4940" s="73"/>
      <c r="C4940" s="73"/>
      <c r="D4940" s="73"/>
      <c r="E4940" s="73"/>
      <c r="F4940" s="121"/>
      <c r="G4940" s="121"/>
      <c r="H4940" s="121"/>
    </row>
    <row r="4941" spans="1:9" s="65" customFormat="1">
      <c r="A4941" s="128"/>
      <c r="B4941" s="141"/>
      <c r="C4941" s="141"/>
      <c r="D4941" s="141"/>
      <c r="E4941" s="141"/>
      <c r="F4941" s="141"/>
      <c r="G4941" s="141"/>
      <c r="H4941" s="121"/>
    </row>
    <row r="4942" spans="1:9" s="65" customFormat="1">
      <c r="A4942" s="150"/>
      <c r="B4942" s="83"/>
      <c r="C4942" s="148"/>
      <c r="D4942" s="84"/>
      <c r="E4942" s="84"/>
      <c r="F4942" s="84"/>
      <c r="G4942" s="154"/>
      <c r="H4942" s="145"/>
    </row>
    <row r="4943" spans="1:9" s="65" customFormat="1">
      <c r="A4943" s="84"/>
      <c r="B4943" s="83"/>
      <c r="C4943" s="84"/>
      <c r="D4943" s="84"/>
      <c r="E4943" s="84"/>
      <c r="G4943" s="104"/>
      <c r="H4943" s="140"/>
    </row>
    <row r="4944" spans="1:9" s="65" customFormat="1">
      <c r="A4944" s="120"/>
      <c r="B4944" s="73"/>
      <c r="C4944" s="73"/>
      <c r="D4944" s="73"/>
      <c r="E4944" s="73"/>
      <c r="G4944" s="121"/>
      <c r="H4944" s="140"/>
    </row>
    <row r="4945" spans="1:8" s="65" customFormat="1">
      <c r="A4945" s="128"/>
      <c r="B4945" s="141"/>
      <c r="C4945" s="141"/>
      <c r="D4945" s="141"/>
      <c r="E4945" s="141"/>
      <c r="F4945" s="141"/>
      <c r="G4945" s="141"/>
      <c r="H4945" s="140"/>
    </row>
    <row r="4946" spans="1:8" s="65" customFormat="1">
      <c r="A4946" s="150"/>
      <c r="B4946" s="83"/>
      <c r="C4946" s="148"/>
      <c r="D4946" s="84"/>
      <c r="E4946" s="84"/>
      <c r="F4946" s="84"/>
      <c r="G4946" s="154"/>
      <c r="H4946" s="140"/>
    </row>
    <row r="4947" spans="1:8" s="65" customFormat="1">
      <c r="A4947" s="150"/>
      <c r="B4947" s="83"/>
      <c r="C4947" s="148"/>
      <c r="D4947" s="84"/>
      <c r="E4947" s="84"/>
      <c r="F4947" s="84"/>
      <c r="G4947" s="154"/>
      <c r="H4947" s="140"/>
    </row>
    <row r="4948" spans="1:8" s="65" customFormat="1">
      <c r="A4948" s="150"/>
      <c r="B4948" s="83"/>
      <c r="C4948" s="148"/>
      <c r="D4948" s="84"/>
      <c r="E4948" s="84"/>
      <c r="F4948" s="84"/>
      <c r="G4948" s="154"/>
      <c r="H4948" s="140"/>
    </row>
    <row r="4949" spans="1:8" s="65" customFormat="1">
      <c r="A4949" s="150"/>
      <c r="B4949" s="83"/>
      <c r="C4949" s="148"/>
      <c r="D4949" s="84"/>
      <c r="E4949" s="84"/>
      <c r="F4949" s="84"/>
      <c r="G4949" s="154"/>
      <c r="H4949" s="140"/>
    </row>
    <row r="4950" spans="1:8" s="65" customFormat="1">
      <c r="A4950" s="150"/>
      <c r="B4950" s="83"/>
      <c r="C4950" s="148"/>
      <c r="D4950" s="84"/>
      <c r="E4950" s="84"/>
      <c r="F4950" s="84"/>
      <c r="G4950" s="154"/>
      <c r="H4950" s="140"/>
    </row>
    <row r="4951" spans="1:8" s="65" customFormat="1">
      <c r="A4951" s="150"/>
      <c r="B4951" s="83"/>
      <c r="C4951" s="148"/>
      <c r="D4951" s="84"/>
      <c r="E4951" s="84"/>
      <c r="F4951" s="84"/>
      <c r="G4951" s="154"/>
      <c r="H4951" s="140"/>
    </row>
    <row r="4952" spans="1:8" s="65" customFormat="1">
      <c r="A4952" s="150"/>
      <c r="B4952" s="83"/>
      <c r="C4952" s="148"/>
      <c r="D4952" s="84"/>
      <c r="E4952" s="84"/>
      <c r="F4952" s="84"/>
      <c r="G4952" s="154"/>
      <c r="H4952" s="145"/>
    </row>
    <row r="4953" spans="1:8" s="65" customFormat="1">
      <c r="A4953" s="91"/>
      <c r="B4953" s="91"/>
      <c r="C4953" s="91"/>
      <c r="D4953" s="91"/>
      <c r="E4953" s="91"/>
      <c r="G4953" s="104"/>
      <c r="H4953" s="140"/>
    </row>
    <row r="4954" spans="1:8" s="65" customFormat="1">
      <c r="A4954" s="120"/>
      <c r="B4954" s="73"/>
      <c r="C4954" s="73"/>
      <c r="D4954" s="73"/>
      <c r="E4954" s="73"/>
      <c r="G4954" s="121"/>
      <c r="H4954" s="140"/>
    </row>
    <row r="4955" spans="1:8" s="65" customFormat="1">
      <c r="A4955" s="128"/>
      <c r="B4955" s="141"/>
      <c r="C4955" s="141"/>
      <c r="D4955" s="141"/>
      <c r="E4955" s="141"/>
      <c r="F4955" s="141"/>
      <c r="G4955" s="141"/>
      <c r="H4955" s="140"/>
    </row>
    <row r="4956" spans="1:8" s="65" customFormat="1">
      <c r="A4956" s="146"/>
      <c r="B4956" s="83"/>
      <c r="C4956" s="148"/>
      <c r="D4956" s="84"/>
      <c r="E4956" s="84"/>
      <c r="F4956" s="84"/>
      <c r="G4956" s="144"/>
      <c r="H4956" s="140"/>
    </row>
    <row r="4957" spans="1:8" s="65" customFormat="1">
      <c r="A4957" s="146"/>
      <c r="B4957" s="83"/>
      <c r="C4957" s="148"/>
      <c r="D4957" s="84"/>
      <c r="E4957" s="84"/>
      <c r="F4957" s="84"/>
      <c r="G4957" s="144"/>
      <c r="H4957" s="145"/>
    </row>
    <row r="4958" spans="1:8" s="65" customFormat="1">
      <c r="A4958" s="91"/>
      <c r="B4958" s="91"/>
      <c r="C4958" s="91"/>
      <c r="D4958" s="91"/>
      <c r="E4958" s="91"/>
      <c r="G4958" s="104"/>
      <c r="H4958" s="140"/>
    </row>
    <row r="4959" spans="1:8" s="65" customFormat="1">
      <c r="A4959" s="120"/>
      <c r="B4959" s="73"/>
      <c r="C4959" s="73"/>
      <c r="D4959" s="73"/>
      <c r="E4959" s="73"/>
      <c r="G4959" s="121"/>
      <c r="H4959" s="140"/>
    </row>
    <row r="4960" spans="1:8" s="65" customFormat="1">
      <c r="A4960" s="128"/>
      <c r="B4960" s="141"/>
      <c r="C4960" s="141"/>
      <c r="D4960" s="141"/>
      <c r="E4960" s="141"/>
      <c r="F4960" s="141"/>
      <c r="G4960" s="141"/>
      <c r="H4960" s="140"/>
    </row>
    <row r="4961" spans="1:9" s="65" customFormat="1">
      <c r="A4961" s="142"/>
      <c r="B4961" s="143"/>
      <c r="C4961" s="143"/>
      <c r="D4961" s="143"/>
      <c r="E4961" s="143"/>
      <c r="F4961" s="84"/>
      <c r="G4961" s="144"/>
      <c r="H4961" s="145"/>
    </row>
    <row r="4962" spans="1:9" s="65" customFormat="1">
      <c r="A4962" s="123"/>
      <c r="B4962" s="95"/>
      <c r="C4962" s="95"/>
      <c r="D4962" s="95"/>
      <c r="E4962" s="95"/>
      <c r="G4962" s="104"/>
      <c r="H4962" s="121"/>
    </row>
    <row r="4963" spans="1:9" s="65" customFormat="1">
      <c r="A4963" s="123"/>
      <c r="B4963" s="95"/>
      <c r="C4963" s="95"/>
      <c r="D4963" s="95"/>
      <c r="E4963" s="95"/>
      <c r="G4963" s="121"/>
      <c r="H4963" s="133"/>
    </row>
    <row r="4964" spans="1:9" s="65" customFormat="1">
      <c r="B4964" s="97"/>
      <c r="C4964" s="98"/>
      <c r="D4964" s="98"/>
      <c r="E4964" s="98"/>
      <c r="G4964" s="128"/>
    </row>
    <row r="4965" spans="1:9" s="65" customFormat="1">
      <c r="B4965" s="97"/>
      <c r="C4965" s="98"/>
      <c r="D4965" s="98"/>
      <c r="E4965" s="98"/>
      <c r="F4965" s="128"/>
      <c r="G4965" s="133"/>
      <c r="H4965" s="134"/>
    </row>
    <row r="4966" spans="1:9" s="65" customFormat="1">
      <c r="A4966" s="633"/>
      <c r="B4966" s="633"/>
      <c r="C4966" s="633"/>
      <c r="D4966" s="633"/>
      <c r="E4966" s="633"/>
      <c r="F4966" s="633"/>
      <c r="G4966" s="633"/>
    </row>
    <row r="4967" spans="1:9" s="65" customFormat="1">
      <c r="H4967" s="138"/>
      <c r="I4967" s="151"/>
    </row>
    <row r="4968" spans="1:9" s="65" customFormat="1">
      <c r="A4968" s="645"/>
      <c r="B4968" s="138"/>
      <c r="C4968" s="138"/>
      <c r="D4968" s="138"/>
      <c r="E4968" s="138"/>
      <c r="F4968" s="138"/>
      <c r="G4968" s="138"/>
      <c r="H4968" s="138"/>
      <c r="I4968" s="152"/>
    </row>
    <row r="4969" spans="1:9" s="65" customFormat="1">
      <c r="A4969" s="645"/>
      <c r="B4969" s="138"/>
      <c r="C4969" s="138"/>
      <c r="D4969" s="138"/>
      <c r="E4969" s="138"/>
      <c r="F4969" s="138"/>
      <c r="G4969" s="138"/>
    </row>
    <row r="4970" spans="1:9" s="65" customFormat="1">
      <c r="A4970" s="69"/>
      <c r="B4970" s="69"/>
      <c r="C4970" s="69"/>
      <c r="D4970" s="69"/>
      <c r="E4970" s="69"/>
    </row>
    <row r="4971" spans="1:9" s="65" customFormat="1">
      <c r="A4971" s="120"/>
      <c r="B4971" s="73"/>
      <c r="C4971" s="73"/>
      <c r="D4971" s="73"/>
      <c r="E4971" s="73"/>
      <c r="F4971" s="121"/>
      <c r="G4971" s="121"/>
      <c r="H4971" s="121"/>
    </row>
    <row r="4972" spans="1:9" s="65" customFormat="1">
      <c r="A4972" s="128"/>
      <c r="B4972" s="141"/>
      <c r="C4972" s="141"/>
      <c r="D4972" s="141"/>
      <c r="E4972" s="141"/>
      <c r="F4972" s="141"/>
      <c r="G4972" s="141"/>
      <c r="H4972" s="121"/>
    </row>
    <row r="4973" spans="1:9" s="65" customFormat="1">
      <c r="A4973" s="150"/>
      <c r="B4973" s="83"/>
      <c r="C4973" s="148"/>
      <c r="D4973" s="84"/>
      <c r="E4973" s="84"/>
      <c r="F4973" s="84"/>
      <c r="G4973" s="154"/>
      <c r="H4973" s="145"/>
    </row>
    <row r="4974" spans="1:9" s="65" customFormat="1">
      <c r="A4974" s="84"/>
      <c r="B4974" s="83"/>
      <c r="C4974" s="84"/>
      <c r="D4974" s="84"/>
      <c r="E4974" s="84"/>
      <c r="G4974" s="104"/>
      <c r="H4974" s="140"/>
    </row>
    <row r="4975" spans="1:9" s="65" customFormat="1">
      <c r="A4975" s="120"/>
      <c r="B4975" s="73"/>
      <c r="C4975" s="73"/>
      <c r="D4975" s="73"/>
      <c r="E4975" s="73"/>
      <c r="G4975" s="121"/>
      <c r="H4975" s="140"/>
    </row>
    <row r="4976" spans="1:9" s="65" customFormat="1">
      <c r="A4976" s="128"/>
      <c r="B4976" s="141"/>
      <c r="C4976" s="141"/>
      <c r="D4976" s="141"/>
      <c r="E4976" s="141"/>
      <c r="F4976" s="141"/>
      <c r="G4976" s="141"/>
      <c r="H4976" s="140"/>
    </row>
    <row r="4977" spans="1:9" s="65" customFormat="1">
      <c r="A4977" s="150"/>
      <c r="B4977" s="83"/>
      <c r="C4977" s="148"/>
      <c r="D4977" s="84"/>
      <c r="E4977" s="84"/>
      <c r="F4977" s="84"/>
      <c r="G4977" s="154"/>
      <c r="H4977" s="140"/>
    </row>
    <row r="4978" spans="1:9" s="65" customFormat="1">
      <c r="A4978" s="150"/>
      <c r="B4978" s="83"/>
      <c r="C4978" s="148"/>
      <c r="D4978" s="84"/>
      <c r="E4978" s="84"/>
      <c r="F4978" s="84"/>
      <c r="G4978" s="154"/>
      <c r="H4978" s="145"/>
    </row>
    <row r="4979" spans="1:9" s="65" customFormat="1">
      <c r="A4979" s="91"/>
      <c r="B4979" s="91"/>
      <c r="C4979" s="91"/>
      <c r="D4979" s="91"/>
      <c r="E4979" s="91"/>
      <c r="G4979" s="104"/>
      <c r="H4979" s="140"/>
    </row>
    <row r="4980" spans="1:9" s="65" customFormat="1">
      <c r="A4980" s="120"/>
      <c r="B4980" s="73"/>
      <c r="C4980" s="73"/>
      <c r="D4980" s="73"/>
      <c r="E4980" s="73"/>
      <c r="G4980" s="121"/>
      <c r="H4980" s="140"/>
    </row>
    <row r="4981" spans="1:9" s="65" customFormat="1">
      <c r="A4981" s="128"/>
      <c r="B4981" s="141"/>
      <c r="C4981" s="141"/>
      <c r="D4981" s="141"/>
      <c r="E4981" s="141"/>
      <c r="F4981" s="141"/>
      <c r="G4981" s="141"/>
      <c r="H4981" s="140"/>
    </row>
    <row r="4982" spans="1:9" s="65" customFormat="1">
      <c r="A4982" s="146"/>
      <c r="B4982" s="83"/>
      <c r="C4982" s="148"/>
      <c r="D4982" s="84"/>
      <c r="E4982" s="84"/>
      <c r="F4982" s="84"/>
      <c r="G4982" s="144"/>
      <c r="H4982" s="145"/>
    </row>
    <row r="4983" spans="1:9" s="65" customFormat="1">
      <c r="A4983" s="91"/>
      <c r="B4983" s="91"/>
      <c r="C4983" s="91"/>
      <c r="D4983" s="91"/>
      <c r="E4983" s="91"/>
      <c r="G4983" s="104"/>
      <c r="H4983" s="140"/>
    </row>
    <row r="4984" spans="1:9" s="65" customFormat="1">
      <c r="A4984" s="120"/>
      <c r="B4984" s="73"/>
      <c r="C4984" s="73"/>
      <c r="D4984" s="73"/>
      <c r="E4984" s="73"/>
      <c r="G4984" s="121"/>
      <c r="H4984" s="140"/>
    </row>
    <row r="4985" spans="1:9" s="65" customFormat="1">
      <c r="A4985" s="128"/>
      <c r="B4985" s="141"/>
      <c r="C4985" s="141"/>
      <c r="D4985" s="141"/>
      <c r="E4985" s="141"/>
      <c r="F4985" s="141"/>
      <c r="G4985" s="141"/>
      <c r="H4985" s="140"/>
    </row>
    <row r="4986" spans="1:9" s="65" customFormat="1">
      <c r="A4986" s="142"/>
      <c r="B4986" s="143"/>
      <c r="C4986" s="143"/>
      <c r="D4986" s="143"/>
      <c r="E4986" s="143"/>
      <c r="F4986" s="84"/>
      <c r="G4986" s="144"/>
      <c r="H4986" s="145"/>
    </row>
    <row r="4987" spans="1:9" s="65" customFormat="1">
      <c r="A4987" s="123"/>
      <c r="B4987" s="95"/>
      <c r="C4987" s="95"/>
      <c r="D4987" s="95"/>
      <c r="E4987" s="95"/>
      <c r="G4987" s="104"/>
      <c r="H4987" s="121"/>
    </row>
    <row r="4988" spans="1:9" s="65" customFormat="1">
      <c r="A4988" s="123"/>
      <c r="B4988" s="95"/>
      <c r="C4988" s="95"/>
      <c r="D4988" s="95"/>
      <c r="E4988" s="95"/>
      <c r="G4988" s="121"/>
      <c r="H4988" s="133"/>
    </row>
    <row r="4989" spans="1:9" s="65" customFormat="1">
      <c r="B4989" s="97"/>
      <c r="C4989" s="98"/>
      <c r="D4989" s="98"/>
      <c r="E4989" s="98"/>
      <c r="G4989" s="128"/>
    </row>
    <row r="4990" spans="1:9" s="65" customFormat="1">
      <c r="B4990" s="97"/>
      <c r="C4990" s="98"/>
      <c r="D4990" s="98"/>
      <c r="E4990" s="98"/>
      <c r="F4990" s="128"/>
      <c r="G4990" s="133"/>
      <c r="H4990" s="134"/>
    </row>
    <row r="4991" spans="1:9" s="65" customFormat="1">
      <c r="A4991" s="633"/>
      <c r="B4991" s="633"/>
      <c r="C4991" s="633"/>
      <c r="D4991" s="633"/>
      <c r="E4991" s="633"/>
      <c r="F4991" s="633"/>
      <c r="G4991" s="633"/>
    </row>
    <row r="4992" spans="1:9" s="65" customFormat="1">
      <c r="H4992" s="138"/>
      <c r="I4992" s="151"/>
    </row>
    <row r="4993" spans="1:9" s="65" customFormat="1">
      <c r="A4993" s="645"/>
      <c r="B4993" s="138"/>
      <c r="C4993" s="138"/>
      <c r="D4993" s="138"/>
      <c r="E4993" s="138"/>
      <c r="F4993" s="138"/>
      <c r="G4993" s="138"/>
      <c r="H4993" s="138"/>
      <c r="I4993" s="152"/>
    </row>
    <row r="4994" spans="1:9" s="65" customFormat="1">
      <c r="A4994" s="645"/>
      <c r="B4994" s="138"/>
      <c r="C4994" s="138"/>
      <c r="D4994" s="138"/>
      <c r="E4994" s="138"/>
      <c r="F4994" s="138"/>
      <c r="G4994" s="138"/>
    </row>
    <row r="4995" spans="1:9" s="65" customFormat="1">
      <c r="A4995" s="69"/>
      <c r="B4995" s="69"/>
      <c r="C4995" s="69"/>
      <c r="D4995" s="69"/>
      <c r="E4995" s="69"/>
    </row>
    <row r="4996" spans="1:9" s="65" customFormat="1">
      <c r="A4996" s="120"/>
      <c r="B4996" s="73"/>
      <c r="C4996" s="73"/>
      <c r="D4996" s="73"/>
      <c r="E4996" s="73"/>
      <c r="F4996" s="121"/>
      <c r="G4996" s="121"/>
      <c r="H4996" s="121"/>
    </row>
    <row r="4997" spans="1:9" s="65" customFormat="1">
      <c r="A4997" s="128"/>
      <c r="B4997" s="141"/>
      <c r="C4997" s="141"/>
      <c r="D4997" s="141"/>
      <c r="E4997" s="141"/>
      <c r="F4997" s="141"/>
      <c r="G4997" s="141"/>
      <c r="H4997" s="121"/>
    </row>
    <row r="4998" spans="1:9" s="65" customFormat="1">
      <c r="A4998" s="150"/>
      <c r="B4998" s="83"/>
      <c r="C4998" s="148"/>
      <c r="D4998" s="84"/>
      <c r="E4998" s="84"/>
      <c r="F4998" s="84"/>
      <c r="G4998" s="154"/>
      <c r="H4998" s="145"/>
    </row>
    <row r="4999" spans="1:9" s="65" customFormat="1">
      <c r="A4999" s="84"/>
      <c r="B4999" s="83"/>
      <c r="C4999" s="84"/>
      <c r="D4999" s="84"/>
      <c r="E4999" s="84"/>
      <c r="G4999" s="104"/>
      <c r="H4999" s="140"/>
    </row>
    <row r="5000" spans="1:9" s="65" customFormat="1">
      <c r="A5000" s="120"/>
      <c r="B5000" s="73"/>
      <c r="C5000" s="73"/>
      <c r="D5000" s="73"/>
      <c r="E5000" s="73"/>
      <c r="G5000" s="121"/>
      <c r="H5000" s="140"/>
    </row>
    <row r="5001" spans="1:9" s="65" customFormat="1">
      <c r="A5001" s="128"/>
      <c r="B5001" s="141"/>
      <c r="C5001" s="141"/>
      <c r="D5001" s="141"/>
      <c r="E5001" s="141"/>
      <c r="F5001" s="141"/>
      <c r="G5001" s="141"/>
      <c r="H5001" s="140"/>
    </row>
    <row r="5002" spans="1:9" s="65" customFormat="1">
      <c r="A5002" s="150"/>
      <c r="B5002" s="83"/>
      <c r="C5002" s="148"/>
      <c r="D5002" s="84"/>
      <c r="E5002" s="84"/>
      <c r="F5002" s="84"/>
      <c r="G5002" s="154"/>
      <c r="H5002" s="145"/>
    </row>
    <row r="5003" spans="1:9" s="65" customFormat="1">
      <c r="A5003" s="91"/>
      <c r="B5003" s="91"/>
      <c r="C5003" s="91"/>
      <c r="D5003" s="91"/>
      <c r="E5003" s="91"/>
      <c r="G5003" s="104"/>
      <c r="H5003" s="140"/>
    </row>
    <row r="5004" spans="1:9" s="65" customFormat="1">
      <c r="A5004" s="120"/>
      <c r="B5004" s="73"/>
      <c r="C5004" s="73"/>
      <c r="D5004" s="73"/>
      <c r="E5004" s="73"/>
      <c r="G5004" s="121"/>
      <c r="H5004" s="140"/>
    </row>
    <row r="5005" spans="1:9" s="65" customFormat="1">
      <c r="A5005" s="128"/>
      <c r="B5005" s="141"/>
      <c r="C5005" s="141"/>
      <c r="D5005" s="141"/>
      <c r="E5005" s="141"/>
      <c r="F5005" s="141"/>
      <c r="G5005" s="141"/>
      <c r="H5005" s="140"/>
    </row>
    <row r="5006" spans="1:9" s="65" customFormat="1">
      <c r="A5006" s="146"/>
      <c r="B5006" s="83"/>
      <c r="C5006" s="148"/>
      <c r="D5006" s="84"/>
      <c r="E5006" s="84"/>
      <c r="F5006" s="84"/>
      <c r="G5006" s="144"/>
      <c r="H5006" s="145"/>
    </row>
    <row r="5007" spans="1:9" s="65" customFormat="1">
      <c r="A5007" s="91"/>
      <c r="B5007" s="91"/>
      <c r="C5007" s="91"/>
      <c r="D5007" s="91"/>
      <c r="E5007" s="91"/>
      <c r="G5007" s="104"/>
      <c r="H5007" s="140"/>
    </row>
    <row r="5008" spans="1:9" s="65" customFormat="1">
      <c r="A5008" s="120"/>
      <c r="B5008" s="73"/>
      <c r="C5008" s="73"/>
      <c r="D5008" s="73"/>
      <c r="E5008" s="73"/>
      <c r="G5008" s="121"/>
      <c r="H5008" s="140"/>
    </row>
    <row r="5009" spans="1:9" s="65" customFormat="1">
      <c r="A5009" s="128"/>
      <c r="B5009" s="141"/>
      <c r="C5009" s="141"/>
      <c r="D5009" s="141"/>
      <c r="E5009" s="141"/>
      <c r="F5009" s="141"/>
      <c r="G5009" s="141"/>
      <c r="H5009" s="140"/>
    </row>
    <row r="5010" spans="1:9" s="65" customFormat="1">
      <c r="A5010" s="142"/>
      <c r="B5010" s="143"/>
      <c r="C5010" s="143"/>
      <c r="D5010" s="143"/>
      <c r="E5010" s="143"/>
      <c r="F5010" s="84"/>
      <c r="G5010" s="144"/>
      <c r="H5010" s="145"/>
    </row>
    <row r="5011" spans="1:9" s="65" customFormat="1">
      <c r="A5011" s="123"/>
      <c r="B5011" s="95"/>
      <c r="C5011" s="95"/>
      <c r="D5011" s="95"/>
      <c r="E5011" s="95"/>
      <c r="G5011" s="104"/>
      <c r="H5011" s="121"/>
    </row>
    <row r="5012" spans="1:9" s="65" customFormat="1">
      <c r="A5012" s="123"/>
      <c r="B5012" s="95"/>
      <c r="C5012" s="95"/>
      <c r="D5012" s="95"/>
      <c r="E5012" s="95"/>
      <c r="G5012" s="121"/>
      <c r="H5012" s="133"/>
    </row>
    <row r="5013" spans="1:9" s="65" customFormat="1">
      <c r="B5013" s="97"/>
      <c r="C5013" s="98"/>
      <c r="D5013" s="98"/>
      <c r="E5013" s="98"/>
      <c r="G5013" s="128"/>
    </row>
    <row r="5014" spans="1:9" s="65" customFormat="1">
      <c r="B5014" s="97"/>
      <c r="C5014" s="98"/>
      <c r="D5014" s="98"/>
      <c r="E5014" s="98"/>
      <c r="F5014" s="128"/>
      <c r="G5014" s="133"/>
      <c r="H5014" s="134"/>
    </row>
    <row r="5015" spans="1:9" s="65" customFormat="1">
      <c r="A5015" s="633"/>
      <c r="B5015" s="633"/>
      <c r="C5015" s="633"/>
      <c r="D5015" s="633"/>
      <c r="E5015" s="633"/>
      <c r="F5015" s="633"/>
      <c r="G5015" s="633"/>
    </row>
    <row r="5016" spans="1:9" s="65" customFormat="1">
      <c r="H5016" s="138"/>
      <c r="I5016" s="151"/>
    </row>
    <row r="5017" spans="1:9" s="65" customFormat="1">
      <c r="A5017" s="645"/>
      <c r="B5017" s="138"/>
      <c r="C5017" s="138"/>
      <c r="D5017" s="138"/>
      <c r="E5017" s="138"/>
      <c r="F5017" s="138"/>
      <c r="G5017" s="138"/>
      <c r="H5017" s="138"/>
      <c r="I5017" s="152"/>
    </row>
    <row r="5018" spans="1:9" s="65" customFormat="1">
      <c r="A5018" s="645"/>
      <c r="B5018" s="138"/>
      <c r="C5018" s="138"/>
      <c r="D5018" s="138"/>
      <c r="E5018" s="138"/>
      <c r="F5018" s="138"/>
      <c r="G5018" s="138"/>
    </row>
    <row r="5019" spans="1:9" s="65" customFormat="1">
      <c r="A5019" s="69"/>
      <c r="B5019" s="69"/>
      <c r="C5019" s="69"/>
      <c r="D5019" s="69"/>
      <c r="E5019" s="69"/>
    </row>
    <row r="5020" spans="1:9" s="65" customFormat="1">
      <c r="A5020" s="120"/>
      <c r="B5020" s="73"/>
      <c r="C5020" s="73"/>
      <c r="D5020" s="73"/>
      <c r="E5020" s="73"/>
      <c r="F5020" s="121"/>
      <c r="G5020" s="121"/>
      <c r="H5020" s="121"/>
    </row>
    <row r="5021" spans="1:9" s="65" customFormat="1">
      <c r="A5021" s="128"/>
      <c r="B5021" s="141"/>
      <c r="C5021" s="141"/>
      <c r="D5021" s="141"/>
      <c r="E5021" s="141"/>
      <c r="F5021" s="141"/>
      <c r="G5021" s="141"/>
      <c r="H5021" s="121"/>
    </row>
    <row r="5022" spans="1:9" s="65" customFormat="1">
      <c r="A5022" s="150"/>
      <c r="B5022" s="83"/>
      <c r="C5022" s="148"/>
      <c r="D5022" s="84"/>
      <c r="E5022" s="84"/>
      <c r="F5022" s="84"/>
      <c r="G5022" s="154"/>
      <c r="H5022" s="145"/>
    </row>
    <row r="5023" spans="1:9" s="65" customFormat="1">
      <c r="A5023" s="84"/>
      <c r="B5023" s="83"/>
      <c r="C5023" s="84"/>
      <c r="D5023" s="84"/>
      <c r="E5023" s="84"/>
      <c r="G5023" s="104"/>
      <c r="H5023" s="140"/>
    </row>
    <row r="5024" spans="1:9" s="65" customFormat="1">
      <c r="A5024" s="120"/>
      <c r="B5024" s="73"/>
      <c r="C5024" s="73"/>
      <c r="D5024" s="73"/>
      <c r="E5024" s="73"/>
      <c r="G5024" s="121"/>
      <c r="H5024" s="140"/>
    </row>
    <row r="5025" spans="1:9" s="65" customFormat="1">
      <c r="A5025" s="128"/>
      <c r="B5025" s="141"/>
      <c r="C5025" s="141"/>
      <c r="D5025" s="141"/>
      <c r="E5025" s="141"/>
      <c r="F5025" s="141"/>
      <c r="G5025" s="141"/>
      <c r="H5025" s="140"/>
    </row>
    <row r="5026" spans="1:9" s="65" customFormat="1">
      <c r="A5026" s="150"/>
      <c r="B5026" s="83"/>
      <c r="C5026" s="148"/>
      <c r="D5026" s="84"/>
      <c r="E5026" s="84"/>
      <c r="F5026" s="84"/>
      <c r="G5026" s="154"/>
      <c r="H5026" s="145"/>
    </row>
    <row r="5027" spans="1:9" s="65" customFormat="1">
      <c r="A5027" s="91"/>
      <c r="B5027" s="91"/>
      <c r="C5027" s="91"/>
      <c r="D5027" s="91"/>
      <c r="E5027" s="91"/>
      <c r="G5027" s="104"/>
      <c r="H5027" s="140"/>
    </row>
    <row r="5028" spans="1:9" s="65" customFormat="1">
      <c r="A5028" s="120"/>
      <c r="B5028" s="73"/>
      <c r="C5028" s="73"/>
      <c r="D5028" s="73"/>
      <c r="E5028" s="73"/>
      <c r="G5028" s="121"/>
      <c r="H5028" s="140"/>
    </row>
    <row r="5029" spans="1:9" s="65" customFormat="1">
      <c r="A5029" s="128"/>
      <c r="B5029" s="141"/>
      <c r="C5029" s="141"/>
      <c r="D5029" s="141"/>
      <c r="E5029" s="141"/>
      <c r="F5029" s="141"/>
      <c r="G5029" s="141"/>
      <c r="H5029" s="140"/>
    </row>
    <row r="5030" spans="1:9" s="65" customFormat="1">
      <c r="A5030" s="146"/>
      <c r="B5030" s="83"/>
      <c r="C5030" s="148"/>
      <c r="D5030" s="84"/>
      <c r="E5030" s="84"/>
      <c r="F5030" s="84"/>
      <c r="G5030" s="144"/>
      <c r="H5030" s="145"/>
    </row>
    <row r="5031" spans="1:9" s="65" customFormat="1">
      <c r="A5031" s="91"/>
      <c r="B5031" s="91"/>
      <c r="C5031" s="91"/>
      <c r="D5031" s="91"/>
      <c r="E5031" s="91"/>
      <c r="G5031" s="104"/>
      <c r="H5031" s="140"/>
    </row>
    <row r="5032" spans="1:9" s="65" customFormat="1">
      <c r="A5032" s="120"/>
      <c r="B5032" s="73"/>
      <c r="C5032" s="73"/>
      <c r="D5032" s="73"/>
      <c r="E5032" s="73"/>
      <c r="G5032" s="121"/>
      <c r="H5032" s="140"/>
    </row>
    <row r="5033" spans="1:9" s="65" customFormat="1">
      <c r="A5033" s="128"/>
      <c r="B5033" s="141"/>
      <c r="C5033" s="141"/>
      <c r="D5033" s="141"/>
      <c r="E5033" s="141"/>
      <c r="F5033" s="141"/>
      <c r="G5033" s="141"/>
      <c r="H5033" s="140"/>
    </row>
    <row r="5034" spans="1:9" s="65" customFormat="1">
      <c r="A5034" s="142"/>
      <c r="B5034" s="143"/>
      <c r="C5034" s="143"/>
      <c r="D5034" s="143"/>
      <c r="E5034" s="143"/>
      <c r="F5034" s="84"/>
      <c r="G5034" s="144"/>
      <c r="H5034" s="145"/>
    </row>
    <row r="5035" spans="1:9" s="65" customFormat="1">
      <c r="A5035" s="123"/>
      <c r="B5035" s="95"/>
      <c r="C5035" s="95"/>
      <c r="D5035" s="95"/>
      <c r="E5035" s="95"/>
      <c r="G5035" s="104"/>
      <c r="H5035" s="121"/>
    </row>
    <row r="5036" spans="1:9" s="65" customFormat="1">
      <c r="A5036" s="123"/>
      <c r="B5036" s="95"/>
      <c r="C5036" s="95"/>
      <c r="D5036" s="95"/>
      <c r="E5036" s="95"/>
      <c r="G5036" s="121"/>
      <c r="H5036" s="133"/>
    </row>
    <row r="5037" spans="1:9" s="65" customFormat="1">
      <c r="B5037" s="97"/>
      <c r="C5037" s="98"/>
      <c r="D5037" s="98"/>
      <c r="E5037" s="98"/>
      <c r="G5037" s="128"/>
    </row>
    <row r="5038" spans="1:9" s="65" customFormat="1">
      <c r="B5038" s="97"/>
      <c r="C5038" s="98"/>
      <c r="D5038" s="98"/>
      <c r="E5038" s="98"/>
      <c r="F5038" s="128"/>
      <c r="G5038" s="133"/>
      <c r="H5038" s="134"/>
    </row>
    <row r="5039" spans="1:9" s="65" customFormat="1">
      <c r="A5039" s="633"/>
      <c r="B5039" s="633"/>
      <c r="C5039" s="633"/>
      <c r="D5039" s="633"/>
      <c r="E5039" s="633"/>
      <c r="F5039" s="633"/>
      <c r="G5039" s="633"/>
    </row>
    <row r="5040" spans="1:9" s="65" customFormat="1">
      <c r="H5040" s="138"/>
      <c r="I5040" s="151"/>
    </row>
    <row r="5041" spans="1:9" s="65" customFormat="1">
      <c r="A5041" s="645"/>
      <c r="B5041" s="138"/>
      <c r="C5041" s="138"/>
      <c r="D5041" s="138"/>
      <c r="E5041" s="138"/>
      <c r="F5041" s="138"/>
      <c r="G5041" s="138"/>
      <c r="H5041" s="138"/>
      <c r="I5041" s="152"/>
    </row>
    <row r="5042" spans="1:9" s="65" customFormat="1">
      <c r="A5042" s="645"/>
      <c r="B5042" s="138"/>
      <c r="C5042" s="138"/>
      <c r="D5042" s="138"/>
      <c r="E5042" s="138"/>
      <c r="F5042" s="138"/>
      <c r="G5042" s="138"/>
    </row>
    <row r="5043" spans="1:9" s="65" customFormat="1">
      <c r="A5043" s="69"/>
      <c r="B5043" s="69"/>
      <c r="C5043" s="69"/>
      <c r="D5043" s="69"/>
      <c r="E5043" s="69"/>
    </row>
    <row r="5044" spans="1:9" s="65" customFormat="1">
      <c r="A5044" s="120"/>
      <c r="B5044" s="73"/>
      <c r="C5044" s="73"/>
      <c r="D5044" s="73"/>
      <c r="E5044" s="73"/>
      <c r="F5044" s="121"/>
      <c r="G5044" s="121"/>
      <c r="H5044" s="121"/>
    </row>
    <row r="5045" spans="1:9" s="65" customFormat="1">
      <c r="A5045" s="128"/>
      <c r="B5045" s="141"/>
      <c r="C5045" s="141"/>
      <c r="D5045" s="141"/>
      <c r="E5045" s="141"/>
      <c r="F5045" s="141"/>
      <c r="G5045" s="141"/>
      <c r="H5045" s="121"/>
    </row>
    <row r="5046" spans="1:9" s="65" customFormat="1">
      <c r="A5046" s="150"/>
      <c r="B5046" s="83"/>
      <c r="C5046" s="148"/>
      <c r="D5046" s="84"/>
      <c r="E5046" s="84"/>
      <c r="F5046" s="84"/>
      <c r="G5046" s="154"/>
      <c r="H5046" s="145"/>
    </row>
    <row r="5047" spans="1:9" s="65" customFormat="1">
      <c r="A5047" s="84"/>
      <c r="B5047" s="83"/>
      <c r="C5047" s="84"/>
      <c r="D5047" s="84"/>
      <c r="E5047" s="84"/>
      <c r="G5047" s="104"/>
      <c r="H5047" s="140"/>
    </row>
    <row r="5048" spans="1:9" s="65" customFormat="1">
      <c r="A5048" s="120"/>
      <c r="B5048" s="73"/>
      <c r="C5048" s="73"/>
      <c r="D5048" s="73"/>
      <c r="E5048" s="73"/>
      <c r="G5048" s="121"/>
      <c r="H5048" s="140"/>
    </row>
    <row r="5049" spans="1:9" s="65" customFormat="1">
      <c r="A5049" s="128"/>
      <c r="B5049" s="141"/>
      <c r="C5049" s="141"/>
      <c r="D5049" s="141"/>
      <c r="E5049" s="141"/>
      <c r="F5049" s="141"/>
      <c r="G5049" s="141"/>
      <c r="H5049" s="140"/>
    </row>
    <row r="5050" spans="1:9" s="65" customFormat="1">
      <c r="A5050" s="150"/>
      <c r="B5050" s="83"/>
      <c r="C5050" s="148"/>
      <c r="D5050" s="84"/>
      <c r="E5050" s="84"/>
      <c r="F5050" s="84"/>
      <c r="G5050" s="154"/>
      <c r="H5050" s="145"/>
    </row>
    <row r="5051" spans="1:9" s="65" customFormat="1">
      <c r="A5051" s="91"/>
      <c r="B5051" s="91"/>
      <c r="C5051" s="91"/>
      <c r="D5051" s="91"/>
      <c r="E5051" s="91"/>
      <c r="G5051" s="104"/>
      <c r="H5051" s="140"/>
    </row>
    <row r="5052" spans="1:9" s="65" customFormat="1">
      <c r="A5052" s="120"/>
      <c r="B5052" s="73"/>
      <c r="C5052" s="73"/>
      <c r="D5052" s="73"/>
      <c r="E5052" s="73"/>
      <c r="G5052" s="121"/>
      <c r="H5052" s="140"/>
    </row>
    <row r="5053" spans="1:9" s="65" customFormat="1">
      <c r="A5053" s="128"/>
      <c r="B5053" s="141"/>
      <c r="C5053" s="141"/>
      <c r="D5053" s="141"/>
      <c r="E5053" s="141"/>
      <c r="F5053" s="141"/>
      <c r="G5053" s="141"/>
      <c r="H5053" s="140"/>
    </row>
    <row r="5054" spans="1:9" s="65" customFormat="1">
      <c r="A5054" s="146"/>
      <c r="B5054" s="83"/>
      <c r="C5054" s="148"/>
      <c r="D5054" s="84"/>
      <c r="E5054" s="84"/>
      <c r="F5054" s="84"/>
      <c r="G5054" s="144"/>
      <c r="H5054" s="145"/>
    </row>
    <row r="5055" spans="1:9" s="65" customFormat="1">
      <c r="A5055" s="91"/>
      <c r="B5055" s="91"/>
      <c r="C5055" s="91"/>
      <c r="D5055" s="91"/>
      <c r="E5055" s="91"/>
      <c r="G5055" s="104"/>
      <c r="H5055" s="140"/>
    </row>
    <row r="5056" spans="1:9" s="65" customFormat="1">
      <c r="A5056" s="120"/>
      <c r="B5056" s="73"/>
      <c r="C5056" s="73"/>
      <c r="D5056" s="73"/>
      <c r="E5056" s="73"/>
      <c r="G5056" s="121"/>
      <c r="H5056" s="140"/>
    </row>
    <row r="5057" spans="1:9" s="65" customFormat="1">
      <c r="A5057" s="128"/>
      <c r="B5057" s="141"/>
      <c r="C5057" s="141"/>
      <c r="D5057" s="141"/>
      <c r="E5057" s="141"/>
      <c r="F5057" s="141"/>
      <c r="G5057" s="141"/>
      <c r="H5057" s="140"/>
    </row>
    <row r="5058" spans="1:9" s="65" customFormat="1">
      <c r="A5058" s="142"/>
      <c r="B5058" s="143"/>
      <c r="C5058" s="143"/>
      <c r="D5058" s="143"/>
      <c r="E5058" s="143"/>
      <c r="F5058" s="84"/>
      <c r="G5058" s="144"/>
      <c r="H5058" s="145"/>
    </row>
    <row r="5059" spans="1:9" s="65" customFormat="1">
      <c r="A5059" s="123"/>
      <c r="B5059" s="95"/>
      <c r="C5059" s="95"/>
      <c r="D5059" s="95"/>
      <c r="E5059" s="95"/>
      <c r="G5059" s="104"/>
      <c r="H5059" s="121"/>
    </row>
    <row r="5060" spans="1:9" s="65" customFormat="1">
      <c r="A5060" s="123"/>
      <c r="B5060" s="95"/>
      <c r="C5060" s="95"/>
      <c r="D5060" s="95"/>
      <c r="E5060" s="95"/>
      <c r="G5060" s="121"/>
      <c r="H5060" s="133"/>
    </row>
    <row r="5061" spans="1:9" s="65" customFormat="1">
      <c r="B5061" s="97"/>
      <c r="C5061" s="98"/>
      <c r="D5061" s="98"/>
      <c r="E5061" s="98"/>
      <c r="G5061" s="128"/>
    </row>
    <row r="5062" spans="1:9" s="65" customFormat="1">
      <c r="B5062" s="97"/>
      <c r="C5062" s="98"/>
      <c r="D5062" s="98"/>
      <c r="E5062" s="98"/>
      <c r="F5062" s="128"/>
      <c r="G5062" s="133"/>
      <c r="H5062" s="134"/>
    </row>
    <row r="5063" spans="1:9" s="65" customFormat="1">
      <c r="A5063" s="633"/>
      <c r="B5063" s="633"/>
      <c r="C5063" s="633"/>
      <c r="D5063" s="633"/>
      <c r="E5063" s="633"/>
      <c r="F5063" s="633"/>
      <c r="G5063" s="633"/>
    </row>
    <row r="5064" spans="1:9" s="65" customFormat="1">
      <c r="H5064" s="138"/>
      <c r="I5064" s="151"/>
    </row>
    <row r="5065" spans="1:9" s="65" customFormat="1">
      <c r="A5065" s="645"/>
      <c r="B5065" s="138"/>
      <c r="C5065" s="138"/>
      <c r="D5065" s="138"/>
      <c r="E5065" s="138"/>
      <c r="F5065" s="138"/>
      <c r="G5065" s="138"/>
      <c r="H5065" s="138"/>
      <c r="I5065" s="152"/>
    </row>
    <row r="5066" spans="1:9" s="65" customFormat="1">
      <c r="A5066" s="645"/>
      <c r="B5066" s="138"/>
      <c r="C5066" s="138"/>
      <c r="D5066" s="138"/>
      <c r="E5066" s="138"/>
      <c r="F5066" s="138"/>
      <c r="G5066" s="138"/>
    </row>
    <row r="5067" spans="1:9" s="65" customFormat="1">
      <c r="A5067" s="69"/>
      <c r="B5067" s="69"/>
      <c r="C5067" s="69"/>
      <c r="D5067" s="69"/>
      <c r="E5067" s="69"/>
    </row>
    <row r="5068" spans="1:9" s="65" customFormat="1">
      <c r="A5068" s="120"/>
      <c r="B5068" s="73"/>
      <c r="C5068" s="73"/>
      <c r="D5068" s="73"/>
      <c r="E5068" s="73"/>
      <c r="F5068" s="121"/>
      <c r="G5068" s="121"/>
      <c r="H5068" s="121"/>
    </row>
    <row r="5069" spans="1:9" s="65" customFormat="1">
      <c r="A5069" s="128"/>
      <c r="B5069" s="141"/>
      <c r="C5069" s="141"/>
      <c r="D5069" s="141"/>
      <c r="E5069" s="141"/>
      <c r="F5069" s="141"/>
      <c r="G5069" s="141"/>
      <c r="H5069" s="121"/>
    </row>
    <row r="5070" spans="1:9" s="65" customFormat="1">
      <c r="A5070" s="150"/>
      <c r="B5070" s="83"/>
      <c r="C5070" s="148"/>
      <c r="D5070" s="84"/>
      <c r="E5070" s="84"/>
      <c r="F5070" s="84"/>
      <c r="G5070" s="154"/>
      <c r="H5070" s="121"/>
    </row>
    <row r="5071" spans="1:9" s="65" customFormat="1">
      <c r="A5071" s="150"/>
      <c r="B5071" s="83"/>
      <c r="C5071" s="148"/>
      <c r="D5071" s="84"/>
      <c r="E5071" s="84"/>
      <c r="F5071" s="84"/>
      <c r="G5071" s="154"/>
      <c r="H5071" s="145"/>
    </row>
    <row r="5072" spans="1:9" s="65" customFormat="1">
      <c r="A5072" s="84"/>
      <c r="B5072" s="83"/>
      <c r="C5072" s="84"/>
      <c r="D5072" s="84"/>
      <c r="E5072" s="84"/>
      <c r="G5072" s="104"/>
      <c r="H5072" s="140"/>
    </row>
    <row r="5073" spans="1:8" s="65" customFormat="1">
      <c r="A5073" s="120"/>
      <c r="B5073" s="73"/>
      <c r="C5073" s="73"/>
      <c r="D5073" s="73"/>
      <c r="E5073" s="73"/>
      <c r="G5073" s="121"/>
      <c r="H5073" s="140"/>
    </row>
    <row r="5074" spans="1:8" s="65" customFormat="1">
      <c r="A5074" s="128"/>
      <c r="B5074" s="141"/>
      <c r="C5074" s="141"/>
      <c r="D5074" s="141"/>
      <c r="E5074" s="141"/>
      <c r="F5074" s="141"/>
      <c r="G5074" s="141"/>
      <c r="H5074" s="140"/>
    </row>
    <row r="5075" spans="1:8" s="65" customFormat="1">
      <c r="A5075" s="150"/>
      <c r="B5075" s="83"/>
      <c r="C5075" s="148"/>
      <c r="D5075" s="84"/>
      <c r="E5075" s="84"/>
      <c r="F5075" s="84"/>
      <c r="G5075" s="154"/>
      <c r="H5075" s="140"/>
    </row>
    <row r="5076" spans="1:8" s="65" customFormat="1">
      <c r="A5076" s="150"/>
      <c r="B5076" s="83"/>
      <c r="C5076" s="148"/>
      <c r="D5076" s="84"/>
      <c r="E5076" s="84"/>
      <c r="F5076" s="84"/>
      <c r="G5076" s="154"/>
      <c r="H5076" s="140"/>
    </row>
    <row r="5077" spans="1:8" s="65" customFormat="1">
      <c r="A5077" s="150"/>
      <c r="B5077" s="83"/>
      <c r="C5077" s="148"/>
      <c r="D5077" s="84"/>
      <c r="E5077" s="84"/>
      <c r="F5077" s="84"/>
      <c r="G5077" s="154"/>
      <c r="H5077" s="140"/>
    </row>
    <row r="5078" spans="1:8" s="65" customFormat="1">
      <c r="A5078" s="150"/>
      <c r="B5078" s="83"/>
      <c r="C5078" s="148"/>
      <c r="D5078" s="84"/>
      <c r="E5078" s="84"/>
      <c r="F5078" s="84"/>
      <c r="G5078" s="154"/>
      <c r="H5078" s="140"/>
    </row>
    <row r="5079" spans="1:8" s="65" customFormat="1">
      <c r="A5079" s="150"/>
      <c r="B5079" s="83"/>
      <c r="C5079" s="148"/>
      <c r="D5079" s="84"/>
      <c r="E5079" s="84"/>
      <c r="F5079" s="84"/>
      <c r="G5079" s="154"/>
      <c r="H5079" s="140"/>
    </row>
    <row r="5080" spans="1:8" s="65" customFormat="1">
      <c r="A5080" s="150"/>
      <c r="B5080" s="83"/>
      <c r="C5080" s="148"/>
      <c r="D5080" s="84"/>
      <c r="E5080" s="84"/>
      <c r="F5080" s="84"/>
      <c r="G5080" s="154"/>
      <c r="H5080" s="140"/>
    </row>
    <row r="5081" spans="1:8" s="65" customFormat="1">
      <c r="A5081" s="150"/>
      <c r="B5081" s="83"/>
      <c r="C5081" s="148"/>
      <c r="D5081" s="84"/>
      <c r="E5081" s="84"/>
      <c r="F5081" s="84"/>
      <c r="G5081" s="154"/>
      <c r="H5081" s="140"/>
    </row>
    <row r="5082" spans="1:8" s="65" customFormat="1">
      <c r="A5082" s="150"/>
      <c r="B5082" s="83"/>
      <c r="C5082" s="148"/>
      <c r="D5082" s="84"/>
      <c r="E5082" s="84"/>
      <c r="F5082" s="84"/>
      <c r="G5082" s="154"/>
      <c r="H5082" s="145"/>
    </row>
    <row r="5083" spans="1:8" s="65" customFormat="1">
      <c r="A5083" s="91"/>
      <c r="B5083" s="91"/>
      <c r="C5083" s="91"/>
      <c r="D5083" s="91"/>
      <c r="E5083" s="91"/>
      <c r="G5083" s="104"/>
      <c r="H5083" s="140"/>
    </row>
    <row r="5084" spans="1:8" s="65" customFormat="1">
      <c r="A5084" s="120"/>
      <c r="B5084" s="73"/>
      <c r="C5084" s="73"/>
      <c r="D5084" s="73"/>
      <c r="E5084" s="73"/>
      <c r="G5084" s="121"/>
      <c r="H5084" s="140"/>
    </row>
    <row r="5085" spans="1:8" s="65" customFormat="1">
      <c r="A5085" s="128"/>
      <c r="B5085" s="141"/>
      <c r="C5085" s="141"/>
      <c r="D5085" s="141"/>
      <c r="E5085" s="141"/>
      <c r="F5085" s="141"/>
      <c r="G5085" s="141"/>
      <c r="H5085" s="140"/>
    </row>
    <row r="5086" spans="1:8" s="65" customFormat="1">
      <c r="A5086" s="146"/>
      <c r="B5086" s="83"/>
      <c r="C5086" s="148"/>
      <c r="D5086" s="84"/>
      <c r="E5086" s="84"/>
      <c r="F5086" s="84"/>
      <c r="G5086" s="144"/>
      <c r="H5086" s="140"/>
    </row>
    <row r="5087" spans="1:8" s="65" customFormat="1">
      <c r="A5087" s="146"/>
      <c r="B5087" s="83"/>
      <c r="C5087" s="148"/>
      <c r="D5087" s="84"/>
      <c r="E5087" s="84"/>
      <c r="F5087" s="84"/>
      <c r="G5087" s="144"/>
      <c r="H5087" s="145"/>
    </row>
    <row r="5088" spans="1:8" s="65" customFormat="1">
      <c r="A5088" s="91"/>
      <c r="B5088" s="91"/>
      <c r="C5088" s="91"/>
      <c r="D5088" s="91"/>
      <c r="E5088" s="91"/>
      <c r="G5088" s="104"/>
      <c r="H5088" s="140"/>
    </row>
    <row r="5089" spans="1:9" s="65" customFormat="1">
      <c r="A5089" s="120"/>
      <c r="B5089" s="73"/>
      <c r="C5089" s="73"/>
      <c r="D5089" s="73"/>
      <c r="E5089" s="73"/>
      <c r="G5089" s="121"/>
      <c r="H5089" s="140"/>
    </row>
    <row r="5090" spans="1:9" s="65" customFormat="1">
      <c r="A5090" s="128"/>
      <c r="B5090" s="141"/>
      <c r="C5090" s="141"/>
      <c r="D5090" s="141"/>
      <c r="E5090" s="141"/>
      <c r="F5090" s="141"/>
      <c r="G5090" s="141"/>
      <c r="H5090" s="140"/>
    </row>
    <row r="5091" spans="1:9" s="65" customFormat="1">
      <c r="A5091" s="142"/>
      <c r="B5091" s="143"/>
      <c r="C5091" s="143"/>
      <c r="D5091" s="143"/>
      <c r="E5091" s="143"/>
      <c r="F5091" s="84"/>
      <c r="G5091" s="144"/>
      <c r="H5091" s="145"/>
    </row>
    <row r="5092" spans="1:9" s="65" customFormat="1">
      <c r="A5092" s="123"/>
      <c r="B5092" s="95"/>
      <c r="C5092" s="95"/>
      <c r="D5092" s="95"/>
      <c r="E5092" s="95"/>
      <c r="G5092" s="104"/>
      <c r="H5092" s="121"/>
    </row>
    <row r="5093" spans="1:9" s="65" customFormat="1">
      <c r="A5093" s="123"/>
      <c r="B5093" s="95"/>
      <c r="C5093" s="95"/>
      <c r="D5093" s="95"/>
      <c r="E5093" s="95"/>
      <c r="G5093" s="121"/>
      <c r="H5093" s="133"/>
    </row>
    <row r="5094" spans="1:9" s="65" customFormat="1">
      <c r="B5094" s="97"/>
      <c r="C5094" s="98"/>
      <c r="D5094" s="98"/>
      <c r="E5094" s="98"/>
      <c r="G5094" s="128"/>
    </row>
    <row r="5095" spans="1:9" s="65" customFormat="1">
      <c r="B5095" s="97"/>
      <c r="C5095" s="98"/>
      <c r="D5095" s="98"/>
      <c r="E5095" s="98"/>
      <c r="F5095" s="128"/>
      <c r="G5095" s="133"/>
      <c r="H5095" s="134"/>
    </row>
    <row r="5096" spans="1:9" s="65" customFormat="1">
      <c r="A5096" s="633"/>
      <c r="B5096" s="633"/>
      <c r="C5096" s="633"/>
      <c r="D5096" s="633"/>
      <c r="E5096" s="633"/>
      <c r="F5096" s="633"/>
      <c r="G5096" s="633"/>
    </row>
    <row r="5097" spans="1:9" s="65" customFormat="1">
      <c r="H5097" s="138"/>
      <c r="I5097" s="151"/>
    </row>
    <row r="5098" spans="1:9" s="65" customFormat="1">
      <c r="A5098" s="645"/>
      <c r="B5098" s="138"/>
      <c r="C5098" s="138"/>
      <c r="D5098" s="138"/>
      <c r="E5098" s="138"/>
      <c r="F5098" s="138"/>
      <c r="G5098" s="138"/>
      <c r="H5098" s="138"/>
      <c r="I5098" s="152"/>
    </row>
    <row r="5099" spans="1:9" s="65" customFormat="1">
      <c r="A5099" s="645"/>
      <c r="B5099" s="138"/>
      <c r="C5099" s="138"/>
      <c r="D5099" s="138"/>
      <c r="E5099" s="138"/>
      <c r="F5099" s="138"/>
      <c r="G5099" s="138"/>
    </row>
    <row r="5100" spans="1:9" s="65" customFormat="1">
      <c r="A5100" s="69"/>
      <c r="B5100" s="69"/>
      <c r="C5100" s="69"/>
      <c r="D5100" s="69"/>
      <c r="E5100" s="69"/>
    </row>
    <row r="5101" spans="1:9" s="65" customFormat="1">
      <c r="A5101" s="120"/>
      <c r="B5101" s="73"/>
      <c r="C5101" s="73"/>
      <c r="D5101" s="73"/>
      <c r="E5101" s="73"/>
      <c r="F5101" s="121"/>
      <c r="G5101" s="121"/>
      <c r="H5101" s="121"/>
    </row>
    <row r="5102" spans="1:9" s="65" customFormat="1">
      <c r="A5102" s="128"/>
      <c r="B5102" s="141"/>
      <c r="C5102" s="141"/>
      <c r="D5102" s="141"/>
      <c r="E5102" s="141"/>
      <c r="F5102" s="141"/>
      <c r="G5102" s="141"/>
      <c r="H5102" s="121"/>
    </row>
    <row r="5103" spans="1:9" s="65" customFormat="1">
      <c r="A5103" s="150"/>
      <c r="B5103" s="83"/>
      <c r="C5103" s="148"/>
      <c r="D5103" s="84"/>
      <c r="E5103" s="84"/>
      <c r="F5103" s="84"/>
      <c r="G5103" s="154"/>
      <c r="H5103" s="145"/>
    </row>
    <row r="5104" spans="1:9" s="65" customFormat="1">
      <c r="A5104" s="84"/>
      <c r="B5104" s="83"/>
      <c r="C5104" s="84"/>
      <c r="D5104" s="84"/>
      <c r="E5104" s="84"/>
      <c r="G5104" s="104"/>
      <c r="H5104" s="140"/>
    </row>
    <row r="5105" spans="1:8" s="65" customFormat="1">
      <c r="A5105" s="120"/>
      <c r="B5105" s="73"/>
      <c r="C5105" s="73"/>
      <c r="D5105" s="73"/>
      <c r="E5105" s="73"/>
      <c r="G5105" s="121"/>
      <c r="H5105" s="140"/>
    </row>
    <row r="5106" spans="1:8" s="65" customFormat="1">
      <c r="A5106" s="128"/>
      <c r="B5106" s="141"/>
      <c r="C5106" s="141"/>
      <c r="D5106" s="141"/>
      <c r="E5106" s="141"/>
      <c r="F5106" s="141"/>
      <c r="G5106" s="141"/>
      <c r="H5106" s="140"/>
    </row>
    <row r="5107" spans="1:8" s="65" customFormat="1">
      <c r="A5107" s="150"/>
      <c r="B5107" s="83"/>
      <c r="C5107" s="148"/>
      <c r="D5107" s="84"/>
      <c r="E5107" s="84"/>
      <c r="F5107" s="84"/>
      <c r="G5107" s="154"/>
      <c r="H5107" s="145"/>
    </row>
    <row r="5108" spans="1:8" s="65" customFormat="1">
      <c r="A5108" s="91"/>
      <c r="B5108" s="91"/>
      <c r="C5108" s="91"/>
      <c r="D5108" s="91"/>
      <c r="E5108" s="91"/>
      <c r="G5108" s="104"/>
      <c r="H5108" s="140"/>
    </row>
    <row r="5109" spans="1:8" s="65" customFormat="1">
      <c r="A5109" s="120"/>
      <c r="B5109" s="73"/>
      <c r="C5109" s="73"/>
      <c r="D5109" s="73"/>
      <c r="E5109" s="73"/>
      <c r="G5109" s="121"/>
      <c r="H5109" s="140"/>
    </row>
    <row r="5110" spans="1:8" s="65" customFormat="1">
      <c r="A5110" s="128"/>
      <c r="B5110" s="141"/>
      <c r="C5110" s="141"/>
      <c r="D5110" s="141"/>
      <c r="E5110" s="141"/>
      <c r="F5110" s="141"/>
      <c r="G5110" s="141"/>
      <c r="H5110" s="140"/>
    </row>
    <row r="5111" spans="1:8" s="65" customFormat="1">
      <c r="A5111" s="146"/>
      <c r="B5111" s="83"/>
      <c r="C5111" s="148"/>
      <c r="D5111" s="84"/>
      <c r="E5111" s="84"/>
      <c r="F5111" s="84"/>
      <c r="G5111" s="144"/>
      <c r="H5111" s="145"/>
    </row>
    <row r="5112" spans="1:8" s="65" customFormat="1">
      <c r="A5112" s="91"/>
      <c r="B5112" s="91"/>
      <c r="C5112" s="91"/>
      <c r="D5112" s="91"/>
      <c r="E5112" s="91"/>
      <c r="G5112" s="104"/>
      <c r="H5112" s="140"/>
    </row>
    <row r="5113" spans="1:8" s="65" customFormat="1">
      <c r="A5113" s="120"/>
      <c r="B5113" s="73"/>
      <c r="C5113" s="73"/>
      <c r="D5113" s="73"/>
      <c r="E5113" s="73"/>
      <c r="G5113" s="121"/>
      <c r="H5113" s="140"/>
    </row>
    <row r="5114" spans="1:8" s="65" customFormat="1">
      <c r="A5114" s="128"/>
      <c r="B5114" s="141"/>
      <c r="C5114" s="141"/>
      <c r="D5114" s="141"/>
      <c r="E5114" s="141"/>
      <c r="F5114" s="141"/>
      <c r="G5114" s="141"/>
      <c r="H5114" s="140"/>
    </row>
    <row r="5115" spans="1:8" s="65" customFormat="1">
      <c r="A5115" s="142"/>
      <c r="B5115" s="143"/>
      <c r="C5115" s="143"/>
      <c r="D5115" s="143"/>
      <c r="E5115" s="143"/>
      <c r="F5115" s="84"/>
      <c r="G5115" s="144"/>
      <c r="H5115" s="145"/>
    </row>
    <row r="5116" spans="1:8" s="65" customFormat="1">
      <c r="A5116" s="123"/>
      <c r="B5116" s="95"/>
      <c r="C5116" s="95"/>
      <c r="D5116" s="95"/>
      <c r="E5116" s="95"/>
      <c r="G5116" s="104"/>
      <c r="H5116" s="121"/>
    </row>
    <row r="5117" spans="1:8" s="65" customFormat="1">
      <c r="A5117" s="123"/>
      <c r="B5117" s="95"/>
      <c r="C5117" s="95"/>
      <c r="D5117" s="95"/>
      <c r="E5117" s="95"/>
      <c r="G5117" s="121"/>
      <c r="H5117" s="133"/>
    </row>
    <row r="5118" spans="1:8" s="65" customFormat="1">
      <c r="B5118" s="97"/>
      <c r="C5118" s="98"/>
      <c r="D5118" s="98"/>
      <c r="E5118" s="98"/>
      <c r="G5118" s="128"/>
    </row>
    <row r="5119" spans="1:8" s="65" customFormat="1">
      <c r="B5119" s="97"/>
      <c r="C5119" s="98"/>
      <c r="D5119" s="98"/>
      <c r="E5119" s="98"/>
      <c r="F5119" s="128"/>
      <c r="G5119" s="133"/>
      <c r="H5119" s="134"/>
    </row>
    <row r="5120" spans="1:8" s="65" customFormat="1">
      <c r="A5120" s="633"/>
      <c r="B5120" s="633"/>
      <c r="C5120" s="633"/>
      <c r="D5120" s="633"/>
      <c r="E5120" s="633"/>
      <c r="F5120" s="633"/>
      <c r="G5120" s="633"/>
    </row>
    <row r="5121" spans="1:9" s="65" customFormat="1">
      <c r="H5121" s="138"/>
      <c r="I5121" s="151"/>
    </row>
    <row r="5122" spans="1:9" s="65" customFormat="1">
      <c r="A5122" s="645"/>
      <c r="B5122" s="138"/>
      <c r="C5122" s="138"/>
      <c r="D5122" s="138"/>
      <c r="E5122" s="138"/>
      <c r="F5122" s="138"/>
      <c r="G5122" s="138"/>
      <c r="H5122" s="138"/>
      <c r="I5122" s="152"/>
    </row>
    <row r="5123" spans="1:9" s="65" customFormat="1">
      <c r="A5123" s="645"/>
      <c r="B5123" s="138"/>
      <c r="C5123" s="138"/>
      <c r="D5123" s="138"/>
      <c r="E5123" s="138"/>
      <c r="F5123" s="138"/>
      <c r="G5123" s="138"/>
    </row>
    <row r="5124" spans="1:9" s="65" customFormat="1">
      <c r="A5124" s="69"/>
      <c r="B5124" s="69"/>
      <c r="C5124" s="69"/>
      <c r="D5124" s="69"/>
      <c r="E5124" s="69"/>
    </row>
    <row r="5125" spans="1:9" s="65" customFormat="1">
      <c r="A5125" s="120"/>
      <c r="B5125" s="73"/>
      <c r="C5125" s="73"/>
      <c r="D5125" s="73"/>
      <c r="E5125" s="73"/>
      <c r="F5125" s="121"/>
      <c r="G5125" s="121"/>
      <c r="H5125" s="121"/>
    </row>
    <row r="5126" spans="1:9" s="65" customFormat="1">
      <c r="A5126" s="128"/>
      <c r="B5126" s="141"/>
      <c r="C5126" s="141"/>
      <c r="D5126" s="141"/>
      <c r="E5126" s="141"/>
      <c r="F5126" s="141"/>
      <c r="G5126" s="141"/>
      <c r="H5126" s="121"/>
    </row>
    <row r="5127" spans="1:9" s="65" customFormat="1">
      <c r="A5127" s="150"/>
      <c r="B5127" s="83"/>
      <c r="C5127" s="148"/>
      <c r="D5127" s="84"/>
      <c r="E5127" s="84"/>
      <c r="F5127" s="84"/>
      <c r="G5127" s="154"/>
      <c r="H5127" s="145"/>
    </row>
    <row r="5128" spans="1:9" s="65" customFormat="1">
      <c r="A5128" s="84"/>
      <c r="B5128" s="83"/>
      <c r="C5128" s="84"/>
      <c r="D5128" s="84"/>
      <c r="E5128" s="84"/>
      <c r="G5128" s="104"/>
      <c r="H5128" s="140"/>
    </row>
    <row r="5129" spans="1:9" s="65" customFormat="1">
      <c r="A5129" s="120"/>
      <c r="B5129" s="73"/>
      <c r="C5129" s="73"/>
      <c r="D5129" s="73"/>
      <c r="E5129" s="73"/>
      <c r="G5129" s="121"/>
      <c r="H5129" s="140"/>
    </row>
    <row r="5130" spans="1:9" s="65" customFormat="1">
      <c r="A5130" s="128"/>
      <c r="B5130" s="141"/>
      <c r="C5130" s="141"/>
      <c r="D5130" s="141"/>
      <c r="E5130" s="141"/>
      <c r="F5130" s="141"/>
      <c r="G5130" s="141"/>
      <c r="H5130" s="140"/>
    </row>
    <row r="5131" spans="1:9" s="65" customFormat="1">
      <c r="A5131" s="150"/>
      <c r="B5131" s="83"/>
      <c r="C5131" s="148"/>
      <c r="D5131" s="84"/>
      <c r="E5131" s="84"/>
      <c r="F5131" s="84"/>
      <c r="G5131" s="154"/>
      <c r="H5131" s="145"/>
    </row>
    <row r="5132" spans="1:9" s="65" customFormat="1">
      <c r="A5132" s="91"/>
      <c r="B5132" s="91"/>
      <c r="C5132" s="91"/>
      <c r="D5132" s="91"/>
      <c r="E5132" s="91"/>
      <c r="G5132" s="104"/>
      <c r="H5132" s="140"/>
    </row>
    <row r="5133" spans="1:9" s="65" customFormat="1">
      <c r="A5133" s="120"/>
      <c r="B5133" s="73"/>
      <c r="C5133" s="73"/>
      <c r="D5133" s="73"/>
      <c r="E5133" s="73"/>
      <c r="G5133" s="121"/>
      <c r="H5133" s="140"/>
    </row>
    <row r="5134" spans="1:9" s="65" customFormat="1">
      <c r="A5134" s="128"/>
      <c r="B5134" s="141"/>
      <c r="C5134" s="141"/>
      <c r="D5134" s="141"/>
      <c r="E5134" s="141"/>
      <c r="F5134" s="141"/>
      <c r="G5134" s="141"/>
      <c r="H5134" s="140"/>
    </row>
    <row r="5135" spans="1:9" s="65" customFormat="1">
      <c r="A5135" s="146"/>
      <c r="B5135" s="83"/>
      <c r="C5135" s="148"/>
      <c r="D5135" s="84"/>
      <c r="E5135" s="84"/>
      <c r="F5135" s="84"/>
      <c r="G5135" s="144"/>
      <c r="H5135" s="145"/>
    </row>
    <row r="5136" spans="1:9" s="65" customFormat="1">
      <c r="A5136" s="91"/>
      <c r="B5136" s="91"/>
      <c r="C5136" s="91"/>
      <c r="D5136" s="91"/>
      <c r="E5136" s="91"/>
      <c r="G5136" s="104"/>
      <c r="H5136" s="140"/>
    </row>
    <row r="5137" spans="1:9" s="65" customFormat="1">
      <c r="A5137" s="120"/>
      <c r="B5137" s="73"/>
      <c r="C5137" s="73"/>
      <c r="D5137" s="73"/>
      <c r="E5137" s="73"/>
      <c r="G5137" s="121"/>
      <c r="H5137" s="140"/>
    </row>
    <row r="5138" spans="1:9" s="65" customFormat="1">
      <c r="A5138" s="128"/>
      <c r="B5138" s="141"/>
      <c r="C5138" s="141"/>
      <c r="D5138" s="141"/>
      <c r="E5138" s="141"/>
      <c r="F5138" s="141"/>
      <c r="G5138" s="141"/>
      <c r="H5138" s="140"/>
    </row>
    <row r="5139" spans="1:9" s="65" customFormat="1">
      <c r="A5139" s="142"/>
      <c r="B5139" s="143"/>
      <c r="C5139" s="143"/>
      <c r="D5139" s="143"/>
      <c r="E5139" s="143"/>
      <c r="F5139" s="84"/>
      <c r="G5139" s="144"/>
      <c r="H5139" s="145"/>
    </row>
    <row r="5140" spans="1:9" s="65" customFormat="1">
      <c r="A5140" s="123"/>
      <c r="B5140" s="95"/>
      <c r="C5140" s="95"/>
      <c r="D5140" s="95"/>
      <c r="E5140" s="95"/>
      <c r="G5140" s="104"/>
      <c r="H5140" s="121"/>
    </row>
    <row r="5141" spans="1:9" s="65" customFormat="1">
      <c r="A5141" s="123"/>
      <c r="B5141" s="95"/>
      <c r="C5141" s="95"/>
      <c r="D5141" s="95"/>
      <c r="E5141" s="95"/>
      <c r="G5141" s="121"/>
      <c r="H5141" s="133"/>
    </row>
    <row r="5142" spans="1:9" s="65" customFormat="1">
      <c r="B5142" s="97"/>
      <c r="C5142" s="98"/>
      <c r="D5142" s="98"/>
      <c r="E5142" s="98"/>
      <c r="G5142" s="128"/>
    </row>
    <row r="5143" spans="1:9" s="65" customFormat="1">
      <c r="B5143" s="97"/>
      <c r="C5143" s="98"/>
      <c r="D5143" s="98"/>
      <c r="E5143" s="98"/>
      <c r="F5143" s="128"/>
      <c r="G5143" s="133"/>
      <c r="H5143" s="134"/>
    </row>
    <row r="5144" spans="1:9" s="65" customFormat="1">
      <c r="A5144" s="633"/>
      <c r="B5144" s="633"/>
      <c r="C5144" s="633"/>
      <c r="D5144" s="633"/>
      <c r="E5144" s="633"/>
      <c r="F5144" s="633"/>
      <c r="G5144" s="633"/>
    </row>
    <row r="5145" spans="1:9" s="65" customFormat="1">
      <c r="H5145" s="138"/>
      <c r="I5145" s="151"/>
    </row>
    <row r="5146" spans="1:9" s="65" customFormat="1">
      <c r="A5146" s="645"/>
      <c r="B5146" s="138"/>
      <c r="C5146" s="138"/>
      <c r="D5146" s="138"/>
      <c r="E5146" s="138"/>
      <c r="F5146" s="138"/>
      <c r="G5146" s="138"/>
      <c r="H5146" s="138"/>
      <c r="I5146" s="152"/>
    </row>
    <row r="5147" spans="1:9" s="65" customFormat="1">
      <c r="A5147" s="645"/>
      <c r="B5147" s="138"/>
      <c r="C5147" s="138"/>
      <c r="D5147" s="138"/>
      <c r="E5147" s="138"/>
      <c r="F5147" s="138"/>
      <c r="G5147" s="138"/>
    </row>
    <row r="5148" spans="1:9" s="65" customFormat="1">
      <c r="A5148" s="69"/>
      <c r="B5148" s="69"/>
      <c r="C5148" s="69"/>
      <c r="D5148" s="69"/>
      <c r="E5148" s="69"/>
    </row>
    <row r="5149" spans="1:9" s="65" customFormat="1">
      <c r="A5149" s="120"/>
      <c r="B5149" s="73"/>
      <c r="C5149" s="73"/>
      <c r="D5149" s="73"/>
      <c r="E5149" s="73"/>
      <c r="F5149" s="121"/>
      <c r="G5149" s="121"/>
      <c r="H5149" s="121"/>
    </row>
    <row r="5150" spans="1:9" s="65" customFormat="1">
      <c r="A5150" s="128"/>
      <c r="B5150" s="141"/>
      <c r="C5150" s="141"/>
      <c r="D5150" s="141"/>
      <c r="E5150" s="141"/>
      <c r="F5150" s="141"/>
      <c r="G5150" s="141"/>
      <c r="H5150" s="121"/>
    </row>
    <row r="5151" spans="1:9" s="65" customFormat="1">
      <c r="A5151" s="150"/>
      <c r="B5151" s="83"/>
      <c r="C5151" s="148"/>
      <c r="D5151" s="84"/>
      <c r="E5151" s="84"/>
      <c r="F5151" s="84"/>
      <c r="G5151" s="154"/>
      <c r="H5151" s="145"/>
    </row>
    <row r="5152" spans="1:9" s="65" customFormat="1">
      <c r="A5152" s="84"/>
      <c r="B5152" s="83"/>
      <c r="C5152" s="84"/>
      <c r="D5152" s="84"/>
      <c r="E5152" s="84"/>
      <c r="G5152" s="104"/>
      <c r="H5152" s="140"/>
    </row>
    <row r="5153" spans="1:8" s="65" customFormat="1">
      <c r="A5153" s="120"/>
      <c r="B5153" s="73"/>
      <c r="C5153" s="73"/>
      <c r="D5153" s="73"/>
      <c r="E5153" s="73"/>
      <c r="G5153" s="121"/>
      <c r="H5153" s="140"/>
    </row>
    <row r="5154" spans="1:8" s="65" customFormat="1">
      <c r="A5154" s="128"/>
      <c r="B5154" s="141"/>
      <c r="C5154" s="141"/>
      <c r="D5154" s="141"/>
      <c r="E5154" s="141"/>
      <c r="F5154" s="141"/>
      <c r="G5154" s="141"/>
      <c r="H5154" s="140"/>
    </row>
    <row r="5155" spans="1:8" s="65" customFormat="1">
      <c r="A5155" s="150"/>
      <c r="B5155" s="83"/>
      <c r="C5155" s="148"/>
      <c r="D5155" s="84"/>
      <c r="E5155" s="84"/>
      <c r="F5155" s="84"/>
      <c r="G5155" s="154"/>
      <c r="H5155" s="140"/>
    </row>
    <row r="5156" spans="1:8" s="65" customFormat="1">
      <c r="A5156" s="150"/>
      <c r="B5156" s="83"/>
      <c r="C5156" s="148"/>
      <c r="D5156" s="84"/>
      <c r="E5156" s="84"/>
      <c r="F5156" s="84"/>
      <c r="G5156" s="154"/>
      <c r="H5156" s="140"/>
    </row>
    <row r="5157" spans="1:8" s="65" customFormat="1">
      <c r="A5157" s="150"/>
      <c r="B5157" s="83"/>
      <c r="C5157" s="148"/>
      <c r="D5157" s="84"/>
      <c r="E5157" s="84"/>
      <c r="F5157" s="84"/>
      <c r="G5157" s="154"/>
      <c r="H5157" s="140"/>
    </row>
    <row r="5158" spans="1:8" s="65" customFormat="1">
      <c r="A5158" s="150"/>
      <c r="B5158" s="83"/>
      <c r="C5158" s="148"/>
      <c r="D5158" s="84"/>
      <c r="E5158" s="84"/>
      <c r="F5158" s="84"/>
      <c r="G5158" s="154"/>
      <c r="H5158" s="145"/>
    </row>
    <row r="5159" spans="1:8" s="65" customFormat="1">
      <c r="A5159" s="91"/>
      <c r="B5159" s="91"/>
      <c r="C5159" s="91"/>
      <c r="D5159" s="91"/>
      <c r="E5159" s="91"/>
      <c r="G5159" s="104"/>
      <c r="H5159" s="140"/>
    </row>
    <row r="5160" spans="1:8" s="65" customFormat="1">
      <c r="A5160" s="120"/>
      <c r="B5160" s="73"/>
      <c r="C5160" s="73"/>
      <c r="D5160" s="73"/>
      <c r="E5160" s="73"/>
      <c r="G5160" s="121"/>
      <c r="H5160" s="140"/>
    </row>
    <row r="5161" spans="1:8" s="65" customFormat="1">
      <c r="A5161" s="128"/>
      <c r="B5161" s="141"/>
      <c r="C5161" s="141"/>
      <c r="D5161" s="141"/>
      <c r="E5161" s="141"/>
      <c r="F5161" s="141"/>
      <c r="G5161" s="141"/>
      <c r="H5161" s="140"/>
    </row>
    <row r="5162" spans="1:8" s="65" customFormat="1">
      <c r="A5162" s="146"/>
      <c r="B5162" s="83"/>
      <c r="C5162" s="148"/>
      <c r="D5162" s="84"/>
      <c r="E5162" s="84"/>
      <c r="F5162" s="84"/>
      <c r="G5162" s="144"/>
      <c r="H5162" s="145"/>
    </row>
    <row r="5163" spans="1:8" s="65" customFormat="1">
      <c r="A5163" s="91"/>
      <c r="B5163" s="91"/>
      <c r="C5163" s="91"/>
      <c r="D5163" s="91"/>
      <c r="E5163" s="91"/>
      <c r="G5163" s="104"/>
      <c r="H5163" s="140"/>
    </row>
    <row r="5164" spans="1:8" s="65" customFormat="1">
      <c r="A5164" s="120"/>
      <c r="B5164" s="73"/>
      <c r="C5164" s="73"/>
      <c r="D5164" s="73"/>
      <c r="E5164" s="73"/>
      <c r="G5164" s="121"/>
      <c r="H5164" s="140"/>
    </row>
    <row r="5165" spans="1:8" s="65" customFormat="1">
      <c r="A5165" s="128"/>
      <c r="B5165" s="141"/>
      <c r="C5165" s="141"/>
      <c r="D5165" s="141"/>
      <c r="E5165" s="141"/>
      <c r="F5165" s="141"/>
      <c r="G5165" s="141"/>
      <c r="H5165" s="140"/>
    </row>
    <row r="5166" spans="1:8" s="65" customFormat="1">
      <c r="A5166" s="142"/>
      <c r="B5166" s="143"/>
      <c r="C5166" s="143"/>
      <c r="D5166" s="143"/>
      <c r="E5166" s="143"/>
      <c r="F5166" s="84"/>
      <c r="G5166" s="144"/>
      <c r="H5166" s="145"/>
    </row>
    <row r="5167" spans="1:8" s="65" customFormat="1">
      <c r="A5167" s="123"/>
      <c r="B5167" s="95"/>
      <c r="C5167" s="95"/>
      <c r="D5167" s="95"/>
      <c r="E5167" s="95"/>
      <c r="G5167" s="104"/>
      <c r="H5167" s="121"/>
    </row>
    <row r="5168" spans="1:8" s="65" customFormat="1">
      <c r="A5168" s="123"/>
      <c r="B5168" s="95"/>
      <c r="C5168" s="95"/>
      <c r="D5168" s="95"/>
      <c r="E5168" s="95"/>
      <c r="G5168" s="121"/>
      <c r="H5168" s="133"/>
    </row>
    <row r="5169" spans="1:9" s="65" customFormat="1">
      <c r="B5169" s="97"/>
      <c r="C5169" s="98"/>
      <c r="D5169" s="98"/>
      <c r="E5169" s="98"/>
      <c r="G5169" s="128"/>
    </row>
    <row r="5170" spans="1:9" s="65" customFormat="1">
      <c r="B5170" s="97"/>
      <c r="C5170" s="98"/>
      <c r="D5170" s="98"/>
      <c r="E5170" s="98"/>
      <c r="F5170" s="128"/>
      <c r="G5170" s="133"/>
      <c r="H5170" s="134"/>
    </row>
    <row r="5171" spans="1:9" s="65" customFormat="1">
      <c r="A5171" s="633"/>
      <c r="B5171" s="633"/>
      <c r="C5171" s="633"/>
      <c r="D5171" s="633"/>
      <c r="E5171" s="633"/>
      <c r="F5171" s="633"/>
      <c r="G5171" s="633"/>
    </row>
    <row r="5172" spans="1:9" s="65" customFormat="1">
      <c r="H5172" s="138"/>
      <c r="I5172" s="151"/>
    </row>
    <row r="5173" spans="1:9" s="65" customFormat="1">
      <c r="A5173" s="645"/>
      <c r="B5173" s="138"/>
      <c r="C5173" s="138"/>
      <c r="D5173" s="138"/>
      <c r="E5173" s="138"/>
      <c r="F5173" s="138"/>
      <c r="G5173" s="138"/>
      <c r="H5173" s="138"/>
      <c r="I5173" s="152"/>
    </row>
    <row r="5174" spans="1:9" s="65" customFormat="1">
      <c r="A5174" s="645"/>
      <c r="B5174" s="138"/>
      <c r="C5174" s="138"/>
      <c r="D5174" s="138"/>
      <c r="E5174" s="138"/>
      <c r="F5174" s="138"/>
      <c r="G5174" s="138"/>
    </row>
    <row r="5175" spans="1:9" s="65" customFormat="1">
      <c r="A5175" s="69"/>
      <c r="B5175" s="69"/>
      <c r="C5175" s="69"/>
      <c r="D5175" s="69"/>
      <c r="E5175" s="69"/>
    </row>
    <row r="5176" spans="1:9" s="65" customFormat="1">
      <c r="A5176" s="120"/>
      <c r="B5176" s="73"/>
      <c r="C5176" s="73"/>
      <c r="D5176" s="73"/>
      <c r="E5176" s="73"/>
      <c r="F5176" s="121"/>
      <c r="G5176" s="121"/>
      <c r="H5176" s="121"/>
    </row>
    <row r="5177" spans="1:9" s="65" customFormat="1">
      <c r="A5177" s="128"/>
      <c r="B5177" s="141"/>
      <c r="C5177" s="141"/>
      <c r="D5177" s="141"/>
      <c r="E5177" s="141"/>
      <c r="F5177" s="141"/>
      <c r="G5177" s="141"/>
      <c r="H5177" s="121"/>
    </row>
    <row r="5178" spans="1:9" s="65" customFormat="1">
      <c r="A5178" s="150"/>
      <c r="B5178" s="83"/>
      <c r="C5178" s="148"/>
      <c r="D5178" s="84"/>
      <c r="E5178" s="84"/>
      <c r="F5178" s="84"/>
      <c r="G5178" s="154"/>
      <c r="H5178" s="145"/>
    </row>
    <row r="5179" spans="1:9" s="65" customFormat="1">
      <c r="A5179" s="84"/>
      <c r="B5179" s="83"/>
      <c r="C5179" s="84"/>
      <c r="D5179" s="84"/>
      <c r="E5179" s="84"/>
      <c r="G5179" s="104"/>
      <c r="H5179" s="140"/>
    </row>
    <row r="5180" spans="1:9" s="65" customFormat="1">
      <c r="A5180" s="120"/>
      <c r="B5180" s="73"/>
      <c r="C5180" s="73"/>
      <c r="D5180" s="73"/>
      <c r="E5180" s="73"/>
      <c r="G5180" s="121"/>
      <c r="H5180" s="140"/>
    </row>
    <row r="5181" spans="1:9" s="65" customFormat="1">
      <c r="A5181" s="128"/>
      <c r="B5181" s="141"/>
      <c r="C5181" s="141"/>
      <c r="D5181" s="141"/>
      <c r="E5181" s="141"/>
      <c r="F5181" s="141"/>
      <c r="G5181" s="141"/>
      <c r="H5181" s="140"/>
    </row>
    <row r="5182" spans="1:9" s="65" customFormat="1">
      <c r="A5182" s="150"/>
      <c r="B5182" s="83"/>
      <c r="C5182" s="148"/>
      <c r="D5182" s="84"/>
      <c r="E5182" s="84"/>
      <c r="F5182" s="84"/>
      <c r="G5182" s="154"/>
      <c r="H5182" s="140"/>
    </row>
    <row r="5183" spans="1:9" s="65" customFormat="1">
      <c r="A5183" s="150"/>
      <c r="B5183" s="83"/>
      <c r="C5183" s="148"/>
      <c r="D5183" s="84"/>
      <c r="E5183" s="84"/>
      <c r="F5183" s="84"/>
      <c r="G5183" s="154"/>
      <c r="H5183" s="140"/>
    </row>
    <row r="5184" spans="1:9" s="65" customFormat="1">
      <c r="A5184" s="150"/>
      <c r="B5184" s="83"/>
      <c r="C5184" s="148"/>
      <c r="D5184" s="84"/>
      <c r="E5184" s="84"/>
      <c r="F5184" s="84"/>
      <c r="G5184" s="154"/>
      <c r="H5184" s="145"/>
    </row>
    <row r="5185" spans="1:9" s="65" customFormat="1">
      <c r="A5185" s="91"/>
      <c r="B5185" s="91"/>
      <c r="C5185" s="91"/>
      <c r="D5185" s="91"/>
      <c r="E5185" s="91"/>
      <c r="G5185" s="104"/>
      <c r="H5185" s="140"/>
    </row>
    <row r="5186" spans="1:9" s="65" customFormat="1">
      <c r="A5186" s="120"/>
      <c r="B5186" s="73"/>
      <c r="C5186" s="73"/>
      <c r="D5186" s="73"/>
      <c r="E5186" s="73"/>
      <c r="G5186" s="121"/>
      <c r="H5186" s="140"/>
    </row>
    <row r="5187" spans="1:9" s="65" customFormat="1">
      <c r="A5187" s="128"/>
      <c r="B5187" s="141"/>
      <c r="C5187" s="141"/>
      <c r="D5187" s="141"/>
      <c r="E5187" s="141"/>
      <c r="F5187" s="141"/>
      <c r="G5187" s="141"/>
      <c r="H5187" s="140"/>
    </row>
    <row r="5188" spans="1:9" s="65" customFormat="1">
      <c r="A5188" s="146"/>
      <c r="B5188" s="83"/>
      <c r="C5188" s="148"/>
      <c r="D5188" s="84"/>
      <c r="E5188" s="84"/>
      <c r="F5188" s="84"/>
      <c r="G5188" s="144"/>
      <c r="H5188" s="145"/>
    </row>
    <row r="5189" spans="1:9" s="65" customFormat="1">
      <c r="A5189" s="91"/>
      <c r="B5189" s="91"/>
      <c r="C5189" s="91"/>
      <c r="D5189" s="91"/>
      <c r="E5189" s="91"/>
      <c r="G5189" s="104"/>
      <c r="H5189" s="140"/>
    </row>
    <row r="5190" spans="1:9" s="65" customFormat="1">
      <c r="A5190" s="120"/>
      <c r="B5190" s="73"/>
      <c r="C5190" s="73"/>
      <c r="D5190" s="73"/>
      <c r="E5190" s="73"/>
      <c r="G5190" s="121"/>
      <c r="H5190" s="140"/>
    </row>
    <row r="5191" spans="1:9" s="65" customFormat="1">
      <c r="A5191" s="128"/>
      <c r="B5191" s="141"/>
      <c r="C5191" s="141"/>
      <c r="D5191" s="141"/>
      <c r="E5191" s="141"/>
      <c r="F5191" s="141"/>
      <c r="G5191" s="141"/>
      <c r="H5191" s="140"/>
    </row>
    <row r="5192" spans="1:9" s="65" customFormat="1">
      <c r="A5192" s="142"/>
      <c r="B5192" s="143"/>
      <c r="C5192" s="143"/>
      <c r="D5192" s="143"/>
      <c r="E5192" s="143"/>
      <c r="F5192" s="84"/>
      <c r="G5192" s="144"/>
      <c r="H5192" s="145"/>
    </row>
    <row r="5193" spans="1:9" s="65" customFormat="1">
      <c r="A5193" s="123"/>
      <c r="B5193" s="95"/>
      <c r="C5193" s="95"/>
      <c r="D5193" s="95"/>
      <c r="E5193" s="95"/>
      <c r="G5193" s="104"/>
      <c r="H5193" s="121"/>
    </row>
    <row r="5194" spans="1:9" s="65" customFormat="1">
      <c r="A5194" s="123"/>
      <c r="B5194" s="95"/>
      <c r="C5194" s="95"/>
      <c r="D5194" s="95"/>
      <c r="E5194" s="95"/>
      <c r="G5194" s="121"/>
      <c r="H5194" s="133"/>
    </row>
    <row r="5195" spans="1:9" s="65" customFormat="1">
      <c r="B5195" s="97"/>
      <c r="C5195" s="98"/>
      <c r="D5195" s="98"/>
      <c r="E5195" s="98"/>
      <c r="G5195" s="128"/>
    </row>
    <row r="5196" spans="1:9" s="65" customFormat="1">
      <c r="B5196" s="97"/>
      <c r="C5196" s="98"/>
      <c r="D5196" s="98"/>
      <c r="E5196" s="98"/>
      <c r="F5196" s="128"/>
      <c r="G5196" s="133"/>
      <c r="H5196" s="134"/>
    </row>
    <row r="5197" spans="1:9" s="65" customFormat="1">
      <c r="A5197" s="633"/>
      <c r="B5197" s="633"/>
      <c r="C5197" s="633"/>
      <c r="D5197" s="633"/>
      <c r="E5197" s="633"/>
      <c r="F5197" s="633"/>
      <c r="G5197" s="633"/>
    </row>
    <row r="5198" spans="1:9" s="65" customFormat="1">
      <c r="H5198" s="138"/>
      <c r="I5198" s="151"/>
    </row>
    <row r="5199" spans="1:9" s="65" customFormat="1">
      <c r="A5199" s="645"/>
      <c r="B5199" s="138"/>
      <c r="C5199" s="138"/>
      <c r="D5199" s="138"/>
      <c r="E5199" s="138"/>
      <c r="F5199" s="138"/>
      <c r="G5199" s="138"/>
      <c r="H5199" s="138"/>
      <c r="I5199" s="152"/>
    </row>
    <row r="5200" spans="1:9" s="65" customFormat="1">
      <c r="A5200" s="645"/>
      <c r="B5200" s="138"/>
      <c r="C5200" s="138"/>
      <c r="D5200" s="138"/>
      <c r="E5200" s="138"/>
      <c r="F5200" s="138"/>
      <c r="G5200" s="138"/>
    </row>
    <row r="5201" spans="1:8" s="65" customFormat="1">
      <c r="A5201" s="69"/>
      <c r="B5201" s="69"/>
      <c r="C5201" s="69"/>
      <c r="D5201" s="69"/>
      <c r="E5201" s="69"/>
    </row>
    <row r="5202" spans="1:8" s="65" customFormat="1">
      <c r="A5202" s="120"/>
      <c r="B5202" s="73"/>
      <c r="C5202" s="73"/>
      <c r="D5202" s="73"/>
      <c r="E5202" s="73"/>
      <c r="F5202" s="121"/>
      <c r="G5202" s="121"/>
      <c r="H5202" s="121"/>
    </row>
    <row r="5203" spans="1:8" s="65" customFormat="1">
      <c r="A5203" s="128"/>
      <c r="B5203" s="141"/>
      <c r="C5203" s="141"/>
      <c r="D5203" s="141"/>
      <c r="E5203" s="141"/>
      <c r="F5203" s="141"/>
      <c r="G5203" s="141"/>
      <c r="H5203" s="121"/>
    </row>
    <row r="5204" spans="1:8" s="65" customFormat="1">
      <c r="A5204" s="150"/>
      <c r="B5204" s="83"/>
      <c r="C5204" s="148"/>
      <c r="D5204" s="84"/>
      <c r="E5204" s="84"/>
      <c r="F5204" s="84"/>
      <c r="G5204" s="154"/>
      <c r="H5204" s="145"/>
    </row>
    <row r="5205" spans="1:8" s="65" customFormat="1">
      <c r="A5205" s="84"/>
      <c r="B5205" s="83"/>
      <c r="C5205" s="84"/>
      <c r="D5205" s="84"/>
      <c r="E5205" s="84"/>
      <c r="G5205" s="104"/>
      <c r="H5205" s="140"/>
    </row>
    <row r="5206" spans="1:8" s="65" customFormat="1">
      <c r="A5206" s="120"/>
      <c r="B5206" s="73"/>
      <c r="C5206" s="73"/>
      <c r="D5206" s="73"/>
      <c r="E5206" s="73"/>
      <c r="G5206" s="121"/>
      <c r="H5206" s="140"/>
    </row>
    <row r="5207" spans="1:8" s="65" customFormat="1">
      <c r="A5207" s="128"/>
      <c r="B5207" s="141"/>
      <c r="C5207" s="141"/>
      <c r="D5207" s="141"/>
      <c r="E5207" s="141"/>
      <c r="F5207" s="141"/>
      <c r="G5207" s="141"/>
      <c r="H5207" s="140"/>
    </row>
    <row r="5208" spans="1:8" s="65" customFormat="1">
      <c r="A5208" s="150"/>
      <c r="B5208" s="83"/>
      <c r="C5208" s="148"/>
      <c r="D5208" s="84"/>
      <c r="E5208" s="84"/>
      <c r="F5208" s="84"/>
      <c r="G5208" s="154"/>
      <c r="H5208" s="140"/>
    </row>
    <row r="5209" spans="1:8" s="65" customFormat="1">
      <c r="A5209" s="150"/>
      <c r="B5209" s="83"/>
      <c r="C5209" s="148"/>
      <c r="D5209" s="84"/>
      <c r="E5209" s="84"/>
      <c r="F5209" s="84"/>
      <c r="G5209" s="154"/>
      <c r="H5209" s="140"/>
    </row>
    <row r="5210" spans="1:8" s="65" customFormat="1">
      <c r="A5210" s="150"/>
      <c r="B5210" s="83"/>
      <c r="C5210" s="148"/>
      <c r="D5210" s="84"/>
      <c r="E5210" s="84"/>
      <c r="F5210" s="84"/>
      <c r="G5210" s="154"/>
      <c r="H5210" s="145"/>
    </row>
    <row r="5211" spans="1:8" s="65" customFormat="1">
      <c r="A5211" s="91"/>
      <c r="B5211" s="91"/>
      <c r="C5211" s="91"/>
      <c r="D5211" s="91"/>
      <c r="E5211" s="91"/>
      <c r="G5211" s="104"/>
      <c r="H5211" s="140"/>
    </row>
    <row r="5212" spans="1:8" s="65" customFormat="1">
      <c r="A5212" s="120"/>
      <c r="B5212" s="73"/>
      <c r="C5212" s="73"/>
      <c r="D5212" s="73"/>
      <c r="E5212" s="73"/>
      <c r="G5212" s="121"/>
      <c r="H5212" s="140"/>
    </row>
    <row r="5213" spans="1:8" s="65" customFormat="1">
      <c r="A5213" s="128"/>
      <c r="B5213" s="141"/>
      <c r="C5213" s="141"/>
      <c r="D5213" s="141"/>
      <c r="E5213" s="141"/>
      <c r="F5213" s="141"/>
      <c r="G5213" s="141"/>
      <c r="H5213" s="140"/>
    </row>
    <row r="5214" spans="1:8" s="65" customFormat="1">
      <c r="A5214" s="146"/>
      <c r="B5214" s="83"/>
      <c r="C5214" s="148"/>
      <c r="D5214" s="84"/>
      <c r="E5214" s="84"/>
      <c r="F5214" s="84"/>
      <c r="G5214" s="144"/>
      <c r="H5214" s="145"/>
    </row>
    <row r="5215" spans="1:8" s="65" customFormat="1">
      <c r="A5215" s="91"/>
      <c r="B5215" s="91"/>
      <c r="C5215" s="91"/>
      <c r="D5215" s="91"/>
      <c r="E5215" s="91"/>
      <c r="G5215" s="104"/>
      <c r="H5215" s="140"/>
    </row>
    <row r="5216" spans="1:8" s="65" customFormat="1">
      <c r="A5216" s="120"/>
      <c r="B5216" s="73"/>
      <c r="C5216" s="73"/>
      <c r="D5216" s="73"/>
      <c r="E5216" s="73"/>
      <c r="G5216" s="121"/>
      <c r="H5216" s="140"/>
    </row>
    <row r="5217" spans="1:9" s="65" customFormat="1">
      <c r="A5217" s="128"/>
      <c r="B5217" s="141"/>
      <c r="C5217" s="141"/>
      <c r="D5217" s="141"/>
      <c r="E5217" s="141"/>
      <c r="F5217" s="141"/>
      <c r="G5217" s="141"/>
      <c r="H5217" s="140"/>
    </row>
    <row r="5218" spans="1:9" s="65" customFormat="1">
      <c r="A5218" s="142"/>
      <c r="B5218" s="143"/>
      <c r="C5218" s="143"/>
      <c r="D5218" s="143"/>
      <c r="E5218" s="143"/>
      <c r="F5218" s="84"/>
      <c r="G5218" s="144"/>
      <c r="H5218" s="145"/>
    </row>
    <row r="5219" spans="1:9" s="65" customFormat="1">
      <c r="A5219" s="123"/>
      <c r="B5219" s="95"/>
      <c r="C5219" s="95"/>
      <c r="D5219" s="95"/>
      <c r="E5219" s="95"/>
      <c r="G5219" s="104"/>
      <c r="H5219" s="121"/>
    </row>
    <row r="5220" spans="1:9" s="65" customFormat="1">
      <c r="A5220" s="123"/>
      <c r="B5220" s="95"/>
      <c r="C5220" s="95"/>
      <c r="D5220" s="95"/>
      <c r="E5220" s="95"/>
      <c r="G5220" s="121"/>
      <c r="H5220" s="133"/>
    </row>
    <row r="5221" spans="1:9" s="65" customFormat="1">
      <c r="B5221" s="97"/>
      <c r="C5221" s="98"/>
      <c r="D5221" s="98"/>
      <c r="E5221" s="98"/>
      <c r="G5221" s="128"/>
    </row>
    <row r="5222" spans="1:9" s="65" customFormat="1">
      <c r="B5222" s="97"/>
      <c r="C5222" s="98"/>
      <c r="D5222" s="98"/>
      <c r="E5222" s="98"/>
      <c r="F5222" s="128"/>
      <c r="G5222" s="133"/>
      <c r="H5222" s="134"/>
    </row>
    <row r="5223" spans="1:9" s="65" customFormat="1">
      <c r="A5223" s="633"/>
      <c r="B5223" s="633"/>
      <c r="C5223" s="633"/>
      <c r="D5223" s="633"/>
      <c r="E5223" s="633"/>
      <c r="F5223" s="633"/>
      <c r="G5223" s="633"/>
    </row>
    <row r="5224" spans="1:9" s="65" customFormat="1">
      <c r="H5224" s="138"/>
      <c r="I5224" s="151"/>
    </row>
    <row r="5225" spans="1:9" s="65" customFormat="1">
      <c r="A5225" s="645"/>
      <c r="B5225" s="138"/>
      <c r="C5225" s="138"/>
      <c r="D5225" s="138"/>
      <c r="E5225" s="138"/>
      <c r="F5225" s="138"/>
      <c r="G5225" s="138"/>
      <c r="H5225" s="138"/>
      <c r="I5225" s="152"/>
    </row>
    <row r="5226" spans="1:9" s="65" customFormat="1">
      <c r="A5226" s="645"/>
      <c r="B5226" s="138"/>
      <c r="C5226" s="138"/>
      <c r="D5226" s="138"/>
      <c r="E5226" s="138"/>
      <c r="F5226" s="138"/>
      <c r="G5226" s="138"/>
    </row>
    <row r="5227" spans="1:9" s="65" customFormat="1">
      <c r="A5227" s="69"/>
      <c r="B5227" s="69"/>
      <c r="C5227" s="69"/>
      <c r="D5227" s="69"/>
      <c r="E5227" s="69"/>
    </row>
    <row r="5228" spans="1:9" s="65" customFormat="1">
      <c r="A5228" s="120"/>
      <c r="B5228" s="73"/>
      <c r="C5228" s="73"/>
      <c r="D5228" s="73"/>
      <c r="E5228" s="73"/>
      <c r="F5228" s="121"/>
      <c r="G5228" s="121"/>
      <c r="H5228" s="121"/>
    </row>
    <row r="5229" spans="1:9" s="65" customFormat="1">
      <c r="A5229" s="128"/>
      <c r="B5229" s="141"/>
      <c r="C5229" s="141"/>
      <c r="D5229" s="141"/>
      <c r="E5229" s="141"/>
      <c r="F5229" s="141"/>
      <c r="G5229" s="141"/>
      <c r="H5229" s="121"/>
    </row>
    <row r="5230" spans="1:9" s="65" customFormat="1">
      <c r="A5230" s="150"/>
      <c r="B5230" s="83"/>
      <c r="C5230" s="148"/>
      <c r="D5230" s="84"/>
      <c r="E5230" s="84"/>
      <c r="F5230" s="84"/>
      <c r="G5230" s="154"/>
      <c r="H5230" s="145"/>
    </row>
    <row r="5231" spans="1:9" s="65" customFormat="1">
      <c r="A5231" s="84"/>
      <c r="B5231" s="83"/>
      <c r="C5231" s="84"/>
      <c r="D5231" s="84"/>
      <c r="E5231" s="84"/>
      <c r="G5231" s="104"/>
      <c r="H5231" s="140"/>
    </row>
    <row r="5232" spans="1:9" s="65" customFormat="1">
      <c r="A5232" s="120"/>
      <c r="B5232" s="73"/>
      <c r="C5232" s="73"/>
      <c r="D5232" s="73"/>
      <c r="E5232" s="73"/>
      <c r="G5232" s="121"/>
      <c r="H5232" s="140"/>
    </row>
    <row r="5233" spans="1:8" s="65" customFormat="1">
      <c r="A5233" s="128"/>
      <c r="B5233" s="141"/>
      <c r="C5233" s="141"/>
      <c r="D5233" s="141"/>
      <c r="E5233" s="141"/>
      <c r="F5233" s="141"/>
      <c r="G5233" s="141"/>
      <c r="H5233" s="140"/>
    </row>
    <row r="5234" spans="1:8" s="65" customFormat="1">
      <c r="A5234" s="150"/>
      <c r="B5234" s="83"/>
      <c r="C5234" s="148"/>
      <c r="D5234" s="84"/>
      <c r="E5234" s="84"/>
      <c r="F5234" s="84"/>
      <c r="G5234" s="154"/>
      <c r="H5234" s="140"/>
    </row>
    <row r="5235" spans="1:8" s="65" customFormat="1">
      <c r="A5235" s="150"/>
      <c r="B5235" s="83"/>
      <c r="C5235" s="148"/>
      <c r="D5235" s="84"/>
      <c r="E5235" s="84"/>
      <c r="F5235" s="84"/>
      <c r="G5235" s="154"/>
      <c r="H5235" s="140"/>
    </row>
    <row r="5236" spans="1:8" s="65" customFormat="1">
      <c r="A5236" s="150"/>
      <c r="B5236" s="83"/>
      <c r="C5236" s="148"/>
      <c r="D5236" s="84"/>
      <c r="E5236" s="84"/>
      <c r="F5236" s="84"/>
      <c r="G5236" s="154"/>
      <c r="H5236" s="145"/>
    </row>
    <row r="5237" spans="1:8" s="65" customFormat="1">
      <c r="A5237" s="91"/>
      <c r="B5237" s="91"/>
      <c r="C5237" s="91"/>
      <c r="D5237" s="91"/>
      <c r="E5237" s="91"/>
      <c r="G5237" s="104"/>
      <c r="H5237" s="140"/>
    </row>
    <row r="5238" spans="1:8" s="65" customFormat="1">
      <c r="A5238" s="120"/>
      <c r="B5238" s="73"/>
      <c r="C5238" s="73"/>
      <c r="D5238" s="73"/>
      <c r="E5238" s="73"/>
      <c r="G5238" s="121"/>
      <c r="H5238" s="140"/>
    </row>
    <row r="5239" spans="1:8" s="65" customFormat="1">
      <c r="A5239" s="128"/>
      <c r="B5239" s="141"/>
      <c r="C5239" s="141"/>
      <c r="D5239" s="141"/>
      <c r="E5239" s="141"/>
      <c r="F5239" s="141"/>
      <c r="G5239" s="141"/>
      <c r="H5239" s="140"/>
    </row>
    <row r="5240" spans="1:8" s="65" customFormat="1">
      <c r="A5240" s="146"/>
      <c r="B5240" s="83"/>
      <c r="C5240" s="148"/>
      <c r="D5240" s="84"/>
      <c r="E5240" s="84"/>
      <c r="F5240" s="84"/>
      <c r="G5240" s="144"/>
      <c r="H5240" s="145"/>
    </row>
    <row r="5241" spans="1:8" s="65" customFormat="1">
      <c r="A5241" s="91"/>
      <c r="B5241" s="91"/>
      <c r="C5241" s="91"/>
      <c r="D5241" s="91"/>
      <c r="E5241" s="91"/>
      <c r="G5241" s="104"/>
      <c r="H5241" s="140"/>
    </row>
    <row r="5242" spans="1:8" s="65" customFormat="1">
      <c r="A5242" s="120"/>
      <c r="B5242" s="73"/>
      <c r="C5242" s="73"/>
      <c r="D5242" s="73"/>
      <c r="E5242" s="73"/>
      <c r="G5242" s="121"/>
      <c r="H5242" s="140"/>
    </row>
    <row r="5243" spans="1:8" s="65" customFormat="1">
      <c r="A5243" s="128"/>
      <c r="B5243" s="141"/>
      <c r="C5243" s="141"/>
      <c r="D5243" s="141"/>
      <c r="E5243" s="141"/>
      <c r="F5243" s="141"/>
      <c r="G5243" s="141"/>
      <c r="H5243" s="140"/>
    </row>
    <row r="5244" spans="1:8" s="65" customFormat="1">
      <c r="A5244" s="142"/>
      <c r="B5244" s="143"/>
      <c r="C5244" s="143"/>
      <c r="D5244" s="143"/>
      <c r="E5244" s="143"/>
      <c r="F5244" s="84"/>
      <c r="G5244" s="144"/>
      <c r="H5244" s="145"/>
    </row>
    <row r="5245" spans="1:8" s="65" customFormat="1">
      <c r="A5245" s="123"/>
      <c r="B5245" s="95"/>
      <c r="C5245" s="95"/>
      <c r="D5245" s="95"/>
      <c r="E5245" s="95"/>
      <c r="G5245" s="104"/>
      <c r="H5245" s="121"/>
    </row>
    <row r="5246" spans="1:8" s="65" customFormat="1">
      <c r="A5246" s="123"/>
      <c r="B5246" s="95"/>
      <c r="C5246" s="95"/>
      <c r="D5246" s="95"/>
      <c r="E5246" s="95"/>
      <c r="G5246" s="121"/>
      <c r="H5246" s="133"/>
    </row>
    <row r="5247" spans="1:8" s="65" customFormat="1">
      <c r="B5247" s="97"/>
      <c r="C5247" s="98"/>
      <c r="D5247" s="98"/>
      <c r="E5247" s="98"/>
      <c r="G5247" s="128"/>
    </row>
    <row r="5248" spans="1:8" s="65" customFormat="1">
      <c r="B5248" s="97"/>
      <c r="C5248" s="98"/>
      <c r="D5248" s="98"/>
      <c r="E5248" s="98"/>
      <c r="F5248" s="128"/>
      <c r="G5248" s="133"/>
      <c r="H5248" s="134"/>
    </row>
    <row r="5249" spans="1:9" s="65" customFormat="1">
      <c r="A5249" s="633"/>
      <c r="B5249" s="633"/>
      <c r="C5249" s="633"/>
      <c r="D5249" s="633"/>
      <c r="E5249" s="633"/>
      <c r="F5249" s="633"/>
      <c r="G5249" s="633"/>
    </row>
    <row r="5250" spans="1:9" s="65" customFormat="1">
      <c r="H5250" s="138"/>
      <c r="I5250" s="151"/>
    </row>
    <row r="5251" spans="1:9" s="65" customFormat="1">
      <c r="A5251" s="645"/>
      <c r="B5251" s="138"/>
      <c r="C5251" s="138"/>
      <c r="D5251" s="138"/>
      <c r="E5251" s="138"/>
      <c r="F5251" s="138"/>
      <c r="G5251" s="138"/>
      <c r="H5251" s="138"/>
      <c r="I5251" s="152"/>
    </row>
    <row r="5252" spans="1:9" s="65" customFormat="1">
      <c r="A5252" s="645"/>
      <c r="B5252" s="138"/>
      <c r="C5252" s="138"/>
      <c r="D5252" s="138"/>
      <c r="E5252" s="138"/>
      <c r="F5252" s="138"/>
      <c r="G5252" s="138"/>
    </row>
    <row r="5253" spans="1:9" s="65" customFormat="1">
      <c r="A5253" s="69"/>
      <c r="B5253" s="69"/>
      <c r="C5253" s="69"/>
      <c r="D5253" s="69"/>
      <c r="E5253" s="69"/>
    </row>
    <row r="5254" spans="1:9" s="65" customFormat="1">
      <c r="A5254" s="120"/>
      <c r="B5254" s="73"/>
      <c r="C5254" s="73"/>
      <c r="D5254" s="73"/>
      <c r="E5254" s="73"/>
      <c r="F5254" s="121"/>
      <c r="G5254" s="121"/>
      <c r="H5254" s="121"/>
    </row>
    <row r="5255" spans="1:9" s="65" customFormat="1">
      <c r="A5255" s="128"/>
      <c r="B5255" s="141"/>
      <c r="C5255" s="141"/>
      <c r="D5255" s="141"/>
      <c r="E5255" s="141"/>
      <c r="F5255" s="141"/>
      <c r="G5255" s="141"/>
      <c r="H5255" s="121"/>
    </row>
    <row r="5256" spans="1:9" s="65" customFormat="1">
      <c r="A5256" s="150"/>
      <c r="B5256" s="83"/>
      <c r="C5256" s="148"/>
      <c r="D5256" s="84"/>
      <c r="E5256" s="84"/>
      <c r="F5256" s="84"/>
      <c r="G5256" s="154"/>
      <c r="H5256" s="145"/>
    </row>
    <row r="5257" spans="1:9" s="65" customFormat="1">
      <c r="A5257" s="84"/>
      <c r="B5257" s="83"/>
      <c r="C5257" s="84"/>
      <c r="D5257" s="84"/>
      <c r="E5257" s="84"/>
      <c r="G5257" s="104"/>
      <c r="H5257" s="140"/>
    </row>
    <row r="5258" spans="1:9" s="65" customFormat="1">
      <c r="A5258" s="120"/>
      <c r="B5258" s="73"/>
      <c r="C5258" s="73"/>
      <c r="D5258" s="73"/>
      <c r="E5258" s="73"/>
      <c r="G5258" s="121"/>
      <c r="H5258" s="140"/>
    </row>
    <row r="5259" spans="1:9" s="65" customFormat="1">
      <c r="A5259" s="128"/>
      <c r="B5259" s="141"/>
      <c r="C5259" s="141"/>
      <c r="D5259" s="141"/>
      <c r="E5259" s="141"/>
      <c r="F5259" s="141"/>
      <c r="G5259" s="141"/>
      <c r="H5259" s="140"/>
    </row>
    <row r="5260" spans="1:9" s="65" customFormat="1">
      <c r="A5260" s="150"/>
      <c r="B5260" s="83"/>
      <c r="C5260" s="148"/>
      <c r="D5260" s="84"/>
      <c r="E5260" s="84"/>
      <c r="F5260" s="84"/>
      <c r="G5260" s="154"/>
      <c r="H5260" s="140"/>
    </row>
    <row r="5261" spans="1:9" s="65" customFormat="1">
      <c r="A5261" s="150"/>
      <c r="B5261" s="83"/>
      <c r="C5261" s="148"/>
      <c r="D5261" s="84"/>
      <c r="E5261" s="84"/>
      <c r="F5261" s="84"/>
      <c r="G5261" s="154"/>
      <c r="H5261" s="140"/>
    </row>
    <row r="5262" spans="1:9" s="65" customFormat="1">
      <c r="A5262" s="150"/>
      <c r="B5262" s="83"/>
      <c r="C5262" s="148"/>
      <c r="D5262" s="84"/>
      <c r="E5262" s="84"/>
      <c r="F5262" s="84"/>
      <c r="G5262" s="154"/>
      <c r="H5262" s="145"/>
    </row>
    <row r="5263" spans="1:9" s="65" customFormat="1">
      <c r="A5263" s="91"/>
      <c r="B5263" s="91"/>
      <c r="C5263" s="91"/>
      <c r="D5263" s="91"/>
      <c r="E5263" s="91"/>
      <c r="G5263" s="104"/>
      <c r="H5263" s="140"/>
    </row>
    <row r="5264" spans="1:9" s="65" customFormat="1">
      <c r="A5264" s="120"/>
      <c r="B5264" s="73"/>
      <c r="C5264" s="73"/>
      <c r="D5264" s="73"/>
      <c r="E5264" s="73"/>
      <c r="G5264" s="121"/>
      <c r="H5264" s="140"/>
    </row>
    <row r="5265" spans="1:9" s="65" customFormat="1">
      <c r="A5265" s="128"/>
      <c r="B5265" s="141"/>
      <c r="C5265" s="141"/>
      <c r="D5265" s="141"/>
      <c r="E5265" s="141"/>
      <c r="F5265" s="141"/>
      <c r="G5265" s="141"/>
      <c r="H5265" s="140"/>
    </row>
    <row r="5266" spans="1:9" s="65" customFormat="1">
      <c r="A5266" s="146"/>
      <c r="B5266" s="83"/>
      <c r="C5266" s="148"/>
      <c r="D5266" s="84"/>
      <c r="E5266" s="84"/>
      <c r="F5266" s="84"/>
      <c r="G5266" s="144"/>
      <c r="H5266" s="145"/>
    </row>
    <row r="5267" spans="1:9" s="65" customFormat="1">
      <c r="A5267" s="91"/>
      <c r="B5267" s="91"/>
      <c r="C5267" s="91"/>
      <c r="D5267" s="91"/>
      <c r="E5267" s="91"/>
      <c r="G5267" s="104"/>
      <c r="H5267" s="140"/>
    </row>
    <row r="5268" spans="1:9" s="65" customFormat="1">
      <c r="A5268" s="120"/>
      <c r="B5268" s="73"/>
      <c r="C5268" s="73"/>
      <c r="D5268" s="73"/>
      <c r="E5268" s="73"/>
      <c r="G5268" s="121"/>
      <c r="H5268" s="140"/>
    </row>
    <row r="5269" spans="1:9" s="65" customFormat="1">
      <c r="A5269" s="128"/>
      <c r="B5269" s="141"/>
      <c r="C5269" s="141"/>
      <c r="D5269" s="141"/>
      <c r="E5269" s="141"/>
      <c r="F5269" s="141"/>
      <c r="G5269" s="141"/>
      <c r="H5269" s="140"/>
    </row>
    <row r="5270" spans="1:9" s="65" customFormat="1" ht="15.75" customHeight="1">
      <c r="A5270" s="142"/>
      <c r="B5270" s="143"/>
      <c r="C5270" s="143"/>
      <c r="D5270" s="143"/>
      <c r="E5270" s="143"/>
      <c r="F5270" s="84"/>
      <c r="G5270" s="144"/>
      <c r="H5270" s="145"/>
    </row>
    <row r="5271" spans="1:9" s="65" customFormat="1">
      <c r="A5271" s="123"/>
      <c r="B5271" s="95"/>
      <c r="C5271" s="95"/>
      <c r="D5271" s="95"/>
      <c r="E5271" s="95"/>
      <c r="G5271" s="104"/>
      <c r="H5271" s="121"/>
    </row>
    <row r="5272" spans="1:9" s="65" customFormat="1">
      <c r="A5272" s="123"/>
      <c r="B5272" s="95"/>
      <c r="C5272" s="95"/>
      <c r="D5272" s="95"/>
      <c r="E5272" s="95"/>
      <c r="G5272" s="121"/>
      <c r="H5272" s="133"/>
    </row>
    <row r="5273" spans="1:9" s="65" customFormat="1">
      <c r="B5273" s="97"/>
      <c r="C5273" s="98"/>
      <c r="D5273" s="98"/>
      <c r="E5273" s="98"/>
      <c r="G5273" s="128"/>
    </row>
    <row r="5274" spans="1:9" s="65" customFormat="1">
      <c r="B5274" s="97"/>
      <c r="C5274" s="98"/>
      <c r="D5274" s="98"/>
      <c r="E5274" s="98"/>
      <c r="F5274" s="128"/>
      <c r="G5274" s="133"/>
      <c r="H5274" s="134"/>
    </row>
    <row r="5275" spans="1:9" s="65" customFormat="1">
      <c r="A5275" s="633"/>
      <c r="B5275" s="633"/>
      <c r="C5275" s="633"/>
      <c r="D5275" s="633"/>
      <c r="E5275" s="633"/>
      <c r="F5275" s="633"/>
      <c r="G5275" s="633"/>
    </row>
    <row r="5276" spans="1:9" s="65" customFormat="1">
      <c r="H5276" s="138"/>
      <c r="I5276" s="151"/>
    </row>
    <row r="5277" spans="1:9" s="65" customFormat="1">
      <c r="A5277" s="645"/>
      <c r="B5277" s="138"/>
      <c r="C5277" s="138"/>
      <c r="D5277" s="138"/>
      <c r="E5277" s="138"/>
      <c r="F5277" s="138"/>
      <c r="G5277" s="138"/>
      <c r="H5277" s="138"/>
      <c r="I5277" s="152"/>
    </row>
    <row r="5278" spans="1:9" s="65" customFormat="1">
      <c r="A5278" s="645"/>
      <c r="B5278" s="138"/>
      <c r="C5278" s="138"/>
      <c r="D5278" s="138"/>
      <c r="E5278" s="138"/>
      <c r="F5278" s="138"/>
      <c r="G5278" s="138"/>
    </row>
    <row r="5279" spans="1:9" s="65" customFormat="1">
      <c r="A5279" s="69"/>
      <c r="B5279" s="69"/>
      <c r="C5279" s="69"/>
      <c r="D5279" s="69"/>
      <c r="E5279" s="69"/>
    </row>
    <row r="5280" spans="1:9" s="65" customFormat="1">
      <c r="A5280" s="120"/>
      <c r="B5280" s="73"/>
      <c r="C5280" s="73"/>
      <c r="D5280" s="73"/>
      <c r="E5280" s="73"/>
      <c r="F5280" s="121"/>
      <c r="G5280" s="121"/>
      <c r="H5280" s="121"/>
    </row>
    <row r="5281" spans="1:8" s="65" customFormat="1">
      <c r="A5281" s="128"/>
      <c r="B5281" s="141"/>
      <c r="C5281" s="141"/>
      <c r="D5281" s="141"/>
      <c r="E5281" s="141"/>
      <c r="F5281" s="141"/>
      <c r="G5281" s="141"/>
      <c r="H5281" s="121"/>
    </row>
    <row r="5282" spans="1:8" s="65" customFormat="1">
      <c r="A5282" s="150"/>
      <c r="B5282" s="83"/>
      <c r="C5282" s="148"/>
      <c r="D5282" s="84"/>
      <c r="E5282" s="84"/>
      <c r="F5282" s="84"/>
      <c r="G5282" s="154"/>
      <c r="H5282" s="145"/>
    </row>
    <row r="5283" spans="1:8" s="65" customFormat="1">
      <c r="A5283" s="84"/>
      <c r="B5283" s="83"/>
      <c r="C5283" s="84"/>
      <c r="D5283" s="84"/>
      <c r="E5283" s="84"/>
      <c r="G5283" s="104"/>
      <c r="H5283" s="140"/>
    </row>
    <row r="5284" spans="1:8" s="65" customFormat="1">
      <c r="A5284" s="120"/>
      <c r="B5284" s="73"/>
      <c r="C5284" s="73"/>
      <c r="D5284" s="73"/>
      <c r="E5284" s="73"/>
      <c r="G5284" s="121"/>
      <c r="H5284" s="140"/>
    </row>
    <row r="5285" spans="1:8" s="65" customFormat="1">
      <c r="A5285" s="128"/>
      <c r="B5285" s="141"/>
      <c r="C5285" s="141"/>
      <c r="D5285" s="141"/>
      <c r="E5285" s="141"/>
      <c r="F5285" s="141"/>
      <c r="G5285" s="141"/>
      <c r="H5285" s="140"/>
    </row>
    <row r="5286" spans="1:8" s="65" customFormat="1">
      <c r="A5286" s="150"/>
      <c r="B5286" s="83"/>
      <c r="C5286" s="148"/>
      <c r="D5286" s="84"/>
      <c r="E5286" s="84"/>
      <c r="F5286" s="84"/>
      <c r="G5286" s="154"/>
      <c r="H5286" s="140"/>
    </row>
    <row r="5287" spans="1:8" s="65" customFormat="1">
      <c r="A5287" s="150"/>
      <c r="B5287" s="83"/>
      <c r="C5287" s="148"/>
      <c r="D5287" s="84"/>
      <c r="E5287" s="84"/>
      <c r="F5287" s="84"/>
      <c r="G5287" s="154"/>
      <c r="H5287" s="140"/>
    </row>
    <row r="5288" spans="1:8" s="65" customFormat="1">
      <c r="A5288" s="150"/>
      <c r="B5288" s="83"/>
      <c r="C5288" s="148"/>
      <c r="D5288" s="84"/>
      <c r="E5288" s="84"/>
      <c r="F5288" s="84"/>
      <c r="G5288" s="154"/>
      <c r="H5288" s="145"/>
    </row>
    <row r="5289" spans="1:8" s="65" customFormat="1">
      <c r="A5289" s="91"/>
      <c r="B5289" s="91"/>
      <c r="C5289" s="91"/>
      <c r="D5289" s="91"/>
      <c r="E5289" s="91"/>
      <c r="G5289" s="104"/>
      <c r="H5289" s="140"/>
    </row>
    <row r="5290" spans="1:8" s="65" customFormat="1">
      <c r="A5290" s="120"/>
      <c r="B5290" s="73"/>
      <c r="C5290" s="73"/>
      <c r="D5290" s="73"/>
      <c r="E5290" s="73"/>
      <c r="G5290" s="121"/>
      <c r="H5290" s="140"/>
    </row>
    <row r="5291" spans="1:8" s="65" customFormat="1">
      <c r="A5291" s="128"/>
      <c r="B5291" s="141"/>
      <c r="C5291" s="141"/>
      <c r="D5291" s="141"/>
      <c r="E5291" s="141"/>
      <c r="F5291" s="141"/>
      <c r="G5291" s="141"/>
      <c r="H5291" s="140"/>
    </row>
    <row r="5292" spans="1:8" s="65" customFormat="1">
      <c r="A5292" s="146"/>
      <c r="B5292" s="83"/>
      <c r="C5292" s="148"/>
      <c r="D5292" s="84"/>
      <c r="E5292" s="84"/>
      <c r="F5292" s="84"/>
      <c r="G5292" s="144"/>
      <c r="H5292" s="140"/>
    </row>
    <row r="5293" spans="1:8" s="65" customFormat="1">
      <c r="A5293" s="146"/>
      <c r="B5293" s="83"/>
      <c r="C5293" s="148"/>
      <c r="D5293" s="84"/>
      <c r="E5293" s="84"/>
      <c r="F5293" s="84"/>
      <c r="G5293" s="144"/>
      <c r="H5293" s="145"/>
    </row>
    <row r="5294" spans="1:8" s="65" customFormat="1">
      <c r="A5294" s="91"/>
      <c r="B5294" s="91"/>
      <c r="C5294" s="91"/>
      <c r="D5294" s="91"/>
      <c r="E5294" s="91"/>
      <c r="G5294" s="104"/>
      <c r="H5294" s="140"/>
    </row>
    <row r="5295" spans="1:8" s="65" customFormat="1">
      <c r="A5295" s="120"/>
      <c r="B5295" s="73"/>
      <c r="C5295" s="73"/>
      <c r="D5295" s="73"/>
      <c r="E5295" s="73"/>
      <c r="G5295" s="121"/>
      <c r="H5295" s="140"/>
    </row>
    <row r="5296" spans="1:8" s="65" customFormat="1">
      <c r="A5296" s="128"/>
      <c r="B5296" s="141"/>
      <c r="C5296" s="141"/>
      <c r="D5296" s="141"/>
      <c r="E5296" s="141"/>
      <c r="F5296" s="141"/>
      <c r="G5296" s="141"/>
      <c r="H5296" s="140"/>
    </row>
    <row r="5297" spans="1:9" s="65" customFormat="1">
      <c r="A5297" s="142"/>
      <c r="B5297" s="143"/>
      <c r="C5297" s="143"/>
      <c r="D5297" s="143"/>
      <c r="E5297" s="143"/>
      <c r="F5297" s="84"/>
      <c r="G5297" s="144"/>
      <c r="H5297" s="145"/>
    </row>
    <row r="5298" spans="1:9" s="65" customFormat="1">
      <c r="A5298" s="123"/>
      <c r="B5298" s="95"/>
      <c r="C5298" s="95"/>
      <c r="D5298" s="95"/>
      <c r="E5298" s="95"/>
      <c r="G5298" s="104"/>
      <c r="H5298" s="121"/>
    </row>
    <row r="5299" spans="1:9" s="65" customFormat="1">
      <c r="A5299" s="123"/>
      <c r="B5299" s="95"/>
      <c r="C5299" s="95"/>
      <c r="D5299" s="95"/>
      <c r="E5299" s="95"/>
      <c r="G5299" s="121"/>
      <c r="H5299" s="133"/>
    </row>
    <row r="5300" spans="1:9" s="65" customFormat="1">
      <c r="B5300" s="97"/>
      <c r="C5300" s="98"/>
      <c r="D5300" s="98"/>
      <c r="E5300" s="98"/>
      <c r="G5300" s="128"/>
    </row>
    <row r="5301" spans="1:9" s="65" customFormat="1">
      <c r="B5301" s="97"/>
      <c r="C5301" s="98"/>
      <c r="D5301" s="98"/>
      <c r="E5301" s="98"/>
      <c r="F5301" s="128"/>
      <c r="G5301" s="133"/>
      <c r="H5301" s="134"/>
    </row>
    <row r="5302" spans="1:9" s="65" customFormat="1">
      <c r="A5302" s="633"/>
      <c r="B5302" s="633"/>
      <c r="C5302" s="633"/>
      <c r="D5302" s="633"/>
      <c r="E5302" s="633"/>
      <c r="F5302" s="633"/>
      <c r="G5302" s="633"/>
    </row>
    <row r="5303" spans="1:9" s="65" customFormat="1">
      <c r="H5303" s="138"/>
      <c r="I5303" s="151"/>
    </row>
    <row r="5304" spans="1:9" s="65" customFormat="1">
      <c r="A5304" s="645"/>
      <c r="B5304" s="138"/>
      <c r="C5304" s="138"/>
      <c r="D5304" s="138"/>
      <c r="E5304" s="138"/>
      <c r="F5304" s="138"/>
      <c r="G5304" s="138"/>
      <c r="H5304" s="138"/>
      <c r="I5304" s="152"/>
    </row>
    <row r="5305" spans="1:9" s="65" customFormat="1">
      <c r="A5305" s="645"/>
      <c r="B5305" s="138"/>
      <c r="C5305" s="138"/>
      <c r="D5305" s="138"/>
      <c r="E5305" s="138"/>
      <c r="F5305" s="138"/>
      <c r="G5305" s="138"/>
    </row>
    <row r="5306" spans="1:9" s="65" customFormat="1">
      <c r="A5306" s="69"/>
      <c r="B5306" s="69"/>
      <c r="C5306" s="69"/>
      <c r="D5306" s="69"/>
      <c r="E5306" s="69"/>
    </row>
    <row r="5307" spans="1:9" s="65" customFormat="1">
      <c r="A5307" s="120"/>
      <c r="B5307" s="73"/>
      <c r="C5307" s="73"/>
      <c r="D5307" s="73"/>
      <c r="E5307" s="73"/>
      <c r="F5307" s="121"/>
      <c r="G5307" s="121"/>
      <c r="H5307" s="121"/>
    </row>
    <row r="5308" spans="1:9" s="65" customFormat="1">
      <c r="A5308" s="128"/>
      <c r="B5308" s="141"/>
      <c r="C5308" s="141"/>
      <c r="D5308" s="141"/>
      <c r="E5308" s="141"/>
      <c r="F5308" s="141"/>
      <c r="G5308" s="141"/>
      <c r="H5308" s="121"/>
    </row>
    <row r="5309" spans="1:9" s="65" customFormat="1">
      <c r="A5309" s="150"/>
      <c r="B5309" s="83"/>
      <c r="C5309" s="148"/>
      <c r="D5309" s="84"/>
      <c r="E5309" s="84"/>
      <c r="F5309" s="84"/>
      <c r="G5309" s="154"/>
      <c r="H5309" s="121"/>
    </row>
    <row r="5310" spans="1:9" s="65" customFormat="1">
      <c r="A5310" s="150"/>
      <c r="B5310" s="83"/>
      <c r="C5310" s="148"/>
      <c r="D5310" s="84"/>
      <c r="E5310" s="84"/>
      <c r="F5310" s="84"/>
      <c r="G5310" s="154"/>
      <c r="H5310" s="121"/>
    </row>
    <row r="5311" spans="1:9" s="65" customFormat="1">
      <c r="A5311" s="150"/>
      <c r="B5311" s="83"/>
      <c r="C5311" s="148"/>
      <c r="D5311" s="84"/>
      <c r="E5311" s="84"/>
      <c r="F5311" s="84"/>
      <c r="G5311" s="154"/>
      <c r="H5311" s="145"/>
    </row>
    <row r="5312" spans="1:9" s="65" customFormat="1">
      <c r="A5312" s="84"/>
      <c r="B5312" s="83"/>
      <c r="C5312" s="84"/>
      <c r="D5312" s="84"/>
      <c r="E5312" s="84"/>
      <c r="G5312" s="104"/>
      <c r="H5312" s="140"/>
    </row>
    <row r="5313" spans="1:8" s="65" customFormat="1">
      <c r="A5313" s="120"/>
      <c r="B5313" s="73"/>
      <c r="C5313" s="73"/>
      <c r="D5313" s="73"/>
      <c r="E5313" s="73"/>
      <c r="G5313" s="121"/>
      <c r="H5313" s="140"/>
    </row>
    <row r="5314" spans="1:8" s="65" customFormat="1">
      <c r="A5314" s="128"/>
      <c r="B5314" s="141"/>
      <c r="C5314" s="141"/>
      <c r="D5314" s="141"/>
      <c r="E5314" s="141"/>
      <c r="F5314" s="141"/>
      <c r="G5314" s="141"/>
      <c r="H5314" s="140"/>
    </row>
    <row r="5315" spans="1:8" s="65" customFormat="1">
      <c r="A5315" s="150"/>
      <c r="B5315" s="83"/>
      <c r="C5315" s="148"/>
      <c r="D5315" s="84"/>
      <c r="E5315" s="84"/>
      <c r="F5315" s="84"/>
      <c r="G5315" s="154"/>
      <c r="H5315" s="145"/>
    </row>
    <row r="5316" spans="1:8" s="65" customFormat="1">
      <c r="A5316" s="91"/>
      <c r="B5316" s="91"/>
      <c r="C5316" s="91"/>
      <c r="D5316" s="91"/>
      <c r="E5316" s="91"/>
      <c r="G5316" s="104"/>
      <c r="H5316" s="140"/>
    </row>
    <row r="5317" spans="1:8" s="65" customFormat="1">
      <c r="A5317" s="120"/>
      <c r="B5317" s="73"/>
      <c r="C5317" s="73"/>
      <c r="D5317" s="73"/>
      <c r="E5317" s="73"/>
      <c r="G5317" s="121"/>
      <c r="H5317" s="140"/>
    </row>
    <row r="5318" spans="1:8" s="65" customFormat="1">
      <c r="A5318" s="128"/>
      <c r="B5318" s="141"/>
      <c r="C5318" s="141"/>
      <c r="D5318" s="141"/>
      <c r="E5318" s="141"/>
      <c r="F5318" s="141"/>
      <c r="G5318" s="141"/>
      <c r="H5318" s="140"/>
    </row>
    <row r="5319" spans="1:8" s="65" customFormat="1">
      <c r="A5319" s="146"/>
      <c r="B5319" s="83"/>
      <c r="C5319" s="148"/>
      <c r="D5319" s="84"/>
      <c r="E5319" s="84"/>
      <c r="F5319" s="84"/>
      <c r="G5319" s="144"/>
      <c r="H5319" s="145"/>
    </row>
    <row r="5320" spans="1:8" s="65" customFormat="1">
      <c r="A5320" s="91"/>
      <c r="B5320" s="91"/>
      <c r="C5320" s="91"/>
      <c r="D5320" s="91"/>
      <c r="E5320" s="91"/>
      <c r="G5320" s="104"/>
      <c r="H5320" s="140"/>
    </row>
    <row r="5321" spans="1:8" s="65" customFormat="1">
      <c r="A5321" s="120"/>
      <c r="B5321" s="73"/>
      <c r="C5321" s="73"/>
      <c r="D5321" s="73"/>
      <c r="E5321" s="73"/>
      <c r="G5321" s="121"/>
      <c r="H5321" s="140"/>
    </row>
    <row r="5322" spans="1:8" s="65" customFormat="1">
      <c r="A5322" s="128"/>
      <c r="B5322" s="141"/>
      <c r="C5322" s="141"/>
      <c r="D5322" s="141"/>
      <c r="E5322" s="141"/>
      <c r="F5322" s="141"/>
      <c r="G5322" s="141"/>
      <c r="H5322" s="140"/>
    </row>
    <row r="5323" spans="1:8" s="65" customFormat="1">
      <c r="A5323" s="142"/>
      <c r="B5323" s="143"/>
      <c r="C5323" s="143"/>
      <c r="D5323" s="143"/>
      <c r="E5323" s="143"/>
      <c r="F5323" s="84"/>
      <c r="G5323" s="144"/>
      <c r="H5323" s="145"/>
    </row>
    <row r="5324" spans="1:8" s="65" customFormat="1">
      <c r="A5324" s="123"/>
      <c r="B5324" s="95"/>
      <c r="C5324" s="95"/>
      <c r="D5324" s="95"/>
      <c r="E5324" s="95"/>
      <c r="G5324" s="104"/>
      <c r="H5324" s="121"/>
    </row>
    <row r="5325" spans="1:8" s="65" customFormat="1">
      <c r="A5325" s="123"/>
      <c r="B5325" s="95"/>
      <c r="C5325" s="95"/>
      <c r="D5325" s="95"/>
      <c r="E5325" s="95"/>
      <c r="G5325" s="121"/>
      <c r="H5325" s="133"/>
    </row>
    <row r="5326" spans="1:8" s="65" customFormat="1">
      <c r="B5326" s="97"/>
      <c r="C5326" s="98"/>
      <c r="D5326" s="98"/>
      <c r="E5326" s="98"/>
      <c r="G5326" s="128"/>
    </row>
    <row r="5327" spans="1:8" s="65" customFormat="1">
      <c r="B5327" s="97"/>
      <c r="C5327" s="98"/>
      <c r="D5327" s="98"/>
      <c r="E5327" s="98"/>
      <c r="F5327" s="128"/>
      <c r="G5327" s="133"/>
      <c r="H5327" s="134"/>
    </row>
    <row r="5328" spans="1:8" s="65" customFormat="1">
      <c r="A5328" s="633"/>
      <c r="B5328" s="633"/>
      <c r="C5328" s="633"/>
      <c r="D5328" s="633"/>
      <c r="E5328" s="633"/>
      <c r="F5328" s="633"/>
      <c r="G5328" s="633"/>
    </row>
    <row r="5329" spans="1:9" s="65" customFormat="1">
      <c r="H5329" s="138"/>
      <c r="I5329" s="151"/>
    </row>
    <row r="5330" spans="1:9" s="65" customFormat="1">
      <c r="A5330" s="645"/>
      <c r="B5330" s="138"/>
      <c r="C5330" s="138"/>
      <c r="D5330" s="138"/>
      <c r="E5330" s="138"/>
      <c r="F5330" s="138"/>
      <c r="G5330" s="138"/>
      <c r="H5330" s="138"/>
      <c r="I5330" s="152"/>
    </row>
    <row r="5331" spans="1:9" s="65" customFormat="1">
      <c r="A5331" s="645"/>
      <c r="B5331" s="138"/>
      <c r="C5331" s="138"/>
      <c r="D5331" s="138"/>
      <c r="E5331" s="138"/>
      <c r="F5331" s="138"/>
      <c r="G5331" s="138"/>
    </row>
    <row r="5332" spans="1:9" s="65" customFormat="1">
      <c r="A5332" s="69"/>
      <c r="B5332" s="69"/>
      <c r="C5332" s="69"/>
      <c r="D5332" s="69"/>
      <c r="E5332" s="69"/>
    </row>
    <row r="5333" spans="1:9" s="65" customFormat="1">
      <c r="A5333" s="120"/>
      <c r="B5333" s="73"/>
      <c r="C5333" s="73"/>
      <c r="D5333" s="73"/>
      <c r="E5333" s="73"/>
      <c r="F5333" s="121"/>
      <c r="G5333" s="121"/>
      <c r="H5333" s="121"/>
    </row>
    <row r="5334" spans="1:9" s="65" customFormat="1">
      <c r="A5334" s="128"/>
      <c r="B5334" s="141"/>
      <c r="C5334" s="141"/>
      <c r="D5334" s="141"/>
      <c r="E5334" s="141"/>
      <c r="F5334" s="141"/>
      <c r="G5334" s="141"/>
      <c r="H5334" s="121"/>
    </row>
    <row r="5335" spans="1:9" s="65" customFormat="1">
      <c r="A5335" s="150"/>
      <c r="B5335" s="83"/>
      <c r="C5335" s="148"/>
      <c r="D5335" s="84"/>
      <c r="E5335" s="84"/>
      <c r="F5335" s="84"/>
      <c r="G5335" s="154"/>
      <c r="H5335" s="121"/>
    </row>
    <row r="5336" spans="1:9" s="65" customFormat="1">
      <c r="A5336" s="150"/>
      <c r="B5336" s="83"/>
      <c r="C5336" s="148"/>
      <c r="D5336" s="84"/>
      <c r="E5336" s="84"/>
      <c r="F5336" s="84"/>
      <c r="G5336" s="154"/>
      <c r="H5336" s="145"/>
    </row>
    <row r="5337" spans="1:9" s="65" customFormat="1">
      <c r="A5337" s="84"/>
      <c r="B5337" s="83"/>
      <c r="C5337" s="84"/>
      <c r="D5337" s="84"/>
      <c r="E5337" s="84"/>
      <c r="G5337" s="104"/>
      <c r="H5337" s="140"/>
    </row>
    <row r="5338" spans="1:9" s="65" customFormat="1">
      <c r="A5338" s="120"/>
      <c r="B5338" s="73"/>
      <c r="C5338" s="73"/>
      <c r="D5338" s="73"/>
      <c r="E5338" s="73"/>
      <c r="G5338" s="121"/>
      <c r="H5338" s="140"/>
    </row>
    <row r="5339" spans="1:9" s="65" customFormat="1">
      <c r="A5339" s="128"/>
      <c r="B5339" s="141"/>
      <c r="C5339" s="141"/>
      <c r="D5339" s="141"/>
      <c r="E5339" s="141"/>
      <c r="F5339" s="141"/>
      <c r="G5339" s="141"/>
      <c r="H5339" s="140"/>
    </row>
    <row r="5340" spans="1:9" s="65" customFormat="1">
      <c r="A5340" s="150"/>
      <c r="B5340" s="83"/>
      <c r="C5340" s="148"/>
      <c r="D5340" s="84"/>
      <c r="E5340" s="84"/>
      <c r="F5340" s="84"/>
      <c r="G5340" s="154"/>
      <c r="H5340" s="145"/>
    </row>
    <row r="5341" spans="1:9" s="65" customFormat="1">
      <c r="A5341" s="91"/>
      <c r="B5341" s="91"/>
      <c r="C5341" s="91"/>
      <c r="D5341" s="91"/>
      <c r="E5341" s="91"/>
      <c r="G5341" s="104"/>
      <c r="H5341" s="140"/>
    </row>
    <row r="5342" spans="1:9" s="65" customFormat="1">
      <c r="A5342" s="120"/>
      <c r="B5342" s="73"/>
      <c r="C5342" s="73"/>
      <c r="D5342" s="73"/>
      <c r="E5342" s="73"/>
      <c r="G5342" s="121"/>
      <c r="H5342" s="140"/>
    </row>
    <row r="5343" spans="1:9" s="65" customFormat="1">
      <c r="A5343" s="128"/>
      <c r="B5343" s="141"/>
      <c r="C5343" s="141"/>
      <c r="D5343" s="141"/>
      <c r="E5343" s="141"/>
      <c r="F5343" s="141"/>
      <c r="G5343" s="141"/>
      <c r="H5343" s="140"/>
    </row>
    <row r="5344" spans="1:9" s="65" customFormat="1">
      <c r="A5344" s="146"/>
      <c r="B5344" s="83"/>
      <c r="C5344" s="148"/>
      <c r="D5344" s="84"/>
      <c r="E5344" s="84"/>
      <c r="F5344" s="84"/>
      <c r="G5344" s="144"/>
      <c r="H5344" s="145"/>
    </row>
    <row r="5345" spans="1:9" s="65" customFormat="1">
      <c r="A5345" s="91"/>
      <c r="B5345" s="91"/>
      <c r="C5345" s="91"/>
      <c r="D5345" s="91"/>
      <c r="E5345" s="91"/>
      <c r="G5345" s="104"/>
      <c r="H5345" s="140"/>
    </row>
    <row r="5346" spans="1:9" s="65" customFormat="1">
      <c r="A5346" s="120"/>
      <c r="B5346" s="73"/>
      <c r="C5346" s="73"/>
      <c r="D5346" s="73"/>
      <c r="E5346" s="73"/>
      <c r="G5346" s="121"/>
      <c r="H5346" s="140"/>
    </row>
    <row r="5347" spans="1:9" s="65" customFormat="1">
      <c r="A5347" s="128"/>
      <c r="B5347" s="141"/>
      <c r="C5347" s="141"/>
      <c r="D5347" s="141"/>
      <c r="E5347" s="141"/>
      <c r="F5347" s="141"/>
      <c r="G5347" s="141"/>
      <c r="H5347" s="140"/>
    </row>
    <row r="5348" spans="1:9" s="65" customFormat="1">
      <c r="A5348" s="142"/>
      <c r="B5348" s="143"/>
      <c r="C5348" s="143"/>
      <c r="D5348" s="143"/>
      <c r="E5348" s="143"/>
      <c r="F5348" s="84"/>
      <c r="G5348" s="144"/>
      <c r="H5348" s="145"/>
    </row>
    <row r="5349" spans="1:9" s="65" customFormat="1">
      <c r="A5349" s="123"/>
      <c r="B5349" s="95"/>
      <c r="C5349" s="95"/>
      <c r="D5349" s="95"/>
      <c r="E5349" s="95"/>
      <c r="G5349" s="104"/>
      <c r="H5349" s="121"/>
    </row>
    <row r="5350" spans="1:9" s="65" customFormat="1">
      <c r="A5350" s="123"/>
      <c r="B5350" s="95"/>
      <c r="C5350" s="95"/>
      <c r="D5350" s="95"/>
      <c r="E5350" s="95"/>
      <c r="G5350" s="121"/>
      <c r="H5350" s="133"/>
    </row>
    <row r="5351" spans="1:9" s="65" customFormat="1">
      <c r="B5351" s="97"/>
      <c r="C5351" s="98"/>
      <c r="D5351" s="98"/>
      <c r="E5351" s="98"/>
      <c r="G5351" s="128"/>
    </row>
    <row r="5352" spans="1:9" s="65" customFormat="1">
      <c r="B5352" s="97"/>
      <c r="C5352" s="98"/>
      <c r="D5352" s="98"/>
      <c r="E5352" s="98"/>
      <c r="F5352" s="128"/>
      <c r="G5352" s="133"/>
      <c r="H5352" s="134"/>
    </row>
    <row r="5353" spans="1:9" s="65" customFormat="1">
      <c r="A5353" s="633"/>
      <c r="B5353" s="633"/>
      <c r="C5353" s="633"/>
      <c r="D5353" s="633"/>
      <c r="E5353" s="633"/>
      <c r="F5353" s="633"/>
      <c r="G5353" s="633"/>
    </row>
    <row r="5354" spans="1:9" s="65" customFormat="1">
      <c r="H5354" s="138"/>
      <c r="I5354" s="151"/>
    </row>
    <row r="5355" spans="1:9" s="65" customFormat="1">
      <c r="A5355" s="645"/>
      <c r="B5355" s="138"/>
      <c r="C5355" s="138"/>
      <c r="D5355" s="138"/>
      <c r="E5355" s="138"/>
      <c r="F5355" s="138"/>
      <c r="G5355" s="138"/>
      <c r="H5355" s="138"/>
      <c r="I5355" s="152"/>
    </row>
    <row r="5356" spans="1:9" s="65" customFormat="1">
      <c r="A5356" s="645"/>
      <c r="B5356" s="138"/>
      <c r="C5356" s="138"/>
      <c r="D5356" s="138"/>
      <c r="E5356" s="138"/>
      <c r="F5356" s="138"/>
      <c r="G5356" s="138"/>
    </row>
    <row r="5357" spans="1:9" s="65" customFormat="1">
      <c r="A5357" s="69"/>
      <c r="B5357" s="69"/>
      <c r="C5357" s="69"/>
      <c r="D5357" s="69"/>
      <c r="E5357" s="69"/>
    </row>
    <row r="5358" spans="1:9" s="65" customFormat="1">
      <c r="A5358" s="120"/>
      <c r="B5358" s="73"/>
      <c r="C5358" s="73"/>
      <c r="D5358" s="73"/>
      <c r="E5358" s="73"/>
      <c r="F5358" s="121"/>
      <c r="G5358" s="121"/>
      <c r="H5358" s="121"/>
    </row>
    <row r="5359" spans="1:9" s="65" customFormat="1">
      <c r="A5359" s="128"/>
      <c r="B5359" s="141"/>
      <c r="C5359" s="141"/>
      <c r="D5359" s="141"/>
      <c r="E5359" s="141"/>
      <c r="F5359" s="141"/>
      <c r="G5359" s="141"/>
      <c r="H5359" s="121"/>
    </row>
    <row r="5360" spans="1:9" s="65" customFormat="1">
      <c r="A5360" s="150"/>
      <c r="B5360" s="83"/>
      <c r="C5360" s="148"/>
      <c r="D5360" s="84"/>
      <c r="E5360" s="84"/>
      <c r="F5360" s="84"/>
      <c r="G5360" s="154"/>
      <c r="H5360" s="145"/>
    </row>
    <row r="5361" spans="1:8" s="65" customFormat="1">
      <c r="A5361" s="84"/>
      <c r="B5361" s="83"/>
      <c r="C5361" s="84"/>
      <c r="D5361" s="84"/>
      <c r="E5361" s="84"/>
      <c r="G5361" s="104"/>
      <c r="H5361" s="140"/>
    </row>
    <row r="5362" spans="1:8" s="65" customFormat="1">
      <c r="A5362" s="120"/>
      <c r="B5362" s="73"/>
      <c r="C5362" s="73"/>
      <c r="D5362" s="73"/>
      <c r="E5362" s="73"/>
      <c r="G5362" s="121"/>
      <c r="H5362" s="140"/>
    </row>
    <row r="5363" spans="1:8" s="65" customFormat="1">
      <c r="A5363" s="128"/>
      <c r="B5363" s="141"/>
      <c r="C5363" s="141"/>
      <c r="D5363" s="141"/>
      <c r="E5363" s="141"/>
      <c r="F5363" s="141"/>
      <c r="G5363" s="141"/>
      <c r="H5363" s="140"/>
    </row>
    <row r="5364" spans="1:8" s="65" customFormat="1">
      <c r="A5364" s="150"/>
      <c r="B5364" s="83"/>
      <c r="C5364" s="148"/>
      <c r="D5364" s="84"/>
      <c r="E5364" s="84"/>
      <c r="F5364" s="84"/>
      <c r="G5364" s="154"/>
      <c r="H5364" s="140"/>
    </row>
    <row r="5365" spans="1:8" s="65" customFormat="1">
      <c r="A5365" s="150"/>
      <c r="B5365" s="83"/>
      <c r="C5365" s="148"/>
      <c r="D5365" s="84"/>
      <c r="E5365" s="84"/>
      <c r="F5365" s="84"/>
      <c r="G5365" s="154"/>
      <c r="H5365" s="140"/>
    </row>
    <row r="5366" spans="1:8" s="65" customFormat="1">
      <c r="A5366" s="150"/>
      <c r="B5366" s="83"/>
      <c r="C5366" s="148"/>
      <c r="D5366" s="84"/>
      <c r="E5366" s="84"/>
      <c r="F5366" s="84"/>
      <c r="G5366" s="154"/>
      <c r="H5366" s="140"/>
    </row>
    <row r="5367" spans="1:8" s="65" customFormat="1">
      <c r="A5367" s="150"/>
      <c r="B5367" s="83"/>
      <c r="C5367" s="148"/>
      <c r="D5367" s="84"/>
      <c r="E5367" s="84"/>
      <c r="F5367" s="84"/>
      <c r="G5367" s="154"/>
      <c r="H5367" s="140"/>
    </row>
    <row r="5368" spans="1:8" s="65" customFormat="1">
      <c r="A5368" s="150"/>
      <c r="B5368" s="83"/>
      <c r="C5368" s="148"/>
      <c r="D5368" s="84"/>
      <c r="E5368" s="84"/>
      <c r="F5368" s="84"/>
      <c r="G5368" s="154"/>
      <c r="H5368" s="140"/>
    </row>
    <row r="5369" spans="1:8" s="65" customFormat="1">
      <c r="A5369" s="150"/>
      <c r="B5369" s="83"/>
      <c r="C5369" s="148"/>
      <c r="D5369" s="84"/>
      <c r="E5369" s="84"/>
      <c r="F5369" s="84"/>
      <c r="G5369" s="154"/>
      <c r="H5369" s="140"/>
    </row>
    <row r="5370" spans="1:8" s="65" customFormat="1">
      <c r="A5370" s="150"/>
      <c r="B5370" s="83"/>
      <c r="C5370" s="148"/>
      <c r="D5370" s="84"/>
      <c r="E5370" s="84"/>
      <c r="F5370" s="84"/>
      <c r="G5370" s="154"/>
      <c r="H5370" s="145"/>
    </row>
    <row r="5371" spans="1:8" s="65" customFormat="1">
      <c r="A5371" s="91"/>
      <c r="B5371" s="91"/>
      <c r="C5371" s="91"/>
      <c r="D5371" s="91"/>
      <c r="E5371" s="91"/>
      <c r="G5371" s="104"/>
      <c r="H5371" s="140"/>
    </row>
    <row r="5372" spans="1:8" s="65" customFormat="1">
      <c r="A5372" s="120"/>
      <c r="B5372" s="73"/>
      <c r="C5372" s="73"/>
      <c r="D5372" s="73"/>
      <c r="E5372" s="73"/>
      <c r="G5372" s="121"/>
      <c r="H5372" s="140"/>
    </row>
    <row r="5373" spans="1:8" s="65" customFormat="1">
      <c r="A5373" s="128"/>
      <c r="B5373" s="141"/>
      <c r="C5373" s="141"/>
      <c r="D5373" s="141"/>
      <c r="E5373" s="141"/>
      <c r="F5373" s="141"/>
      <c r="G5373" s="141"/>
      <c r="H5373" s="140"/>
    </row>
    <row r="5374" spans="1:8" s="65" customFormat="1">
      <c r="A5374" s="146"/>
      <c r="B5374" s="83"/>
      <c r="C5374" s="148"/>
      <c r="D5374" s="84"/>
      <c r="E5374" s="84"/>
      <c r="F5374" s="84"/>
      <c r="G5374" s="144"/>
      <c r="H5374" s="140"/>
    </row>
    <row r="5375" spans="1:8" s="65" customFormat="1">
      <c r="A5375" s="146"/>
      <c r="B5375" s="83"/>
      <c r="C5375" s="148"/>
      <c r="D5375" s="84"/>
      <c r="E5375" s="84"/>
      <c r="F5375" s="84"/>
      <c r="G5375" s="144"/>
      <c r="H5375" s="145"/>
    </row>
    <row r="5376" spans="1:8" s="65" customFormat="1">
      <c r="A5376" s="91"/>
      <c r="B5376" s="91"/>
      <c r="C5376" s="91"/>
      <c r="D5376" s="91"/>
      <c r="E5376" s="91"/>
      <c r="G5376" s="104"/>
      <c r="H5376" s="140"/>
    </row>
    <row r="5377" spans="1:9" s="65" customFormat="1">
      <c r="A5377" s="120"/>
      <c r="B5377" s="73"/>
      <c r="C5377" s="73"/>
      <c r="D5377" s="73"/>
      <c r="E5377" s="73"/>
      <c r="G5377" s="121"/>
      <c r="H5377" s="140"/>
    </row>
    <row r="5378" spans="1:9" s="65" customFormat="1">
      <c r="A5378" s="128"/>
      <c r="B5378" s="141"/>
      <c r="C5378" s="141"/>
      <c r="D5378" s="141"/>
      <c r="E5378" s="141"/>
      <c r="F5378" s="141"/>
      <c r="G5378" s="141"/>
      <c r="H5378" s="140"/>
    </row>
    <row r="5379" spans="1:9" s="65" customFormat="1">
      <c r="A5379" s="142"/>
      <c r="B5379" s="143"/>
      <c r="C5379" s="143"/>
      <c r="D5379" s="143"/>
      <c r="E5379" s="143"/>
      <c r="F5379" s="84"/>
      <c r="G5379" s="144"/>
      <c r="H5379" s="145"/>
    </row>
    <row r="5380" spans="1:9" s="65" customFormat="1">
      <c r="A5380" s="123"/>
      <c r="B5380" s="95"/>
      <c r="C5380" s="95"/>
      <c r="D5380" s="95"/>
      <c r="E5380" s="95"/>
      <c r="G5380" s="104"/>
      <c r="H5380" s="121"/>
    </row>
    <row r="5381" spans="1:9" s="65" customFormat="1">
      <c r="A5381" s="123"/>
      <c r="B5381" s="95"/>
      <c r="C5381" s="95"/>
      <c r="D5381" s="95"/>
      <c r="E5381" s="95"/>
      <c r="G5381" s="121"/>
      <c r="H5381" s="133"/>
    </row>
    <row r="5382" spans="1:9" s="65" customFormat="1">
      <c r="B5382" s="97"/>
      <c r="C5382" s="98"/>
      <c r="D5382" s="98"/>
      <c r="E5382" s="98"/>
      <c r="G5382" s="128"/>
    </row>
    <row r="5383" spans="1:9" s="65" customFormat="1">
      <c r="B5383" s="97"/>
      <c r="C5383" s="98"/>
      <c r="D5383" s="98"/>
      <c r="E5383" s="98"/>
      <c r="F5383" s="128"/>
      <c r="G5383" s="133"/>
      <c r="H5383" s="134"/>
    </row>
    <row r="5384" spans="1:9" s="65" customFormat="1">
      <c r="A5384" s="633"/>
      <c r="B5384" s="633"/>
      <c r="C5384" s="633"/>
      <c r="D5384" s="633"/>
      <c r="E5384" s="633"/>
      <c r="F5384" s="633"/>
      <c r="G5384" s="633"/>
    </row>
    <row r="5385" spans="1:9" s="65" customFormat="1">
      <c r="H5385" s="138"/>
      <c r="I5385" s="151"/>
    </row>
    <row r="5386" spans="1:9" s="65" customFormat="1">
      <c r="A5386" s="645"/>
      <c r="B5386" s="138"/>
      <c r="C5386" s="138"/>
      <c r="D5386" s="138"/>
      <c r="E5386" s="138"/>
      <c r="F5386" s="138"/>
      <c r="G5386" s="138"/>
      <c r="H5386" s="138"/>
      <c r="I5386" s="152"/>
    </row>
    <row r="5387" spans="1:9" s="65" customFormat="1">
      <c r="A5387" s="645"/>
      <c r="B5387" s="138"/>
      <c r="C5387" s="138"/>
      <c r="D5387" s="138"/>
      <c r="E5387" s="138"/>
      <c r="F5387" s="138"/>
      <c r="G5387" s="138"/>
    </row>
    <row r="5388" spans="1:9" s="65" customFormat="1">
      <c r="A5388" s="69"/>
      <c r="B5388" s="69"/>
      <c r="C5388" s="69"/>
      <c r="D5388" s="69"/>
      <c r="E5388" s="69"/>
    </row>
    <row r="5389" spans="1:9" s="65" customFormat="1">
      <c r="A5389" s="120"/>
      <c r="B5389" s="73"/>
      <c r="C5389" s="73"/>
      <c r="D5389" s="73"/>
      <c r="E5389" s="73"/>
      <c r="F5389" s="121"/>
      <c r="G5389" s="121"/>
      <c r="H5389" s="121"/>
    </row>
    <row r="5390" spans="1:9" s="65" customFormat="1">
      <c r="A5390" s="128"/>
      <c r="B5390" s="141"/>
      <c r="C5390" s="141"/>
      <c r="D5390" s="141"/>
      <c r="E5390" s="141"/>
      <c r="F5390" s="141"/>
      <c r="G5390" s="141"/>
      <c r="H5390" s="121"/>
    </row>
    <row r="5391" spans="1:9" s="65" customFormat="1">
      <c r="A5391" s="150"/>
      <c r="B5391" s="83"/>
      <c r="C5391" s="148"/>
      <c r="D5391" s="84"/>
      <c r="E5391" s="84"/>
      <c r="F5391" s="84"/>
      <c r="G5391" s="154"/>
      <c r="H5391" s="145"/>
    </row>
    <row r="5392" spans="1:9" s="65" customFormat="1">
      <c r="A5392" s="84"/>
      <c r="B5392" s="83"/>
      <c r="C5392" s="84"/>
      <c r="D5392" s="84"/>
      <c r="E5392" s="84"/>
      <c r="G5392" s="104"/>
      <c r="H5392" s="140"/>
    </row>
    <row r="5393" spans="1:8" s="65" customFormat="1">
      <c r="A5393" s="120"/>
      <c r="B5393" s="73"/>
      <c r="C5393" s="73"/>
      <c r="D5393" s="73"/>
      <c r="E5393" s="73"/>
      <c r="G5393" s="121"/>
      <c r="H5393" s="140"/>
    </row>
    <row r="5394" spans="1:8" s="65" customFormat="1">
      <c r="A5394" s="128"/>
      <c r="B5394" s="141"/>
      <c r="C5394" s="141"/>
      <c r="D5394" s="141"/>
      <c r="E5394" s="141"/>
      <c r="F5394" s="141"/>
      <c r="G5394" s="141"/>
      <c r="H5394" s="140"/>
    </row>
    <row r="5395" spans="1:8" s="65" customFormat="1">
      <c r="A5395" s="150"/>
      <c r="B5395" s="83"/>
      <c r="C5395" s="148"/>
      <c r="D5395" s="84"/>
      <c r="E5395" s="84"/>
      <c r="F5395" s="84"/>
      <c r="G5395" s="154"/>
      <c r="H5395" s="140"/>
    </row>
    <row r="5396" spans="1:8" s="65" customFormat="1">
      <c r="A5396" s="150"/>
      <c r="B5396" s="83"/>
      <c r="C5396" s="148"/>
      <c r="D5396" s="84"/>
      <c r="E5396" s="84"/>
      <c r="F5396" s="84"/>
      <c r="G5396" s="154"/>
      <c r="H5396" s="140"/>
    </row>
    <row r="5397" spans="1:8" s="65" customFormat="1">
      <c r="A5397" s="150"/>
      <c r="B5397" s="83"/>
      <c r="C5397" s="148"/>
      <c r="D5397" s="84"/>
      <c r="E5397" s="84"/>
      <c r="F5397" s="84"/>
      <c r="G5397" s="154"/>
      <c r="H5397" s="140"/>
    </row>
    <row r="5398" spans="1:8" s="65" customFormat="1">
      <c r="A5398" s="150"/>
      <c r="B5398" s="83"/>
      <c r="C5398" s="148"/>
      <c r="D5398" s="84"/>
      <c r="E5398" s="84"/>
      <c r="F5398" s="84"/>
      <c r="G5398" s="154"/>
      <c r="H5398" s="140"/>
    </row>
    <row r="5399" spans="1:8" s="65" customFormat="1">
      <c r="A5399" s="150"/>
      <c r="B5399" s="83"/>
      <c r="C5399" s="148"/>
      <c r="D5399" s="84"/>
      <c r="E5399" s="84"/>
      <c r="F5399" s="84"/>
      <c r="G5399" s="154"/>
      <c r="H5399" s="145"/>
    </row>
    <row r="5400" spans="1:8" s="65" customFormat="1">
      <c r="A5400" s="91"/>
      <c r="B5400" s="91"/>
      <c r="C5400" s="91"/>
      <c r="D5400" s="91"/>
      <c r="E5400" s="91"/>
      <c r="G5400" s="104"/>
      <c r="H5400" s="140"/>
    </row>
    <row r="5401" spans="1:8" s="65" customFormat="1">
      <c r="A5401" s="120"/>
      <c r="B5401" s="73"/>
      <c r="C5401" s="73"/>
      <c r="D5401" s="73"/>
      <c r="E5401" s="73"/>
      <c r="G5401" s="121"/>
      <c r="H5401" s="140"/>
    </row>
    <row r="5402" spans="1:8" s="65" customFormat="1">
      <c r="A5402" s="128"/>
      <c r="B5402" s="141"/>
      <c r="C5402" s="141"/>
      <c r="D5402" s="141"/>
      <c r="E5402" s="141"/>
      <c r="F5402" s="141"/>
      <c r="G5402" s="141"/>
      <c r="H5402" s="140"/>
    </row>
    <row r="5403" spans="1:8" s="65" customFormat="1">
      <c r="A5403" s="146"/>
      <c r="B5403" s="83"/>
      <c r="C5403" s="148"/>
      <c r="D5403" s="84"/>
      <c r="E5403" s="84"/>
      <c r="F5403" s="84"/>
      <c r="G5403" s="144"/>
      <c r="H5403" s="140"/>
    </row>
    <row r="5404" spans="1:8" s="65" customFormat="1">
      <c r="A5404" s="146"/>
      <c r="B5404" s="83"/>
      <c r="C5404" s="148"/>
      <c r="D5404" s="84"/>
      <c r="E5404" s="84"/>
      <c r="F5404" s="84"/>
      <c r="G5404" s="144"/>
      <c r="H5404" s="145"/>
    </row>
    <row r="5405" spans="1:8" s="65" customFormat="1">
      <c r="A5405" s="91"/>
      <c r="B5405" s="91"/>
      <c r="C5405" s="91"/>
      <c r="D5405" s="91"/>
      <c r="E5405" s="91"/>
      <c r="G5405" s="104"/>
      <c r="H5405" s="140"/>
    </row>
    <row r="5406" spans="1:8" s="65" customFormat="1">
      <c r="A5406" s="120"/>
      <c r="B5406" s="73"/>
      <c r="C5406" s="73"/>
      <c r="D5406" s="73"/>
      <c r="E5406" s="73"/>
      <c r="G5406" s="121"/>
      <c r="H5406" s="140"/>
    </row>
    <row r="5407" spans="1:8" s="65" customFormat="1">
      <c r="A5407" s="128"/>
      <c r="B5407" s="141"/>
      <c r="C5407" s="141"/>
      <c r="D5407" s="141"/>
      <c r="E5407" s="141"/>
      <c r="F5407" s="141"/>
      <c r="G5407" s="141"/>
      <c r="H5407" s="140"/>
    </row>
    <row r="5408" spans="1:8" s="65" customFormat="1">
      <c r="A5408" s="142"/>
      <c r="B5408" s="143"/>
      <c r="C5408" s="143"/>
      <c r="D5408" s="143"/>
      <c r="E5408" s="143"/>
      <c r="F5408" s="84"/>
      <c r="G5408" s="144"/>
      <c r="H5408" s="145"/>
    </row>
    <row r="5409" spans="1:9" s="65" customFormat="1">
      <c r="A5409" s="123"/>
      <c r="B5409" s="95"/>
      <c r="C5409" s="95"/>
      <c r="D5409" s="95"/>
      <c r="E5409" s="95"/>
      <c r="G5409" s="104"/>
      <c r="H5409" s="121"/>
    </row>
    <row r="5410" spans="1:9" s="65" customFormat="1">
      <c r="A5410" s="123"/>
      <c r="B5410" s="95"/>
      <c r="C5410" s="95"/>
      <c r="D5410" s="95"/>
      <c r="E5410" s="95"/>
      <c r="G5410" s="121"/>
      <c r="H5410" s="133"/>
    </row>
    <row r="5411" spans="1:9" s="65" customFormat="1">
      <c r="B5411" s="97"/>
      <c r="C5411" s="98"/>
      <c r="D5411" s="98"/>
      <c r="E5411" s="98"/>
      <c r="G5411" s="128"/>
    </row>
    <row r="5412" spans="1:9" s="65" customFormat="1">
      <c r="B5412" s="97"/>
      <c r="C5412" s="98"/>
      <c r="D5412" s="98"/>
      <c r="E5412" s="98"/>
      <c r="F5412" s="128"/>
      <c r="G5412" s="133"/>
      <c r="H5412" s="134"/>
    </row>
    <row r="5413" spans="1:9" s="65" customFormat="1">
      <c r="A5413" s="633"/>
      <c r="B5413" s="633"/>
      <c r="C5413" s="633"/>
      <c r="D5413" s="633"/>
      <c r="E5413" s="633"/>
      <c r="F5413" s="633"/>
      <c r="G5413" s="633"/>
    </row>
    <row r="5414" spans="1:9" s="65" customFormat="1">
      <c r="H5414" s="138"/>
      <c r="I5414" s="151"/>
    </row>
    <row r="5415" spans="1:9" s="65" customFormat="1">
      <c r="A5415" s="645"/>
      <c r="B5415" s="138"/>
      <c r="C5415" s="138"/>
      <c r="D5415" s="138"/>
      <c r="E5415" s="138"/>
      <c r="F5415" s="138"/>
      <c r="G5415" s="138"/>
      <c r="H5415" s="138"/>
      <c r="I5415" s="152"/>
    </row>
    <row r="5416" spans="1:9" s="65" customFormat="1">
      <c r="A5416" s="645"/>
      <c r="B5416" s="138"/>
      <c r="C5416" s="138"/>
      <c r="D5416" s="138"/>
      <c r="E5416" s="138"/>
      <c r="F5416" s="138"/>
      <c r="G5416" s="138"/>
    </row>
    <row r="5417" spans="1:9" s="65" customFormat="1">
      <c r="A5417" s="69"/>
      <c r="B5417" s="69"/>
      <c r="C5417" s="69"/>
      <c r="D5417" s="69"/>
      <c r="E5417" s="69"/>
    </row>
    <row r="5418" spans="1:9" s="65" customFormat="1">
      <c r="A5418" s="120"/>
      <c r="B5418" s="73"/>
      <c r="C5418" s="73"/>
      <c r="D5418" s="73"/>
      <c r="E5418" s="73"/>
      <c r="F5418" s="121"/>
      <c r="G5418" s="121"/>
      <c r="H5418" s="121"/>
    </row>
    <row r="5419" spans="1:9" s="65" customFormat="1">
      <c r="A5419" s="128"/>
      <c r="B5419" s="141"/>
      <c r="C5419" s="141"/>
      <c r="D5419" s="141"/>
      <c r="E5419" s="141"/>
      <c r="F5419" s="141"/>
      <c r="G5419" s="141"/>
      <c r="H5419" s="121"/>
    </row>
    <row r="5420" spans="1:9" s="65" customFormat="1">
      <c r="A5420" s="150"/>
      <c r="B5420" s="83"/>
      <c r="C5420" s="148"/>
      <c r="D5420" s="84"/>
      <c r="E5420" s="84"/>
      <c r="F5420" s="84"/>
      <c r="G5420" s="154"/>
      <c r="H5420" s="121"/>
    </row>
    <row r="5421" spans="1:9" s="65" customFormat="1">
      <c r="A5421" s="150"/>
      <c r="B5421" s="83"/>
      <c r="C5421" s="148"/>
      <c r="D5421" s="84"/>
      <c r="E5421" s="84"/>
      <c r="F5421" s="84"/>
      <c r="G5421" s="154"/>
      <c r="H5421" s="145"/>
    </row>
    <row r="5422" spans="1:9" s="65" customFormat="1">
      <c r="A5422" s="84"/>
      <c r="B5422" s="83"/>
      <c r="C5422" s="84"/>
      <c r="D5422" s="84"/>
      <c r="E5422" s="84"/>
      <c r="G5422" s="104"/>
      <c r="H5422" s="140"/>
    </row>
    <row r="5423" spans="1:9" s="65" customFormat="1">
      <c r="A5423" s="120"/>
      <c r="B5423" s="73"/>
      <c r="C5423" s="73"/>
      <c r="D5423" s="73"/>
      <c r="E5423" s="73"/>
      <c r="G5423" s="121"/>
      <c r="H5423" s="140"/>
    </row>
    <row r="5424" spans="1:9" s="65" customFormat="1">
      <c r="A5424" s="128"/>
      <c r="B5424" s="141"/>
      <c r="C5424" s="141"/>
      <c r="D5424" s="141"/>
      <c r="E5424" s="141"/>
      <c r="F5424" s="141"/>
      <c r="G5424" s="141"/>
      <c r="H5424" s="140"/>
    </row>
    <row r="5425" spans="1:8" s="65" customFormat="1">
      <c r="A5425" s="150"/>
      <c r="B5425" s="83"/>
      <c r="C5425" s="148"/>
      <c r="D5425" s="84"/>
      <c r="E5425" s="84"/>
      <c r="F5425" s="84"/>
      <c r="G5425" s="154"/>
      <c r="H5425" s="140"/>
    </row>
    <row r="5426" spans="1:8" s="65" customFormat="1">
      <c r="A5426" s="150"/>
      <c r="B5426" s="83"/>
      <c r="C5426" s="148"/>
      <c r="D5426" s="84"/>
      <c r="E5426" s="84"/>
      <c r="F5426" s="84"/>
      <c r="G5426" s="154"/>
      <c r="H5426" s="140"/>
    </row>
    <row r="5427" spans="1:8" s="65" customFormat="1">
      <c r="A5427" s="150"/>
      <c r="B5427" s="83"/>
      <c r="C5427" s="148"/>
      <c r="D5427" s="84"/>
      <c r="E5427" s="84"/>
      <c r="F5427" s="84"/>
      <c r="G5427" s="154"/>
      <c r="H5427" s="140"/>
    </row>
    <row r="5428" spans="1:8" s="65" customFormat="1">
      <c r="A5428" s="150"/>
      <c r="B5428" s="83"/>
      <c r="C5428" s="148"/>
      <c r="D5428" s="84"/>
      <c r="E5428" s="84"/>
      <c r="F5428" s="84"/>
      <c r="G5428" s="154"/>
      <c r="H5428" s="145"/>
    </row>
    <row r="5429" spans="1:8" s="65" customFormat="1">
      <c r="A5429" s="91"/>
      <c r="B5429" s="91"/>
      <c r="C5429" s="91"/>
      <c r="D5429" s="91"/>
      <c r="E5429" s="91"/>
      <c r="G5429" s="104"/>
      <c r="H5429" s="140"/>
    </row>
    <row r="5430" spans="1:8" s="65" customFormat="1">
      <c r="A5430" s="120"/>
      <c r="B5430" s="73"/>
      <c r="C5430" s="73"/>
      <c r="D5430" s="73"/>
      <c r="E5430" s="73"/>
      <c r="G5430" s="121"/>
      <c r="H5430" s="140"/>
    </row>
    <row r="5431" spans="1:8" s="65" customFormat="1">
      <c r="A5431" s="128"/>
      <c r="B5431" s="141"/>
      <c r="C5431" s="141"/>
      <c r="D5431" s="141"/>
      <c r="E5431" s="141"/>
      <c r="F5431" s="141"/>
      <c r="G5431" s="141"/>
      <c r="H5431" s="140"/>
    </row>
    <row r="5432" spans="1:8" s="65" customFormat="1">
      <c r="A5432" s="146"/>
      <c r="B5432" s="83"/>
      <c r="C5432" s="148"/>
      <c r="D5432" s="84"/>
      <c r="E5432" s="84"/>
      <c r="F5432" s="84"/>
      <c r="G5432" s="144"/>
      <c r="H5432" s="140"/>
    </row>
    <row r="5433" spans="1:8" s="65" customFormat="1">
      <c r="A5433" s="146"/>
      <c r="B5433" s="83"/>
      <c r="C5433" s="148"/>
      <c r="D5433" s="84"/>
      <c r="E5433" s="84"/>
      <c r="F5433" s="84"/>
      <c r="G5433" s="144"/>
      <c r="H5433" s="145"/>
    </row>
    <row r="5434" spans="1:8" s="65" customFormat="1">
      <c r="A5434" s="91"/>
      <c r="B5434" s="91"/>
      <c r="C5434" s="91"/>
      <c r="D5434" s="91"/>
      <c r="E5434" s="91"/>
      <c r="G5434" s="104"/>
      <c r="H5434" s="140"/>
    </row>
    <row r="5435" spans="1:8" s="65" customFormat="1">
      <c r="A5435" s="120"/>
      <c r="B5435" s="73"/>
      <c r="C5435" s="73"/>
      <c r="D5435" s="73"/>
      <c r="E5435" s="73"/>
      <c r="G5435" s="121"/>
      <c r="H5435" s="140"/>
    </row>
    <row r="5436" spans="1:8" s="65" customFormat="1">
      <c r="A5436" s="128"/>
      <c r="B5436" s="141"/>
      <c r="C5436" s="141"/>
      <c r="D5436" s="141"/>
      <c r="E5436" s="141"/>
      <c r="F5436" s="141"/>
      <c r="G5436" s="141"/>
      <c r="H5436" s="140"/>
    </row>
    <row r="5437" spans="1:8" s="65" customFormat="1">
      <c r="A5437" s="142"/>
      <c r="B5437" s="143"/>
      <c r="C5437" s="143"/>
      <c r="D5437" s="143"/>
      <c r="E5437" s="143"/>
      <c r="F5437" s="84"/>
      <c r="G5437" s="144"/>
      <c r="H5437" s="145"/>
    </row>
    <row r="5438" spans="1:8" s="65" customFormat="1">
      <c r="A5438" s="123"/>
      <c r="B5438" s="95"/>
      <c r="C5438" s="95"/>
      <c r="D5438" s="95"/>
      <c r="E5438" s="95"/>
      <c r="G5438" s="104"/>
      <c r="H5438" s="121"/>
    </row>
    <row r="5439" spans="1:8" s="65" customFormat="1">
      <c r="A5439" s="123"/>
      <c r="B5439" s="95"/>
      <c r="C5439" s="95"/>
      <c r="D5439" s="95"/>
      <c r="E5439" s="95"/>
      <c r="G5439" s="121"/>
      <c r="H5439" s="133"/>
    </row>
    <row r="5440" spans="1:8" s="65" customFormat="1">
      <c r="B5440" s="97"/>
      <c r="C5440" s="98"/>
      <c r="D5440" s="98"/>
      <c r="E5440" s="98"/>
      <c r="G5440" s="128"/>
    </row>
    <row r="5441" spans="1:9" s="65" customFormat="1">
      <c r="B5441" s="97"/>
      <c r="C5441" s="98"/>
      <c r="D5441" s="98"/>
      <c r="E5441" s="98"/>
      <c r="F5441" s="128"/>
      <c r="G5441" s="133"/>
      <c r="H5441" s="134"/>
    </row>
    <row r="5442" spans="1:9" s="65" customFormat="1">
      <c r="A5442" s="633"/>
      <c r="B5442" s="633"/>
      <c r="C5442" s="633"/>
      <c r="D5442" s="633"/>
      <c r="E5442" s="633"/>
      <c r="F5442" s="633"/>
      <c r="G5442" s="633"/>
    </row>
    <row r="5443" spans="1:9" s="65" customFormat="1">
      <c r="H5443" s="138"/>
      <c r="I5443" s="151"/>
    </row>
    <row r="5444" spans="1:9" s="65" customFormat="1">
      <c r="A5444" s="645"/>
      <c r="B5444" s="138"/>
      <c r="C5444" s="138"/>
      <c r="D5444" s="138"/>
      <c r="E5444" s="138"/>
      <c r="F5444" s="138"/>
      <c r="G5444" s="138"/>
      <c r="H5444" s="138"/>
      <c r="I5444" s="152"/>
    </row>
    <row r="5445" spans="1:9" s="65" customFormat="1">
      <c r="A5445" s="645"/>
      <c r="B5445" s="138"/>
      <c r="C5445" s="138"/>
      <c r="D5445" s="138"/>
      <c r="E5445" s="138"/>
      <c r="F5445" s="138"/>
      <c r="G5445" s="138"/>
    </row>
    <row r="5446" spans="1:9" s="65" customFormat="1">
      <c r="A5446" s="69"/>
      <c r="B5446" s="69"/>
      <c r="C5446" s="69"/>
      <c r="D5446" s="69"/>
      <c r="E5446" s="69"/>
    </row>
    <row r="5447" spans="1:9" s="65" customFormat="1">
      <c r="A5447" s="120"/>
      <c r="B5447" s="73"/>
      <c r="C5447" s="73"/>
      <c r="D5447" s="73"/>
      <c r="E5447" s="73"/>
      <c r="F5447" s="121"/>
      <c r="G5447" s="121"/>
      <c r="H5447" s="121"/>
    </row>
    <row r="5448" spans="1:9" s="65" customFormat="1">
      <c r="A5448" s="128"/>
      <c r="B5448" s="141"/>
      <c r="C5448" s="141"/>
      <c r="D5448" s="141"/>
      <c r="E5448" s="141"/>
      <c r="F5448" s="141"/>
      <c r="G5448" s="141"/>
      <c r="H5448" s="121"/>
    </row>
    <row r="5449" spans="1:9" s="65" customFormat="1">
      <c r="A5449" s="150"/>
      <c r="B5449" s="83"/>
      <c r="C5449" s="148"/>
      <c r="D5449" s="84"/>
      <c r="E5449" s="84"/>
      <c r="F5449" s="84"/>
      <c r="G5449" s="154"/>
      <c r="H5449" s="145"/>
    </row>
    <row r="5450" spans="1:9" s="65" customFormat="1">
      <c r="A5450" s="84"/>
      <c r="B5450" s="83"/>
      <c r="C5450" s="84"/>
      <c r="D5450" s="84"/>
      <c r="E5450" s="84"/>
      <c r="G5450" s="104"/>
      <c r="H5450" s="140"/>
    </row>
    <row r="5451" spans="1:9" s="65" customFormat="1">
      <c r="A5451" s="120"/>
      <c r="B5451" s="73"/>
      <c r="C5451" s="73"/>
      <c r="D5451" s="73"/>
      <c r="E5451" s="73"/>
      <c r="G5451" s="121"/>
      <c r="H5451" s="140"/>
    </row>
    <row r="5452" spans="1:9" s="65" customFormat="1">
      <c r="A5452" s="128"/>
      <c r="B5452" s="141"/>
      <c r="C5452" s="141"/>
      <c r="D5452" s="141"/>
      <c r="E5452" s="141"/>
      <c r="F5452" s="141"/>
      <c r="G5452" s="141"/>
      <c r="H5452" s="140"/>
    </row>
    <row r="5453" spans="1:9" s="65" customFormat="1">
      <c r="A5453" s="150"/>
      <c r="B5453" s="83"/>
      <c r="C5453" s="148"/>
      <c r="D5453" s="84"/>
      <c r="E5453" s="84"/>
      <c r="F5453" s="84"/>
      <c r="G5453" s="154"/>
      <c r="H5453" s="140"/>
    </row>
    <row r="5454" spans="1:9" s="65" customFormat="1">
      <c r="A5454" s="150"/>
      <c r="B5454" s="83"/>
      <c r="C5454" s="148"/>
      <c r="D5454" s="84"/>
      <c r="E5454" s="84"/>
      <c r="F5454" s="84"/>
      <c r="G5454" s="154"/>
      <c r="H5454" s="140"/>
    </row>
    <row r="5455" spans="1:9" s="65" customFormat="1">
      <c r="A5455" s="150"/>
      <c r="B5455" s="83"/>
      <c r="C5455" s="148"/>
      <c r="D5455" s="84"/>
      <c r="E5455" s="84"/>
      <c r="F5455" s="84"/>
      <c r="G5455" s="154"/>
      <c r="H5455" s="145"/>
    </row>
    <row r="5456" spans="1:9" s="65" customFormat="1">
      <c r="A5456" s="91"/>
      <c r="B5456" s="91"/>
      <c r="C5456" s="91"/>
      <c r="D5456" s="91"/>
      <c r="E5456" s="91"/>
      <c r="G5456" s="104"/>
      <c r="H5456" s="140"/>
    </row>
    <row r="5457" spans="1:9" s="65" customFormat="1">
      <c r="A5457" s="120"/>
      <c r="B5457" s="73"/>
      <c r="C5457" s="73"/>
      <c r="D5457" s="73"/>
      <c r="E5457" s="73"/>
      <c r="G5457" s="121"/>
      <c r="H5457" s="140"/>
    </row>
    <row r="5458" spans="1:9" s="65" customFormat="1">
      <c r="A5458" s="128"/>
      <c r="B5458" s="141"/>
      <c r="C5458" s="141"/>
      <c r="D5458" s="141"/>
      <c r="E5458" s="141"/>
      <c r="F5458" s="141"/>
      <c r="G5458" s="141"/>
      <c r="H5458" s="140"/>
    </row>
    <row r="5459" spans="1:9" s="65" customFormat="1">
      <c r="A5459" s="146"/>
      <c r="B5459" s="83"/>
      <c r="C5459" s="148"/>
      <c r="D5459" s="84"/>
      <c r="E5459" s="84"/>
      <c r="F5459" s="84"/>
      <c r="G5459" s="144"/>
      <c r="H5459" s="140"/>
    </row>
    <row r="5460" spans="1:9" s="65" customFormat="1">
      <c r="A5460" s="146"/>
      <c r="B5460" s="83"/>
      <c r="C5460" s="148"/>
      <c r="D5460" s="84"/>
      <c r="E5460" s="84"/>
      <c r="F5460" s="84"/>
      <c r="G5460" s="144"/>
      <c r="H5460" s="145"/>
    </row>
    <row r="5461" spans="1:9" s="65" customFormat="1">
      <c r="A5461" s="91"/>
      <c r="B5461" s="91"/>
      <c r="C5461" s="91"/>
      <c r="D5461" s="91"/>
      <c r="E5461" s="91"/>
      <c r="G5461" s="104"/>
      <c r="H5461" s="140"/>
    </row>
    <row r="5462" spans="1:9" s="65" customFormat="1">
      <c r="A5462" s="120"/>
      <c r="B5462" s="73"/>
      <c r="C5462" s="73"/>
      <c r="D5462" s="73"/>
      <c r="E5462" s="73"/>
      <c r="G5462" s="121"/>
      <c r="H5462" s="140"/>
    </row>
    <row r="5463" spans="1:9" s="65" customFormat="1">
      <c r="A5463" s="128"/>
      <c r="B5463" s="141"/>
      <c r="C5463" s="141"/>
      <c r="D5463" s="141"/>
      <c r="E5463" s="141"/>
      <c r="F5463" s="141"/>
      <c r="G5463" s="141"/>
      <c r="H5463" s="140"/>
    </row>
    <row r="5464" spans="1:9" s="65" customFormat="1">
      <c r="A5464" s="142"/>
      <c r="B5464" s="143"/>
      <c r="C5464" s="143"/>
      <c r="D5464" s="143"/>
      <c r="E5464" s="143"/>
      <c r="F5464" s="84"/>
      <c r="G5464" s="144"/>
      <c r="H5464" s="145"/>
    </row>
    <row r="5465" spans="1:9" s="65" customFormat="1">
      <c r="A5465" s="123"/>
      <c r="B5465" s="95"/>
      <c r="C5465" s="95"/>
      <c r="D5465" s="95"/>
      <c r="E5465" s="95"/>
      <c r="G5465" s="104"/>
      <c r="H5465" s="121"/>
    </row>
    <row r="5466" spans="1:9" s="65" customFormat="1">
      <c r="A5466" s="123"/>
      <c r="B5466" s="95"/>
      <c r="C5466" s="95"/>
      <c r="D5466" s="95"/>
      <c r="E5466" s="95"/>
      <c r="G5466" s="121"/>
      <c r="H5466" s="133"/>
    </row>
    <row r="5467" spans="1:9" s="65" customFormat="1">
      <c r="B5467" s="97"/>
      <c r="C5467" s="98"/>
      <c r="D5467" s="98"/>
      <c r="E5467" s="98"/>
      <c r="G5467" s="128"/>
    </row>
    <row r="5468" spans="1:9" s="65" customFormat="1">
      <c r="B5468" s="97"/>
      <c r="C5468" s="98"/>
      <c r="D5468" s="98"/>
      <c r="E5468" s="98"/>
      <c r="F5468" s="128"/>
      <c r="G5468" s="133"/>
      <c r="H5468" s="134"/>
    </row>
    <row r="5469" spans="1:9" s="65" customFormat="1">
      <c r="A5469" s="633"/>
      <c r="B5469" s="633"/>
      <c r="C5469" s="633"/>
      <c r="D5469" s="633"/>
      <c r="E5469" s="633"/>
      <c r="F5469" s="633"/>
      <c r="G5469" s="633"/>
    </row>
    <row r="5470" spans="1:9" s="65" customFormat="1">
      <c r="H5470" s="138"/>
      <c r="I5470" s="151"/>
    </row>
    <row r="5471" spans="1:9" s="65" customFormat="1">
      <c r="A5471" s="645"/>
      <c r="B5471" s="138"/>
      <c r="C5471" s="138"/>
      <c r="D5471" s="138"/>
      <c r="E5471" s="138"/>
      <c r="F5471" s="138"/>
      <c r="G5471" s="138"/>
      <c r="H5471" s="138"/>
      <c r="I5471" s="152"/>
    </row>
    <row r="5472" spans="1:9" s="65" customFormat="1">
      <c r="A5472" s="645"/>
      <c r="B5472" s="138"/>
      <c r="C5472" s="138"/>
      <c r="D5472" s="138"/>
      <c r="E5472" s="138"/>
      <c r="F5472" s="138"/>
      <c r="G5472" s="138"/>
    </row>
    <row r="5473" spans="1:8" s="65" customFormat="1">
      <c r="A5473" s="69"/>
      <c r="B5473" s="69"/>
      <c r="C5473" s="69"/>
      <c r="D5473" s="69"/>
      <c r="E5473" s="69"/>
    </row>
    <row r="5474" spans="1:8" s="65" customFormat="1">
      <c r="A5474" s="120"/>
      <c r="B5474" s="73"/>
      <c r="C5474" s="73"/>
      <c r="D5474" s="73"/>
      <c r="E5474" s="73"/>
      <c r="F5474" s="121"/>
      <c r="G5474" s="121"/>
      <c r="H5474" s="121"/>
    </row>
    <row r="5475" spans="1:8" s="65" customFormat="1">
      <c r="A5475" s="128"/>
      <c r="B5475" s="141"/>
      <c r="C5475" s="141"/>
      <c r="D5475" s="141"/>
      <c r="E5475" s="141"/>
      <c r="F5475" s="141"/>
      <c r="G5475" s="141"/>
      <c r="H5475" s="121"/>
    </row>
    <row r="5476" spans="1:8" s="65" customFormat="1">
      <c r="A5476" s="150"/>
      <c r="B5476" s="83"/>
      <c r="C5476" s="148"/>
      <c r="D5476" s="84"/>
      <c r="E5476" s="84"/>
      <c r="F5476" s="84"/>
      <c r="G5476" s="154"/>
      <c r="H5476" s="145"/>
    </row>
    <row r="5477" spans="1:8" s="65" customFormat="1">
      <c r="A5477" s="84"/>
      <c r="B5477" s="83"/>
      <c r="C5477" s="84"/>
      <c r="D5477" s="84"/>
      <c r="E5477" s="84"/>
      <c r="G5477" s="104"/>
      <c r="H5477" s="140"/>
    </row>
    <row r="5478" spans="1:8" s="65" customFormat="1">
      <c r="A5478" s="120"/>
      <c r="B5478" s="73"/>
      <c r="C5478" s="73"/>
      <c r="D5478" s="73"/>
      <c r="E5478" s="73"/>
      <c r="G5478" s="121"/>
      <c r="H5478" s="140"/>
    </row>
    <row r="5479" spans="1:8" s="65" customFormat="1">
      <c r="A5479" s="128"/>
      <c r="B5479" s="141"/>
      <c r="C5479" s="141"/>
      <c r="D5479" s="141"/>
      <c r="E5479" s="141"/>
      <c r="F5479" s="141"/>
      <c r="G5479" s="141"/>
      <c r="H5479" s="140"/>
    </row>
    <row r="5480" spans="1:8" s="65" customFormat="1">
      <c r="A5480" s="150"/>
      <c r="B5480" s="83"/>
      <c r="C5480" s="148"/>
      <c r="D5480" s="84"/>
      <c r="E5480" s="84"/>
      <c r="F5480" s="84"/>
      <c r="G5480" s="154"/>
      <c r="H5480" s="140"/>
    </row>
    <row r="5481" spans="1:8" s="65" customFormat="1">
      <c r="A5481" s="150"/>
      <c r="B5481" s="83"/>
      <c r="C5481" s="148"/>
      <c r="D5481" s="84"/>
      <c r="E5481" s="84"/>
      <c r="F5481" s="84"/>
      <c r="G5481" s="154"/>
      <c r="H5481" s="145"/>
    </row>
    <row r="5482" spans="1:8" s="65" customFormat="1">
      <c r="A5482" s="91"/>
      <c r="B5482" s="91"/>
      <c r="C5482" s="91"/>
      <c r="D5482" s="91"/>
      <c r="E5482" s="91"/>
      <c r="G5482" s="104"/>
      <c r="H5482" s="140"/>
    </row>
    <row r="5483" spans="1:8" s="65" customFormat="1">
      <c r="A5483" s="120"/>
      <c r="B5483" s="73"/>
      <c r="C5483" s="73"/>
      <c r="D5483" s="73"/>
      <c r="E5483" s="73"/>
      <c r="G5483" s="121"/>
      <c r="H5483" s="140"/>
    </row>
    <row r="5484" spans="1:8" s="65" customFormat="1">
      <c r="A5484" s="128"/>
      <c r="B5484" s="141"/>
      <c r="C5484" s="141"/>
      <c r="D5484" s="141"/>
      <c r="E5484" s="141"/>
      <c r="F5484" s="141"/>
      <c r="G5484" s="141"/>
      <c r="H5484" s="140"/>
    </row>
    <row r="5485" spans="1:8" s="65" customFormat="1">
      <c r="A5485" s="146"/>
      <c r="B5485" s="83"/>
      <c r="C5485" s="148"/>
      <c r="D5485" s="84"/>
      <c r="E5485" s="84"/>
      <c r="F5485" s="84"/>
      <c r="G5485" s="144"/>
      <c r="H5485" s="140"/>
    </row>
    <row r="5486" spans="1:8" s="65" customFormat="1">
      <c r="A5486" s="146"/>
      <c r="B5486" s="83"/>
      <c r="C5486" s="148"/>
      <c r="D5486" s="84"/>
      <c r="E5486" s="84"/>
      <c r="F5486" s="84"/>
      <c r="G5486" s="144"/>
      <c r="H5486" s="145"/>
    </row>
    <row r="5487" spans="1:8" s="65" customFormat="1">
      <c r="A5487" s="91"/>
      <c r="B5487" s="91"/>
      <c r="C5487" s="91"/>
      <c r="D5487" s="91"/>
      <c r="E5487" s="91"/>
      <c r="G5487" s="104"/>
      <c r="H5487" s="140"/>
    </row>
    <row r="5488" spans="1:8" s="65" customFormat="1">
      <c r="A5488" s="120"/>
      <c r="B5488" s="73"/>
      <c r="C5488" s="73"/>
      <c r="D5488" s="73"/>
      <c r="E5488" s="73"/>
      <c r="G5488" s="121"/>
      <c r="H5488" s="140"/>
    </row>
    <row r="5489" spans="1:9" s="65" customFormat="1">
      <c r="A5489" s="128"/>
      <c r="B5489" s="141"/>
      <c r="C5489" s="141"/>
      <c r="D5489" s="141"/>
      <c r="E5489" s="141"/>
      <c r="F5489" s="141"/>
      <c r="G5489" s="141"/>
      <c r="H5489" s="140"/>
    </row>
    <row r="5490" spans="1:9" s="65" customFormat="1">
      <c r="A5490" s="142"/>
      <c r="B5490" s="143"/>
      <c r="C5490" s="143"/>
      <c r="D5490" s="143"/>
      <c r="E5490" s="143"/>
      <c r="F5490" s="84"/>
      <c r="G5490" s="144"/>
      <c r="H5490" s="145"/>
    </row>
    <row r="5491" spans="1:9" s="65" customFormat="1">
      <c r="A5491" s="123"/>
      <c r="B5491" s="95"/>
      <c r="C5491" s="95"/>
      <c r="D5491" s="95"/>
      <c r="E5491" s="95"/>
      <c r="G5491" s="104"/>
      <c r="H5491" s="121"/>
    </row>
    <row r="5492" spans="1:9" s="65" customFormat="1">
      <c r="A5492" s="123"/>
      <c r="B5492" s="95"/>
      <c r="C5492" s="95"/>
      <c r="D5492" s="95"/>
      <c r="E5492" s="95"/>
      <c r="G5492" s="121"/>
      <c r="H5492" s="133"/>
    </row>
    <row r="5493" spans="1:9" s="65" customFormat="1">
      <c r="B5493" s="97"/>
      <c r="C5493" s="98"/>
      <c r="D5493" s="98"/>
      <c r="E5493" s="98"/>
      <c r="G5493" s="128"/>
    </row>
    <row r="5494" spans="1:9" s="65" customFormat="1">
      <c r="B5494" s="97"/>
      <c r="C5494" s="98"/>
      <c r="D5494" s="98"/>
      <c r="E5494" s="98"/>
      <c r="F5494" s="128"/>
      <c r="G5494" s="133"/>
      <c r="H5494" s="134"/>
    </row>
    <row r="5495" spans="1:9" s="65" customFormat="1">
      <c r="A5495" s="633"/>
      <c r="B5495" s="633"/>
      <c r="C5495" s="633"/>
      <c r="D5495" s="633"/>
      <c r="E5495" s="633"/>
      <c r="F5495" s="633"/>
      <c r="G5495" s="633"/>
    </row>
    <row r="5496" spans="1:9" s="65" customFormat="1">
      <c r="H5496" s="138"/>
      <c r="I5496" s="151"/>
    </row>
    <row r="5497" spans="1:9" s="65" customFormat="1">
      <c r="A5497" s="645"/>
      <c r="B5497" s="138"/>
      <c r="C5497" s="138"/>
      <c r="D5497" s="138"/>
      <c r="E5497" s="138"/>
      <c r="F5497" s="138"/>
      <c r="G5497" s="138"/>
      <c r="H5497" s="138"/>
      <c r="I5497" s="152"/>
    </row>
    <row r="5498" spans="1:9" s="65" customFormat="1">
      <c r="A5498" s="645"/>
      <c r="B5498" s="138"/>
      <c r="C5498" s="138"/>
      <c r="D5498" s="138"/>
      <c r="E5498" s="138"/>
      <c r="F5498" s="138"/>
      <c r="G5498" s="138"/>
    </row>
    <row r="5499" spans="1:9" s="65" customFormat="1">
      <c r="A5499" s="69"/>
      <c r="B5499" s="69"/>
      <c r="C5499" s="69"/>
      <c r="D5499" s="69"/>
      <c r="E5499" s="69"/>
    </row>
    <row r="5500" spans="1:9" s="65" customFormat="1">
      <c r="A5500" s="120"/>
      <c r="B5500" s="73"/>
      <c r="C5500" s="73"/>
      <c r="D5500" s="73"/>
      <c r="E5500" s="73"/>
      <c r="F5500" s="121"/>
      <c r="G5500" s="121"/>
      <c r="H5500" s="121"/>
    </row>
    <row r="5501" spans="1:9" s="65" customFormat="1">
      <c r="A5501" s="128"/>
      <c r="B5501" s="141"/>
      <c r="C5501" s="141"/>
      <c r="D5501" s="141"/>
      <c r="E5501" s="141"/>
      <c r="F5501" s="141"/>
      <c r="G5501" s="141"/>
      <c r="H5501" s="121"/>
    </row>
    <row r="5502" spans="1:9" s="65" customFormat="1">
      <c r="A5502" s="142"/>
      <c r="B5502" s="143"/>
      <c r="C5502" s="143"/>
      <c r="D5502" s="143"/>
      <c r="E5502" s="143"/>
      <c r="F5502" s="84"/>
      <c r="G5502" s="144"/>
      <c r="H5502" s="145"/>
    </row>
    <row r="5503" spans="1:9" s="65" customFormat="1">
      <c r="A5503" s="84"/>
      <c r="B5503" s="83"/>
      <c r="C5503" s="84"/>
      <c r="D5503" s="84"/>
      <c r="E5503" s="84"/>
      <c r="G5503" s="104"/>
      <c r="H5503" s="140"/>
    </row>
    <row r="5504" spans="1:9" s="65" customFormat="1">
      <c r="A5504" s="120"/>
      <c r="B5504" s="73"/>
      <c r="C5504" s="73"/>
      <c r="D5504" s="73"/>
      <c r="E5504" s="73"/>
      <c r="G5504" s="121"/>
      <c r="H5504" s="140"/>
    </row>
    <row r="5505" spans="1:9" s="65" customFormat="1">
      <c r="A5505" s="128"/>
      <c r="B5505" s="141"/>
      <c r="C5505" s="141"/>
      <c r="D5505" s="141"/>
      <c r="E5505" s="141"/>
      <c r="F5505" s="141"/>
      <c r="G5505" s="141"/>
      <c r="H5505" s="140"/>
    </row>
    <row r="5506" spans="1:9" s="65" customFormat="1">
      <c r="A5506" s="150"/>
      <c r="B5506" s="83"/>
      <c r="C5506" s="148"/>
      <c r="D5506" s="84"/>
      <c r="E5506" s="84"/>
      <c r="F5506" s="84"/>
      <c r="G5506" s="154"/>
      <c r="H5506" s="145"/>
    </row>
    <row r="5507" spans="1:9" s="65" customFormat="1">
      <c r="A5507" s="91"/>
      <c r="B5507" s="91"/>
      <c r="C5507" s="91"/>
      <c r="D5507" s="91"/>
      <c r="E5507" s="91"/>
      <c r="G5507" s="104"/>
      <c r="H5507" s="140"/>
    </row>
    <row r="5508" spans="1:9" s="65" customFormat="1">
      <c r="A5508" s="120"/>
      <c r="B5508" s="73"/>
      <c r="C5508" s="73"/>
      <c r="D5508" s="73"/>
      <c r="E5508" s="73"/>
      <c r="G5508" s="121"/>
      <c r="H5508" s="140"/>
    </row>
    <row r="5509" spans="1:9" s="65" customFormat="1">
      <c r="A5509" s="128"/>
      <c r="B5509" s="141"/>
      <c r="C5509" s="141"/>
      <c r="D5509" s="141"/>
      <c r="E5509" s="141"/>
      <c r="F5509" s="141"/>
      <c r="G5509" s="141"/>
      <c r="H5509" s="140"/>
    </row>
    <row r="5510" spans="1:9" s="65" customFormat="1">
      <c r="A5510" s="146"/>
      <c r="B5510" s="83"/>
      <c r="C5510" s="148"/>
      <c r="D5510" s="84"/>
      <c r="E5510" s="84"/>
      <c r="F5510" s="84"/>
      <c r="G5510" s="144"/>
      <c r="H5510" s="145"/>
    </row>
    <row r="5511" spans="1:9" s="65" customFormat="1">
      <c r="A5511" s="91"/>
      <c r="B5511" s="91"/>
      <c r="C5511" s="91"/>
      <c r="D5511" s="91"/>
      <c r="E5511" s="91"/>
      <c r="G5511" s="104"/>
      <c r="H5511" s="140"/>
    </row>
    <row r="5512" spans="1:9" s="65" customFormat="1">
      <c r="A5512" s="120"/>
      <c r="B5512" s="73"/>
      <c r="C5512" s="73"/>
      <c r="D5512" s="73"/>
      <c r="E5512" s="73"/>
      <c r="G5512" s="121"/>
      <c r="H5512" s="140"/>
    </row>
    <row r="5513" spans="1:9" s="65" customFormat="1">
      <c r="A5513" s="128"/>
      <c r="B5513" s="141"/>
      <c r="C5513" s="141"/>
      <c r="D5513" s="141"/>
      <c r="E5513" s="141"/>
      <c r="F5513" s="141"/>
      <c r="G5513" s="141"/>
      <c r="H5513" s="140"/>
    </row>
    <row r="5514" spans="1:9" s="65" customFormat="1">
      <c r="A5514" s="142"/>
      <c r="B5514" s="143"/>
      <c r="C5514" s="143"/>
      <c r="D5514" s="143"/>
      <c r="E5514" s="143"/>
      <c r="F5514" s="84"/>
      <c r="G5514" s="144"/>
      <c r="H5514" s="145"/>
    </row>
    <row r="5515" spans="1:9" s="65" customFormat="1">
      <c r="A5515" s="123"/>
      <c r="B5515" s="95"/>
      <c r="C5515" s="95"/>
      <c r="D5515" s="95"/>
      <c r="E5515" s="95"/>
      <c r="G5515" s="104"/>
      <c r="H5515" s="121"/>
    </row>
    <row r="5516" spans="1:9" s="65" customFormat="1">
      <c r="A5516" s="123"/>
      <c r="B5516" s="95"/>
      <c r="C5516" s="95"/>
      <c r="D5516" s="95"/>
      <c r="E5516" s="95"/>
      <c r="G5516" s="121"/>
      <c r="H5516" s="133"/>
    </row>
    <row r="5517" spans="1:9" s="65" customFormat="1">
      <c r="B5517" s="97"/>
      <c r="C5517" s="98"/>
      <c r="D5517" s="98"/>
      <c r="E5517" s="98"/>
      <c r="G5517" s="128"/>
    </row>
    <row r="5518" spans="1:9" s="65" customFormat="1">
      <c r="B5518" s="97"/>
      <c r="C5518" s="98"/>
      <c r="D5518" s="98"/>
      <c r="E5518" s="98"/>
      <c r="F5518" s="128"/>
      <c r="G5518" s="133"/>
      <c r="H5518" s="134"/>
    </row>
    <row r="5519" spans="1:9" s="65" customFormat="1">
      <c r="A5519" s="633"/>
      <c r="B5519" s="633"/>
      <c r="C5519" s="633"/>
      <c r="D5519" s="633"/>
      <c r="E5519" s="633"/>
      <c r="F5519" s="633"/>
      <c r="G5519" s="633"/>
    </row>
    <row r="5520" spans="1:9" s="65" customFormat="1">
      <c r="H5520" s="138"/>
      <c r="I5520" s="151"/>
    </row>
    <row r="5521" spans="1:9" s="65" customFormat="1">
      <c r="A5521" s="645"/>
      <c r="B5521" s="138"/>
      <c r="C5521" s="138"/>
      <c r="D5521" s="138"/>
      <c r="E5521" s="138"/>
      <c r="F5521" s="138"/>
      <c r="G5521" s="138"/>
      <c r="H5521" s="138"/>
      <c r="I5521" s="152"/>
    </row>
    <row r="5522" spans="1:9" s="65" customFormat="1">
      <c r="A5522" s="645"/>
      <c r="B5522" s="138"/>
      <c r="C5522" s="138"/>
      <c r="D5522" s="138"/>
      <c r="E5522" s="138"/>
      <c r="F5522" s="138"/>
      <c r="G5522" s="138"/>
    </row>
    <row r="5523" spans="1:9" s="65" customFormat="1">
      <c r="A5523" s="69"/>
      <c r="B5523" s="69"/>
      <c r="C5523" s="69"/>
      <c r="D5523" s="69"/>
      <c r="E5523" s="69"/>
    </row>
    <row r="5524" spans="1:9" s="65" customFormat="1">
      <c r="A5524" s="120"/>
      <c r="B5524" s="73"/>
      <c r="C5524" s="73"/>
      <c r="D5524" s="73"/>
      <c r="E5524" s="73"/>
      <c r="F5524" s="121"/>
      <c r="G5524" s="121"/>
      <c r="H5524" s="121"/>
    </row>
    <row r="5525" spans="1:9" s="65" customFormat="1">
      <c r="A5525" s="128"/>
      <c r="B5525" s="141"/>
      <c r="C5525" s="141"/>
      <c r="D5525" s="141"/>
      <c r="E5525" s="141"/>
      <c r="F5525" s="141"/>
      <c r="G5525" s="141"/>
      <c r="H5525" s="121"/>
    </row>
    <row r="5526" spans="1:9" s="65" customFormat="1">
      <c r="A5526" s="150"/>
      <c r="B5526" s="83"/>
      <c r="C5526" s="148"/>
      <c r="D5526" s="84"/>
      <c r="E5526" s="84"/>
      <c r="F5526" s="84"/>
      <c r="G5526" s="154"/>
      <c r="H5526" s="121"/>
    </row>
    <row r="5527" spans="1:9" s="65" customFormat="1">
      <c r="A5527" s="150"/>
      <c r="B5527" s="83"/>
      <c r="C5527" s="148"/>
      <c r="D5527" s="84"/>
      <c r="E5527" s="84"/>
      <c r="F5527" s="84"/>
      <c r="G5527" s="154"/>
      <c r="H5527" s="121"/>
    </row>
    <row r="5528" spans="1:9" s="65" customFormat="1">
      <c r="A5528" s="150"/>
      <c r="B5528" s="83"/>
      <c r="C5528" s="148"/>
      <c r="D5528" s="84"/>
      <c r="E5528" s="84"/>
      <c r="F5528" s="84"/>
      <c r="G5528" s="154"/>
      <c r="H5528" s="121"/>
    </row>
    <row r="5529" spans="1:9" s="65" customFormat="1">
      <c r="A5529" s="150"/>
      <c r="B5529" s="83"/>
      <c r="C5529" s="148"/>
      <c r="D5529" s="84"/>
      <c r="E5529" s="84"/>
      <c r="F5529" s="84"/>
      <c r="G5529" s="154"/>
      <c r="H5529" s="145"/>
    </row>
    <row r="5530" spans="1:9" s="65" customFormat="1">
      <c r="A5530" s="84"/>
      <c r="B5530" s="83"/>
      <c r="C5530" s="84"/>
      <c r="D5530" s="84"/>
      <c r="E5530" s="84"/>
      <c r="G5530" s="104"/>
      <c r="H5530" s="140"/>
    </row>
    <row r="5531" spans="1:9" s="65" customFormat="1">
      <c r="A5531" s="120"/>
      <c r="B5531" s="73"/>
      <c r="C5531" s="73"/>
      <c r="D5531" s="73"/>
      <c r="E5531" s="73"/>
      <c r="G5531" s="121"/>
      <c r="H5531" s="140"/>
    </row>
    <row r="5532" spans="1:9" s="65" customFormat="1">
      <c r="A5532" s="128"/>
      <c r="B5532" s="141"/>
      <c r="C5532" s="141"/>
      <c r="D5532" s="141"/>
      <c r="E5532" s="141"/>
      <c r="F5532" s="141"/>
      <c r="G5532" s="141"/>
      <c r="H5532" s="140"/>
    </row>
    <row r="5533" spans="1:9" s="65" customFormat="1">
      <c r="A5533" s="150"/>
      <c r="B5533" s="83"/>
      <c r="C5533" s="148"/>
      <c r="D5533" s="84"/>
      <c r="E5533" s="84"/>
      <c r="F5533" s="84"/>
      <c r="G5533" s="154"/>
      <c r="H5533" s="145"/>
    </row>
    <row r="5534" spans="1:9" s="65" customFormat="1">
      <c r="A5534" s="91"/>
      <c r="B5534" s="91"/>
      <c r="C5534" s="91"/>
      <c r="D5534" s="91"/>
      <c r="E5534" s="91"/>
      <c r="G5534" s="104"/>
      <c r="H5534" s="140"/>
    </row>
    <row r="5535" spans="1:9" s="65" customFormat="1">
      <c r="A5535" s="120"/>
      <c r="B5535" s="73"/>
      <c r="C5535" s="73"/>
      <c r="D5535" s="73"/>
      <c r="E5535" s="73"/>
      <c r="G5535" s="121"/>
      <c r="H5535" s="140"/>
    </row>
    <row r="5536" spans="1:9" s="65" customFormat="1" ht="17.25" customHeight="1">
      <c r="A5536" s="128"/>
      <c r="B5536" s="141"/>
      <c r="C5536" s="141"/>
      <c r="D5536" s="141"/>
      <c r="E5536" s="141"/>
      <c r="F5536" s="141"/>
      <c r="G5536" s="141"/>
      <c r="H5536" s="140"/>
    </row>
    <row r="5537" spans="1:9" s="65" customFormat="1">
      <c r="A5537" s="146"/>
      <c r="B5537" s="83"/>
      <c r="C5537" s="148"/>
      <c r="D5537" s="84"/>
      <c r="E5537" s="84"/>
      <c r="F5537" s="84"/>
      <c r="G5537" s="144"/>
      <c r="H5537" s="145"/>
    </row>
    <row r="5538" spans="1:9" s="65" customFormat="1">
      <c r="A5538" s="91"/>
      <c r="B5538" s="91"/>
      <c r="C5538" s="91"/>
      <c r="D5538" s="91"/>
      <c r="E5538" s="91"/>
      <c r="G5538" s="104"/>
      <c r="H5538" s="140"/>
    </row>
    <row r="5539" spans="1:9" s="65" customFormat="1">
      <c r="A5539" s="120"/>
      <c r="B5539" s="73"/>
      <c r="C5539" s="73"/>
      <c r="D5539" s="73"/>
      <c r="E5539" s="73"/>
      <c r="G5539" s="121"/>
      <c r="H5539" s="140"/>
    </row>
    <row r="5540" spans="1:9" s="65" customFormat="1">
      <c r="A5540" s="128"/>
      <c r="B5540" s="141"/>
      <c r="C5540" s="141"/>
      <c r="D5540" s="141"/>
      <c r="E5540" s="141"/>
      <c r="F5540" s="141"/>
      <c r="G5540" s="141"/>
      <c r="H5540" s="140"/>
    </row>
    <row r="5541" spans="1:9" s="65" customFormat="1">
      <c r="A5541" s="142"/>
      <c r="B5541" s="143"/>
      <c r="C5541" s="143"/>
      <c r="D5541" s="143"/>
      <c r="E5541" s="143"/>
      <c r="F5541" s="84"/>
      <c r="G5541" s="144"/>
      <c r="H5541" s="145"/>
    </row>
    <row r="5542" spans="1:9" s="65" customFormat="1">
      <c r="A5542" s="123"/>
      <c r="B5542" s="95"/>
      <c r="C5542" s="95"/>
      <c r="D5542" s="95"/>
      <c r="E5542" s="95"/>
      <c r="G5542" s="104"/>
      <c r="H5542" s="121"/>
    </row>
    <row r="5543" spans="1:9" s="65" customFormat="1">
      <c r="A5543" s="123"/>
      <c r="B5543" s="95"/>
      <c r="C5543" s="95"/>
      <c r="D5543" s="95"/>
      <c r="E5543" s="95"/>
      <c r="G5543" s="121"/>
      <c r="H5543" s="133"/>
    </row>
    <row r="5544" spans="1:9" s="65" customFormat="1">
      <c r="B5544" s="97"/>
      <c r="C5544" s="98"/>
      <c r="D5544" s="98"/>
      <c r="E5544" s="98"/>
      <c r="G5544" s="128"/>
    </row>
    <row r="5545" spans="1:9" s="65" customFormat="1">
      <c r="B5545" s="97"/>
      <c r="C5545" s="98"/>
      <c r="D5545" s="98"/>
      <c r="E5545" s="98"/>
      <c r="F5545" s="128"/>
      <c r="G5545" s="133"/>
      <c r="H5545" s="134"/>
    </row>
    <row r="5546" spans="1:9" s="65" customFormat="1">
      <c r="A5546" s="633"/>
      <c r="B5546" s="633"/>
      <c r="C5546" s="633"/>
      <c r="D5546" s="633"/>
      <c r="E5546" s="633"/>
      <c r="F5546" s="633"/>
      <c r="G5546" s="633"/>
    </row>
    <row r="5547" spans="1:9" s="65" customFormat="1">
      <c r="H5547" s="138"/>
      <c r="I5547" s="151"/>
    </row>
    <row r="5548" spans="1:9" s="65" customFormat="1">
      <c r="A5548" s="645"/>
      <c r="B5548" s="138"/>
      <c r="C5548" s="138"/>
      <c r="D5548" s="138"/>
      <c r="E5548" s="138"/>
      <c r="F5548" s="138"/>
      <c r="G5548" s="138"/>
      <c r="H5548" s="138"/>
      <c r="I5548" s="152"/>
    </row>
    <row r="5549" spans="1:9" s="65" customFormat="1">
      <c r="A5549" s="645"/>
      <c r="B5549" s="138"/>
      <c r="C5549" s="138"/>
      <c r="D5549" s="138"/>
      <c r="E5549" s="138"/>
      <c r="F5549" s="138"/>
      <c r="G5549" s="138"/>
    </row>
    <row r="5550" spans="1:9" s="65" customFormat="1">
      <c r="A5550" s="69"/>
      <c r="B5550" s="69"/>
      <c r="C5550" s="69"/>
      <c r="D5550" s="69"/>
      <c r="E5550" s="69"/>
    </row>
    <row r="5551" spans="1:9" s="65" customFormat="1">
      <c r="A5551" s="120"/>
      <c r="B5551" s="73"/>
      <c r="C5551" s="73"/>
      <c r="D5551" s="73"/>
      <c r="E5551" s="73"/>
      <c r="F5551" s="121"/>
      <c r="G5551" s="121"/>
      <c r="H5551" s="121"/>
    </row>
    <row r="5552" spans="1:9" s="65" customFormat="1">
      <c r="A5552" s="128"/>
      <c r="B5552" s="141"/>
      <c r="C5552" s="141"/>
      <c r="D5552" s="141"/>
      <c r="E5552" s="141"/>
      <c r="F5552" s="141"/>
      <c r="G5552" s="141"/>
      <c r="H5552" s="121"/>
    </row>
    <row r="5553" spans="1:8" s="65" customFormat="1">
      <c r="A5553" s="150"/>
      <c r="B5553" s="83"/>
      <c r="C5553" s="148"/>
      <c r="D5553" s="84"/>
      <c r="E5553" s="84"/>
      <c r="F5553" s="84"/>
      <c r="G5553" s="154"/>
      <c r="H5553" s="121"/>
    </row>
    <row r="5554" spans="1:8" s="65" customFormat="1">
      <c r="A5554" s="150"/>
      <c r="B5554" s="83"/>
      <c r="C5554" s="148"/>
      <c r="D5554" s="84"/>
      <c r="E5554" s="84"/>
      <c r="F5554" s="84"/>
      <c r="G5554" s="154"/>
      <c r="H5554" s="121"/>
    </row>
    <row r="5555" spans="1:8" s="65" customFormat="1">
      <c r="A5555" s="150"/>
      <c r="B5555" s="83"/>
      <c r="C5555" s="148"/>
      <c r="D5555" s="84"/>
      <c r="E5555" s="84"/>
      <c r="F5555" s="84"/>
      <c r="G5555" s="154"/>
      <c r="H5555" s="121"/>
    </row>
    <row r="5556" spans="1:8" s="65" customFormat="1">
      <c r="A5556" s="150"/>
      <c r="B5556" s="83"/>
      <c r="C5556" s="148"/>
      <c r="D5556" s="84"/>
      <c r="E5556" s="84"/>
      <c r="F5556" s="84"/>
      <c r="G5556" s="154"/>
      <c r="H5556" s="145"/>
    </row>
    <row r="5557" spans="1:8" s="65" customFormat="1">
      <c r="A5557" s="84"/>
      <c r="B5557" s="83"/>
      <c r="C5557" s="84"/>
      <c r="D5557" s="84"/>
      <c r="E5557" s="84"/>
      <c r="G5557" s="104"/>
      <c r="H5557" s="140"/>
    </row>
    <row r="5558" spans="1:8" s="65" customFormat="1">
      <c r="A5558" s="120"/>
      <c r="B5558" s="73"/>
      <c r="C5558" s="73"/>
      <c r="D5558" s="73"/>
      <c r="E5558" s="73"/>
      <c r="G5558" s="121"/>
      <c r="H5558" s="140"/>
    </row>
    <row r="5559" spans="1:8" s="65" customFormat="1">
      <c r="A5559" s="128"/>
      <c r="B5559" s="141"/>
      <c r="C5559" s="141"/>
      <c r="D5559" s="141"/>
      <c r="E5559" s="141"/>
      <c r="F5559" s="141"/>
      <c r="G5559" s="141"/>
      <c r="H5559" s="140"/>
    </row>
    <row r="5560" spans="1:8" s="65" customFormat="1">
      <c r="A5560" s="150"/>
      <c r="B5560" s="83"/>
      <c r="C5560" s="148"/>
      <c r="D5560" s="84"/>
      <c r="E5560" s="84"/>
      <c r="F5560" s="84"/>
      <c r="G5560" s="154"/>
      <c r="H5560" s="145"/>
    </row>
    <row r="5561" spans="1:8" s="65" customFormat="1">
      <c r="A5561" s="91"/>
      <c r="B5561" s="91"/>
      <c r="C5561" s="91"/>
      <c r="D5561" s="91"/>
      <c r="E5561" s="91"/>
      <c r="G5561" s="104"/>
      <c r="H5561" s="140"/>
    </row>
    <row r="5562" spans="1:8" s="65" customFormat="1">
      <c r="A5562" s="120"/>
      <c r="B5562" s="73"/>
      <c r="C5562" s="73"/>
      <c r="D5562" s="73"/>
      <c r="E5562" s="73"/>
      <c r="G5562" s="121"/>
      <c r="H5562" s="140"/>
    </row>
    <row r="5563" spans="1:8" s="65" customFormat="1">
      <c r="A5563" s="128"/>
      <c r="B5563" s="141"/>
      <c r="C5563" s="141"/>
      <c r="D5563" s="141"/>
      <c r="E5563" s="141"/>
      <c r="F5563" s="141"/>
      <c r="G5563" s="141"/>
      <c r="H5563" s="140"/>
    </row>
    <row r="5564" spans="1:8" s="65" customFormat="1">
      <c r="A5564" s="146"/>
      <c r="B5564" s="83"/>
      <c r="C5564" s="148"/>
      <c r="D5564" s="84"/>
      <c r="E5564" s="84"/>
      <c r="F5564" s="84"/>
      <c r="G5564" s="144"/>
      <c r="H5564" s="145"/>
    </row>
    <row r="5565" spans="1:8" s="65" customFormat="1">
      <c r="A5565" s="91"/>
      <c r="B5565" s="91"/>
      <c r="C5565" s="91"/>
      <c r="D5565" s="91"/>
      <c r="E5565" s="91"/>
      <c r="G5565" s="104"/>
      <c r="H5565" s="140"/>
    </row>
    <row r="5566" spans="1:8" s="65" customFormat="1">
      <c r="A5566" s="120"/>
      <c r="B5566" s="73"/>
      <c r="C5566" s="73"/>
      <c r="D5566" s="73"/>
      <c r="E5566" s="73"/>
      <c r="G5566" s="121"/>
      <c r="H5566" s="140"/>
    </row>
    <row r="5567" spans="1:8" s="65" customFormat="1">
      <c r="A5567" s="128"/>
      <c r="B5567" s="141"/>
      <c r="C5567" s="141"/>
      <c r="D5567" s="141"/>
      <c r="E5567" s="141"/>
      <c r="F5567" s="141"/>
      <c r="G5567" s="141"/>
      <c r="H5567" s="140"/>
    </row>
    <row r="5568" spans="1:8" s="65" customFormat="1">
      <c r="A5568" s="142"/>
      <c r="B5568" s="143"/>
      <c r="C5568" s="143"/>
      <c r="D5568" s="143"/>
      <c r="E5568" s="143"/>
      <c r="F5568" s="84"/>
      <c r="G5568" s="144"/>
      <c r="H5568" s="145"/>
    </row>
    <row r="5569" spans="1:9" s="65" customFormat="1">
      <c r="A5569" s="123"/>
      <c r="B5569" s="95"/>
      <c r="C5569" s="95"/>
      <c r="D5569" s="95"/>
      <c r="E5569" s="95"/>
      <c r="G5569" s="104"/>
      <c r="H5569" s="121"/>
    </row>
    <row r="5570" spans="1:9" s="65" customFormat="1">
      <c r="A5570" s="123"/>
      <c r="B5570" s="95"/>
      <c r="C5570" s="95"/>
      <c r="D5570" s="95"/>
      <c r="E5570" s="95"/>
      <c r="G5570" s="121"/>
      <c r="H5570" s="133"/>
    </row>
    <row r="5571" spans="1:9" s="65" customFormat="1">
      <c r="B5571" s="97"/>
      <c r="C5571" s="98"/>
      <c r="D5571" s="98"/>
      <c r="E5571" s="98"/>
      <c r="G5571" s="128"/>
    </row>
    <row r="5572" spans="1:9" s="65" customFormat="1">
      <c r="B5572" s="97"/>
      <c r="C5572" s="98"/>
      <c r="D5572" s="98"/>
      <c r="E5572" s="98"/>
      <c r="F5572" s="128"/>
      <c r="G5572" s="133"/>
      <c r="H5572" s="134"/>
    </row>
    <row r="5573" spans="1:9" s="65" customFormat="1">
      <c r="A5573" s="633"/>
      <c r="B5573" s="633"/>
      <c r="C5573" s="633"/>
      <c r="D5573" s="633"/>
      <c r="E5573" s="633"/>
      <c r="F5573" s="633"/>
      <c r="G5573" s="633"/>
    </row>
    <row r="5574" spans="1:9" s="65" customFormat="1">
      <c r="H5574" s="138"/>
      <c r="I5574" s="151"/>
    </row>
    <row r="5575" spans="1:9" s="65" customFormat="1">
      <c r="A5575" s="645"/>
      <c r="B5575" s="138"/>
      <c r="C5575" s="138"/>
      <c r="D5575" s="138"/>
      <c r="E5575" s="138"/>
      <c r="F5575" s="138"/>
      <c r="G5575" s="138"/>
      <c r="H5575" s="138"/>
      <c r="I5575" s="152"/>
    </row>
    <row r="5576" spans="1:9" s="65" customFormat="1">
      <c r="A5576" s="645"/>
      <c r="B5576" s="138"/>
      <c r="C5576" s="138"/>
      <c r="D5576" s="138"/>
      <c r="E5576" s="138"/>
      <c r="F5576" s="138"/>
      <c r="G5576" s="138"/>
    </row>
    <row r="5577" spans="1:9" s="65" customFormat="1">
      <c r="A5577" s="69"/>
      <c r="B5577" s="69"/>
      <c r="C5577" s="69"/>
      <c r="D5577" s="69"/>
      <c r="E5577" s="69"/>
    </row>
    <row r="5578" spans="1:9" s="65" customFormat="1">
      <c r="A5578" s="120"/>
      <c r="B5578" s="73"/>
      <c r="C5578" s="73"/>
      <c r="D5578" s="73"/>
      <c r="E5578" s="73"/>
      <c r="F5578" s="121"/>
      <c r="G5578" s="121"/>
      <c r="H5578" s="121"/>
    </row>
    <row r="5579" spans="1:9" s="65" customFormat="1">
      <c r="A5579" s="128"/>
      <c r="B5579" s="141"/>
      <c r="C5579" s="141"/>
      <c r="D5579" s="141"/>
      <c r="E5579" s="141"/>
      <c r="F5579" s="141"/>
      <c r="G5579" s="141"/>
      <c r="H5579" s="121"/>
    </row>
    <row r="5580" spans="1:9" s="65" customFormat="1">
      <c r="A5580" s="150"/>
      <c r="B5580" s="83"/>
      <c r="C5580" s="148"/>
      <c r="D5580" s="84"/>
      <c r="E5580" s="84"/>
      <c r="F5580" s="84"/>
      <c r="G5580" s="154"/>
      <c r="H5580" s="121"/>
    </row>
    <row r="5581" spans="1:9" s="65" customFormat="1">
      <c r="A5581" s="150"/>
      <c r="B5581" s="83"/>
      <c r="C5581" s="148"/>
      <c r="D5581" s="84"/>
      <c r="E5581" s="84"/>
      <c r="F5581" s="84"/>
      <c r="G5581" s="154"/>
      <c r="H5581" s="145"/>
    </row>
    <row r="5582" spans="1:9" s="65" customFormat="1">
      <c r="A5582" s="84"/>
      <c r="B5582" s="83"/>
      <c r="C5582" s="84"/>
      <c r="D5582" s="84"/>
      <c r="E5582" s="84"/>
      <c r="G5582" s="104"/>
      <c r="H5582" s="140"/>
    </row>
    <row r="5583" spans="1:9" s="65" customFormat="1">
      <c r="A5583" s="120"/>
      <c r="B5583" s="73"/>
      <c r="C5583" s="73"/>
      <c r="D5583" s="73"/>
      <c r="E5583" s="73"/>
      <c r="G5583" s="121"/>
      <c r="H5583" s="140"/>
    </row>
    <row r="5584" spans="1:9" s="65" customFormat="1">
      <c r="A5584" s="128"/>
      <c r="B5584" s="141"/>
      <c r="C5584" s="141"/>
      <c r="D5584" s="141"/>
      <c r="E5584" s="141"/>
      <c r="F5584" s="141"/>
      <c r="G5584" s="141"/>
      <c r="H5584" s="140"/>
    </row>
    <row r="5585" spans="1:9" s="65" customFormat="1">
      <c r="A5585" s="150"/>
      <c r="B5585" s="83"/>
      <c r="C5585" s="148"/>
      <c r="D5585" s="84"/>
      <c r="E5585" s="84"/>
      <c r="F5585" s="84"/>
      <c r="G5585" s="154"/>
      <c r="H5585" s="145"/>
    </row>
    <row r="5586" spans="1:9" s="65" customFormat="1">
      <c r="A5586" s="91"/>
      <c r="B5586" s="91"/>
      <c r="C5586" s="91"/>
      <c r="D5586" s="91"/>
      <c r="E5586" s="91"/>
      <c r="G5586" s="104"/>
      <c r="H5586" s="140"/>
    </row>
    <row r="5587" spans="1:9" s="65" customFormat="1">
      <c r="A5587" s="120"/>
      <c r="B5587" s="73"/>
      <c r="C5587" s="73"/>
      <c r="D5587" s="73"/>
      <c r="E5587" s="73"/>
      <c r="G5587" s="121"/>
      <c r="H5587" s="140"/>
    </row>
    <row r="5588" spans="1:9" s="65" customFormat="1">
      <c r="A5588" s="128"/>
      <c r="B5588" s="141"/>
      <c r="C5588" s="141"/>
      <c r="D5588" s="141"/>
      <c r="E5588" s="141"/>
      <c r="F5588" s="141"/>
      <c r="G5588" s="141"/>
      <c r="H5588" s="140"/>
    </row>
    <row r="5589" spans="1:9" s="65" customFormat="1">
      <c r="A5589" s="146"/>
      <c r="B5589" s="83"/>
      <c r="C5589" s="148"/>
      <c r="D5589" s="84"/>
      <c r="E5589" s="84"/>
      <c r="F5589" s="84"/>
      <c r="G5589" s="144"/>
      <c r="H5589" s="145"/>
    </row>
    <row r="5590" spans="1:9" s="65" customFormat="1">
      <c r="A5590" s="91"/>
      <c r="B5590" s="91"/>
      <c r="C5590" s="91"/>
      <c r="D5590" s="91"/>
      <c r="E5590" s="91"/>
      <c r="G5590" s="104"/>
      <c r="H5590" s="140"/>
    </row>
    <row r="5591" spans="1:9" s="65" customFormat="1">
      <c r="A5591" s="120"/>
      <c r="B5591" s="73"/>
      <c r="C5591" s="73"/>
      <c r="D5591" s="73"/>
      <c r="E5591" s="73"/>
      <c r="G5591" s="121"/>
      <c r="H5591" s="140"/>
    </row>
    <row r="5592" spans="1:9" s="65" customFormat="1">
      <c r="A5592" s="128"/>
      <c r="B5592" s="141"/>
      <c r="C5592" s="141"/>
      <c r="D5592" s="141"/>
      <c r="E5592" s="141"/>
      <c r="F5592" s="141"/>
      <c r="G5592" s="141"/>
      <c r="H5592" s="140"/>
    </row>
    <row r="5593" spans="1:9" s="65" customFormat="1">
      <c r="A5593" s="142"/>
      <c r="B5593" s="143"/>
      <c r="C5593" s="143"/>
      <c r="D5593" s="143"/>
      <c r="E5593" s="143"/>
      <c r="F5593" s="84"/>
      <c r="G5593" s="144"/>
      <c r="H5593" s="145"/>
    </row>
    <row r="5594" spans="1:9" s="65" customFormat="1">
      <c r="A5594" s="123"/>
      <c r="B5594" s="95"/>
      <c r="C5594" s="95"/>
      <c r="D5594" s="95"/>
      <c r="E5594" s="95"/>
      <c r="G5594" s="104"/>
      <c r="H5594" s="121"/>
    </row>
    <row r="5595" spans="1:9" s="65" customFormat="1">
      <c r="A5595" s="123"/>
      <c r="B5595" s="95"/>
      <c r="C5595" s="95"/>
      <c r="D5595" s="95"/>
      <c r="E5595" s="95"/>
      <c r="G5595" s="121"/>
      <c r="H5595" s="133"/>
    </row>
    <row r="5596" spans="1:9" s="65" customFormat="1">
      <c r="B5596" s="97"/>
      <c r="C5596" s="98"/>
      <c r="D5596" s="98"/>
      <c r="E5596" s="98"/>
      <c r="G5596" s="128"/>
    </row>
    <row r="5597" spans="1:9" s="65" customFormat="1">
      <c r="B5597" s="97"/>
      <c r="C5597" s="98"/>
      <c r="D5597" s="98"/>
      <c r="E5597" s="98"/>
      <c r="F5597" s="128"/>
      <c r="G5597" s="133"/>
      <c r="H5597" s="134"/>
    </row>
    <row r="5598" spans="1:9" s="65" customFormat="1">
      <c r="A5598" s="633"/>
      <c r="B5598" s="633"/>
      <c r="C5598" s="633"/>
      <c r="D5598" s="633"/>
      <c r="E5598" s="633"/>
      <c r="F5598" s="633"/>
      <c r="G5598" s="633"/>
    </row>
    <row r="5599" spans="1:9" s="65" customFormat="1">
      <c r="H5599" s="138"/>
      <c r="I5599" s="151"/>
    </row>
    <row r="5600" spans="1:9" s="65" customFormat="1">
      <c r="A5600" s="645"/>
      <c r="B5600" s="138"/>
      <c r="C5600" s="138"/>
      <c r="D5600" s="138"/>
      <c r="E5600" s="138"/>
      <c r="F5600" s="138"/>
      <c r="G5600" s="138"/>
      <c r="H5600" s="138"/>
      <c r="I5600" s="152"/>
    </row>
    <row r="5601" spans="1:8" s="65" customFormat="1">
      <c r="A5601" s="645"/>
      <c r="B5601" s="138"/>
      <c r="C5601" s="138"/>
      <c r="D5601" s="138"/>
      <c r="E5601" s="138"/>
      <c r="F5601" s="138"/>
      <c r="G5601" s="138"/>
    </row>
    <row r="5602" spans="1:8" s="65" customFormat="1">
      <c r="A5602" s="69"/>
      <c r="B5602" s="69"/>
      <c r="C5602" s="69"/>
      <c r="D5602" s="69"/>
      <c r="E5602" s="69"/>
    </row>
    <row r="5603" spans="1:8" s="65" customFormat="1">
      <c r="A5603" s="120"/>
      <c r="B5603" s="73"/>
      <c r="C5603" s="73"/>
      <c r="D5603" s="73"/>
      <c r="E5603" s="73"/>
      <c r="F5603" s="121"/>
      <c r="G5603" s="121"/>
      <c r="H5603" s="121"/>
    </row>
    <row r="5604" spans="1:8" s="65" customFormat="1">
      <c r="A5604" s="128"/>
      <c r="B5604" s="141"/>
      <c r="C5604" s="141"/>
      <c r="D5604" s="141"/>
      <c r="E5604" s="141"/>
      <c r="F5604" s="141"/>
      <c r="G5604" s="141"/>
      <c r="H5604" s="121"/>
    </row>
    <row r="5605" spans="1:8" s="65" customFormat="1">
      <c r="A5605" s="150"/>
      <c r="B5605" s="83"/>
      <c r="C5605" s="148"/>
      <c r="D5605" s="84"/>
      <c r="E5605" s="84"/>
      <c r="F5605" s="84"/>
      <c r="G5605" s="154"/>
      <c r="H5605" s="121"/>
    </row>
    <row r="5606" spans="1:8" s="65" customFormat="1">
      <c r="A5606" s="150"/>
      <c r="B5606" s="83"/>
      <c r="C5606" s="148"/>
      <c r="D5606" s="84"/>
      <c r="E5606" s="84"/>
      <c r="F5606" s="84"/>
      <c r="G5606" s="154"/>
      <c r="H5606" s="121"/>
    </row>
    <row r="5607" spans="1:8" s="65" customFormat="1">
      <c r="A5607" s="150"/>
      <c r="B5607" s="83"/>
      <c r="C5607" s="148"/>
      <c r="D5607" s="84"/>
      <c r="E5607" s="84"/>
      <c r="F5607" s="84"/>
      <c r="G5607" s="154"/>
      <c r="H5607" s="121"/>
    </row>
    <row r="5608" spans="1:8" s="65" customFormat="1">
      <c r="A5608" s="150"/>
      <c r="B5608" s="83"/>
      <c r="C5608" s="148"/>
      <c r="D5608" s="84"/>
      <c r="E5608" s="84"/>
      <c r="F5608" s="84"/>
      <c r="G5608" s="154"/>
      <c r="H5608" s="145"/>
    </row>
    <row r="5609" spans="1:8" s="65" customFormat="1">
      <c r="A5609" s="84"/>
      <c r="B5609" s="83"/>
      <c r="C5609" s="84"/>
      <c r="D5609" s="84"/>
      <c r="E5609" s="84"/>
      <c r="G5609" s="104"/>
      <c r="H5609" s="140"/>
    </row>
    <row r="5610" spans="1:8" s="65" customFormat="1">
      <c r="A5610" s="120"/>
      <c r="B5610" s="73"/>
      <c r="C5610" s="73"/>
      <c r="D5610" s="73"/>
      <c r="E5610" s="73"/>
      <c r="G5610" s="121"/>
      <c r="H5610" s="140"/>
    </row>
    <row r="5611" spans="1:8" s="65" customFormat="1">
      <c r="A5611" s="128"/>
      <c r="B5611" s="141"/>
      <c r="C5611" s="141"/>
      <c r="D5611" s="141"/>
      <c r="E5611" s="141"/>
      <c r="F5611" s="141"/>
      <c r="G5611" s="141"/>
      <c r="H5611" s="140"/>
    </row>
    <row r="5612" spans="1:8" s="65" customFormat="1">
      <c r="A5612" s="150"/>
      <c r="B5612" s="83"/>
      <c r="C5612" s="148"/>
      <c r="D5612" s="84"/>
      <c r="E5612" s="84"/>
      <c r="F5612" s="84"/>
      <c r="G5612" s="154"/>
      <c r="H5612" s="145"/>
    </row>
    <row r="5613" spans="1:8" s="65" customFormat="1">
      <c r="A5613" s="91"/>
      <c r="B5613" s="91"/>
      <c r="C5613" s="91"/>
      <c r="D5613" s="91"/>
      <c r="E5613" s="91"/>
      <c r="G5613" s="104"/>
      <c r="H5613" s="140"/>
    </row>
    <row r="5614" spans="1:8" s="65" customFormat="1">
      <c r="A5614" s="120"/>
      <c r="B5614" s="73"/>
      <c r="C5614" s="73"/>
      <c r="D5614" s="73"/>
      <c r="E5614" s="73"/>
      <c r="G5614" s="121"/>
      <c r="H5614" s="140"/>
    </row>
    <row r="5615" spans="1:8" s="65" customFormat="1">
      <c r="A5615" s="128"/>
      <c r="B5615" s="141"/>
      <c r="C5615" s="141"/>
      <c r="D5615" s="141"/>
      <c r="E5615" s="141"/>
      <c r="F5615" s="141"/>
      <c r="G5615" s="141"/>
      <c r="H5615" s="140"/>
    </row>
    <row r="5616" spans="1:8" s="65" customFormat="1">
      <c r="A5616" s="146"/>
      <c r="B5616" s="83"/>
      <c r="C5616" s="148"/>
      <c r="D5616" s="84"/>
      <c r="E5616" s="84"/>
      <c r="F5616" s="84"/>
      <c r="G5616" s="144"/>
      <c r="H5616" s="145"/>
    </row>
    <row r="5617" spans="1:9" s="65" customFormat="1">
      <c r="A5617" s="91"/>
      <c r="B5617" s="91"/>
      <c r="C5617" s="91"/>
      <c r="D5617" s="91"/>
      <c r="E5617" s="91"/>
      <c r="G5617" s="104"/>
      <c r="H5617" s="140"/>
    </row>
    <row r="5618" spans="1:9" s="65" customFormat="1">
      <c r="A5618" s="120"/>
      <c r="B5618" s="73"/>
      <c r="C5618" s="73"/>
      <c r="D5618" s="73"/>
      <c r="E5618" s="73"/>
      <c r="G5618" s="121"/>
      <c r="H5618" s="140"/>
    </row>
    <row r="5619" spans="1:9" s="65" customFormat="1">
      <c r="A5619" s="128"/>
      <c r="B5619" s="141"/>
      <c r="C5619" s="141"/>
      <c r="D5619" s="141"/>
      <c r="E5619" s="141"/>
      <c r="F5619" s="141"/>
      <c r="G5619" s="141"/>
      <c r="H5619" s="140"/>
    </row>
    <row r="5620" spans="1:9" s="65" customFormat="1">
      <c r="A5620" s="142"/>
      <c r="B5620" s="143"/>
      <c r="C5620" s="143"/>
      <c r="D5620" s="143"/>
      <c r="E5620" s="143"/>
      <c r="F5620" s="84"/>
      <c r="G5620" s="144"/>
      <c r="H5620" s="145"/>
    </row>
    <row r="5621" spans="1:9" s="65" customFormat="1">
      <c r="A5621" s="123"/>
      <c r="B5621" s="95"/>
      <c r="C5621" s="95"/>
      <c r="D5621" s="95"/>
      <c r="E5621" s="95"/>
      <c r="G5621" s="104"/>
      <c r="H5621" s="121"/>
    </row>
    <row r="5622" spans="1:9" s="65" customFormat="1">
      <c r="A5622" s="123"/>
      <c r="B5622" s="95"/>
      <c r="C5622" s="95"/>
      <c r="D5622" s="95"/>
      <c r="E5622" s="95"/>
      <c r="G5622" s="121"/>
      <c r="H5622" s="133"/>
    </row>
    <row r="5623" spans="1:9" s="65" customFormat="1">
      <c r="B5623" s="97"/>
      <c r="C5623" s="98"/>
      <c r="D5623" s="98"/>
      <c r="E5623" s="98"/>
      <c r="G5623" s="128"/>
    </row>
    <row r="5624" spans="1:9" s="65" customFormat="1">
      <c r="B5624" s="97"/>
      <c r="C5624" s="98"/>
      <c r="D5624" s="98"/>
      <c r="E5624" s="98"/>
      <c r="F5624" s="128"/>
      <c r="G5624" s="133"/>
      <c r="H5624" s="134"/>
    </row>
    <row r="5625" spans="1:9" s="65" customFormat="1">
      <c r="A5625" s="633"/>
      <c r="B5625" s="633"/>
      <c r="C5625" s="633"/>
      <c r="D5625" s="633"/>
      <c r="E5625" s="633"/>
      <c r="F5625" s="633"/>
      <c r="G5625" s="633"/>
    </row>
    <row r="5626" spans="1:9" s="65" customFormat="1">
      <c r="H5626" s="138"/>
      <c r="I5626" s="151"/>
    </row>
    <row r="5627" spans="1:9" s="65" customFormat="1">
      <c r="A5627" s="645"/>
      <c r="B5627" s="138"/>
      <c r="C5627" s="138"/>
      <c r="D5627" s="138"/>
      <c r="E5627" s="138"/>
      <c r="F5627" s="138"/>
      <c r="G5627" s="138"/>
      <c r="H5627" s="138"/>
      <c r="I5627" s="152"/>
    </row>
    <row r="5628" spans="1:9" s="65" customFormat="1">
      <c r="A5628" s="645"/>
      <c r="B5628" s="138"/>
      <c r="C5628" s="138"/>
      <c r="D5628" s="138"/>
      <c r="E5628" s="138"/>
      <c r="F5628" s="138"/>
      <c r="G5628" s="138"/>
    </row>
    <row r="5629" spans="1:9" s="65" customFormat="1">
      <c r="A5629" s="69"/>
      <c r="B5629" s="69"/>
      <c r="C5629" s="69"/>
      <c r="D5629" s="69"/>
      <c r="E5629" s="69"/>
    </row>
    <row r="5630" spans="1:9" s="65" customFormat="1">
      <c r="A5630" s="120"/>
      <c r="B5630" s="73"/>
      <c r="C5630" s="73"/>
      <c r="D5630" s="73"/>
      <c r="E5630" s="73"/>
      <c r="F5630" s="121"/>
      <c r="G5630" s="121"/>
      <c r="H5630" s="121"/>
    </row>
    <row r="5631" spans="1:9" s="65" customFormat="1">
      <c r="A5631" s="128"/>
      <c r="B5631" s="141"/>
      <c r="C5631" s="141"/>
      <c r="D5631" s="141"/>
      <c r="E5631" s="141"/>
      <c r="F5631" s="141"/>
      <c r="G5631" s="141"/>
      <c r="H5631" s="121"/>
    </row>
    <row r="5632" spans="1:9" s="65" customFormat="1">
      <c r="A5632" s="150"/>
      <c r="B5632" s="83"/>
      <c r="C5632" s="148"/>
      <c r="D5632" s="84"/>
      <c r="E5632" s="84"/>
      <c r="F5632" s="84"/>
      <c r="G5632" s="154"/>
      <c r="H5632" s="121"/>
    </row>
    <row r="5633" spans="1:8" s="65" customFormat="1">
      <c r="A5633" s="150"/>
      <c r="B5633" s="83"/>
      <c r="C5633" s="148"/>
      <c r="D5633" s="84"/>
      <c r="E5633" s="84"/>
      <c r="F5633" s="84"/>
      <c r="G5633" s="154"/>
      <c r="H5633" s="121"/>
    </row>
    <row r="5634" spans="1:8" s="65" customFormat="1">
      <c r="A5634" s="150"/>
      <c r="B5634" s="83"/>
      <c r="C5634" s="148"/>
      <c r="D5634" s="84"/>
      <c r="E5634" s="84"/>
      <c r="F5634" s="84"/>
      <c r="G5634" s="154"/>
      <c r="H5634" s="145"/>
    </row>
    <row r="5635" spans="1:8" s="65" customFormat="1">
      <c r="A5635" s="84"/>
      <c r="B5635" s="83"/>
      <c r="C5635" s="84"/>
      <c r="D5635" s="84"/>
      <c r="E5635" s="84"/>
      <c r="G5635" s="104"/>
      <c r="H5635" s="140"/>
    </row>
    <row r="5636" spans="1:8" s="65" customFormat="1">
      <c r="A5636" s="120"/>
      <c r="B5636" s="73"/>
      <c r="C5636" s="73"/>
      <c r="D5636" s="73"/>
      <c r="E5636" s="73"/>
      <c r="G5636" s="121"/>
      <c r="H5636" s="140"/>
    </row>
    <row r="5637" spans="1:8" s="65" customFormat="1">
      <c r="A5637" s="128"/>
      <c r="B5637" s="141"/>
      <c r="C5637" s="141"/>
      <c r="D5637" s="141"/>
      <c r="E5637" s="141"/>
      <c r="F5637" s="141"/>
      <c r="G5637" s="141"/>
      <c r="H5637" s="140"/>
    </row>
    <row r="5638" spans="1:8" s="65" customFormat="1">
      <c r="A5638" s="150"/>
      <c r="B5638" s="83"/>
      <c r="C5638" s="148"/>
      <c r="D5638" s="84"/>
      <c r="E5638" s="84"/>
      <c r="F5638" s="84"/>
      <c r="G5638" s="154"/>
      <c r="H5638" s="140"/>
    </row>
    <row r="5639" spans="1:8" s="65" customFormat="1">
      <c r="A5639" s="150"/>
      <c r="B5639" s="83"/>
      <c r="C5639" s="148"/>
      <c r="D5639" s="84"/>
      <c r="E5639" s="84"/>
      <c r="F5639" s="84"/>
      <c r="G5639" s="154"/>
      <c r="H5639" s="145"/>
    </row>
    <row r="5640" spans="1:8" s="65" customFormat="1">
      <c r="A5640" s="91"/>
      <c r="B5640" s="91"/>
      <c r="C5640" s="91"/>
      <c r="D5640" s="91"/>
      <c r="E5640" s="91"/>
      <c r="G5640" s="104"/>
      <c r="H5640" s="140"/>
    </row>
    <row r="5641" spans="1:8" s="65" customFormat="1">
      <c r="A5641" s="120"/>
      <c r="B5641" s="73"/>
      <c r="C5641" s="73"/>
      <c r="D5641" s="73"/>
      <c r="E5641" s="73"/>
      <c r="G5641" s="121"/>
      <c r="H5641" s="140"/>
    </row>
    <row r="5642" spans="1:8" s="65" customFormat="1">
      <c r="A5642" s="128"/>
      <c r="B5642" s="141"/>
      <c r="C5642" s="141"/>
      <c r="D5642" s="141"/>
      <c r="E5642" s="141"/>
      <c r="F5642" s="141"/>
      <c r="G5642" s="141"/>
      <c r="H5642" s="140"/>
    </row>
    <row r="5643" spans="1:8" s="65" customFormat="1">
      <c r="A5643" s="146"/>
      <c r="B5643" s="83"/>
      <c r="C5643" s="148"/>
      <c r="D5643" s="84"/>
      <c r="E5643" s="84"/>
      <c r="F5643" s="84"/>
      <c r="G5643" s="144"/>
      <c r="H5643" s="145"/>
    </row>
    <row r="5644" spans="1:8" s="65" customFormat="1">
      <c r="A5644" s="91"/>
      <c r="B5644" s="91"/>
      <c r="C5644" s="91"/>
      <c r="D5644" s="91"/>
      <c r="E5644" s="91"/>
      <c r="G5644" s="104"/>
      <c r="H5644" s="140"/>
    </row>
    <row r="5645" spans="1:8" s="65" customFormat="1">
      <c r="A5645" s="120"/>
      <c r="B5645" s="73"/>
      <c r="C5645" s="73"/>
      <c r="D5645" s="73"/>
      <c r="E5645" s="73"/>
      <c r="G5645" s="121"/>
      <c r="H5645" s="140"/>
    </row>
    <row r="5646" spans="1:8" s="65" customFormat="1">
      <c r="A5646" s="128"/>
      <c r="B5646" s="141"/>
      <c r="C5646" s="141"/>
      <c r="D5646" s="141"/>
      <c r="E5646" s="141"/>
      <c r="F5646" s="141"/>
      <c r="G5646" s="141"/>
      <c r="H5646" s="140"/>
    </row>
    <row r="5647" spans="1:8" s="65" customFormat="1">
      <c r="A5647" s="142"/>
      <c r="B5647" s="143"/>
      <c r="C5647" s="143"/>
      <c r="D5647" s="143"/>
      <c r="E5647" s="143"/>
      <c r="F5647" s="84"/>
      <c r="G5647" s="144"/>
      <c r="H5647" s="145"/>
    </row>
    <row r="5648" spans="1:8" s="65" customFormat="1">
      <c r="A5648" s="123"/>
      <c r="B5648" s="95"/>
      <c r="C5648" s="95"/>
      <c r="D5648" s="95"/>
      <c r="E5648" s="95"/>
      <c r="G5648" s="104"/>
      <c r="H5648" s="121"/>
    </row>
    <row r="5649" spans="1:9" s="65" customFormat="1">
      <c r="A5649" s="123"/>
      <c r="B5649" s="95"/>
      <c r="C5649" s="95"/>
      <c r="D5649" s="95"/>
      <c r="E5649" s="95"/>
      <c r="G5649" s="121"/>
      <c r="H5649" s="133"/>
    </row>
    <row r="5650" spans="1:9" s="65" customFormat="1">
      <c r="B5650" s="97"/>
      <c r="C5650" s="98"/>
      <c r="D5650" s="98"/>
      <c r="E5650" s="98"/>
      <c r="G5650" s="128"/>
    </row>
    <row r="5651" spans="1:9" s="65" customFormat="1">
      <c r="B5651" s="97"/>
      <c r="C5651" s="98"/>
      <c r="D5651" s="98"/>
      <c r="E5651" s="98"/>
      <c r="F5651" s="128"/>
      <c r="G5651" s="133"/>
      <c r="H5651" s="134"/>
    </row>
    <row r="5652" spans="1:9" s="65" customFormat="1">
      <c r="A5652" s="633"/>
      <c r="B5652" s="633"/>
      <c r="C5652" s="633"/>
      <c r="D5652" s="633"/>
      <c r="E5652" s="633"/>
      <c r="F5652" s="633"/>
      <c r="G5652" s="633"/>
    </row>
    <row r="5653" spans="1:9" s="65" customFormat="1">
      <c r="H5653" s="138"/>
      <c r="I5653" s="151"/>
    </row>
    <row r="5654" spans="1:9" s="65" customFormat="1">
      <c r="A5654" s="645"/>
      <c r="B5654" s="138"/>
      <c r="C5654" s="138"/>
      <c r="D5654" s="138"/>
      <c r="E5654" s="138"/>
      <c r="F5654" s="138"/>
      <c r="G5654" s="138"/>
      <c r="H5654" s="138"/>
      <c r="I5654" s="152"/>
    </row>
    <row r="5655" spans="1:9" s="65" customFormat="1">
      <c r="A5655" s="645"/>
      <c r="B5655" s="138"/>
      <c r="C5655" s="138"/>
      <c r="D5655" s="138"/>
      <c r="E5655" s="138"/>
      <c r="F5655" s="138"/>
      <c r="G5655" s="138"/>
    </row>
    <row r="5656" spans="1:9" s="65" customFormat="1">
      <c r="A5656" s="69"/>
      <c r="B5656" s="69"/>
      <c r="C5656" s="69"/>
      <c r="D5656" s="69"/>
      <c r="E5656" s="69"/>
    </row>
    <row r="5657" spans="1:9" s="65" customFormat="1">
      <c r="A5657" s="120"/>
      <c r="B5657" s="73"/>
      <c r="C5657" s="73"/>
      <c r="D5657" s="73"/>
      <c r="E5657" s="73"/>
      <c r="F5657" s="121"/>
      <c r="G5657" s="121"/>
      <c r="H5657" s="121"/>
    </row>
    <row r="5658" spans="1:9" s="65" customFormat="1">
      <c r="A5658" s="128"/>
      <c r="B5658" s="141"/>
      <c r="C5658" s="141"/>
      <c r="D5658" s="141"/>
      <c r="E5658" s="141"/>
      <c r="F5658" s="141"/>
      <c r="G5658" s="141"/>
      <c r="H5658" s="121"/>
    </row>
    <row r="5659" spans="1:9" s="65" customFormat="1">
      <c r="A5659" s="150"/>
      <c r="B5659" s="84"/>
      <c r="C5659" s="148"/>
      <c r="D5659" s="84"/>
      <c r="E5659" s="84"/>
      <c r="F5659" s="84"/>
      <c r="G5659" s="154"/>
      <c r="H5659" s="145"/>
    </row>
    <row r="5660" spans="1:9" s="65" customFormat="1">
      <c r="A5660" s="84"/>
      <c r="B5660" s="83"/>
      <c r="C5660" s="84"/>
      <c r="D5660" s="84"/>
      <c r="E5660" s="84"/>
      <c r="G5660" s="104"/>
      <c r="H5660" s="140"/>
    </row>
    <row r="5661" spans="1:9" s="65" customFormat="1">
      <c r="A5661" s="120"/>
      <c r="B5661" s="73"/>
      <c r="C5661" s="73"/>
      <c r="D5661" s="73"/>
      <c r="E5661" s="73"/>
      <c r="G5661" s="121"/>
      <c r="H5661" s="140"/>
    </row>
    <row r="5662" spans="1:9" s="65" customFormat="1">
      <c r="A5662" s="128"/>
      <c r="B5662" s="141"/>
      <c r="C5662" s="141"/>
      <c r="D5662" s="141"/>
      <c r="E5662" s="141"/>
      <c r="F5662" s="141"/>
      <c r="G5662" s="141"/>
      <c r="H5662" s="140"/>
    </row>
    <row r="5663" spans="1:9" s="65" customFormat="1">
      <c r="A5663" s="150"/>
      <c r="B5663" s="83"/>
      <c r="C5663" s="148"/>
      <c r="D5663" s="84"/>
      <c r="E5663" s="84"/>
      <c r="F5663" s="84"/>
      <c r="G5663" s="154"/>
      <c r="H5663" s="140"/>
    </row>
    <row r="5664" spans="1:9" s="65" customFormat="1">
      <c r="A5664" s="150"/>
      <c r="B5664" s="83"/>
      <c r="C5664" s="148"/>
      <c r="D5664" s="84"/>
      <c r="E5664" s="84"/>
      <c r="F5664" s="84"/>
      <c r="G5664" s="154"/>
      <c r="H5664" s="140"/>
    </row>
    <row r="5665" spans="1:8" s="65" customFormat="1">
      <c r="A5665" s="150"/>
      <c r="B5665" s="83"/>
      <c r="C5665" s="148"/>
      <c r="D5665" s="84"/>
      <c r="E5665" s="84"/>
      <c r="F5665" s="84"/>
      <c r="G5665" s="154"/>
      <c r="H5665" s="140"/>
    </row>
    <row r="5666" spans="1:8" s="65" customFormat="1">
      <c r="A5666" s="150"/>
      <c r="B5666" s="83"/>
      <c r="C5666" s="148"/>
      <c r="D5666" s="84"/>
      <c r="E5666" s="84"/>
      <c r="F5666" s="84"/>
      <c r="G5666" s="154"/>
      <c r="H5666" s="140"/>
    </row>
    <row r="5667" spans="1:8" s="65" customFormat="1">
      <c r="A5667" s="150"/>
      <c r="B5667" s="83"/>
      <c r="C5667" s="148"/>
      <c r="D5667" s="84"/>
      <c r="E5667" s="84"/>
      <c r="F5667" s="84"/>
      <c r="G5667" s="154"/>
      <c r="H5667" s="140"/>
    </row>
    <row r="5668" spans="1:8" s="65" customFormat="1">
      <c r="A5668" s="150"/>
      <c r="B5668" s="83"/>
      <c r="C5668" s="148"/>
      <c r="D5668" s="84"/>
      <c r="E5668" s="84"/>
      <c r="F5668" s="84"/>
      <c r="G5668" s="154"/>
      <c r="H5668" s="145"/>
    </row>
    <row r="5669" spans="1:8" s="65" customFormat="1">
      <c r="A5669" s="91"/>
      <c r="B5669" s="91"/>
      <c r="C5669" s="91"/>
      <c r="D5669" s="91"/>
      <c r="E5669" s="91"/>
      <c r="G5669" s="104"/>
      <c r="H5669" s="140"/>
    </row>
    <row r="5670" spans="1:8" s="65" customFormat="1">
      <c r="A5670" s="120"/>
      <c r="B5670" s="73"/>
      <c r="C5670" s="73"/>
      <c r="D5670" s="73"/>
      <c r="E5670" s="73"/>
      <c r="G5670" s="121"/>
      <c r="H5670" s="140"/>
    </row>
    <row r="5671" spans="1:8" s="65" customFormat="1">
      <c r="A5671" s="128"/>
      <c r="B5671" s="141"/>
      <c r="C5671" s="141"/>
      <c r="D5671" s="141"/>
      <c r="E5671" s="141"/>
      <c r="F5671" s="141"/>
      <c r="G5671" s="141"/>
      <c r="H5671" s="140"/>
    </row>
    <row r="5672" spans="1:8" s="65" customFormat="1">
      <c r="A5672" s="146"/>
      <c r="B5672" s="83"/>
      <c r="C5672" s="148"/>
      <c r="D5672" s="84"/>
      <c r="E5672" s="84"/>
      <c r="F5672" s="84"/>
      <c r="G5672" s="144"/>
      <c r="H5672" s="145"/>
    </row>
    <row r="5673" spans="1:8" s="65" customFormat="1">
      <c r="A5673" s="91"/>
      <c r="B5673" s="91"/>
      <c r="C5673" s="91"/>
      <c r="D5673" s="91"/>
      <c r="E5673" s="91"/>
      <c r="G5673" s="104"/>
      <c r="H5673" s="140"/>
    </row>
    <row r="5674" spans="1:8" s="65" customFormat="1">
      <c r="A5674" s="120"/>
      <c r="B5674" s="73"/>
      <c r="C5674" s="73"/>
      <c r="D5674" s="73"/>
      <c r="E5674" s="73"/>
      <c r="G5674" s="121"/>
      <c r="H5674" s="140"/>
    </row>
    <row r="5675" spans="1:8" s="65" customFormat="1">
      <c r="A5675" s="128"/>
      <c r="B5675" s="141"/>
      <c r="C5675" s="141"/>
      <c r="D5675" s="141"/>
      <c r="E5675" s="141"/>
      <c r="F5675" s="141"/>
      <c r="G5675" s="141"/>
      <c r="H5675" s="140"/>
    </row>
    <row r="5676" spans="1:8" s="65" customFormat="1">
      <c r="A5676" s="142"/>
      <c r="B5676" s="143"/>
      <c r="C5676" s="143"/>
      <c r="D5676" s="143"/>
      <c r="E5676" s="143"/>
      <c r="F5676" s="84"/>
      <c r="G5676" s="144"/>
      <c r="H5676" s="145"/>
    </row>
    <row r="5677" spans="1:8" s="65" customFormat="1">
      <c r="A5677" s="123"/>
      <c r="B5677" s="95"/>
      <c r="C5677" s="95"/>
      <c r="D5677" s="95"/>
      <c r="E5677" s="95"/>
      <c r="G5677" s="104"/>
      <c r="H5677" s="121"/>
    </row>
    <row r="5678" spans="1:8" s="65" customFormat="1">
      <c r="A5678" s="123"/>
      <c r="B5678" s="95"/>
      <c r="C5678" s="95"/>
      <c r="D5678" s="95"/>
      <c r="E5678" s="95"/>
      <c r="G5678" s="121"/>
      <c r="H5678" s="133"/>
    </row>
    <row r="5679" spans="1:8" s="65" customFormat="1">
      <c r="B5679" s="97"/>
      <c r="C5679" s="98"/>
      <c r="D5679" s="98"/>
      <c r="E5679" s="98"/>
      <c r="G5679" s="128"/>
    </row>
    <row r="5680" spans="1:8" s="65" customFormat="1">
      <c r="B5680" s="97"/>
      <c r="C5680" s="98"/>
      <c r="D5680" s="98"/>
      <c r="E5680" s="98"/>
      <c r="F5680" s="128"/>
      <c r="G5680" s="133"/>
      <c r="H5680" s="134"/>
    </row>
    <row r="5681" spans="1:9" s="65" customFormat="1">
      <c r="A5681" s="633"/>
      <c r="B5681" s="633"/>
      <c r="C5681" s="633"/>
      <c r="D5681" s="633"/>
      <c r="E5681" s="633"/>
      <c r="F5681" s="633"/>
      <c r="G5681" s="633"/>
    </row>
    <row r="5682" spans="1:9" s="65" customFormat="1">
      <c r="H5682" s="138"/>
      <c r="I5682" s="151"/>
    </row>
    <row r="5683" spans="1:9" s="65" customFormat="1">
      <c r="A5683" s="645"/>
      <c r="B5683" s="138"/>
      <c r="C5683" s="138"/>
      <c r="D5683" s="138"/>
      <c r="E5683" s="138"/>
      <c r="F5683" s="138"/>
      <c r="G5683" s="138"/>
      <c r="H5683" s="138"/>
      <c r="I5683" s="152"/>
    </row>
    <row r="5684" spans="1:9" s="65" customFormat="1">
      <c r="A5684" s="645"/>
      <c r="B5684" s="138"/>
      <c r="C5684" s="138"/>
      <c r="D5684" s="138"/>
      <c r="E5684" s="138"/>
      <c r="F5684" s="138"/>
      <c r="G5684" s="138"/>
    </row>
    <row r="5685" spans="1:9" s="65" customFormat="1">
      <c r="A5685" s="69"/>
      <c r="B5685" s="69"/>
      <c r="C5685" s="69"/>
      <c r="D5685" s="69"/>
      <c r="E5685" s="69"/>
    </row>
    <row r="5686" spans="1:9" s="65" customFormat="1">
      <c r="A5686" s="120"/>
      <c r="B5686" s="73"/>
      <c r="C5686" s="73"/>
      <c r="D5686" s="73"/>
      <c r="E5686" s="73"/>
      <c r="F5686" s="121"/>
      <c r="G5686" s="121"/>
      <c r="H5686" s="121"/>
    </row>
    <row r="5687" spans="1:9" s="65" customFormat="1">
      <c r="A5687" s="128"/>
      <c r="B5687" s="141"/>
      <c r="C5687" s="141"/>
      <c r="D5687" s="141"/>
      <c r="E5687" s="141"/>
      <c r="F5687" s="141"/>
      <c r="G5687" s="141"/>
      <c r="H5687" s="121"/>
    </row>
    <row r="5688" spans="1:9" s="65" customFormat="1">
      <c r="A5688" s="150"/>
      <c r="B5688" s="84"/>
      <c r="C5688" s="148"/>
      <c r="D5688" s="84"/>
      <c r="E5688" s="84"/>
      <c r="F5688" s="84"/>
      <c r="G5688" s="154"/>
      <c r="H5688" s="145"/>
    </row>
    <row r="5689" spans="1:9" s="65" customFormat="1">
      <c r="A5689" s="84"/>
      <c r="B5689" s="83"/>
      <c r="C5689" s="84"/>
      <c r="D5689" s="84"/>
      <c r="E5689" s="84"/>
      <c r="G5689" s="104"/>
      <c r="H5689" s="140"/>
    </row>
    <row r="5690" spans="1:9" s="65" customFormat="1">
      <c r="A5690" s="120"/>
      <c r="B5690" s="73"/>
      <c r="C5690" s="73"/>
      <c r="D5690" s="73"/>
      <c r="E5690" s="73"/>
      <c r="G5690" s="121"/>
      <c r="H5690" s="140"/>
    </row>
    <row r="5691" spans="1:9" s="65" customFormat="1">
      <c r="A5691" s="128"/>
      <c r="B5691" s="141"/>
      <c r="C5691" s="141"/>
      <c r="D5691" s="141"/>
      <c r="E5691" s="141"/>
      <c r="F5691" s="141"/>
      <c r="G5691" s="141"/>
      <c r="H5691" s="140"/>
    </row>
    <row r="5692" spans="1:9" s="65" customFormat="1">
      <c r="A5692" s="150"/>
      <c r="B5692" s="83"/>
      <c r="C5692" s="148"/>
      <c r="D5692" s="84"/>
      <c r="E5692" s="84"/>
      <c r="F5692" s="84"/>
      <c r="G5692" s="154"/>
      <c r="H5692" s="140"/>
    </row>
    <row r="5693" spans="1:9" s="65" customFormat="1">
      <c r="A5693" s="150"/>
      <c r="B5693" s="83"/>
      <c r="C5693" s="148"/>
      <c r="D5693" s="84"/>
      <c r="E5693" s="84"/>
      <c r="F5693" s="84"/>
      <c r="G5693" s="154"/>
      <c r="H5693" s="140"/>
    </row>
    <row r="5694" spans="1:9" s="65" customFormat="1">
      <c r="A5694" s="150"/>
      <c r="B5694" s="83"/>
      <c r="C5694" s="148"/>
      <c r="D5694" s="84"/>
      <c r="E5694" s="84"/>
      <c r="F5694" s="84"/>
      <c r="G5694" s="154"/>
      <c r="H5694" s="140"/>
    </row>
    <row r="5695" spans="1:9" s="65" customFormat="1">
      <c r="A5695" s="150"/>
      <c r="B5695" s="83"/>
      <c r="C5695" s="148"/>
      <c r="D5695" s="84"/>
      <c r="E5695" s="84"/>
      <c r="F5695" s="84"/>
      <c r="G5695" s="154"/>
      <c r="H5695" s="140"/>
    </row>
    <row r="5696" spans="1:9" s="65" customFormat="1">
      <c r="A5696" s="150"/>
      <c r="B5696" s="83"/>
      <c r="C5696" s="148"/>
      <c r="D5696" s="84"/>
      <c r="E5696" s="84"/>
      <c r="F5696" s="84"/>
      <c r="G5696" s="154"/>
      <c r="H5696" s="140"/>
    </row>
    <row r="5697" spans="1:9" s="65" customFormat="1">
      <c r="A5697" s="150"/>
      <c r="B5697" s="83"/>
      <c r="C5697" s="148"/>
      <c r="D5697" s="84"/>
      <c r="E5697" s="84"/>
      <c r="F5697" s="84"/>
      <c r="G5697" s="154"/>
      <c r="H5697" s="145"/>
    </row>
    <row r="5698" spans="1:9" s="65" customFormat="1">
      <c r="A5698" s="91"/>
      <c r="B5698" s="91"/>
      <c r="C5698" s="91"/>
      <c r="D5698" s="91"/>
      <c r="E5698" s="91"/>
      <c r="G5698" s="104"/>
      <c r="H5698" s="140"/>
    </row>
    <row r="5699" spans="1:9" s="65" customFormat="1">
      <c r="A5699" s="120"/>
      <c r="B5699" s="73"/>
      <c r="C5699" s="73"/>
      <c r="D5699" s="73"/>
      <c r="E5699" s="73"/>
      <c r="G5699" s="121"/>
      <c r="H5699" s="140"/>
    </row>
    <row r="5700" spans="1:9" s="65" customFormat="1">
      <c r="A5700" s="128"/>
      <c r="B5700" s="141"/>
      <c r="C5700" s="141"/>
      <c r="D5700" s="141"/>
      <c r="E5700" s="141"/>
      <c r="F5700" s="141"/>
      <c r="G5700" s="141"/>
      <c r="H5700" s="140"/>
    </row>
    <row r="5701" spans="1:9" s="65" customFormat="1">
      <c r="A5701" s="146"/>
      <c r="B5701" s="83"/>
      <c r="C5701" s="148"/>
      <c r="D5701" s="84"/>
      <c r="E5701" s="84"/>
      <c r="F5701" s="84"/>
      <c r="G5701" s="144"/>
      <c r="H5701" s="145"/>
    </row>
    <row r="5702" spans="1:9" s="65" customFormat="1">
      <c r="A5702" s="91"/>
      <c r="B5702" s="91"/>
      <c r="C5702" s="91"/>
      <c r="D5702" s="91"/>
      <c r="E5702" s="91"/>
      <c r="G5702" s="104"/>
      <c r="H5702" s="140"/>
    </row>
    <row r="5703" spans="1:9" s="65" customFormat="1">
      <c r="A5703" s="120"/>
      <c r="B5703" s="73"/>
      <c r="C5703" s="73"/>
      <c r="D5703" s="73"/>
      <c r="E5703" s="73"/>
      <c r="G5703" s="121"/>
      <c r="H5703" s="140"/>
    </row>
    <row r="5704" spans="1:9" s="65" customFormat="1">
      <c r="A5704" s="128"/>
      <c r="B5704" s="141"/>
      <c r="C5704" s="141"/>
      <c r="D5704" s="141"/>
      <c r="E5704" s="141"/>
      <c r="F5704" s="141"/>
      <c r="G5704" s="141"/>
      <c r="H5704" s="140"/>
    </row>
    <row r="5705" spans="1:9" s="65" customFormat="1">
      <c r="A5705" s="142"/>
      <c r="B5705" s="143"/>
      <c r="C5705" s="143"/>
      <c r="D5705" s="143"/>
      <c r="E5705" s="143"/>
      <c r="F5705" s="84"/>
      <c r="G5705" s="144"/>
      <c r="H5705" s="145"/>
    </row>
    <row r="5706" spans="1:9" s="65" customFormat="1">
      <c r="A5706" s="123"/>
      <c r="B5706" s="95"/>
      <c r="C5706" s="95"/>
      <c r="D5706" s="95"/>
      <c r="E5706" s="95"/>
      <c r="G5706" s="104"/>
      <c r="H5706" s="121"/>
    </row>
    <row r="5707" spans="1:9" s="65" customFormat="1">
      <c r="A5707" s="123"/>
      <c r="B5707" s="95"/>
      <c r="C5707" s="95"/>
      <c r="D5707" s="95"/>
      <c r="E5707" s="95"/>
      <c r="G5707" s="121"/>
      <c r="H5707" s="133"/>
    </row>
    <row r="5708" spans="1:9" s="65" customFormat="1">
      <c r="B5708" s="97"/>
      <c r="C5708" s="98"/>
      <c r="D5708" s="98"/>
      <c r="E5708" s="98"/>
      <c r="G5708" s="128"/>
    </row>
    <row r="5709" spans="1:9" s="65" customFormat="1">
      <c r="B5709" s="97"/>
      <c r="C5709" s="98"/>
      <c r="D5709" s="98"/>
      <c r="E5709" s="98"/>
      <c r="F5709" s="128"/>
      <c r="G5709" s="133"/>
      <c r="H5709" s="134"/>
    </row>
    <row r="5710" spans="1:9" s="65" customFormat="1">
      <c r="A5710" s="633"/>
      <c r="B5710" s="633"/>
      <c r="C5710" s="633"/>
      <c r="D5710" s="633"/>
      <c r="E5710" s="633"/>
      <c r="F5710" s="633"/>
      <c r="G5710" s="633"/>
    </row>
    <row r="5711" spans="1:9" s="65" customFormat="1">
      <c r="H5711" s="138"/>
      <c r="I5711" s="151"/>
    </row>
    <row r="5712" spans="1:9" s="65" customFormat="1">
      <c r="A5712" s="645"/>
      <c r="B5712" s="138"/>
      <c r="C5712" s="138"/>
      <c r="D5712" s="138"/>
      <c r="E5712" s="138"/>
      <c r="F5712" s="138"/>
      <c r="G5712" s="138"/>
      <c r="H5712" s="138"/>
      <c r="I5712" s="152"/>
    </row>
    <row r="5713" spans="1:8" s="65" customFormat="1">
      <c r="A5713" s="645"/>
      <c r="B5713" s="138"/>
      <c r="C5713" s="138"/>
      <c r="D5713" s="138"/>
      <c r="E5713" s="138"/>
      <c r="F5713" s="138"/>
      <c r="G5713" s="138"/>
    </row>
    <row r="5714" spans="1:8" s="65" customFormat="1">
      <c r="A5714" s="69"/>
      <c r="B5714" s="69"/>
      <c r="C5714" s="69"/>
      <c r="D5714" s="69"/>
      <c r="E5714" s="69"/>
    </row>
    <row r="5715" spans="1:8" s="65" customFormat="1">
      <c r="A5715" s="120"/>
      <c r="B5715" s="73"/>
      <c r="C5715" s="73"/>
      <c r="D5715" s="73"/>
      <c r="E5715" s="73"/>
      <c r="F5715" s="121"/>
      <c r="G5715" s="121"/>
      <c r="H5715" s="121"/>
    </row>
    <row r="5716" spans="1:8" s="65" customFormat="1">
      <c r="A5716" s="128"/>
      <c r="B5716" s="141"/>
      <c r="C5716" s="141"/>
      <c r="D5716" s="141"/>
      <c r="E5716" s="141"/>
      <c r="F5716" s="141"/>
      <c r="G5716" s="141"/>
      <c r="H5716" s="121"/>
    </row>
    <row r="5717" spans="1:8" s="65" customFormat="1">
      <c r="A5717" s="150"/>
      <c r="B5717" s="84"/>
      <c r="C5717" s="148"/>
      <c r="D5717" s="84"/>
      <c r="E5717" s="84"/>
      <c r="F5717" s="84"/>
      <c r="G5717" s="154"/>
      <c r="H5717" s="121"/>
    </row>
    <row r="5718" spans="1:8" s="65" customFormat="1">
      <c r="A5718" s="150"/>
      <c r="B5718" s="84"/>
      <c r="C5718" s="148"/>
      <c r="D5718" s="84"/>
      <c r="E5718" s="84"/>
      <c r="F5718" s="84"/>
      <c r="G5718" s="154"/>
      <c r="H5718" s="145"/>
    </row>
    <row r="5719" spans="1:8" s="65" customFormat="1">
      <c r="A5719" s="84"/>
      <c r="B5719" s="83"/>
      <c r="C5719" s="84"/>
      <c r="D5719" s="84"/>
      <c r="E5719" s="84"/>
      <c r="G5719" s="104"/>
      <c r="H5719" s="140"/>
    </row>
    <row r="5720" spans="1:8" s="65" customFormat="1">
      <c r="A5720" s="120"/>
      <c r="B5720" s="73"/>
      <c r="C5720" s="73"/>
      <c r="D5720" s="73"/>
      <c r="E5720" s="73"/>
      <c r="G5720" s="121"/>
      <c r="H5720" s="140"/>
    </row>
    <row r="5721" spans="1:8" s="65" customFormat="1">
      <c r="A5721" s="128"/>
      <c r="B5721" s="141"/>
      <c r="C5721" s="141"/>
      <c r="D5721" s="141"/>
      <c r="E5721" s="141"/>
      <c r="F5721" s="141"/>
      <c r="G5721" s="141"/>
      <c r="H5721" s="140"/>
    </row>
    <row r="5722" spans="1:8" s="65" customFormat="1">
      <c r="A5722" s="150"/>
      <c r="B5722" s="83"/>
      <c r="C5722" s="148"/>
      <c r="D5722" s="84"/>
      <c r="E5722" s="84"/>
      <c r="F5722" s="84"/>
      <c r="G5722" s="154"/>
      <c r="H5722" s="140"/>
    </row>
    <row r="5723" spans="1:8" s="65" customFormat="1">
      <c r="A5723" s="150"/>
      <c r="B5723" s="83"/>
      <c r="C5723" s="148"/>
      <c r="D5723" s="84"/>
      <c r="E5723" s="84"/>
      <c r="F5723" s="84"/>
      <c r="G5723" s="154"/>
      <c r="H5723" s="140"/>
    </row>
    <row r="5724" spans="1:8" s="65" customFormat="1">
      <c r="A5724" s="150"/>
      <c r="B5724" s="83"/>
      <c r="C5724" s="148"/>
      <c r="D5724" s="84"/>
      <c r="E5724" s="84"/>
      <c r="F5724" s="84"/>
      <c r="G5724" s="154"/>
      <c r="H5724" s="140"/>
    </row>
    <row r="5725" spans="1:8" s="65" customFormat="1">
      <c r="A5725" s="150"/>
      <c r="B5725" s="83"/>
      <c r="C5725" s="148"/>
      <c r="D5725" s="84"/>
      <c r="E5725" s="84"/>
      <c r="F5725" s="84"/>
      <c r="G5725" s="154"/>
      <c r="H5725" s="140"/>
    </row>
    <row r="5726" spans="1:8" s="65" customFormat="1">
      <c r="A5726" s="150"/>
      <c r="B5726" s="83"/>
      <c r="C5726" s="148"/>
      <c r="D5726" s="84"/>
      <c r="E5726" s="84"/>
      <c r="F5726" s="84"/>
      <c r="G5726" s="154"/>
      <c r="H5726" s="145"/>
    </row>
    <row r="5727" spans="1:8" s="65" customFormat="1">
      <c r="A5727" s="91"/>
      <c r="B5727" s="91"/>
      <c r="C5727" s="91"/>
      <c r="D5727" s="91"/>
      <c r="E5727" s="91"/>
      <c r="G5727" s="104"/>
      <c r="H5727" s="140"/>
    </row>
    <row r="5728" spans="1:8" s="65" customFormat="1">
      <c r="A5728" s="120"/>
      <c r="B5728" s="73"/>
      <c r="C5728" s="73"/>
      <c r="D5728" s="73"/>
      <c r="E5728" s="73"/>
      <c r="G5728" s="121"/>
      <c r="H5728" s="140"/>
    </row>
    <row r="5729" spans="1:9" s="65" customFormat="1">
      <c r="A5729" s="128"/>
      <c r="B5729" s="141"/>
      <c r="C5729" s="141"/>
      <c r="D5729" s="141"/>
      <c r="E5729" s="141"/>
      <c r="F5729" s="141"/>
      <c r="G5729" s="141"/>
      <c r="H5729" s="140"/>
    </row>
    <row r="5730" spans="1:9" s="65" customFormat="1">
      <c r="A5730" s="146"/>
      <c r="B5730" s="83"/>
      <c r="C5730" s="148"/>
      <c r="D5730" s="84"/>
      <c r="E5730" s="84"/>
      <c r="F5730" s="84"/>
      <c r="G5730" s="144"/>
      <c r="H5730" s="145"/>
    </row>
    <row r="5731" spans="1:9" s="65" customFormat="1">
      <c r="A5731" s="91"/>
      <c r="B5731" s="91"/>
      <c r="C5731" s="91"/>
      <c r="D5731" s="91"/>
      <c r="E5731" s="91"/>
      <c r="G5731" s="104"/>
      <c r="H5731" s="140"/>
    </row>
    <row r="5732" spans="1:9" s="65" customFormat="1">
      <c r="A5732" s="120"/>
      <c r="B5732" s="73"/>
      <c r="C5732" s="73"/>
      <c r="D5732" s="73"/>
      <c r="E5732" s="73"/>
      <c r="G5732" s="121"/>
      <c r="H5732" s="140"/>
    </row>
    <row r="5733" spans="1:9" s="65" customFormat="1">
      <c r="A5733" s="128"/>
      <c r="B5733" s="141"/>
      <c r="C5733" s="141"/>
      <c r="D5733" s="141"/>
      <c r="E5733" s="141"/>
      <c r="F5733" s="141"/>
      <c r="G5733" s="141"/>
      <c r="H5733" s="140"/>
    </row>
    <row r="5734" spans="1:9" s="65" customFormat="1">
      <c r="A5734" s="142"/>
      <c r="B5734" s="143"/>
      <c r="C5734" s="143"/>
      <c r="D5734" s="143"/>
      <c r="E5734" s="143"/>
      <c r="F5734" s="84"/>
      <c r="G5734" s="144"/>
      <c r="H5734" s="145"/>
    </row>
    <row r="5735" spans="1:9" s="65" customFormat="1">
      <c r="A5735" s="123"/>
      <c r="B5735" s="95"/>
      <c r="C5735" s="95"/>
      <c r="D5735" s="95"/>
      <c r="E5735" s="95"/>
      <c r="G5735" s="104"/>
      <c r="H5735" s="121"/>
    </row>
    <row r="5736" spans="1:9" s="65" customFormat="1">
      <c r="A5736" s="123"/>
      <c r="B5736" s="95"/>
      <c r="C5736" s="95"/>
      <c r="D5736" s="95"/>
      <c r="E5736" s="95"/>
      <c r="G5736" s="121"/>
      <c r="H5736" s="133"/>
    </row>
    <row r="5737" spans="1:9" s="65" customFormat="1">
      <c r="B5737" s="97"/>
      <c r="C5737" s="98"/>
      <c r="D5737" s="98"/>
      <c r="E5737" s="98"/>
      <c r="G5737" s="128"/>
    </row>
    <row r="5738" spans="1:9" s="65" customFormat="1">
      <c r="B5738" s="97"/>
      <c r="C5738" s="98"/>
      <c r="D5738" s="98"/>
      <c r="E5738" s="98"/>
      <c r="F5738" s="128"/>
      <c r="G5738" s="133"/>
      <c r="H5738" s="134"/>
    </row>
    <row r="5739" spans="1:9" s="65" customFormat="1">
      <c r="A5739" s="633"/>
      <c r="B5739" s="633"/>
      <c r="C5739" s="633"/>
      <c r="D5739" s="633"/>
      <c r="E5739" s="633"/>
      <c r="F5739" s="633"/>
      <c r="G5739" s="633"/>
    </row>
    <row r="5740" spans="1:9" s="65" customFormat="1">
      <c r="H5740" s="138"/>
      <c r="I5740" s="151"/>
    </row>
    <row r="5741" spans="1:9" s="65" customFormat="1">
      <c r="A5741" s="645"/>
      <c r="B5741" s="138"/>
      <c r="C5741" s="138"/>
      <c r="D5741" s="138"/>
      <c r="E5741" s="138"/>
      <c r="F5741" s="138"/>
      <c r="G5741" s="138"/>
      <c r="H5741" s="138"/>
      <c r="I5741" s="152"/>
    </row>
    <row r="5742" spans="1:9" s="65" customFormat="1">
      <c r="A5742" s="645"/>
      <c r="B5742" s="138"/>
      <c r="C5742" s="138"/>
      <c r="D5742" s="138"/>
      <c r="E5742" s="138"/>
      <c r="F5742" s="138"/>
      <c r="G5742" s="138"/>
    </row>
    <row r="5743" spans="1:9" s="65" customFormat="1">
      <c r="A5743" s="69"/>
      <c r="B5743" s="69"/>
      <c r="C5743" s="69"/>
      <c r="D5743" s="69"/>
      <c r="E5743" s="69"/>
    </row>
    <row r="5744" spans="1:9" s="65" customFormat="1">
      <c r="A5744" s="120"/>
      <c r="B5744" s="73"/>
      <c r="C5744" s="73"/>
      <c r="D5744" s="73"/>
      <c r="E5744" s="73"/>
      <c r="F5744" s="121"/>
      <c r="G5744" s="121"/>
      <c r="H5744" s="121"/>
    </row>
    <row r="5745" spans="1:8" s="65" customFormat="1">
      <c r="A5745" s="128"/>
      <c r="B5745" s="141"/>
      <c r="C5745" s="141"/>
      <c r="D5745" s="141"/>
      <c r="E5745" s="141"/>
      <c r="F5745" s="141"/>
      <c r="G5745" s="141"/>
      <c r="H5745" s="121"/>
    </row>
    <row r="5746" spans="1:8" s="65" customFormat="1">
      <c r="A5746" s="150"/>
      <c r="B5746" s="84"/>
      <c r="C5746" s="148"/>
      <c r="D5746" s="84"/>
      <c r="E5746" s="84"/>
      <c r="F5746" s="84"/>
      <c r="G5746" s="144"/>
      <c r="H5746" s="145"/>
    </row>
    <row r="5747" spans="1:8" s="65" customFormat="1">
      <c r="A5747" s="84"/>
      <c r="B5747" s="83"/>
      <c r="C5747" s="84"/>
      <c r="D5747" s="84"/>
      <c r="E5747" s="84"/>
      <c r="G5747" s="104"/>
      <c r="H5747" s="140"/>
    </row>
    <row r="5748" spans="1:8" s="65" customFormat="1">
      <c r="A5748" s="120"/>
      <c r="B5748" s="73"/>
      <c r="C5748" s="73"/>
      <c r="D5748" s="73"/>
      <c r="E5748" s="73"/>
      <c r="G5748" s="121"/>
      <c r="H5748" s="140"/>
    </row>
    <row r="5749" spans="1:8" s="65" customFormat="1">
      <c r="A5749" s="128"/>
      <c r="B5749" s="141"/>
      <c r="C5749" s="141"/>
      <c r="D5749" s="141"/>
      <c r="E5749" s="141"/>
      <c r="F5749" s="141"/>
      <c r="G5749" s="141"/>
      <c r="H5749" s="140"/>
    </row>
    <row r="5750" spans="1:8" s="65" customFormat="1">
      <c r="A5750" s="150"/>
      <c r="B5750" s="171"/>
      <c r="C5750" s="148"/>
      <c r="D5750" s="160"/>
      <c r="E5750" s="84"/>
      <c r="F5750" s="84"/>
      <c r="G5750" s="144"/>
      <c r="H5750" s="145"/>
    </row>
    <row r="5751" spans="1:8" s="65" customFormat="1">
      <c r="A5751" s="91"/>
      <c r="B5751" s="91"/>
      <c r="C5751" s="91"/>
      <c r="D5751" s="91"/>
      <c r="E5751" s="91"/>
      <c r="G5751" s="104"/>
      <c r="H5751" s="140"/>
    </row>
    <row r="5752" spans="1:8" s="65" customFormat="1">
      <c r="A5752" s="120"/>
      <c r="B5752" s="73"/>
      <c r="C5752" s="73"/>
      <c r="D5752" s="73"/>
      <c r="E5752" s="73"/>
      <c r="G5752" s="121"/>
      <c r="H5752" s="140"/>
    </row>
    <row r="5753" spans="1:8" s="65" customFormat="1">
      <c r="A5753" s="128"/>
      <c r="B5753" s="141"/>
      <c r="C5753" s="141"/>
      <c r="D5753" s="141"/>
      <c r="E5753" s="141"/>
      <c r="F5753" s="141"/>
      <c r="G5753" s="141"/>
      <c r="H5753" s="140"/>
    </row>
    <row r="5754" spans="1:8" s="65" customFormat="1">
      <c r="A5754" s="150"/>
      <c r="B5754" s="84"/>
      <c r="C5754" s="148"/>
      <c r="D5754" s="84"/>
      <c r="E5754" s="84"/>
      <c r="F5754" s="84"/>
      <c r="G5754" s="144"/>
      <c r="H5754" s="145"/>
    </row>
    <row r="5755" spans="1:8" s="65" customFormat="1">
      <c r="A5755" s="91"/>
      <c r="B5755" s="91"/>
      <c r="C5755" s="91"/>
      <c r="D5755" s="91"/>
      <c r="E5755" s="91"/>
      <c r="G5755" s="104"/>
      <c r="H5755" s="140"/>
    </row>
    <row r="5756" spans="1:8" s="65" customFormat="1">
      <c r="A5756" s="120"/>
      <c r="B5756" s="73"/>
      <c r="C5756" s="73"/>
      <c r="D5756" s="73"/>
      <c r="E5756" s="73"/>
      <c r="G5756" s="121"/>
      <c r="H5756" s="140"/>
    </row>
    <row r="5757" spans="1:8" s="65" customFormat="1">
      <c r="A5757" s="128"/>
      <c r="B5757" s="141"/>
      <c r="C5757" s="141"/>
      <c r="D5757" s="141"/>
      <c r="E5757" s="141"/>
      <c r="F5757" s="141"/>
      <c r="G5757" s="141"/>
      <c r="H5757" s="140"/>
    </row>
    <row r="5758" spans="1:8" s="65" customFormat="1">
      <c r="A5758" s="142"/>
      <c r="B5758" s="143"/>
      <c r="C5758" s="143"/>
      <c r="D5758" s="143"/>
      <c r="E5758" s="143"/>
      <c r="F5758" s="84"/>
      <c r="G5758" s="144"/>
      <c r="H5758" s="145"/>
    </row>
    <row r="5759" spans="1:8" s="65" customFormat="1">
      <c r="A5759" s="123"/>
      <c r="B5759" s="95"/>
      <c r="C5759" s="95"/>
      <c r="D5759" s="95"/>
      <c r="E5759" s="95"/>
      <c r="G5759" s="104"/>
      <c r="H5759" s="121"/>
    </row>
    <row r="5760" spans="1:8" s="65" customFormat="1">
      <c r="A5760" s="123"/>
      <c r="B5760" s="95"/>
      <c r="C5760" s="95"/>
      <c r="D5760" s="95"/>
      <c r="E5760" s="95"/>
      <c r="G5760" s="121"/>
      <c r="H5760" s="133"/>
    </row>
    <row r="5761" spans="1:9" s="65" customFormat="1">
      <c r="B5761" s="97"/>
      <c r="C5761" s="98"/>
      <c r="D5761" s="98"/>
      <c r="E5761" s="98"/>
      <c r="G5761" s="128"/>
    </row>
    <row r="5762" spans="1:9" s="65" customFormat="1">
      <c r="B5762" s="97"/>
      <c r="C5762" s="98"/>
      <c r="D5762" s="98"/>
      <c r="E5762" s="98"/>
      <c r="F5762" s="128"/>
      <c r="G5762" s="133"/>
      <c r="H5762" s="134"/>
    </row>
    <row r="5763" spans="1:9" s="65" customFormat="1">
      <c r="A5763" s="633"/>
      <c r="B5763" s="633"/>
      <c r="C5763" s="633"/>
      <c r="D5763" s="633"/>
      <c r="E5763" s="633"/>
      <c r="F5763" s="633"/>
      <c r="G5763" s="633"/>
    </row>
    <row r="5764" spans="1:9" s="65" customFormat="1">
      <c r="H5764" s="138"/>
      <c r="I5764" s="151"/>
    </row>
    <row r="5765" spans="1:9" s="65" customFormat="1">
      <c r="A5765" s="645"/>
      <c r="B5765" s="138"/>
      <c r="C5765" s="138"/>
      <c r="D5765" s="138"/>
      <c r="E5765" s="138"/>
      <c r="F5765" s="138"/>
      <c r="G5765" s="138"/>
      <c r="H5765" s="138"/>
      <c r="I5765" s="152"/>
    </row>
    <row r="5766" spans="1:9" s="65" customFormat="1">
      <c r="A5766" s="645"/>
      <c r="B5766" s="138"/>
      <c r="C5766" s="138"/>
      <c r="D5766" s="138"/>
      <c r="E5766" s="138"/>
      <c r="F5766" s="138"/>
      <c r="G5766" s="138"/>
    </row>
    <row r="5767" spans="1:9" s="65" customFormat="1">
      <c r="A5767" s="69"/>
      <c r="B5767" s="69"/>
      <c r="C5767" s="69"/>
      <c r="D5767" s="69"/>
      <c r="E5767" s="69"/>
    </row>
    <row r="5768" spans="1:9" s="65" customFormat="1">
      <c r="A5768" s="120"/>
      <c r="B5768" s="73"/>
      <c r="C5768" s="73"/>
      <c r="D5768" s="73"/>
      <c r="E5768" s="73"/>
      <c r="F5768" s="121"/>
      <c r="G5768" s="121"/>
      <c r="H5768" s="121"/>
    </row>
    <row r="5769" spans="1:9" s="65" customFormat="1">
      <c r="A5769" s="128"/>
      <c r="B5769" s="141"/>
      <c r="C5769" s="141"/>
      <c r="D5769" s="141"/>
      <c r="E5769" s="141"/>
      <c r="F5769" s="141"/>
      <c r="G5769" s="141"/>
      <c r="H5769" s="121"/>
    </row>
    <row r="5770" spans="1:9" s="65" customFormat="1">
      <c r="A5770" s="150"/>
      <c r="B5770" s="84"/>
      <c r="C5770" s="148"/>
      <c r="D5770" s="84"/>
      <c r="E5770" s="84"/>
      <c r="F5770" s="84"/>
      <c r="G5770" s="144"/>
      <c r="H5770" s="145"/>
    </row>
    <row r="5771" spans="1:9" s="65" customFormat="1">
      <c r="A5771" s="84"/>
      <c r="B5771" s="83"/>
      <c r="C5771" s="84"/>
      <c r="D5771" s="84"/>
      <c r="E5771" s="84"/>
      <c r="G5771" s="104"/>
      <c r="H5771" s="140"/>
    </row>
    <row r="5772" spans="1:9" s="65" customFormat="1">
      <c r="A5772" s="120"/>
      <c r="B5772" s="73"/>
      <c r="C5772" s="73"/>
      <c r="D5772" s="73"/>
      <c r="E5772" s="73"/>
      <c r="G5772" s="121"/>
      <c r="H5772" s="140"/>
    </row>
    <row r="5773" spans="1:9" s="65" customFormat="1">
      <c r="A5773" s="128"/>
      <c r="B5773" s="141"/>
      <c r="C5773" s="141"/>
      <c r="D5773" s="141"/>
      <c r="E5773" s="141"/>
      <c r="F5773" s="141"/>
      <c r="G5773" s="141"/>
      <c r="H5773" s="140"/>
    </row>
    <row r="5774" spans="1:9" s="65" customFormat="1">
      <c r="A5774" s="150"/>
      <c r="B5774" s="171"/>
      <c r="C5774" s="148"/>
      <c r="D5774" s="160"/>
      <c r="E5774" s="84"/>
      <c r="F5774" s="84"/>
      <c r="G5774" s="144"/>
      <c r="H5774" s="145"/>
    </row>
    <row r="5775" spans="1:9" s="65" customFormat="1">
      <c r="A5775" s="91"/>
      <c r="B5775" s="91"/>
      <c r="C5775" s="91"/>
      <c r="D5775" s="91"/>
      <c r="E5775" s="91"/>
      <c r="G5775" s="104"/>
      <c r="H5775" s="140"/>
    </row>
    <row r="5776" spans="1:9" s="65" customFormat="1">
      <c r="A5776" s="120"/>
      <c r="B5776" s="73"/>
      <c r="C5776" s="73"/>
      <c r="D5776" s="73"/>
      <c r="E5776" s="73"/>
      <c r="G5776" s="121"/>
      <c r="H5776" s="140"/>
    </row>
    <row r="5777" spans="1:9" s="65" customFormat="1">
      <c r="A5777" s="128"/>
      <c r="B5777" s="141"/>
      <c r="C5777" s="141"/>
      <c r="D5777" s="141"/>
      <c r="E5777" s="141"/>
      <c r="F5777" s="141"/>
      <c r="G5777" s="141"/>
      <c r="H5777" s="140"/>
    </row>
    <row r="5778" spans="1:9" s="65" customFormat="1">
      <c r="A5778" s="150"/>
      <c r="B5778" s="84"/>
      <c r="C5778" s="148"/>
      <c r="D5778" s="84"/>
      <c r="E5778" s="84"/>
      <c r="F5778" s="84"/>
      <c r="G5778" s="144"/>
      <c r="H5778" s="145"/>
    </row>
    <row r="5779" spans="1:9" s="65" customFormat="1">
      <c r="A5779" s="91"/>
      <c r="B5779" s="91"/>
      <c r="C5779" s="91"/>
      <c r="D5779" s="91"/>
      <c r="E5779" s="91"/>
      <c r="G5779" s="104"/>
      <c r="H5779" s="140"/>
    </row>
    <row r="5780" spans="1:9" s="65" customFormat="1">
      <c r="A5780" s="120"/>
      <c r="B5780" s="73"/>
      <c r="C5780" s="73"/>
      <c r="D5780" s="73"/>
      <c r="E5780" s="73"/>
      <c r="G5780" s="121"/>
      <c r="H5780" s="140"/>
    </row>
    <row r="5781" spans="1:9" s="65" customFormat="1">
      <c r="A5781" s="128"/>
      <c r="B5781" s="141"/>
      <c r="C5781" s="141"/>
      <c r="D5781" s="141"/>
      <c r="E5781" s="141"/>
      <c r="F5781" s="141"/>
      <c r="G5781" s="141"/>
      <c r="H5781" s="140"/>
    </row>
    <row r="5782" spans="1:9" s="65" customFormat="1">
      <c r="A5782" s="142"/>
      <c r="B5782" s="143"/>
      <c r="C5782" s="143"/>
      <c r="D5782" s="143"/>
      <c r="E5782" s="143"/>
      <c r="F5782" s="84"/>
      <c r="G5782" s="144"/>
      <c r="H5782" s="145"/>
    </row>
    <row r="5783" spans="1:9" s="65" customFormat="1">
      <c r="A5783" s="123"/>
      <c r="B5783" s="95"/>
      <c r="C5783" s="95"/>
      <c r="D5783" s="95"/>
      <c r="E5783" s="95"/>
      <c r="G5783" s="104"/>
      <c r="H5783" s="121"/>
    </row>
    <row r="5784" spans="1:9" s="65" customFormat="1">
      <c r="A5784" s="123"/>
      <c r="B5784" s="95"/>
      <c r="C5784" s="95"/>
      <c r="D5784" s="95"/>
      <c r="E5784" s="95"/>
      <c r="G5784" s="121"/>
      <c r="H5784" s="133"/>
    </row>
    <row r="5785" spans="1:9" s="65" customFormat="1">
      <c r="B5785" s="97"/>
      <c r="C5785" s="98"/>
      <c r="D5785" s="98"/>
      <c r="E5785" s="98"/>
      <c r="G5785" s="128"/>
    </row>
    <row r="5786" spans="1:9" s="65" customFormat="1">
      <c r="B5786" s="97"/>
      <c r="C5786" s="98"/>
      <c r="D5786" s="98"/>
      <c r="E5786" s="98"/>
      <c r="F5786" s="128"/>
      <c r="G5786" s="133"/>
      <c r="H5786" s="134"/>
    </row>
    <row r="5787" spans="1:9" s="65" customFormat="1">
      <c r="A5787" s="633"/>
      <c r="B5787" s="633"/>
      <c r="C5787" s="633"/>
      <c r="D5787" s="633"/>
      <c r="E5787" s="633"/>
      <c r="F5787" s="633"/>
      <c r="G5787" s="633"/>
    </row>
    <row r="5788" spans="1:9" s="65" customFormat="1">
      <c r="H5788" s="138"/>
      <c r="I5788" s="151"/>
    </row>
    <row r="5789" spans="1:9" s="65" customFormat="1">
      <c r="A5789" s="645"/>
      <c r="B5789" s="138"/>
      <c r="C5789" s="138"/>
      <c r="D5789" s="138"/>
      <c r="E5789" s="138"/>
      <c r="F5789" s="138"/>
      <c r="G5789" s="138"/>
      <c r="H5789" s="138"/>
      <c r="I5789" s="152"/>
    </row>
    <row r="5790" spans="1:9" s="65" customFormat="1">
      <c r="A5790" s="645"/>
      <c r="B5790" s="138"/>
      <c r="C5790" s="138"/>
      <c r="D5790" s="138"/>
      <c r="E5790" s="138"/>
      <c r="F5790" s="138"/>
      <c r="G5790" s="138"/>
    </row>
    <row r="5791" spans="1:9" s="65" customFormat="1">
      <c r="A5791" s="69"/>
      <c r="B5791" s="69"/>
      <c r="C5791" s="69"/>
      <c r="D5791" s="69"/>
      <c r="E5791" s="69"/>
    </row>
    <row r="5792" spans="1:9" s="65" customFormat="1">
      <c r="A5792" s="120"/>
      <c r="B5792" s="73"/>
      <c r="C5792" s="73"/>
      <c r="D5792" s="73"/>
      <c r="E5792" s="73"/>
      <c r="F5792" s="121"/>
      <c r="G5792" s="121"/>
      <c r="H5792" s="121"/>
    </row>
    <row r="5793" spans="1:8" s="65" customFormat="1">
      <c r="A5793" s="128"/>
      <c r="B5793" s="141"/>
      <c r="C5793" s="141"/>
      <c r="D5793" s="141"/>
      <c r="E5793" s="141"/>
      <c r="F5793" s="141"/>
      <c r="G5793" s="141"/>
      <c r="H5793" s="121"/>
    </row>
    <row r="5794" spans="1:8" s="65" customFormat="1">
      <c r="A5794" s="142"/>
      <c r="B5794" s="143"/>
      <c r="C5794" s="143"/>
      <c r="D5794" s="143"/>
      <c r="E5794" s="143"/>
      <c r="F5794" s="84"/>
      <c r="G5794" s="144"/>
      <c r="H5794" s="145"/>
    </row>
    <row r="5795" spans="1:8" s="65" customFormat="1">
      <c r="A5795" s="84"/>
      <c r="B5795" s="83"/>
      <c r="C5795" s="84"/>
      <c r="D5795" s="84"/>
      <c r="E5795" s="84"/>
      <c r="G5795" s="104"/>
      <c r="H5795" s="140"/>
    </row>
    <row r="5796" spans="1:8" s="65" customFormat="1">
      <c r="A5796" s="120"/>
      <c r="B5796" s="73"/>
      <c r="C5796" s="73"/>
      <c r="D5796" s="73"/>
      <c r="E5796" s="73"/>
      <c r="G5796" s="121"/>
      <c r="H5796" s="140"/>
    </row>
    <row r="5797" spans="1:8" s="65" customFormat="1">
      <c r="A5797" s="128"/>
      <c r="B5797" s="141"/>
      <c r="C5797" s="141"/>
      <c r="D5797" s="141"/>
      <c r="E5797" s="141"/>
      <c r="F5797" s="141"/>
      <c r="G5797" s="141"/>
      <c r="H5797" s="140"/>
    </row>
    <row r="5798" spans="1:8" s="65" customFormat="1">
      <c r="A5798" s="150"/>
      <c r="B5798" s="83"/>
      <c r="C5798" s="148"/>
      <c r="D5798" s="160"/>
      <c r="E5798" s="84"/>
      <c r="F5798" s="84"/>
      <c r="G5798" s="144"/>
      <c r="H5798" s="145"/>
    </row>
    <row r="5799" spans="1:8" s="65" customFormat="1">
      <c r="A5799" s="91"/>
      <c r="B5799" s="91"/>
      <c r="C5799" s="91"/>
      <c r="D5799" s="91"/>
      <c r="E5799" s="91"/>
      <c r="G5799" s="104"/>
      <c r="H5799" s="140"/>
    </row>
    <row r="5800" spans="1:8" s="65" customFormat="1">
      <c r="A5800" s="120"/>
      <c r="B5800" s="73"/>
      <c r="C5800" s="73"/>
      <c r="D5800" s="73"/>
      <c r="E5800" s="73"/>
      <c r="G5800" s="121"/>
      <c r="H5800" s="140"/>
    </row>
    <row r="5801" spans="1:8" s="65" customFormat="1">
      <c r="A5801" s="128"/>
      <c r="B5801" s="141"/>
      <c r="C5801" s="141"/>
      <c r="D5801" s="141"/>
      <c r="E5801" s="141"/>
      <c r="F5801" s="141"/>
      <c r="G5801" s="141"/>
      <c r="H5801" s="140"/>
    </row>
    <row r="5802" spans="1:8" s="65" customFormat="1">
      <c r="A5802" s="142"/>
      <c r="B5802" s="143"/>
      <c r="C5802" s="143"/>
      <c r="D5802" s="143"/>
      <c r="E5802" s="143"/>
      <c r="F5802" s="84"/>
      <c r="G5802" s="144"/>
      <c r="H5802" s="145"/>
    </row>
    <row r="5803" spans="1:8" s="65" customFormat="1">
      <c r="A5803" s="91"/>
      <c r="B5803" s="91"/>
      <c r="C5803" s="91"/>
      <c r="D5803" s="91"/>
      <c r="E5803" s="91"/>
      <c r="G5803" s="104"/>
      <c r="H5803" s="140"/>
    </row>
    <row r="5804" spans="1:8" s="65" customFormat="1">
      <c r="A5804" s="120"/>
      <c r="B5804" s="73"/>
      <c r="C5804" s="73"/>
      <c r="D5804" s="73"/>
      <c r="E5804" s="73"/>
      <c r="G5804" s="121"/>
      <c r="H5804" s="140"/>
    </row>
    <row r="5805" spans="1:8" s="65" customFormat="1">
      <c r="A5805" s="128"/>
      <c r="B5805" s="141"/>
      <c r="C5805" s="141"/>
      <c r="D5805" s="141"/>
      <c r="E5805" s="141"/>
      <c r="F5805" s="141"/>
      <c r="G5805" s="141"/>
      <c r="H5805" s="140"/>
    </row>
    <row r="5806" spans="1:8" s="65" customFormat="1">
      <c r="A5806" s="142"/>
      <c r="B5806" s="143"/>
      <c r="C5806" s="143"/>
      <c r="D5806" s="143"/>
      <c r="E5806" s="143"/>
      <c r="F5806" s="84"/>
      <c r="G5806" s="144"/>
      <c r="H5806" s="145"/>
    </row>
    <row r="5807" spans="1:8" s="65" customFormat="1">
      <c r="A5807" s="123"/>
      <c r="B5807" s="95"/>
      <c r="C5807" s="95"/>
      <c r="D5807" s="95"/>
      <c r="E5807" s="95"/>
      <c r="G5807" s="104"/>
      <c r="H5807" s="121"/>
    </row>
    <row r="5808" spans="1:8" s="65" customFormat="1">
      <c r="A5808" s="123"/>
      <c r="B5808" s="95"/>
      <c r="C5808" s="95"/>
      <c r="D5808" s="95"/>
      <c r="E5808" s="95"/>
      <c r="G5808" s="121"/>
      <c r="H5808" s="133"/>
    </row>
    <row r="5809" spans="1:9" s="65" customFormat="1">
      <c r="B5809" s="97"/>
      <c r="C5809" s="98"/>
      <c r="D5809" s="98"/>
      <c r="E5809" s="98"/>
      <c r="G5809" s="128"/>
    </row>
    <row r="5810" spans="1:9" s="65" customFormat="1">
      <c r="B5810" s="97"/>
      <c r="C5810" s="98"/>
      <c r="D5810" s="98"/>
      <c r="E5810" s="98"/>
      <c r="F5810" s="128"/>
      <c r="G5810" s="133"/>
      <c r="H5810" s="134"/>
    </row>
    <row r="5811" spans="1:9" s="65" customFormat="1">
      <c r="A5811" s="633"/>
      <c r="B5811" s="633"/>
      <c r="C5811" s="633"/>
      <c r="D5811" s="633"/>
      <c r="E5811" s="633"/>
      <c r="F5811" s="633"/>
      <c r="G5811" s="633"/>
    </row>
    <row r="5812" spans="1:9" s="65" customFormat="1">
      <c r="H5812" s="138"/>
      <c r="I5812" s="151"/>
    </row>
    <row r="5813" spans="1:9" s="65" customFormat="1">
      <c r="A5813" s="645"/>
      <c r="B5813" s="138"/>
      <c r="C5813" s="138"/>
      <c r="D5813" s="138"/>
      <c r="E5813" s="138"/>
      <c r="F5813" s="138"/>
      <c r="G5813" s="138"/>
      <c r="H5813" s="138"/>
      <c r="I5813" s="152"/>
    </row>
    <row r="5814" spans="1:9" s="65" customFormat="1">
      <c r="A5814" s="645"/>
      <c r="B5814" s="138"/>
      <c r="C5814" s="138"/>
      <c r="D5814" s="138"/>
      <c r="E5814" s="138"/>
      <c r="F5814" s="138"/>
      <c r="G5814" s="138"/>
    </row>
    <row r="5815" spans="1:9" s="65" customFormat="1">
      <c r="A5815" s="69"/>
      <c r="B5815" s="69"/>
      <c r="C5815" s="69"/>
      <c r="D5815" s="69"/>
      <c r="E5815" s="69"/>
    </row>
    <row r="5816" spans="1:9" s="65" customFormat="1">
      <c r="A5816" s="120"/>
      <c r="B5816" s="73"/>
      <c r="C5816" s="73"/>
      <c r="D5816" s="73"/>
      <c r="E5816" s="73"/>
      <c r="F5816" s="121"/>
      <c r="G5816" s="121"/>
      <c r="H5816" s="121"/>
    </row>
    <row r="5817" spans="1:9" s="65" customFormat="1">
      <c r="A5817" s="128"/>
      <c r="B5817" s="141"/>
      <c r="C5817" s="141"/>
      <c r="D5817" s="141"/>
      <c r="E5817" s="141"/>
      <c r="F5817" s="141"/>
      <c r="G5817" s="141"/>
      <c r="H5817" s="121"/>
    </row>
    <row r="5818" spans="1:9" s="65" customFormat="1">
      <c r="A5818" s="142"/>
      <c r="B5818" s="143"/>
      <c r="C5818" s="143"/>
      <c r="D5818" s="143"/>
      <c r="E5818" s="143"/>
      <c r="F5818" s="84"/>
      <c r="G5818" s="144"/>
      <c r="H5818" s="145"/>
    </row>
    <row r="5819" spans="1:9" s="65" customFormat="1">
      <c r="A5819" s="84"/>
      <c r="B5819" s="83"/>
      <c r="C5819" s="84"/>
      <c r="D5819" s="84"/>
      <c r="E5819" s="84"/>
      <c r="G5819" s="104"/>
      <c r="H5819" s="140"/>
    </row>
    <row r="5820" spans="1:9" s="65" customFormat="1">
      <c r="A5820" s="120"/>
      <c r="B5820" s="73"/>
      <c r="C5820" s="73"/>
      <c r="D5820" s="73"/>
      <c r="E5820" s="73"/>
      <c r="G5820" s="121"/>
      <c r="H5820" s="140"/>
    </row>
    <row r="5821" spans="1:9" s="65" customFormat="1">
      <c r="A5821" s="128"/>
      <c r="B5821" s="141"/>
      <c r="C5821" s="141"/>
      <c r="D5821" s="141"/>
      <c r="E5821" s="141"/>
      <c r="F5821" s="141"/>
      <c r="G5821" s="141"/>
      <c r="H5821" s="140"/>
    </row>
    <row r="5822" spans="1:9" s="65" customFormat="1">
      <c r="A5822" s="150"/>
      <c r="B5822" s="83"/>
      <c r="C5822" s="148"/>
      <c r="D5822" s="160"/>
      <c r="E5822" s="84"/>
      <c r="F5822" s="84"/>
      <c r="G5822" s="144"/>
      <c r="H5822" s="145"/>
    </row>
    <row r="5823" spans="1:9" s="65" customFormat="1">
      <c r="A5823" s="91"/>
      <c r="B5823" s="91"/>
      <c r="C5823" s="91"/>
      <c r="D5823" s="91"/>
      <c r="E5823" s="91"/>
      <c r="G5823" s="104"/>
      <c r="H5823" s="140"/>
    </row>
    <row r="5824" spans="1:9" s="65" customFormat="1">
      <c r="A5824" s="120"/>
      <c r="B5824" s="73"/>
      <c r="C5824" s="73"/>
      <c r="D5824" s="73"/>
      <c r="E5824" s="73"/>
      <c r="G5824" s="121"/>
      <c r="H5824" s="140"/>
    </row>
    <row r="5825" spans="1:9" s="65" customFormat="1">
      <c r="A5825" s="128"/>
      <c r="B5825" s="141"/>
      <c r="C5825" s="141"/>
      <c r="D5825" s="141"/>
      <c r="E5825" s="141"/>
      <c r="F5825" s="141"/>
      <c r="G5825" s="141"/>
      <c r="H5825" s="140"/>
    </row>
    <row r="5826" spans="1:9" s="65" customFormat="1">
      <c r="A5826" s="142"/>
      <c r="B5826" s="143"/>
      <c r="C5826" s="143"/>
      <c r="D5826" s="143"/>
      <c r="E5826" s="143"/>
      <c r="F5826" s="84"/>
      <c r="G5826" s="144"/>
      <c r="H5826" s="145"/>
    </row>
    <row r="5827" spans="1:9" s="65" customFormat="1">
      <c r="A5827" s="91"/>
      <c r="B5827" s="91"/>
      <c r="C5827" s="91"/>
      <c r="D5827" s="91"/>
      <c r="E5827" s="91"/>
      <c r="G5827" s="104"/>
      <c r="H5827" s="140"/>
    </row>
    <row r="5828" spans="1:9" s="65" customFormat="1">
      <c r="A5828" s="120"/>
      <c r="B5828" s="73"/>
      <c r="C5828" s="73"/>
      <c r="D5828" s="73"/>
      <c r="E5828" s="73"/>
      <c r="G5828" s="121"/>
      <c r="H5828" s="140"/>
    </row>
    <row r="5829" spans="1:9" s="65" customFormat="1">
      <c r="A5829" s="128"/>
      <c r="B5829" s="141"/>
      <c r="C5829" s="141"/>
      <c r="D5829" s="141"/>
      <c r="E5829" s="141"/>
      <c r="F5829" s="141"/>
      <c r="G5829" s="141"/>
      <c r="H5829" s="140"/>
    </row>
    <row r="5830" spans="1:9" s="65" customFormat="1">
      <c r="A5830" s="142"/>
      <c r="B5830" s="143"/>
      <c r="C5830" s="143"/>
      <c r="D5830" s="143"/>
      <c r="E5830" s="143"/>
      <c r="F5830" s="84"/>
      <c r="G5830" s="144"/>
      <c r="H5830" s="145"/>
    </row>
    <row r="5831" spans="1:9" s="65" customFormat="1">
      <c r="A5831" s="123"/>
      <c r="B5831" s="95"/>
      <c r="C5831" s="95"/>
      <c r="D5831" s="95"/>
      <c r="E5831" s="95"/>
      <c r="G5831" s="104"/>
      <c r="H5831" s="121"/>
    </row>
    <row r="5832" spans="1:9" s="65" customFormat="1">
      <c r="A5832" s="123"/>
      <c r="B5832" s="95"/>
      <c r="C5832" s="95"/>
      <c r="D5832" s="95"/>
      <c r="E5832" s="95"/>
      <c r="G5832" s="121"/>
      <c r="H5832" s="133"/>
    </row>
    <row r="5833" spans="1:9" s="65" customFormat="1">
      <c r="B5833" s="97"/>
      <c r="C5833" s="98"/>
      <c r="D5833" s="98"/>
      <c r="E5833" s="98"/>
      <c r="G5833" s="128"/>
    </row>
    <row r="5834" spans="1:9" s="65" customFormat="1">
      <c r="B5834" s="97"/>
      <c r="C5834" s="98"/>
      <c r="D5834" s="98"/>
      <c r="E5834" s="98"/>
      <c r="F5834" s="128"/>
      <c r="G5834" s="133"/>
      <c r="H5834" s="134"/>
    </row>
    <row r="5835" spans="1:9" s="65" customFormat="1">
      <c r="A5835" s="633"/>
      <c r="B5835" s="633"/>
      <c r="C5835" s="633"/>
      <c r="D5835" s="633"/>
      <c r="E5835" s="633"/>
      <c r="F5835" s="633"/>
      <c r="G5835" s="633"/>
    </row>
    <row r="5836" spans="1:9" s="65" customFormat="1">
      <c r="H5836" s="157"/>
      <c r="I5836" s="158"/>
    </row>
    <row r="5837" spans="1:9" s="65" customFormat="1">
      <c r="A5837" s="653"/>
      <c r="B5837" s="157"/>
      <c r="C5837" s="157"/>
      <c r="D5837" s="157"/>
      <c r="E5837" s="157"/>
      <c r="F5837" s="157"/>
      <c r="G5837" s="157"/>
      <c r="H5837" s="157"/>
      <c r="I5837" s="159"/>
    </row>
    <row r="5838" spans="1:9" s="65" customFormat="1">
      <c r="A5838" s="653"/>
      <c r="B5838" s="157"/>
      <c r="C5838" s="157"/>
      <c r="D5838" s="157"/>
      <c r="E5838" s="157"/>
      <c r="F5838" s="157"/>
      <c r="G5838" s="157"/>
    </row>
    <row r="5839" spans="1:9" s="65" customFormat="1">
      <c r="A5839" s="69"/>
      <c r="B5839" s="69"/>
      <c r="C5839" s="69"/>
      <c r="D5839" s="69"/>
      <c r="E5839" s="69"/>
    </row>
    <row r="5840" spans="1:9" s="65" customFormat="1">
      <c r="A5840" s="120"/>
      <c r="B5840" s="73"/>
      <c r="C5840" s="73"/>
      <c r="D5840" s="73"/>
      <c r="E5840" s="73"/>
      <c r="F5840" s="121"/>
      <c r="G5840" s="121"/>
      <c r="H5840" s="121"/>
    </row>
    <row r="5841" spans="1:8" s="65" customFormat="1">
      <c r="A5841" s="128"/>
      <c r="B5841" s="141"/>
      <c r="C5841" s="141"/>
      <c r="D5841" s="141"/>
      <c r="E5841" s="141"/>
      <c r="F5841" s="141"/>
      <c r="G5841" s="141"/>
      <c r="H5841" s="121"/>
    </row>
    <row r="5842" spans="1:8" s="65" customFormat="1">
      <c r="A5842" s="142"/>
      <c r="B5842" s="143"/>
      <c r="C5842" s="143"/>
      <c r="D5842" s="143"/>
      <c r="E5842" s="143"/>
      <c r="F5842" s="84"/>
      <c r="G5842" s="144"/>
      <c r="H5842" s="145"/>
    </row>
    <row r="5843" spans="1:8" s="65" customFormat="1">
      <c r="A5843" s="84"/>
      <c r="B5843" s="83"/>
      <c r="C5843" s="84"/>
      <c r="D5843" s="84"/>
      <c r="E5843" s="84"/>
      <c r="G5843" s="104"/>
      <c r="H5843" s="140"/>
    </row>
    <row r="5844" spans="1:8" s="65" customFormat="1">
      <c r="A5844" s="120"/>
      <c r="B5844" s="73"/>
      <c r="C5844" s="73"/>
      <c r="D5844" s="73"/>
      <c r="E5844" s="73"/>
      <c r="G5844" s="121"/>
      <c r="H5844" s="140"/>
    </row>
    <row r="5845" spans="1:8" s="65" customFormat="1">
      <c r="A5845" s="128"/>
      <c r="B5845" s="141"/>
      <c r="C5845" s="141"/>
      <c r="D5845" s="141"/>
      <c r="E5845" s="141"/>
      <c r="F5845" s="141"/>
      <c r="G5845" s="141"/>
      <c r="H5845" s="140"/>
    </row>
    <row r="5846" spans="1:8" s="65" customFormat="1">
      <c r="A5846" s="150"/>
      <c r="B5846" s="83"/>
      <c r="C5846" s="148"/>
      <c r="D5846" s="160"/>
      <c r="E5846" s="84"/>
      <c r="F5846" s="84"/>
      <c r="G5846" s="144"/>
      <c r="H5846" s="145"/>
    </row>
    <row r="5847" spans="1:8" s="65" customFormat="1">
      <c r="A5847" s="91"/>
      <c r="B5847" s="91"/>
      <c r="C5847" s="91"/>
      <c r="D5847" s="91"/>
      <c r="E5847" s="91"/>
      <c r="G5847" s="104"/>
      <c r="H5847" s="140"/>
    </row>
    <row r="5848" spans="1:8" s="65" customFormat="1">
      <c r="A5848" s="120"/>
      <c r="B5848" s="73"/>
      <c r="C5848" s="73"/>
      <c r="D5848" s="73"/>
      <c r="E5848" s="73"/>
      <c r="G5848" s="121"/>
      <c r="H5848" s="140"/>
    </row>
    <row r="5849" spans="1:8" s="65" customFormat="1">
      <c r="A5849" s="128"/>
      <c r="B5849" s="141"/>
      <c r="C5849" s="141"/>
      <c r="D5849" s="141"/>
      <c r="E5849" s="141"/>
      <c r="F5849" s="141"/>
      <c r="G5849" s="141"/>
      <c r="H5849" s="140"/>
    </row>
    <row r="5850" spans="1:8" s="65" customFormat="1">
      <c r="A5850" s="142"/>
      <c r="B5850" s="143"/>
      <c r="C5850" s="143"/>
      <c r="D5850" s="143"/>
      <c r="E5850" s="143"/>
      <c r="F5850" s="84"/>
      <c r="G5850" s="144"/>
      <c r="H5850" s="145"/>
    </row>
    <row r="5851" spans="1:8" s="65" customFormat="1">
      <c r="A5851" s="91"/>
      <c r="B5851" s="91"/>
      <c r="C5851" s="91"/>
      <c r="D5851" s="91"/>
      <c r="E5851" s="91"/>
      <c r="G5851" s="104"/>
      <c r="H5851" s="140"/>
    </row>
    <row r="5852" spans="1:8" s="65" customFormat="1">
      <c r="A5852" s="120"/>
      <c r="B5852" s="73"/>
      <c r="C5852" s="73"/>
      <c r="D5852" s="73"/>
      <c r="E5852" s="73"/>
      <c r="G5852" s="121"/>
      <c r="H5852" s="140"/>
    </row>
    <row r="5853" spans="1:8" s="65" customFormat="1">
      <c r="A5853" s="128"/>
      <c r="B5853" s="141"/>
      <c r="C5853" s="141"/>
      <c r="D5853" s="141"/>
      <c r="E5853" s="141"/>
      <c r="F5853" s="141"/>
      <c r="G5853" s="141"/>
      <c r="H5853" s="140"/>
    </row>
    <row r="5854" spans="1:8" s="65" customFormat="1">
      <c r="A5854" s="142"/>
      <c r="B5854" s="143"/>
      <c r="C5854" s="143"/>
      <c r="D5854" s="143"/>
      <c r="E5854" s="143"/>
      <c r="F5854" s="84"/>
      <c r="G5854" s="144"/>
      <c r="H5854" s="145"/>
    </row>
    <row r="5855" spans="1:8" s="65" customFormat="1">
      <c r="A5855" s="123"/>
      <c r="B5855" s="95"/>
      <c r="C5855" s="95"/>
      <c r="D5855" s="95"/>
      <c r="E5855" s="95"/>
      <c r="G5855" s="104"/>
      <c r="H5855" s="121"/>
    </row>
    <row r="5856" spans="1:8" s="65" customFormat="1">
      <c r="A5856" s="123"/>
      <c r="B5856" s="95"/>
      <c r="C5856" s="95"/>
      <c r="D5856" s="95"/>
      <c r="E5856" s="95"/>
      <c r="G5856" s="121"/>
      <c r="H5856" s="133"/>
    </row>
    <row r="5857" spans="1:9" s="65" customFormat="1">
      <c r="B5857" s="97"/>
      <c r="C5857" s="98"/>
      <c r="D5857" s="98"/>
      <c r="E5857" s="98"/>
      <c r="G5857" s="128"/>
    </row>
    <row r="5858" spans="1:9" s="65" customFormat="1">
      <c r="B5858" s="97"/>
      <c r="C5858" s="98"/>
      <c r="D5858" s="98"/>
      <c r="E5858" s="98"/>
      <c r="F5858" s="128"/>
      <c r="G5858" s="133"/>
      <c r="H5858" s="134"/>
    </row>
    <row r="5859" spans="1:9" s="65" customFormat="1">
      <c r="A5859" s="633"/>
      <c r="B5859" s="633"/>
      <c r="C5859" s="633"/>
      <c r="D5859" s="633"/>
      <c r="E5859" s="633"/>
      <c r="F5859" s="633"/>
      <c r="G5859" s="633"/>
    </row>
    <row r="5860" spans="1:9" s="65" customFormat="1">
      <c r="H5860" s="157"/>
      <c r="I5860" s="158"/>
    </row>
    <row r="5861" spans="1:9" s="65" customFormat="1">
      <c r="A5861" s="653"/>
      <c r="B5861" s="157"/>
      <c r="C5861" s="157"/>
      <c r="D5861" s="157"/>
      <c r="E5861" s="157"/>
      <c r="F5861" s="157"/>
      <c r="G5861" s="157"/>
      <c r="H5861" s="157"/>
      <c r="I5861" s="159"/>
    </row>
    <row r="5862" spans="1:9" s="65" customFormat="1">
      <c r="A5862" s="653"/>
      <c r="B5862" s="157"/>
      <c r="C5862" s="157"/>
      <c r="D5862" s="157"/>
      <c r="E5862" s="157"/>
      <c r="F5862" s="157"/>
      <c r="G5862" s="157"/>
    </row>
    <row r="5863" spans="1:9" s="65" customFormat="1">
      <c r="A5863" s="69"/>
      <c r="B5863" s="69"/>
      <c r="C5863" s="69"/>
      <c r="D5863" s="69"/>
      <c r="E5863" s="69"/>
    </row>
    <row r="5864" spans="1:9" s="65" customFormat="1">
      <c r="A5864" s="120"/>
      <c r="B5864" s="73"/>
      <c r="C5864" s="73"/>
      <c r="D5864" s="73"/>
      <c r="E5864" s="73"/>
      <c r="F5864" s="121"/>
      <c r="G5864" s="121"/>
      <c r="H5864" s="121"/>
    </row>
    <row r="5865" spans="1:9" s="65" customFormat="1">
      <c r="A5865" s="128"/>
      <c r="B5865" s="141"/>
      <c r="C5865" s="141"/>
      <c r="D5865" s="141"/>
      <c r="E5865" s="141"/>
      <c r="F5865" s="141"/>
      <c r="G5865" s="141"/>
      <c r="H5865" s="121"/>
    </row>
    <row r="5866" spans="1:9" s="65" customFormat="1">
      <c r="A5866" s="142"/>
      <c r="B5866" s="143"/>
      <c r="C5866" s="143"/>
      <c r="D5866" s="143"/>
      <c r="E5866" s="143"/>
      <c r="F5866" s="84"/>
      <c r="G5866" s="144"/>
      <c r="H5866" s="145"/>
    </row>
    <row r="5867" spans="1:9" s="65" customFormat="1">
      <c r="A5867" s="84"/>
      <c r="B5867" s="83"/>
      <c r="C5867" s="84"/>
      <c r="D5867" s="84"/>
      <c r="E5867" s="84"/>
      <c r="G5867" s="104"/>
      <c r="H5867" s="140"/>
    </row>
    <row r="5868" spans="1:9" s="65" customFormat="1">
      <c r="A5868" s="120"/>
      <c r="B5868" s="73"/>
      <c r="C5868" s="73"/>
      <c r="D5868" s="73"/>
      <c r="E5868" s="73"/>
      <c r="G5868" s="121"/>
      <c r="H5868" s="140"/>
    </row>
    <row r="5869" spans="1:9" s="65" customFormat="1">
      <c r="A5869" s="128"/>
      <c r="B5869" s="141"/>
      <c r="C5869" s="141"/>
      <c r="D5869" s="141"/>
      <c r="E5869" s="141"/>
      <c r="F5869" s="141"/>
      <c r="G5869" s="141"/>
      <c r="H5869" s="140"/>
    </row>
    <row r="5870" spans="1:9" s="65" customFormat="1">
      <c r="A5870" s="150"/>
      <c r="B5870" s="83"/>
      <c r="C5870" s="148"/>
      <c r="D5870" s="160"/>
      <c r="E5870" s="84"/>
      <c r="F5870" s="84"/>
      <c r="G5870" s="144"/>
      <c r="H5870" s="145"/>
    </row>
    <row r="5871" spans="1:9" s="65" customFormat="1">
      <c r="A5871" s="91"/>
      <c r="B5871" s="91"/>
      <c r="C5871" s="91"/>
      <c r="D5871" s="91"/>
      <c r="E5871" s="91"/>
      <c r="G5871" s="104"/>
      <c r="H5871" s="140"/>
    </row>
    <row r="5872" spans="1:9" s="65" customFormat="1">
      <c r="A5872" s="120"/>
      <c r="B5872" s="73"/>
      <c r="C5872" s="73"/>
      <c r="D5872" s="73"/>
      <c r="E5872" s="73"/>
      <c r="G5872" s="121"/>
      <c r="H5872" s="140"/>
    </row>
    <row r="5873" spans="1:9" s="65" customFormat="1">
      <c r="A5873" s="128"/>
      <c r="B5873" s="141"/>
      <c r="C5873" s="141"/>
      <c r="D5873" s="141"/>
      <c r="E5873" s="141"/>
      <c r="F5873" s="141"/>
      <c r="G5873" s="141"/>
      <c r="H5873" s="140"/>
    </row>
    <row r="5874" spans="1:9" s="65" customFormat="1">
      <c r="A5874" s="142"/>
      <c r="B5874" s="143"/>
      <c r="C5874" s="143"/>
      <c r="D5874" s="143"/>
      <c r="E5874" s="143"/>
      <c r="F5874" s="84"/>
      <c r="G5874" s="144"/>
      <c r="H5874" s="145"/>
    </row>
    <row r="5875" spans="1:9" s="65" customFormat="1">
      <c r="A5875" s="91"/>
      <c r="B5875" s="91"/>
      <c r="C5875" s="91"/>
      <c r="D5875" s="91"/>
      <c r="E5875" s="91"/>
      <c r="G5875" s="104"/>
      <c r="H5875" s="140"/>
    </row>
    <row r="5876" spans="1:9" s="65" customFormat="1">
      <c r="A5876" s="120"/>
      <c r="B5876" s="73"/>
      <c r="C5876" s="73"/>
      <c r="D5876" s="73"/>
      <c r="E5876" s="73"/>
      <c r="G5876" s="121"/>
      <c r="H5876" s="140"/>
    </row>
    <row r="5877" spans="1:9" s="65" customFormat="1">
      <c r="A5877" s="128"/>
      <c r="B5877" s="141"/>
      <c r="C5877" s="141"/>
      <c r="D5877" s="141"/>
      <c r="E5877" s="141"/>
      <c r="F5877" s="141"/>
      <c r="G5877" s="141"/>
      <c r="H5877" s="140"/>
    </row>
    <row r="5878" spans="1:9" s="65" customFormat="1">
      <c r="A5878" s="142"/>
      <c r="B5878" s="143"/>
      <c r="C5878" s="143"/>
      <c r="D5878" s="143"/>
      <c r="E5878" s="143"/>
      <c r="F5878" s="84"/>
      <c r="G5878" s="144"/>
      <c r="H5878" s="145"/>
    </row>
    <row r="5879" spans="1:9" s="65" customFormat="1">
      <c r="A5879" s="123"/>
      <c r="B5879" s="95"/>
      <c r="C5879" s="95"/>
      <c r="D5879" s="95"/>
      <c r="E5879" s="95"/>
      <c r="G5879" s="104"/>
      <c r="H5879" s="121"/>
    </row>
    <row r="5880" spans="1:9" s="65" customFormat="1">
      <c r="A5880" s="123"/>
      <c r="B5880" s="95"/>
      <c r="C5880" s="95"/>
      <c r="D5880" s="95"/>
      <c r="E5880" s="95"/>
      <c r="G5880" s="121"/>
      <c r="H5880" s="133"/>
    </row>
    <row r="5881" spans="1:9" s="65" customFormat="1">
      <c r="B5881" s="97"/>
      <c r="C5881" s="98"/>
      <c r="D5881" s="98"/>
      <c r="E5881" s="98"/>
      <c r="G5881" s="128"/>
    </row>
    <row r="5882" spans="1:9" s="65" customFormat="1">
      <c r="B5882" s="97"/>
      <c r="C5882" s="98"/>
      <c r="D5882" s="98"/>
      <c r="E5882" s="98"/>
      <c r="F5882" s="128"/>
      <c r="G5882" s="133"/>
      <c r="H5882" s="134"/>
    </row>
    <row r="5883" spans="1:9" s="65" customFormat="1">
      <c r="A5883" s="633"/>
      <c r="B5883" s="633"/>
      <c r="C5883" s="633"/>
      <c r="D5883" s="633"/>
      <c r="E5883" s="633"/>
      <c r="F5883" s="633"/>
      <c r="G5883" s="633"/>
    </row>
    <row r="5884" spans="1:9" s="65" customFormat="1">
      <c r="H5884" s="157"/>
      <c r="I5884" s="158"/>
    </row>
    <row r="5885" spans="1:9" s="65" customFormat="1">
      <c r="A5885" s="653"/>
      <c r="B5885" s="157"/>
      <c r="C5885" s="157"/>
      <c r="D5885" s="157"/>
      <c r="E5885" s="157"/>
      <c r="F5885" s="157"/>
      <c r="G5885" s="157"/>
      <c r="H5885" s="157"/>
      <c r="I5885" s="159"/>
    </row>
    <row r="5886" spans="1:9" s="65" customFormat="1">
      <c r="A5886" s="653"/>
      <c r="B5886" s="157"/>
      <c r="C5886" s="157"/>
      <c r="D5886" s="157"/>
      <c r="E5886" s="157"/>
      <c r="F5886" s="157"/>
      <c r="G5886" s="157"/>
    </row>
    <row r="5887" spans="1:9" s="65" customFormat="1">
      <c r="A5887" s="69"/>
      <c r="B5887" s="69"/>
      <c r="C5887" s="69"/>
      <c r="D5887" s="69"/>
      <c r="E5887" s="69"/>
    </row>
    <row r="5888" spans="1:9" s="65" customFormat="1">
      <c r="A5888" s="120"/>
      <c r="B5888" s="73"/>
      <c r="C5888" s="73"/>
      <c r="D5888" s="73"/>
      <c r="E5888" s="73"/>
      <c r="F5888" s="121"/>
      <c r="G5888" s="121"/>
      <c r="H5888" s="121"/>
    </row>
    <row r="5889" spans="1:8" s="65" customFormat="1">
      <c r="A5889" s="128"/>
      <c r="B5889" s="141"/>
      <c r="C5889" s="141"/>
      <c r="D5889" s="141"/>
      <c r="E5889" s="141"/>
      <c r="F5889" s="141"/>
      <c r="G5889" s="141"/>
      <c r="H5889" s="121"/>
    </row>
    <row r="5890" spans="1:8" s="65" customFormat="1">
      <c r="A5890" s="142"/>
      <c r="B5890" s="143"/>
      <c r="C5890" s="143"/>
      <c r="D5890" s="143"/>
      <c r="E5890" s="143"/>
      <c r="F5890" s="84"/>
      <c r="G5890" s="144"/>
      <c r="H5890" s="145"/>
    </row>
    <row r="5891" spans="1:8" s="65" customFormat="1">
      <c r="A5891" s="84"/>
      <c r="B5891" s="83"/>
      <c r="C5891" s="84"/>
      <c r="D5891" s="84"/>
      <c r="E5891" s="84"/>
      <c r="G5891" s="104"/>
      <c r="H5891" s="140"/>
    </row>
    <row r="5892" spans="1:8" s="65" customFormat="1">
      <c r="A5892" s="120"/>
      <c r="B5892" s="73"/>
      <c r="C5892" s="73"/>
      <c r="D5892" s="73"/>
      <c r="E5892" s="73"/>
      <c r="G5892" s="121"/>
      <c r="H5892" s="140"/>
    </row>
    <row r="5893" spans="1:8" s="65" customFormat="1">
      <c r="A5893" s="128"/>
      <c r="B5893" s="141"/>
      <c r="C5893" s="141"/>
      <c r="D5893" s="141"/>
      <c r="E5893" s="141"/>
      <c r="F5893" s="141"/>
      <c r="G5893" s="141"/>
      <c r="H5893" s="140"/>
    </row>
    <row r="5894" spans="1:8" s="65" customFormat="1">
      <c r="A5894" s="150"/>
      <c r="B5894" s="83"/>
      <c r="C5894" s="148"/>
      <c r="D5894" s="160"/>
      <c r="E5894" s="84"/>
      <c r="F5894" s="84"/>
      <c r="G5894" s="144"/>
      <c r="H5894" s="145"/>
    </row>
    <row r="5895" spans="1:8" s="65" customFormat="1">
      <c r="A5895" s="91"/>
      <c r="B5895" s="91"/>
      <c r="C5895" s="91"/>
      <c r="D5895" s="91"/>
      <c r="E5895" s="91"/>
      <c r="G5895" s="104"/>
      <c r="H5895" s="140"/>
    </row>
    <row r="5896" spans="1:8" s="65" customFormat="1">
      <c r="A5896" s="120"/>
      <c r="B5896" s="73"/>
      <c r="C5896" s="73"/>
      <c r="D5896" s="73"/>
      <c r="E5896" s="73"/>
      <c r="G5896" s="121"/>
      <c r="H5896" s="140"/>
    </row>
    <row r="5897" spans="1:8" s="65" customFormat="1">
      <c r="A5897" s="128"/>
      <c r="B5897" s="141"/>
      <c r="C5897" s="141"/>
      <c r="D5897" s="141"/>
      <c r="E5897" s="141"/>
      <c r="F5897" s="141"/>
      <c r="G5897" s="141"/>
      <c r="H5897" s="140"/>
    </row>
    <row r="5898" spans="1:8" s="65" customFormat="1">
      <c r="A5898" s="142"/>
      <c r="B5898" s="143"/>
      <c r="C5898" s="143"/>
      <c r="D5898" s="143"/>
      <c r="E5898" s="143"/>
      <c r="F5898" s="84"/>
      <c r="G5898" s="144"/>
      <c r="H5898" s="145"/>
    </row>
    <row r="5899" spans="1:8" s="65" customFormat="1">
      <c r="A5899" s="91"/>
      <c r="B5899" s="91"/>
      <c r="C5899" s="91"/>
      <c r="D5899" s="91"/>
      <c r="E5899" s="91"/>
      <c r="G5899" s="104"/>
      <c r="H5899" s="140"/>
    </row>
    <row r="5900" spans="1:8" s="65" customFormat="1">
      <c r="A5900" s="120"/>
      <c r="B5900" s="73"/>
      <c r="C5900" s="73"/>
      <c r="D5900" s="73"/>
      <c r="E5900" s="73"/>
      <c r="G5900" s="121"/>
      <c r="H5900" s="140"/>
    </row>
    <row r="5901" spans="1:8" s="65" customFormat="1">
      <c r="A5901" s="128"/>
      <c r="B5901" s="141"/>
      <c r="C5901" s="141"/>
      <c r="D5901" s="141"/>
      <c r="E5901" s="141"/>
      <c r="F5901" s="141"/>
      <c r="G5901" s="141"/>
      <c r="H5901" s="140"/>
    </row>
    <row r="5902" spans="1:8" s="65" customFormat="1">
      <c r="A5902" s="142"/>
      <c r="B5902" s="143"/>
      <c r="C5902" s="143"/>
      <c r="D5902" s="143"/>
      <c r="E5902" s="143"/>
      <c r="F5902" s="84"/>
      <c r="G5902" s="144"/>
      <c r="H5902" s="145"/>
    </row>
    <row r="5903" spans="1:8" s="65" customFormat="1">
      <c r="A5903" s="123"/>
      <c r="B5903" s="95"/>
      <c r="C5903" s="95"/>
      <c r="D5903" s="95"/>
      <c r="E5903" s="95"/>
      <c r="G5903" s="104"/>
      <c r="H5903" s="121"/>
    </row>
    <row r="5904" spans="1:8" s="65" customFormat="1">
      <c r="A5904" s="123"/>
      <c r="B5904" s="95"/>
      <c r="C5904" s="95"/>
      <c r="D5904" s="95"/>
      <c r="E5904" s="95"/>
      <c r="G5904" s="121"/>
      <c r="H5904" s="133"/>
    </row>
    <row r="5905" spans="1:9" s="65" customFormat="1">
      <c r="B5905" s="97"/>
      <c r="C5905" s="98"/>
      <c r="D5905" s="98"/>
      <c r="E5905" s="98"/>
      <c r="G5905" s="128"/>
    </row>
    <row r="5906" spans="1:9" s="65" customFormat="1">
      <c r="B5906" s="97"/>
      <c r="C5906" s="98"/>
      <c r="D5906" s="98"/>
      <c r="E5906" s="98"/>
      <c r="F5906" s="128"/>
      <c r="G5906" s="133"/>
      <c r="H5906" s="134"/>
    </row>
    <row r="5907" spans="1:9" s="65" customFormat="1">
      <c r="A5907" s="633"/>
      <c r="B5907" s="633"/>
      <c r="C5907" s="633"/>
      <c r="D5907" s="633"/>
      <c r="E5907" s="633"/>
      <c r="F5907" s="633"/>
      <c r="G5907" s="633"/>
    </row>
    <row r="5908" spans="1:9" s="65" customFormat="1">
      <c r="H5908" s="157"/>
      <c r="I5908" s="158"/>
    </row>
    <row r="5909" spans="1:9" s="65" customFormat="1">
      <c r="A5909" s="653"/>
      <c r="B5909" s="157"/>
      <c r="C5909" s="157"/>
      <c r="D5909" s="157"/>
      <c r="E5909" s="157"/>
      <c r="F5909" s="157"/>
      <c r="G5909" s="157"/>
      <c r="H5909" s="157"/>
      <c r="I5909" s="159"/>
    </row>
    <row r="5910" spans="1:9" s="65" customFormat="1">
      <c r="A5910" s="653"/>
      <c r="B5910" s="157"/>
      <c r="C5910" s="157"/>
      <c r="D5910" s="157"/>
      <c r="E5910" s="157"/>
      <c r="F5910" s="157"/>
      <c r="G5910" s="157"/>
    </row>
    <row r="5911" spans="1:9" s="65" customFormat="1">
      <c r="A5911" s="69"/>
      <c r="B5911" s="69"/>
      <c r="C5911" s="69"/>
      <c r="D5911" s="69"/>
      <c r="E5911" s="69"/>
    </row>
    <row r="5912" spans="1:9" s="65" customFormat="1">
      <c r="A5912" s="120"/>
      <c r="B5912" s="73"/>
      <c r="C5912" s="73"/>
      <c r="D5912" s="73"/>
      <c r="E5912" s="73"/>
      <c r="F5912" s="121"/>
      <c r="G5912" s="121"/>
      <c r="H5912" s="121"/>
    </row>
    <row r="5913" spans="1:9" s="65" customFormat="1">
      <c r="A5913" s="128"/>
      <c r="B5913" s="141"/>
      <c r="C5913" s="141"/>
      <c r="D5913" s="141"/>
      <c r="E5913" s="141"/>
      <c r="F5913" s="141"/>
      <c r="G5913" s="141"/>
      <c r="H5913" s="121"/>
    </row>
    <row r="5914" spans="1:9" s="65" customFormat="1">
      <c r="A5914" s="142"/>
      <c r="B5914" s="143"/>
      <c r="C5914" s="143"/>
      <c r="D5914" s="143"/>
      <c r="E5914" s="143"/>
      <c r="F5914" s="84"/>
      <c r="G5914" s="144"/>
      <c r="H5914" s="145"/>
    </row>
    <row r="5915" spans="1:9" s="65" customFormat="1">
      <c r="A5915" s="84"/>
      <c r="B5915" s="83"/>
      <c r="C5915" s="84"/>
      <c r="D5915" s="84"/>
      <c r="E5915" s="84"/>
      <c r="G5915" s="104"/>
      <c r="H5915" s="140"/>
    </row>
    <row r="5916" spans="1:9" s="65" customFormat="1">
      <c r="A5916" s="120"/>
      <c r="B5916" s="73"/>
      <c r="C5916" s="73"/>
      <c r="D5916" s="73"/>
      <c r="E5916" s="73"/>
      <c r="G5916" s="121"/>
      <c r="H5916" s="140"/>
    </row>
    <row r="5917" spans="1:9" s="65" customFormat="1">
      <c r="A5917" s="128"/>
      <c r="B5917" s="141"/>
      <c r="C5917" s="141"/>
      <c r="D5917" s="141"/>
      <c r="E5917" s="141"/>
      <c r="F5917" s="141"/>
      <c r="G5917" s="141"/>
      <c r="H5917" s="140"/>
    </row>
    <row r="5918" spans="1:9" s="65" customFormat="1">
      <c r="A5918" s="150"/>
      <c r="B5918" s="83"/>
      <c r="C5918" s="148"/>
      <c r="D5918" s="160"/>
      <c r="E5918" s="84"/>
      <c r="F5918" s="84"/>
      <c r="G5918" s="144"/>
      <c r="H5918" s="145"/>
    </row>
    <row r="5919" spans="1:9" s="65" customFormat="1">
      <c r="A5919" s="91"/>
      <c r="B5919" s="91"/>
      <c r="C5919" s="91"/>
      <c r="D5919" s="91"/>
      <c r="E5919" s="91"/>
      <c r="G5919" s="104"/>
      <c r="H5919" s="140"/>
    </row>
    <row r="5920" spans="1:9" s="65" customFormat="1">
      <c r="A5920" s="120"/>
      <c r="B5920" s="73"/>
      <c r="C5920" s="73"/>
      <c r="D5920" s="73"/>
      <c r="E5920" s="73"/>
      <c r="G5920" s="121"/>
      <c r="H5920" s="140"/>
    </row>
    <row r="5921" spans="1:9" s="65" customFormat="1">
      <c r="A5921" s="128"/>
      <c r="B5921" s="141"/>
      <c r="C5921" s="141"/>
      <c r="D5921" s="141"/>
      <c r="E5921" s="141"/>
      <c r="F5921" s="141"/>
      <c r="G5921" s="141"/>
      <c r="H5921" s="140"/>
    </row>
    <row r="5922" spans="1:9" s="65" customFormat="1">
      <c r="A5922" s="142"/>
      <c r="B5922" s="143"/>
      <c r="C5922" s="143"/>
      <c r="D5922" s="143"/>
      <c r="E5922" s="143"/>
      <c r="F5922" s="84"/>
      <c r="G5922" s="144"/>
      <c r="H5922" s="145"/>
    </row>
    <row r="5923" spans="1:9" s="65" customFormat="1">
      <c r="A5923" s="91"/>
      <c r="B5923" s="91"/>
      <c r="C5923" s="91"/>
      <c r="D5923" s="91"/>
      <c r="E5923" s="91"/>
      <c r="G5923" s="104"/>
      <c r="H5923" s="140"/>
    </row>
    <row r="5924" spans="1:9" s="65" customFormat="1">
      <c r="A5924" s="120"/>
      <c r="B5924" s="73"/>
      <c r="C5924" s="73"/>
      <c r="D5924" s="73"/>
      <c r="E5924" s="73"/>
      <c r="G5924" s="121"/>
      <c r="H5924" s="140"/>
    </row>
    <row r="5925" spans="1:9" s="65" customFormat="1">
      <c r="A5925" s="128"/>
      <c r="B5925" s="141"/>
      <c r="C5925" s="141"/>
      <c r="D5925" s="141"/>
      <c r="E5925" s="141"/>
      <c r="F5925" s="141"/>
      <c r="G5925" s="141"/>
      <c r="H5925" s="140"/>
    </row>
    <row r="5926" spans="1:9" s="65" customFormat="1">
      <c r="A5926" s="142"/>
      <c r="B5926" s="143"/>
      <c r="C5926" s="143"/>
      <c r="D5926" s="143"/>
      <c r="E5926" s="143"/>
      <c r="F5926" s="84"/>
      <c r="G5926" s="144"/>
      <c r="H5926" s="145"/>
    </row>
    <row r="5927" spans="1:9" s="65" customFormat="1">
      <c r="A5927" s="123"/>
      <c r="B5927" s="95"/>
      <c r="C5927" s="95"/>
      <c r="D5927" s="95"/>
      <c r="E5927" s="95"/>
      <c r="G5927" s="104"/>
      <c r="H5927" s="121"/>
    </row>
    <row r="5928" spans="1:9" s="65" customFormat="1">
      <c r="A5928" s="123"/>
      <c r="B5928" s="95"/>
      <c r="C5928" s="95"/>
      <c r="D5928" s="95"/>
      <c r="E5928" s="95"/>
      <c r="G5928" s="121"/>
      <c r="H5928" s="133"/>
    </row>
    <row r="5929" spans="1:9" s="65" customFormat="1">
      <c r="B5929" s="97"/>
      <c r="C5929" s="98"/>
      <c r="D5929" s="98"/>
      <c r="E5929" s="98"/>
      <c r="G5929" s="128"/>
    </row>
    <row r="5930" spans="1:9" s="65" customFormat="1">
      <c r="B5930" s="97"/>
      <c r="C5930" s="98"/>
      <c r="D5930" s="98"/>
      <c r="E5930" s="98"/>
      <c r="F5930" s="128"/>
      <c r="G5930" s="133"/>
      <c r="H5930" s="134"/>
    </row>
    <row r="5931" spans="1:9" s="65" customFormat="1">
      <c r="A5931" s="633"/>
      <c r="B5931" s="633"/>
      <c r="C5931" s="633"/>
      <c r="D5931" s="633"/>
      <c r="E5931" s="633"/>
      <c r="F5931" s="633"/>
      <c r="G5931" s="633"/>
    </row>
    <row r="5932" spans="1:9" s="65" customFormat="1">
      <c r="H5932" s="138"/>
      <c r="I5932" s="151"/>
    </row>
    <row r="5933" spans="1:9" s="65" customFormat="1">
      <c r="A5933" s="645"/>
      <c r="B5933" s="138"/>
      <c r="C5933" s="138"/>
      <c r="D5933" s="138"/>
      <c r="E5933" s="138"/>
      <c r="F5933" s="138"/>
      <c r="G5933" s="138"/>
      <c r="H5933" s="138"/>
      <c r="I5933" s="152"/>
    </row>
    <row r="5934" spans="1:9" s="65" customFormat="1">
      <c r="A5934" s="645"/>
      <c r="B5934" s="138"/>
      <c r="C5934" s="138"/>
      <c r="D5934" s="138"/>
      <c r="E5934" s="138"/>
      <c r="F5934" s="138"/>
      <c r="G5934" s="138"/>
    </row>
    <row r="5935" spans="1:9" s="65" customFormat="1">
      <c r="A5935" s="69"/>
      <c r="B5935" s="69"/>
      <c r="C5935" s="69"/>
      <c r="D5935" s="69"/>
      <c r="E5935" s="69"/>
    </row>
    <row r="5936" spans="1:9" s="65" customFormat="1">
      <c r="A5936" s="120"/>
      <c r="B5936" s="73"/>
      <c r="C5936" s="73"/>
      <c r="D5936" s="73"/>
      <c r="E5936" s="73"/>
      <c r="F5936" s="121"/>
      <c r="G5936" s="121"/>
      <c r="H5936" s="121"/>
    </row>
    <row r="5937" spans="1:8" s="65" customFormat="1">
      <c r="A5937" s="128"/>
      <c r="B5937" s="141"/>
      <c r="C5937" s="141"/>
      <c r="D5937" s="141"/>
      <c r="E5937" s="141"/>
      <c r="F5937" s="141"/>
      <c r="G5937" s="141"/>
      <c r="H5937" s="121"/>
    </row>
    <row r="5938" spans="1:8" s="65" customFormat="1">
      <c r="A5938" s="142"/>
      <c r="B5938" s="143"/>
      <c r="C5938" s="143"/>
      <c r="D5938" s="143"/>
      <c r="E5938" s="143"/>
      <c r="F5938" s="84"/>
      <c r="G5938" s="144"/>
      <c r="H5938" s="145"/>
    </row>
    <row r="5939" spans="1:8" s="65" customFormat="1">
      <c r="A5939" s="84"/>
      <c r="B5939" s="83"/>
      <c r="C5939" s="84"/>
      <c r="D5939" s="84"/>
      <c r="E5939" s="84"/>
      <c r="G5939" s="104"/>
      <c r="H5939" s="140"/>
    </row>
    <row r="5940" spans="1:8" s="65" customFormat="1">
      <c r="A5940" s="120"/>
      <c r="B5940" s="73"/>
      <c r="C5940" s="73"/>
      <c r="D5940" s="73"/>
      <c r="E5940" s="73"/>
      <c r="G5940" s="121"/>
      <c r="H5940" s="140"/>
    </row>
    <row r="5941" spans="1:8" s="65" customFormat="1">
      <c r="A5941" s="128"/>
      <c r="B5941" s="141"/>
      <c r="C5941" s="141"/>
      <c r="D5941" s="141"/>
      <c r="E5941" s="141"/>
      <c r="F5941" s="141"/>
      <c r="G5941" s="141"/>
      <c r="H5941" s="140"/>
    </row>
    <row r="5942" spans="1:8" s="65" customFormat="1">
      <c r="A5942" s="150"/>
      <c r="B5942" s="83"/>
      <c r="C5942" s="148"/>
      <c r="D5942" s="160"/>
      <c r="E5942" s="84"/>
      <c r="F5942" s="84"/>
      <c r="G5942" s="144"/>
      <c r="H5942" s="145"/>
    </row>
    <row r="5943" spans="1:8" s="65" customFormat="1">
      <c r="A5943" s="91"/>
      <c r="B5943" s="91"/>
      <c r="C5943" s="91"/>
      <c r="D5943" s="91"/>
      <c r="E5943" s="91"/>
      <c r="G5943" s="104"/>
      <c r="H5943" s="140"/>
    </row>
    <row r="5944" spans="1:8" s="65" customFormat="1">
      <c r="A5944" s="120"/>
      <c r="B5944" s="73"/>
      <c r="C5944" s="73"/>
      <c r="D5944" s="73"/>
      <c r="E5944" s="73"/>
      <c r="G5944" s="121"/>
      <c r="H5944" s="140"/>
    </row>
    <row r="5945" spans="1:8" s="65" customFormat="1">
      <c r="A5945" s="128"/>
      <c r="B5945" s="141"/>
      <c r="C5945" s="141"/>
      <c r="D5945" s="141"/>
      <c r="E5945" s="141"/>
      <c r="F5945" s="141"/>
      <c r="G5945" s="141"/>
      <c r="H5945" s="140"/>
    </row>
    <row r="5946" spans="1:8" s="65" customFormat="1">
      <c r="A5946" s="142"/>
      <c r="B5946" s="143"/>
      <c r="C5946" s="143"/>
      <c r="D5946" s="143"/>
      <c r="E5946" s="143"/>
      <c r="F5946" s="84"/>
      <c r="G5946" s="144"/>
      <c r="H5946" s="145"/>
    </row>
    <row r="5947" spans="1:8" s="65" customFormat="1">
      <c r="A5947" s="91"/>
      <c r="B5947" s="91"/>
      <c r="C5947" s="91"/>
      <c r="D5947" s="91"/>
      <c r="E5947" s="91"/>
      <c r="G5947" s="104"/>
      <c r="H5947" s="140"/>
    </row>
    <row r="5948" spans="1:8" s="65" customFormat="1">
      <c r="A5948" s="120"/>
      <c r="B5948" s="73"/>
      <c r="C5948" s="73"/>
      <c r="D5948" s="73"/>
      <c r="E5948" s="73"/>
      <c r="G5948" s="121"/>
      <c r="H5948" s="140"/>
    </row>
    <row r="5949" spans="1:8" s="65" customFormat="1">
      <c r="A5949" s="128"/>
      <c r="B5949" s="141"/>
      <c r="C5949" s="141"/>
      <c r="D5949" s="141"/>
      <c r="E5949" s="141"/>
      <c r="F5949" s="141"/>
      <c r="G5949" s="141"/>
      <c r="H5949" s="140"/>
    </row>
    <row r="5950" spans="1:8" s="65" customFormat="1">
      <c r="A5950" s="142"/>
      <c r="B5950" s="143"/>
      <c r="C5950" s="143"/>
      <c r="D5950" s="143"/>
      <c r="E5950" s="143"/>
      <c r="F5950" s="84"/>
      <c r="G5950" s="144"/>
      <c r="H5950" s="145"/>
    </row>
    <row r="5951" spans="1:8" s="65" customFormat="1">
      <c r="A5951" s="123"/>
      <c r="B5951" s="95"/>
      <c r="C5951" s="95"/>
      <c r="D5951" s="95"/>
      <c r="E5951" s="95"/>
      <c r="G5951" s="104"/>
      <c r="H5951" s="121"/>
    </row>
    <row r="5952" spans="1:8" s="65" customFormat="1">
      <c r="A5952" s="123"/>
      <c r="B5952" s="95"/>
      <c r="C5952" s="95"/>
      <c r="D5952" s="95"/>
      <c r="E5952" s="95"/>
      <c r="G5952" s="121"/>
      <c r="H5952" s="133"/>
    </row>
    <row r="5953" spans="1:9" s="65" customFormat="1">
      <c r="B5953" s="97"/>
      <c r="C5953" s="98"/>
      <c r="D5953" s="98"/>
      <c r="E5953" s="98"/>
      <c r="G5953" s="128"/>
    </row>
    <row r="5954" spans="1:9" s="65" customFormat="1">
      <c r="B5954" s="97"/>
      <c r="C5954" s="98"/>
      <c r="D5954" s="98"/>
      <c r="E5954" s="98"/>
      <c r="F5954" s="128"/>
      <c r="G5954" s="133"/>
      <c r="H5954" s="134"/>
    </row>
    <row r="5955" spans="1:9" s="65" customFormat="1">
      <c r="A5955" s="633"/>
      <c r="B5955" s="633"/>
      <c r="C5955" s="633"/>
      <c r="D5955" s="633"/>
      <c r="E5955" s="633"/>
      <c r="F5955" s="633"/>
      <c r="G5955" s="633"/>
    </row>
    <row r="5956" spans="1:9" s="65" customFormat="1">
      <c r="H5956" s="138"/>
      <c r="I5956" s="151"/>
    </row>
    <row r="5957" spans="1:9" s="65" customFormat="1">
      <c r="A5957" s="645"/>
      <c r="B5957" s="138"/>
      <c r="C5957" s="138"/>
      <c r="D5957" s="138"/>
      <c r="E5957" s="138"/>
      <c r="F5957" s="138"/>
      <c r="G5957" s="138"/>
      <c r="H5957" s="138"/>
      <c r="I5957" s="152"/>
    </row>
    <row r="5958" spans="1:9" s="65" customFormat="1">
      <c r="A5958" s="645"/>
      <c r="B5958" s="138"/>
      <c r="C5958" s="138"/>
      <c r="D5958" s="138"/>
      <c r="E5958" s="138"/>
      <c r="F5958" s="138"/>
      <c r="G5958" s="138"/>
    </row>
    <row r="5959" spans="1:9" s="65" customFormat="1">
      <c r="A5959" s="69"/>
      <c r="B5959" s="69"/>
      <c r="C5959" s="69"/>
      <c r="D5959" s="69"/>
      <c r="E5959" s="69"/>
    </row>
    <row r="5960" spans="1:9" s="65" customFormat="1">
      <c r="A5960" s="120"/>
      <c r="B5960" s="73"/>
      <c r="C5960" s="73"/>
      <c r="D5960" s="73"/>
      <c r="E5960" s="73"/>
      <c r="F5960" s="121"/>
      <c r="G5960" s="121"/>
      <c r="H5960" s="121"/>
    </row>
    <row r="5961" spans="1:9" s="65" customFormat="1">
      <c r="A5961" s="128"/>
      <c r="B5961" s="141"/>
      <c r="C5961" s="141"/>
      <c r="D5961" s="141"/>
      <c r="E5961" s="141"/>
      <c r="F5961" s="141"/>
      <c r="G5961" s="141"/>
      <c r="H5961" s="121"/>
    </row>
    <row r="5962" spans="1:9" s="65" customFormat="1">
      <c r="A5962" s="142"/>
      <c r="B5962" s="143"/>
      <c r="C5962" s="143"/>
      <c r="D5962" s="143"/>
      <c r="E5962" s="143"/>
      <c r="F5962" s="84"/>
      <c r="G5962" s="144"/>
      <c r="H5962" s="145"/>
    </row>
    <row r="5963" spans="1:9" s="65" customFormat="1">
      <c r="A5963" s="84"/>
      <c r="B5963" s="83"/>
      <c r="C5963" s="84"/>
      <c r="D5963" s="84"/>
      <c r="E5963" s="84"/>
      <c r="G5963" s="104"/>
      <c r="H5963" s="140"/>
    </row>
    <row r="5964" spans="1:9" s="65" customFormat="1">
      <c r="A5964" s="120"/>
      <c r="B5964" s="73"/>
      <c r="C5964" s="73"/>
      <c r="D5964" s="73"/>
      <c r="E5964" s="73"/>
      <c r="G5964" s="121"/>
      <c r="H5964" s="140"/>
    </row>
    <row r="5965" spans="1:9" s="65" customFormat="1">
      <c r="A5965" s="128"/>
      <c r="B5965" s="141"/>
      <c r="C5965" s="141"/>
      <c r="D5965" s="141"/>
      <c r="E5965" s="141"/>
      <c r="F5965" s="141"/>
      <c r="G5965" s="141"/>
      <c r="H5965" s="140"/>
    </row>
    <row r="5966" spans="1:9" s="65" customFormat="1">
      <c r="A5966" s="150"/>
      <c r="B5966" s="83"/>
      <c r="C5966" s="148"/>
      <c r="D5966" s="160"/>
      <c r="E5966" s="84"/>
      <c r="F5966" s="84"/>
      <c r="G5966" s="144"/>
      <c r="H5966" s="145"/>
    </row>
    <row r="5967" spans="1:9" s="65" customFormat="1">
      <c r="A5967" s="91"/>
      <c r="B5967" s="91"/>
      <c r="C5967" s="91"/>
      <c r="D5967" s="91"/>
      <c r="E5967" s="91"/>
      <c r="G5967" s="104"/>
      <c r="H5967" s="140"/>
    </row>
    <row r="5968" spans="1:9" s="65" customFormat="1">
      <c r="A5968" s="120"/>
      <c r="B5968" s="73"/>
      <c r="C5968" s="73"/>
      <c r="D5968" s="73"/>
      <c r="E5968" s="73"/>
      <c r="G5968" s="121"/>
      <c r="H5968" s="140"/>
    </row>
    <row r="5969" spans="1:9" s="65" customFormat="1">
      <c r="A5969" s="128"/>
      <c r="B5969" s="141"/>
      <c r="C5969" s="141"/>
      <c r="D5969" s="141"/>
      <c r="E5969" s="141"/>
      <c r="F5969" s="141"/>
      <c r="G5969" s="141"/>
      <c r="H5969" s="140"/>
    </row>
    <row r="5970" spans="1:9" s="65" customFormat="1">
      <c r="A5970" s="142"/>
      <c r="B5970" s="143"/>
      <c r="C5970" s="143"/>
      <c r="D5970" s="143"/>
      <c r="E5970" s="143"/>
      <c r="F5970" s="84"/>
      <c r="G5970" s="144"/>
      <c r="H5970" s="145"/>
    </row>
    <row r="5971" spans="1:9" s="65" customFormat="1">
      <c r="A5971" s="91"/>
      <c r="B5971" s="91"/>
      <c r="C5971" s="91"/>
      <c r="D5971" s="91"/>
      <c r="E5971" s="91"/>
      <c r="G5971" s="104"/>
      <c r="H5971" s="140"/>
    </row>
    <row r="5972" spans="1:9" s="65" customFormat="1">
      <c r="A5972" s="120"/>
      <c r="B5972" s="73"/>
      <c r="C5972" s="73"/>
      <c r="D5972" s="73"/>
      <c r="E5972" s="73"/>
      <c r="G5972" s="121"/>
      <c r="H5972" s="140"/>
    </row>
    <row r="5973" spans="1:9" s="65" customFormat="1">
      <c r="A5973" s="128"/>
      <c r="B5973" s="141"/>
      <c r="C5973" s="141"/>
      <c r="D5973" s="141"/>
      <c r="E5973" s="141"/>
      <c r="F5973" s="141"/>
      <c r="G5973" s="141"/>
      <c r="H5973" s="140"/>
    </row>
    <row r="5974" spans="1:9" s="65" customFormat="1">
      <c r="A5974" s="142"/>
      <c r="B5974" s="143"/>
      <c r="C5974" s="143"/>
      <c r="D5974" s="143"/>
      <c r="E5974" s="143"/>
      <c r="F5974" s="84"/>
      <c r="G5974" s="144"/>
      <c r="H5974" s="145"/>
    </row>
    <row r="5975" spans="1:9" s="65" customFormat="1">
      <c r="A5975" s="123"/>
      <c r="B5975" s="95"/>
      <c r="C5975" s="95"/>
      <c r="D5975" s="95"/>
      <c r="E5975" s="95"/>
      <c r="G5975" s="104"/>
      <c r="H5975" s="121"/>
    </row>
    <row r="5976" spans="1:9" s="65" customFormat="1">
      <c r="A5976" s="123"/>
      <c r="B5976" s="95"/>
      <c r="C5976" s="95"/>
      <c r="D5976" s="95"/>
      <c r="E5976" s="95"/>
      <c r="G5976" s="121"/>
      <c r="H5976" s="133"/>
    </row>
    <row r="5977" spans="1:9" s="65" customFormat="1">
      <c r="B5977" s="97"/>
      <c r="C5977" s="98"/>
      <c r="D5977" s="98"/>
      <c r="E5977" s="98"/>
      <c r="G5977" s="128"/>
    </row>
    <row r="5978" spans="1:9" s="65" customFormat="1">
      <c r="B5978" s="97"/>
      <c r="C5978" s="98"/>
      <c r="D5978" s="98"/>
      <c r="E5978" s="98"/>
      <c r="F5978" s="128"/>
      <c r="G5978" s="133"/>
      <c r="H5978" s="134"/>
    </row>
    <row r="5979" spans="1:9" s="65" customFormat="1">
      <c r="A5979" s="633"/>
      <c r="B5979" s="633"/>
      <c r="C5979" s="633"/>
      <c r="D5979" s="633"/>
      <c r="E5979" s="633"/>
      <c r="F5979" s="633"/>
      <c r="G5979" s="633"/>
    </row>
    <row r="5980" spans="1:9" s="65" customFormat="1">
      <c r="H5980" s="138"/>
      <c r="I5980" s="151"/>
    </row>
    <row r="5981" spans="1:9" s="65" customFormat="1">
      <c r="A5981" s="645"/>
      <c r="B5981" s="138"/>
      <c r="C5981" s="138"/>
      <c r="D5981" s="138"/>
      <c r="E5981" s="138"/>
      <c r="F5981" s="138"/>
      <c r="G5981" s="138"/>
      <c r="H5981" s="138"/>
      <c r="I5981" s="152"/>
    </row>
    <row r="5982" spans="1:9" s="65" customFormat="1">
      <c r="A5982" s="645"/>
      <c r="B5982" s="138"/>
      <c r="C5982" s="138"/>
      <c r="D5982" s="138"/>
      <c r="E5982" s="138"/>
      <c r="F5982" s="138"/>
      <c r="G5982" s="138"/>
    </row>
    <row r="5983" spans="1:9" s="65" customFormat="1">
      <c r="A5983" s="69"/>
      <c r="B5983" s="69"/>
      <c r="C5983" s="69"/>
      <c r="D5983" s="69"/>
      <c r="E5983" s="69"/>
    </row>
    <row r="5984" spans="1:9" s="65" customFormat="1">
      <c r="A5984" s="120"/>
      <c r="B5984" s="73"/>
      <c r="C5984" s="73"/>
      <c r="D5984" s="73"/>
      <c r="E5984" s="73"/>
      <c r="F5984" s="121"/>
      <c r="G5984" s="121"/>
      <c r="H5984" s="121"/>
    </row>
    <row r="5985" spans="1:8" s="65" customFormat="1">
      <c r="A5985" s="128"/>
      <c r="B5985" s="141"/>
      <c r="C5985" s="141"/>
      <c r="D5985" s="141"/>
      <c r="E5985" s="141"/>
      <c r="F5985" s="141"/>
      <c r="G5985" s="141"/>
      <c r="H5985" s="121"/>
    </row>
    <row r="5986" spans="1:8" s="65" customFormat="1">
      <c r="A5986" s="142"/>
      <c r="B5986" s="143"/>
      <c r="C5986" s="143"/>
      <c r="D5986" s="143"/>
      <c r="E5986" s="143"/>
      <c r="F5986" s="84"/>
      <c r="G5986" s="144"/>
      <c r="H5986" s="145"/>
    </row>
    <row r="5987" spans="1:8" s="65" customFormat="1">
      <c r="A5987" s="84"/>
      <c r="B5987" s="83"/>
      <c r="C5987" s="84"/>
      <c r="D5987" s="84"/>
      <c r="E5987" s="84"/>
      <c r="G5987" s="104"/>
      <c r="H5987" s="140"/>
    </row>
    <row r="5988" spans="1:8" s="65" customFormat="1">
      <c r="A5988" s="120"/>
      <c r="B5988" s="73"/>
      <c r="C5988" s="73"/>
      <c r="D5988" s="73"/>
      <c r="E5988" s="73"/>
      <c r="G5988" s="121"/>
      <c r="H5988" s="140"/>
    </row>
    <row r="5989" spans="1:8" s="65" customFormat="1">
      <c r="A5989" s="128"/>
      <c r="B5989" s="141"/>
      <c r="C5989" s="141"/>
      <c r="D5989" s="141"/>
      <c r="E5989" s="141"/>
      <c r="F5989" s="141"/>
      <c r="G5989" s="141"/>
      <c r="H5989" s="140"/>
    </row>
    <row r="5990" spans="1:8" s="65" customFormat="1">
      <c r="A5990" s="150"/>
      <c r="B5990" s="83"/>
      <c r="C5990" s="148"/>
      <c r="D5990" s="160"/>
      <c r="E5990" s="84"/>
      <c r="F5990" s="84"/>
      <c r="G5990" s="144"/>
      <c r="H5990" s="145"/>
    </row>
    <row r="5991" spans="1:8" s="65" customFormat="1">
      <c r="A5991" s="91"/>
      <c r="B5991" s="91"/>
      <c r="C5991" s="91"/>
      <c r="D5991" s="91"/>
      <c r="E5991" s="91"/>
      <c r="G5991" s="104"/>
      <c r="H5991" s="140"/>
    </row>
    <row r="5992" spans="1:8" s="65" customFormat="1">
      <c r="A5992" s="120"/>
      <c r="B5992" s="73"/>
      <c r="C5992" s="73"/>
      <c r="D5992" s="73"/>
      <c r="E5992" s="73"/>
      <c r="G5992" s="121"/>
      <c r="H5992" s="140"/>
    </row>
    <row r="5993" spans="1:8" s="65" customFormat="1">
      <c r="A5993" s="128"/>
      <c r="B5993" s="141"/>
      <c r="C5993" s="141"/>
      <c r="D5993" s="141"/>
      <c r="E5993" s="141"/>
      <c r="F5993" s="141"/>
      <c r="G5993" s="141"/>
      <c r="H5993" s="140"/>
    </row>
    <row r="5994" spans="1:8" s="65" customFormat="1">
      <c r="A5994" s="142"/>
      <c r="B5994" s="143"/>
      <c r="C5994" s="143"/>
      <c r="D5994" s="143"/>
      <c r="E5994" s="143"/>
      <c r="F5994" s="84"/>
      <c r="G5994" s="144"/>
      <c r="H5994" s="145"/>
    </row>
    <row r="5995" spans="1:8" s="65" customFormat="1">
      <c r="A5995" s="91"/>
      <c r="B5995" s="91"/>
      <c r="C5995" s="91"/>
      <c r="D5995" s="91"/>
      <c r="E5995" s="91"/>
      <c r="G5995" s="104"/>
      <c r="H5995" s="140"/>
    </row>
    <row r="5996" spans="1:8" s="65" customFormat="1">
      <c r="A5996" s="120"/>
      <c r="B5996" s="73"/>
      <c r="C5996" s="73"/>
      <c r="D5996" s="73"/>
      <c r="E5996" s="73"/>
      <c r="G5996" s="121"/>
      <c r="H5996" s="140"/>
    </row>
    <row r="5997" spans="1:8" s="65" customFormat="1">
      <c r="A5997" s="128"/>
      <c r="B5997" s="141"/>
      <c r="C5997" s="141"/>
      <c r="D5997" s="141"/>
      <c r="E5997" s="141"/>
      <c r="F5997" s="141"/>
      <c r="G5997" s="141"/>
      <c r="H5997" s="140"/>
    </row>
    <row r="5998" spans="1:8" s="65" customFormat="1">
      <c r="A5998" s="142"/>
      <c r="B5998" s="143"/>
      <c r="C5998" s="143"/>
      <c r="D5998" s="143"/>
      <c r="E5998" s="143"/>
      <c r="F5998" s="84"/>
      <c r="G5998" s="144"/>
      <c r="H5998" s="145"/>
    </row>
    <row r="5999" spans="1:8" s="65" customFormat="1">
      <c r="A5999" s="123"/>
      <c r="B5999" s="95"/>
      <c r="C5999" s="95"/>
      <c r="D5999" s="95"/>
      <c r="E5999" s="95"/>
      <c r="G5999" s="104"/>
      <c r="H5999" s="121"/>
    </row>
    <row r="6000" spans="1:8" s="65" customFormat="1">
      <c r="A6000" s="123"/>
      <c r="B6000" s="95"/>
      <c r="C6000" s="95"/>
      <c r="D6000" s="95"/>
      <c r="E6000" s="95"/>
      <c r="G6000" s="121"/>
      <c r="H6000" s="133"/>
    </row>
    <row r="6001" spans="1:9" s="65" customFormat="1">
      <c r="B6001" s="97"/>
      <c r="C6001" s="98"/>
      <c r="D6001" s="98"/>
      <c r="E6001" s="98"/>
      <c r="G6001" s="128"/>
    </row>
    <row r="6002" spans="1:9" s="65" customFormat="1">
      <c r="B6002" s="97"/>
      <c r="C6002" s="98"/>
      <c r="D6002" s="98"/>
      <c r="E6002" s="98"/>
      <c r="F6002" s="128"/>
      <c r="G6002" s="133"/>
      <c r="H6002" s="134"/>
    </row>
    <row r="6003" spans="1:9" s="65" customFormat="1">
      <c r="A6003" s="633"/>
      <c r="B6003" s="633"/>
      <c r="C6003" s="633"/>
      <c r="D6003" s="633"/>
      <c r="E6003" s="633"/>
      <c r="F6003" s="633"/>
      <c r="G6003" s="633"/>
    </row>
    <row r="6004" spans="1:9" s="65" customFormat="1">
      <c r="H6004" s="157"/>
      <c r="I6004" s="158"/>
    </row>
    <row r="6005" spans="1:9" s="65" customFormat="1">
      <c r="A6005" s="653"/>
      <c r="B6005" s="157"/>
      <c r="C6005" s="157"/>
      <c r="D6005" s="157"/>
      <c r="E6005" s="157"/>
      <c r="F6005" s="157"/>
      <c r="G6005" s="157"/>
      <c r="H6005" s="157"/>
      <c r="I6005" s="159"/>
    </row>
    <row r="6006" spans="1:9" s="65" customFormat="1">
      <c r="A6006" s="653"/>
      <c r="B6006" s="157"/>
      <c r="C6006" s="157"/>
      <c r="D6006" s="157"/>
      <c r="E6006" s="157"/>
      <c r="F6006" s="157"/>
      <c r="G6006" s="157"/>
    </row>
    <row r="6007" spans="1:9" s="65" customFormat="1">
      <c r="A6007" s="69"/>
      <c r="B6007" s="69"/>
      <c r="C6007" s="69"/>
      <c r="D6007" s="69"/>
      <c r="E6007" s="69"/>
    </row>
    <row r="6008" spans="1:9" s="65" customFormat="1">
      <c r="A6008" s="120"/>
      <c r="B6008" s="73"/>
      <c r="C6008" s="73"/>
      <c r="D6008" s="73"/>
      <c r="E6008" s="73"/>
      <c r="F6008" s="121"/>
      <c r="G6008" s="121"/>
      <c r="H6008" s="121"/>
    </row>
    <row r="6009" spans="1:9" s="65" customFormat="1">
      <c r="A6009" s="128"/>
      <c r="B6009" s="141"/>
      <c r="C6009" s="141"/>
      <c r="D6009" s="141"/>
      <c r="E6009" s="141"/>
      <c r="F6009" s="141"/>
      <c r="G6009" s="141"/>
      <c r="H6009" s="121"/>
    </row>
    <row r="6010" spans="1:9" s="65" customFormat="1">
      <c r="A6010" s="142"/>
      <c r="B6010" s="143"/>
      <c r="C6010" s="143"/>
      <c r="D6010" s="143"/>
      <c r="E6010" s="143"/>
      <c r="F6010" s="84"/>
      <c r="G6010" s="144"/>
      <c r="H6010" s="145"/>
    </row>
    <row r="6011" spans="1:9" s="65" customFormat="1">
      <c r="A6011" s="84"/>
      <c r="B6011" s="83"/>
      <c r="C6011" s="84"/>
      <c r="D6011" s="84"/>
      <c r="E6011" s="84"/>
      <c r="G6011" s="104"/>
      <c r="H6011" s="140"/>
    </row>
    <row r="6012" spans="1:9" s="65" customFormat="1">
      <c r="A6012" s="120"/>
      <c r="B6012" s="73"/>
      <c r="C6012" s="73"/>
      <c r="D6012" s="73"/>
      <c r="E6012" s="73"/>
      <c r="G6012" s="121"/>
      <c r="H6012" s="140"/>
    </row>
    <row r="6013" spans="1:9" s="65" customFormat="1">
      <c r="A6013" s="128"/>
      <c r="B6013" s="141"/>
      <c r="C6013" s="141"/>
      <c r="D6013" s="141"/>
      <c r="E6013" s="141"/>
      <c r="F6013" s="141"/>
      <c r="G6013" s="141"/>
      <c r="H6013" s="140"/>
    </row>
    <row r="6014" spans="1:9" s="65" customFormat="1">
      <c r="A6014" s="150"/>
      <c r="B6014" s="83"/>
      <c r="C6014" s="148"/>
      <c r="D6014" s="160"/>
      <c r="E6014" s="84"/>
      <c r="F6014" s="84"/>
      <c r="G6014" s="144"/>
      <c r="H6014" s="145"/>
    </row>
    <row r="6015" spans="1:9" s="65" customFormat="1">
      <c r="A6015" s="91"/>
      <c r="B6015" s="91"/>
      <c r="C6015" s="91"/>
      <c r="D6015" s="91"/>
      <c r="E6015" s="91"/>
      <c r="G6015" s="104"/>
      <c r="H6015" s="140"/>
    </row>
    <row r="6016" spans="1:9" s="65" customFormat="1">
      <c r="A6016" s="120"/>
      <c r="B6016" s="73"/>
      <c r="C6016" s="73"/>
      <c r="D6016" s="73"/>
      <c r="E6016" s="73"/>
      <c r="G6016" s="121"/>
      <c r="H6016" s="140"/>
    </row>
    <row r="6017" spans="1:9" s="65" customFormat="1">
      <c r="A6017" s="128"/>
      <c r="B6017" s="141"/>
      <c r="C6017" s="141"/>
      <c r="D6017" s="141"/>
      <c r="E6017" s="141"/>
      <c r="F6017" s="141"/>
      <c r="G6017" s="141"/>
      <c r="H6017" s="140"/>
    </row>
    <row r="6018" spans="1:9" s="65" customFormat="1">
      <c r="A6018" s="142"/>
      <c r="B6018" s="143"/>
      <c r="C6018" s="143"/>
      <c r="D6018" s="143"/>
      <c r="E6018" s="143"/>
      <c r="F6018" s="84"/>
      <c r="G6018" s="144"/>
      <c r="H6018" s="145"/>
    </row>
    <row r="6019" spans="1:9" s="65" customFormat="1">
      <c r="A6019" s="91"/>
      <c r="B6019" s="91"/>
      <c r="C6019" s="91"/>
      <c r="D6019" s="91"/>
      <c r="E6019" s="91"/>
      <c r="G6019" s="104"/>
      <c r="H6019" s="140"/>
    </row>
    <row r="6020" spans="1:9" s="65" customFormat="1">
      <c r="A6020" s="120"/>
      <c r="B6020" s="73"/>
      <c r="C6020" s="73"/>
      <c r="D6020" s="73"/>
      <c r="E6020" s="73"/>
      <c r="G6020" s="121"/>
      <c r="H6020" s="140"/>
    </row>
    <row r="6021" spans="1:9" s="65" customFormat="1">
      <c r="A6021" s="128"/>
      <c r="B6021" s="141"/>
      <c r="C6021" s="141"/>
      <c r="D6021" s="141"/>
      <c r="E6021" s="141"/>
      <c r="F6021" s="141"/>
      <c r="G6021" s="141"/>
      <c r="H6021" s="140"/>
    </row>
    <row r="6022" spans="1:9" s="65" customFormat="1">
      <c r="A6022" s="142"/>
      <c r="B6022" s="143"/>
      <c r="C6022" s="143"/>
      <c r="D6022" s="143"/>
      <c r="E6022" s="143"/>
      <c r="F6022" s="84"/>
      <c r="G6022" s="144"/>
      <c r="H6022" s="145"/>
    </row>
    <row r="6023" spans="1:9" s="65" customFormat="1">
      <c r="A6023" s="123"/>
      <c r="B6023" s="95"/>
      <c r="C6023" s="95"/>
      <c r="D6023" s="95"/>
      <c r="E6023" s="95"/>
      <c r="G6023" s="104"/>
      <c r="H6023" s="121"/>
    </row>
    <row r="6024" spans="1:9" s="65" customFormat="1">
      <c r="A6024" s="123"/>
      <c r="B6024" s="95"/>
      <c r="C6024" s="95"/>
      <c r="D6024" s="95"/>
      <c r="E6024" s="95"/>
      <c r="G6024" s="121"/>
      <c r="H6024" s="133"/>
    </row>
    <row r="6025" spans="1:9" s="65" customFormat="1">
      <c r="B6025" s="97"/>
      <c r="C6025" s="98"/>
      <c r="D6025" s="98"/>
      <c r="E6025" s="98"/>
      <c r="G6025" s="128"/>
    </row>
    <row r="6026" spans="1:9" s="65" customFormat="1">
      <c r="B6026" s="97"/>
      <c r="C6026" s="98"/>
      <c r="D6026" s="98"/>
      <c r="E6026" s="98"/>
      <c r="F6026" s="128"/>
      <c r="G6026" s="133"/>
      <c r="H6026" s="134"/>
    </row>
    <row r="6027" spans="1:9" s="65" customFormat="1">
      <c r="A6027" s="633"/>
      <c r="B6027" s="633"/>
      <c r="C6027" s="633"/>
      <c r="D6027" s="633"/>
      <c r="E6027" s="633"/>
      <c r="F6027" s="633"/>
      <c r="G6027" s="633"/>
    </row>
    <row r="6028" spans="1:9" s="65" customFormat="1">
      <c r="H6028" s="157"/>
      <c r="I6028" s="158"/>
    </row>
    <row r="6029" spans="1:9" s="65" customFormat="1">
      <c r="A6029" s="653"/>
      <c r="B6029" s="157"/>
      <c r="C6029" s="157"/>
      <c r="D6029" s="157"/>
      <c r="E6029" s="157"/>
      <c r="F6029" s="157"/>
      <c r="G6029" s="157"/>
      <c r="H6029" s="157"/>
      <c r="I6029" s="159"/>
    </row>
    <row r="6030" spans="1:9" s="65" customFormat="1">
      <c r="A6030" s="653"/>
      <c r="B6030" s="157"/>
      <c r="C6030" s="157"/>
      <c r="D6030" s="157"/>
      <c r="E6030" s="157"/>
      <c r="F6030" s="157"/>
      <c r="G6030" s="157"/>
    </row>
    <row r="6031" spans="1:9" s="65" customFormat="1">
      <c r="A6031" s="69"/>
      <c r="B6031" s="69"/>
      <c r="C6031" s="69"/>
      <c r="D6031" s="69"/>
      <c r="E6031" s="69"/>
    </row>
    <row r="6032" spans="1:9" s="65" customFormat="1">
      <c r="A6032" s="120"/>
      <c r="B6032" s="73"/>
      <c r="C6032" s="73"/>
      <c r="D6032" s="73"/>
      <c r="E6032" s="73"/>
      <c r="F6032" s="121"/>
      <c r="G6032" s="121"/>
      <c r="H6032" s="121"/>
    </row>
    <row r="6033" spans="1:8" s="65" customFormat="1">
      <c r="A6033" s="128"/>
      <c r="B6033" s="141"/>
      <c r="C6033" s="141"/>
      <c r="D6033" s="141"/>
      <c r="E6033" s="141"/>
      <c r="F6033" s="141"/>
      <c r="G6033" s="141"/>
      <c r="H6033" s="121"/>
    </row>
    <row r="6034" spans="1:8" s="65" customFormat="1">
      <c r="A6034" s="142"/>
      <c r="B6034" s="143"/>
      <c r="C6034" s="143"/>
      <c r="D6034" s="143"/>
      <c r="E6034" s="143"/>
      <c r="F6034" s="84"/>
      <c r="G6034" s="144"/>
      <c r="H6034" s="145"/>
    </row>
    <row r="6035" spans="1:8" s="65" customFormat="1">
      <c r="A6035" s="84"/>
      <c r="B6035" s="83"/>
      <c r="C6035" s="84"/>
      <c r="D6035" s="84"/>
      <c r="E6035" s="84"/>
      <c r="G6035" s="104"/>
      <c r="H6035" s="140"/>
    </row>
    <row r="6036" spans="1:8" s="65" customFormat="1">
      <c r="A6036" s="120"/>
      <c r="B6036" s="73"/>
      <c r="C6036" s="73"/>
      <c r="D6036" s="73"/>
      <c r="E6036" s="73"/>
      <c r="G6036" s="121"/>
      <c r="H6036" s="140"/>
    </row>
    <row r="6037" spans="1:8" s="65" customFormat="1">
      <c r="A6037" s="128"/>
      <c r="B6037" s="141"/>
      <c r="C6037" s="141"/>
      <c r="D6037" s="141"/>
      <c r="E6037" s="141"/>
      <c r="F6037" s="141"/>
      <c r="G6037" s="141"/>
      <c r="H6037" s="140"/>
    </row>
    <row r="6038" spans="1:8" s="65" customFormat="1">
      <c r="A6038" s="150"/>
      <c r="B6038" s="83"/>
      <c r="C6038" s="148"/>
      <c r="D6038" s="160"/>
      <c r="E6038" s="84"/>
      <c r="F6038" s="84"/>
      <c r="G6038" s="144"/>
      <c r="H6038" s="145"/>
    </row>
    <row r="6039" spans="1:8" s="65" customFormat="1">
      <c r="A6039" s="91"/>
      <c r="B6039" s="91"/>
      <c r="C6039" s="91"/>
      <c r="D6039" s="91"/>
      <c r="E6039" s="91"/>
      <c r="G6039" s="104"/>
      <c r="H6039" s="140"/>
    </row>
    <row r="6040" spans="1:8" s="65" customFormat="1">
      <c r="A6040" s="120"/>
      <c r="B6040" s="73"/>
      <c r="C6040" s="73"/>
      <c r="D6040" s="73"/>
      <c r="E6040" s="73"/>
      <c r="G6040" s="121"/>
      <c r="H6040" s="140"/>
    </row>
    <row r="6041" spans="1:8" s="65" customFormat="1">
      <c r="A6041" s="128"/>
      <c r="B6041" s="141"/>
      <c r="C6041" s="141"/>
      <c r="D6041" s="141"/>
      <c r="E6041" s="141"/>
      <c r="F6041" s="141"/>
      <c r="G6041" s="141"/>
      <c r="H6041" s="140"/>
    </row>
    <row r="6042" spans="1:8" s="65" customFormat="1">
      <c r="A6042" s="142"/>
      <c r="B6042" s="143"/>
      <c r="C6042" s="143"/>
      <c r="D6042" s="143"/>
      <c r="E6042" s="143"/>
      <c r="F6042" s="84"/>
      <c r="G6042" s="144"/>
      <c r="H6042" s="145"/>
    </row>
    <row r="6043" spans="1:8" s="65" customFormat="1">
      <c r="A6043" s="91"/>
      <c r="B6043" s="91"/>
      <c r="C6043" s="91"/>
      <c r="D6043" s="91"/>
      <c r="E6043" s="91"/>
      <c r="G6043" s="104"/>
      <c r="H6043" s="140"/>
    </row>
    <row r="6044" spans="1:8" s="65" customFormat="1">
      <c r="A6044" s="120"/>
      <c r="B6044" s="73"/>
      <c r="C6044" s="73"/>
      <c r="D6044" s="73"/>
      <c r="E6044" s="73"/>
      <c r="G6044" s="121"/>
      <c r="H6044" s="140"/>
    </row>
    <row r="6045" spans="1:8" s="65" customFormat="1">
      <c r="A6045" s="128"/>
      <c r="B6045" s="141"/>
      <c r="C6045" s="141"/>
      <c r="D6045" s="141"/>
      <c r="E6045" s="141"/>
      <c r="F6045" s="141"/>
      <c r="G6045" s="141"/>
      <c r="H6045" s="140"/>
    </row>
    <row r="6046" spans="1:8" s="65" customFormat="1">
      <c r="A6046" s="142"/>
      <c r="B6046" s="143"/>
      <c r="C6046" s="143"/>
      <c r="D6046" s="143"/>
      <c r="E6046" s="143"/>
      <c r="F6046" s="84"/>
      <c r="G6046" s="144"/>
      <c r="H6046" s="145"/>
    </row>
    <row r="6047" spans="1:8" s="65" customFormat="1">
      <c r="A6047" s="123"/>
      <c r="B6047" s="95"/>
      <c r="C6047" s="95"/>
      <c r="D6047" s="95"/>
      <c r="E6047" s="95"/>
      <c r="G6047" s="104"/>
      <c r="H6047" s="121"/>
    </row>
    <row r="6048" spans="1:8" s="65" customFormat="1">
      <c r="A6048" s="123"/>
      <c r="B6048" s="95"/>
      <c r="C6048" s="95"/>
      <c r="D6048" s="95"/>
      <c r="E6048" s="95"/>
      <c r="G6048" s="121"/>
      <c r="H6048" s="133"/>
    </row>
    <row r="6049" spans="1:9" s="65" customFormat="1">
      <c r="B6049" s="97"/>
      <c r="C6049" s="98"/>
      <c r="D6049" s="98"/>
      <c r="E6049" s="98"/>
      <c r="G6049" s="128"/>
    </row>
    <row r="6050" spans="1:9" s="65" customFormat="1">
      <c r="B6050" s="97"/>
      <c r="C6050" s="98"/>
      <c r="D6050" s="98"/>
      <c r="E6050" s="98"/>
      <c r="F6050" s="128"/>
      <c r="G6050" s="133"/>
      <c r="H6050" s="134"/>
    </row>
    <row r="6051" spans="1:9" s="65" customFormat="1">
      <c r="A6051" s="633"/>
      <c r="B6051" s="633"/>
      <c r="C6051" s="633"/>
      <c r="D6051" s="633"/>
      <c r="E6051" s="633"/>
      <c r="F6051" s="633"/>
      <c r="G6051" s="633"/>
    </row>
    <row r="6052" spans="1:9" s="65" customFormat="1">
      <c r="H6052" s="157"/>
      <c r="I6052" s="158"/>
    </row>
    <row r="6053" spans="1:9" s="65" customFormat="1">
      <c r="A6053" s="653"/>
      <c r="B6053" s="157"/>
      <c r="C6053" s="157"/>
      <c r="D6053" s="157"/>
      <c r="E6053" s="157"/>
      <c r="F6053" s="157"/>
      <c r="G6053" s="157"/>
      <c r="H6053" s="157"/>
      <c r="I6053" s="159"/>
    </row>
    <row r="6054" spans="1:9" s="65" customFormat="1">
      <c r="A6054" s="653"/>
      <c r="B6054" s="157"/>
      <c r="C6054" s="157"/>
      <c r="D6054" s="157"/>
      <c r="E6054" s="157"/>
      <c r="F6054" s="157"/>
      <c r="G6054" s="157"/>
    </row>
    <row r="6055" spans="1:9" s="65" customFormat="1">
      <c r="A6055" s="69"/>
      <c r="B6055" s="69"/>
      <c r="C6055" s="69"/>
      <c r="D6055" s="69"/>
      <c r="E6055" s="69"/>
    </row>
    <row r="6056" spans="1:9" s="65" customFormat="1">
      <c r="A6056" s="120"/>
      <c r="B6056" s="73"/>
      <c r="C6056" s="73"/>
      <c r="D6056" s="73"/>
      <c r="E6056" s="73"/>
      <c r="F6056" s="121"/>
      <c r="G6056" s="121"/>
      <c r="H6056" s="121"/>
    </row>
    <row r="6057" spans="1:9" s="65" customFormat="1">
      <c r="A6057" s="128"/>
      <c r="B6057" s="141"/>
      <c r="C6057" s="141"/>
      <c r="D6057" s="141"/>
      <c r="E6057" s="141"/>
      <c r="F6057" s="141"/>
      <c r="G6057" s="141"/>
      <c r="H6057" s="121"/>
    </row>
    <row r="6058" spans="1:9" s="65" customFormat="1">
      <c r="A6058" s="142"/>
      <c r="B6058" s="143"/>
      <c r="C6058" s="143"/>
      <c r="D6058" s="143"/>
      <c r="E6058" s="143"/>
      <c r="F6058" s="84"/>
      <c r="G6058" s="144"/>
      <c r="H6058" s="145"/>
    </row>
    <row r="6059" spans="1:9" s="65" customFormat="1">
      <c r="A6059" s="84"/>
      <c r="B6059" s="83"/>
      <c r="C6059" s="84"/>
      <c r="D6059" s="84"/>
      <c r="E6059" s="84"/>
      <c r="G6059" s="104"/>
      <c r="H6059" s="140"/>
    </row>
    <row r="6060" spans="1:9" s="65" customFormat="1">
      <c r="A6060" s="120"/>
      <c r="B6060" s="73"/>
      <c r="C6060" s="73"/>
      <c r="D6060" s="73"/>
      <c r="E6060" s="73"/>
      <c r="G6060" s="121"/>
      <c r="H6060" s="140"/>
    </row>
    <row r="6061" spans="1:9" s="65" customFormat="1">
      <c r="A6061" s="128"/>
      <c r="B6061" s="141"/>
      <c r="C6061" s="141"/>
      <c r="D6061" s="141"/>
      <c r="E6061" s="141"/>
      <c r="F6061" s="141"/>
      <c r="G6061" s="141"/>
      <c r="H6061" s="140"/>
    </row>
    <row r="6062" spans="1:9" s="65" customFormat="1">
      <c r="A6062" s="150"/>
      <c r="B6062" s="83"/>
      <c r="C6062" s="148"/>
      <c r="D6062" s="160"/>
      <c r="E6062" s="84"/>
      <c r="F6062" s="84"/>
      <c r="G6062" s="144"/>
      <c r="H6062" s="145"/>
    </row>
    <row r="6063" spans="1:9" s="65" customFormat="1">
      <c r="A6063" s="91"/>
      <c r="B6063" s="91"/>
      <c r="C6063" s="91"/>
      <c r="D6063" s="91"/>
      <c r="E6063" s="91"/>
      <c r="G6063" s="104"/>
      <c r="H6063" s="140"/>
    </row>
    <row r="6064" spans="1:9" s="65" customFormat="1">
      <c r="A6064" s="120"/>
      <c r="B6064" s="73"/>
      <c r="C6064" s="73"/>
      <c r="D6064" s="73"/>
      <c r="E6064" s="73"/>
      <c r="G6064" s="121"/>
      <c r="H6064" s="140"/>
    </row>
    <row r="6065" spans="1:9" s="65" customFormat="1">
      <c r="A6065" s="128"/>
      <c r="B6065" s="141"/>
      <c r="C6065" s="141"/>
      <c r="D6065" s="141"/>
      <c r="E6065" s="141"/>
      <c r="F6065" s="141"/>
      <c r="G6065" s="141"/>
      <c r="H6065" s="140"/>
    </row>
    <row r="6066" spans="1:9" s="65" customFormat="1">
      <c r="A6066" s="142"/>
      <c r="B6066" s="143"/>
      <c r="C6066" s="143"/>
      <c r="D6066" s="143"/>
      <c r="E6066" s="143"/>
      <c r="F6066" s="84"/>
      <c r="G6066" s="144"/>
      <c r="H6066" s="145"/>
    </row>
    <row r="6067" spans="1:9" s="65" customFormat="1">
      <c r="A6067" s="91"/>
      <c r="B6067" s="91"/>
      <c r="C6067" s="91"/>
      <c r="D6067" s="91"/>
      <c r="E6067" s="91"/>
      <c r="G6067" s="104"/>
      <c r="H6067" s="140"/>
    </row>
    <row r="6068" spans="1:9" s="65" customFormat="1">
      <c r="A6068" s="120"/>
      <c r="B6068" s="73"/>
      <c r="C6068" s="73"/>
      <c r="D6068" s="73"/>
      <c r="E6068" s="73"/>
      <c r="G6068" s="121"/>
      <c r="H6068" s="140"/>
    </row>
    <row r="6069" spans="1:9" s="65" customFormat="1">
      <c r="A6069" s="128"/>
      <c r="B6069" s="141"/>
      <c r="C6069" s="141"/>
      <c r="D6069" s="141"/>
      <c r="E6069" s="141"/>
      <c r="F6069" s="141"/>
      <c r="G6069" s="141"/>
      <c r="H6069" s="140"/>
    </row>
    <row r="6070" spans="1:9" s="65" customFormat="1">
      <c r="A6070" s="142"/>
      <c r="B6070" s="143"/>
      <c r="C6070" s="143"/>
      <c r="D6070" s="143"/>
      <c r="E6070" s="143"/>
      <c r="F6070" s="84"/>
      <c r="G6070" s="144"/>
      <c r="H6070" s="145"/>
    </row>
    <row r="6071" spans="1:9" s="65" customFormat="1">
      <c r="A6071" s="123"/>
      <c r="B6071" s="95"/>
      <c r="C6071" s="95"/>
      <c r="D6071" s="95"/>
      <c r="E6071" s="95"/>
      <c r="G6071" s="104"/>
      <c r="H6071" s="121"/>
    </row>
    <row r="6072" spans="1:9" s="65" customFormat="1">
      <c r="A6072" s="123"/>
      <c r="B6072" s="95"/>
      <c r="C6072" s="95"/>
      <c r="D6072" s="95"/>
      <c r="E6072" s="95"/>
      <c r="G6072" s="121"/>
      <c r="H6072" s="133"/>
    </row>
    <row r="6073" spans="1:9" s="65" customFormat="1">
      <c r="B6073" s="97"/>
      <c r="C6073" s="98"/>
      <c r="D6073" s="98"/>
      <c r="E6073" s="98"/>
      <c r="G6073" s="128"/>
    </row>
    <row r="6074" spans="1:9" s="65" customFormat="1">
      <c r="B6074" s="97"/>
      <c r="C6074" s="98"/>
      <c r="D6074" s="98"/>
      <c r="E6074" s="98"/>
      <c r="F6074" s="128"/>
      <c r="G6074" s="133"/>
      <c r="H6074" s="134"/>
    </row>
    <row r="6075" spans="1:9" s="65" customFormat="1">
      <c r="A6075" s="633"/>
      <c r="B6075" s="633"/>
      <c r="C6075" s="633"/>
      <c r="D6075" s="633"/>
      <c r="E6075" s="633"/>
      <c r="F6075" s="633"/>
      <c r="G6075" s="633"/>
    </row>
    <row r="6076" spans="1:9" s="65" customFormat="1">
      <c r="H6076" s="157"/>
      <c r="I6076" s="158"/>
    </row>
    <row r="6077" spans="1:9" s="65" customFormat="1">
      <c r="A6077" s="653"/>
      <c r="B6077" s="157"/>
      <c r="C6077" s="157"/>
      <c r="D6077" s="157"/>
      <c r="E6077" s="157"/>
      <c r="F6077" s="157"/>
      <c r="G6077" s="157"/>
      <c r="H6077" s="157"/>
      <c r="I6077" s="159"/>
    </row>
    <row r="6078" spans="1:9" s="65" customFormat="1">
      <c r="A6078" s="653"/>
      <c r="B6078" s="157"/>
      <c r="C6078" s="157"/>
      <c r="D6078" s="157"/>
      <c r="E6078" s="157"/>
      <c r="F6078" s="157"/>
      <c r="G6078" s="157"/>
    </row>
    <row r="6079" spans="1:9" s="65" customFormat="1">
      <c r="A6079" s="69"/>
      <c r="B6079" s="69"/>
      <c r="C6079" s="69"/>
      <c r="D6079" s="69"/>
      <c r="E6079" s="69"/>
    </row>
    <row r="6080" spans="1:9" s="65" customFormat="1">
      <c r="A6080" s="120"/>
      <c r="B6080" s="73"/>
      <c r="C6080" s="73"/>
      <c r="D6080" s="73"/>
      <c r="E6080" s="73"/>
      <c r="F6080" s="121"/>
      <c r="G6080" s="121"/>
      <c r="H6080" s="121"/>
    </row>
    <row r="6081" spans="1:8" s="65" customFormat="1">
      <c r="A6081" s="128"/>
      <c r="B6081" s="141"/>
      <c r="C6081" s="141"/>
      <c r="D6081" s="141"/>
      <c r="E6081" s="141"/>
      <c r="F6081" s="141"/>
      <c r="G6081" s="141"/>
      <c r="H6081" s="121"/>
    </row>
    <row r="6082" spans="1:8" s="65" customFormat="1">
      <c r="A6082" s="142"/>
      <c r="B6082" s="143"/>
      <c r="C6082" s="143"/>
      <c r="D6082" s="143"/>
      <c r="E6082" s="143"/>
      <c r="F6082" s="84"/>
      <c r="G6082" s="144"/>
      <c r="H6082" s="145"/>
    </row>
    <row r="6083" spans="1:8" s="65" customFormat="1">
      <c r="A6083" s="84"/>
      <c r="B6083" s="83"/>
      <c r="C6083" s="84"/>
      <c r="D6083" s="84"/>
      <c r="E6083" s="84"/>
      <c r="G6083" s="104"/>
      <c r="H6083" s="140"/>
    </row>
    <row r="6084" spans="1:8" s="65" customFormat="1">
      <c r="A6084" s="120"/>
      <c r="B6084" s="73"/>
      <c r="C6084" s="73"/>
      <c r="D6084" s="73"/>
      <c r="E6084" s="73"/>
      <c r="G6084" s="121"/>
      <c r="H6084" s="140"/>
    </row>
    <row r="6085" spans="1:8" s="65" customFormat="1">
      <c r="A6085" s="128"/>
      <c r="B6085" s="141"/>
      <c r="C6085" s="141"/>
      <c r="D6085" s="141"/>
      <c r="E6085" s="141"/>
      <c r="F6085" s="141"/>
      <c r="G6085" s="141"/>
      <c r="H6085" s="140"/>
    </row>
    <row r="6086" spans="1:8" s="65" customFormat="1">
      <c r="A6086" s="150"/>
      <c r="B6086" s="83"/>
      <c r="C6086" s="148"/>
      <c r="D6086" s="160"/>
      <c r="E6086" s="84"/>
      <c r="F6086" s="84"/>
      <c r="G6086" s="144"/>
      <c r="H6086" s="145"/>
    </row>
    <row r="6087" spans="1:8" s="65" customFormat="1">
      <c r="A6087" s="91"/>
      <c r="B6087" s="91"/>
      <c r="C6087" s="91"/>
      <c r="D6087" s="91"/>
      <c r="E6087" s="91"/>
      <c r="G6087" s="104"/>
      <c r="H6087" s="140"/>
    </row>
    <row r="6088" spans="1:8" s="65" customFormat="1">
      <c r="A6088" s="120"/>
      <c r="B6088" s="73"/>
      <c r="C6088" s="73"/>
      <c r="D6088" s="73"/>
      <c r="E6088" s="73"/>
      <c r="G6088" s="121"/>
      <c r="H6088" s="140"/>
    </row>
    <row r="6089" spans="1:8" s="65" customFormat="1">
      <c r="A6089" s="128"/>
      <c r="B6089" s="141"/>
      <c r="C6089" s="141"/>
      <c r="D6089" s="141"/>
      <c r="E6089" s="141"/>
      <c r="F6089" s="141"/>
      <c r="G6089" s="141"/>
      <c r="H6089" s="140"/>
    </row>
    <row r="6090" spans="1:8" s="65" customFormat="1">
      <c r="A6090" s="142"/>
      <c r="B6090" s="143"/>
      <c r="C6090" s="143"/>
      <c r="D6090" s="143"/>
      <c r="E6090" s="143"/>
      <c r="F6090" s="84"/>
      <c r="G6090" s="144"/>
      <c r="H6090" s="145"/>
    </row>
    <row r="6091" spans="1:8" s="65" customFormat="1">
      <c r="A6091" s="91"/>
      <c r="B6091" s="91"/>
      <c r="C6091" s="91"/>
      <c r="D6091" s="91"/>
      <c r="E6091" s="91"/>
      <c r="G6091" s="104"/>
      <c r="H6091" s="140"/>
    </row>
    <row r="6092" spans="1:8" s="65" customFormat="1">
      <c r="A6092" s="120"/>
      <c r="B6092" s="73"/>
      <c r="C6092" s="73"/>
      <c r="D6092" s="73"/>
      <c r="E6092" s="73"/>
      <c r="G6092" s="121"/>
      <c r="H6092" s="140"/>
    </row>
    <row r="6093" spans="1:8" s="65" customFormat="1">
      <c r="A6093" s="128"/>
      <c r="B6093" s="141"/>
      <c r="C6093" s="141"/>
      <c r="D6093" s="141"/>
      <c r="E6093" s="141"/>
      <c r="F6093" s="141"/>
      <c r="G6093" s="141"/>
      <c r="H6093" s="140"/>
    </row>
    <row r="6094" spans="1:8" s="65" customFormat="1">
      <c r="A6094" s="142"/>
      <c r="B6094" s="143"/>
      <c r="C6094" s="143"/>
      <c r="D6094" s="143"/>
      <c r="E6094" s="143"/>
      <c r="F6094" s="84"/>
      <c r="G6094" s="144"/>
      <c r="H6094" s="145"/>
    </row>
    <row r="6095" spans="1:8" s="65" customFormat="1">
      <c r="A6095" s="123"/>
      <c r="B6095" s="95"/>
      <c r="C6095" s="95"/>
      <c r="D6095" s="95"/>
      <c r="E6095" s="95"/>
      <c r="G6095" s="104"/>
      <c r="H6095" s="121"/>
    </row>
    <row r="6096" spans="1:8" s="65" customFormat="1">
      <c r="A6096" s="123"/>
      <c r="B6096" s="95"/>
      <c r="C6096" s="95"/>
      <c r="D6096" s="95"/>
      <c r="E6096" s="95"/>
      <c r="G6096" s="121"/>
      <c r="H6096" s="133"/>
    </row>
    <row r="6097" spans="1:9" s="65" customFormat="1">
      <c r="B6097" s="97"/>
      <c r="C6097" s="98"/>
      <c r="D6097" s="98"/>
      <c r="E6097" s="98"/>
      <c r="G6097" s="128"/>
    </row>
    <row r="6098" spans="1:9" s="65" customFormat="1">
      <c r="B6098" s="97"/>
      <c r="C6098" s="98"/>
      <c r="D6098" s="98"/>
      <c r="E6098" s="98"/>
      <c r="F6098" s="128"/>
      <c r="G6098" s="133"/>
      <c r="H6098" s="134"/>
    </row>
    <row r="6099" spans="1:9" s="65" customFormat="1">
      <c r="A6099" s="633"/>
      <c r="B6099" s="633"/>
      <c r="C6099" s="633"/>
      <c r="D6099" s="633"/>
      <c r="E6099" s="633"/>
      <c r="F6099" s="633"/>
      <c r="G6099" s="633"/>
    </row>
    <row r="6100" spans="1:9" s="65" customFormat="1">
      <c r="H6100" s="157"/>
      <c r="I6100" s="158"/>
    </row>
    <row r="6101" spans="1:9" s="65" customFormat="1">
      <c r="A6101" s="653"/>
      <c r="B6101" s="157"/>
      <c r="C6101" s="157"/>
      <c r="D6101" s="157"/>
      <c r="E6101" s="157"/>
      <c r="F6101" s="157"/>
      <c r="G6101" s="157"/>
      <c r="H6101" s="157"/>
      <c r="I6101" s="159"/>
    </row>
    <row r="6102" spans="1:9" s="65" customFormat="1">
      <c r="A6102" s="653"/>
      <c r="B6102" s="157"/>
      <c r="C6102" s="157"/>
      <c r="D6102" s="157"/>
      <c r="E6102" s="157"/>
      <c r="F6102" s="157"/>
      <c r="G6102" s="157"/>
    </row>
    <row r="6103" spans="1:9" s="65" customFormat="1">
      <c r="A6103" s="69"/>
      <c r="B6103" s="69"/>
      <c r="C6103" s="69"/>
      <c r="D6103" s="69"/>
      <c r="E6103" s="69"/>
    </row>
    <row r="6104" spans="1:9" s="65" customFormat="1">
      <c r="A6104" s="120"/>
      <c r="B6104" s="73"/>
      <c r="C6104" s="73"/>
      <c r="D6104" s="73"/>
      <c r="E6104" s="73"/>
      <c r="F6104" s="121"/>
      <c r="G6104" s="121"/>
      <c r="H6104" s="121"/>
    </row>
    <row r="6105" spans="1:9" s="65" customFormat="1">
      <c r="A6105" s="128"/>
      <c r="B6105" s="141"/>
      <c r="C6105" s="141"/>
      <c r="D6105" s="141"/>
      <c r="E6105" s="141"/>
      <c r="F6105" s="141"/>
      <c r="G6105" s="141"/>
      <c r="H6105" s="121"/>
    </row>
    <row r="6106" spans="1:9" s="65" customFormat="1">
      <c r="A6106" s="142"/>
      <c r="B6106" s="143"/>
      <c r="C6106" s="143"/>
      <c r="D6106" s="143"/>
      <c r="E6106" s="143"/>
      <c r="F6106" s="84"/>
      <c r="G6106" s="144"/>
      <c r="H6106" s="145"/>
    </row>
    <row r="6107" spans="1:9" s="65" customFormat="1">
      <c r="A6107" s="84"/>
      <c r="B6107" s="83"/>
      <c r="C6107" s="84"/>
      <c r="D6107" s="84"/>
      <c r="E6107" s="84"/>
      <c r="G6107" s="104"/>
      <c r="H6107" s="140"/>
    </row>
    <row r="6108" spans="1:9" s="65" customFormat="1">
      <c r="A6108" s="120"/>
      <c r="B6108" s="73"/>
      <c r="C6108" s="73"/>
      <c r="D6108" s="73"/>
      <c r="E6108" s="73"/>
      <c r="G6108" s="121"/>
      <c r="H6108" s="140"/>
    </row>
    <row r="6109" spans="1:9" s="65" customFormat="1">
      <c r="A6109" s="128"/>
      <c r="B6109" s="141"/>
      <c r="C6109" s="141"/>
      <c r="D6109" s="141"/>
      <c r="E6109" s="141"/>
      <c r="F6109" s="141"/>
      <c r="G6109" s="141"/>
      <c r="H6109" s="140"/>
    </row>
    <row r="6110" spans="1:9" s="65" customFormat="1">
      <c r="A6110" s="150"/>
      <c r="B6110" s="83"/>
      <c r="C6110" s="148"/>
      <c r="D6110" s="160"/>
      <c r="E6110" s="84"/>
      <c r="F6110" s="84"/>
      <c r="G6110" s="144"/>
      <c r="H6110" s="145"/>
    </row>
    <row r="6111" spans="1:9" s="65" customFormat="1">
      <c r="A6111" s="91"/>
      <c r="B6111" s="91"/>
      <c r="C6111" s="91"/>
      <c r="D6111" s="91"/>
      <c r="E6111" s="91"/>
      <c r="G6111" s="104"/>
      <c r="H6111" s="140"/>
    </row>
    <row r="6112" spans="1:9" s="65" customFormat="1">
      <c r="A6112" s="120"/>
      <c r="B6112" s="73"/>
      <c r="C6112" s="73"/>
      <c r="D6112" s="73"/>
      <c r="E6112" s="73"/>
      <c r="G6112" s="121"/>
      <c r="H6112" s="140"/>
    </row>
    <row r="6113" spans="1:9" s="65" customFormat="1">
      <c r="A6113" s="128"/>
      <c r="B6113" s="141"/>
      <c r="C6113" s="141"/>
      <c r="D6113" s="141"/>
      <c r="E6113" s="141"/>
      <c r="F6113" s="141"/>
      <c r="G6113" s="141"/>
      <c r="H6113" s="140"/>
    </row>
    <row r="6114" spans="1:9" s="65" customFormat="1">
      <c r="A6114" s="142"/>
      <c r="B6114" s="143"/>
      <c r="C6114" s="143"/>
      <c r="D6114" s="143"/>
      <c r="E6114" s="143"/>
      <c r="F6114" s="84"/>
      <c r="G6114" s="144"/>
      <c r="H6114" s="145"/>
    </row>
    <row r="6115" spans="1:9" s="65" customFormat="1">
      <c r="A6115" s="91"/>
      <c r="B6115" s="91"/>
      <c r="C6115" s="91"/>
      <c r="D6115" s="91"/>
      <c r="E6115" s="91"/>
      <c r="G6115" s="104"/>
      <c r="H6115" s="140"/>
    </row>
    <row r="6116" spans="1:9" s="65" customFormat="1">
      <c r="A6116" s="120"/>
      <c r="B6116" s="73"/>
      <c r="C6116" s="73"/>
      <c r="D6116" s="73"/>
      <c r="E6116" s="73"/>
      <c r="G6116" s="121"/>
      <c r="H6116" s="140"/>
    </row>
    <row r="6117" spans="1:9" s="65" customFormat="1">
      <c r="A6117" s="128"/>
      <c r="B6117" s="141"/>
      <c r="C6117" s="141"/>
      <c r="D6117" s="141"/>
      <c r="E6117" s="141"/>
      <c r="F6117" s="141"/>
      <c r="G6117" s="141"/>
      <c r="H6117" s="140"/>
    </row>
    <row r="6118" spans="1:9" s="65" customFormat="1">
      <c r="A6118" s="142"/>
      <c r="B6118" s="143"/>
      <c r="C6118" s="143"/>
      <c r="D6118" s="143"/>
      <c r="E6118" s="143"/>
      <c r="F6118" s="84"/>
      <c r="G6118" s="144"/>
      <c r="H6118" s="145"/>
    </row>
    <row r="6119" spans="1:9" s="65" customFormat="1">
      <c r="A6119" s="123"/>
      <c r="B6119" s="95"/>
      <c r="C6119" s="95"/>
      <c r="D6119" s="95"/>
      <c r="E6119" s="95"/>
      <c r="G6119" s="104"/>
      <c r="H6119" s="121"/>
    </row>
    <row r="6120" spans="1:9" s="65" customFormat="1">
      <c r="A6120" s="123"/>
      <c r="B6120" s="95"/>
      <c r="C6120" s="95"/>
      <c r="D6120" s="95"/>
      <c r="E6120" s="95"/>
      <c r="G6120" s="121"/>
      <c r="H6120" s="133"/>
    </row>
    <row r="6121" spans="1:9" s="65" customFormat="1">
      <c r="B6121" s="97"/>
      <c r="C6121" s="98"/>
      <c r="D6121" s="98"/>
      <c r="E6121" s="98"/>
      <c r="G6121" s="128"/>
    </row>
    <row r="6122" spans="1:9" s="65" customFormat="1">
      <c r="B6122" s="97"/>
      <c r="C6122" s="98"/>
      <c r="D6122" s="98"/>
      <c r="E6122" s="98"/>
      <c r="F6122" s="128"/>
      <c r="G6122" s="133"/>
      <c r="H6122" s="134"/>
    </row>
    <row r="6123" spans="1:9" s="65" customFormat="1">
      <c r="A6123" s="633"/>
      <c r="B6123" s="633"/>
      <c r="C6123" s="633"/>
      <c r="D6123" s="633"/>
      <c r="E6123" s="633"/>
      <c r="F6123" s="633"/>
      <c r="G6123" s="633"/>
    </row>
    <row r="6124" spans="1:9" s="65" customFormat="1">
      <c r="H6124" s="157"/>
      <c r="I6124" s="158"/>
    </row>
    <row r="6125" spans="1:9" s="65" customFormat="1">
      <c r="A6125" s="653"/>
      <c r="B6125" s="157"/>
      <c r="C6125" s="157"/>
      <c r="D6125" s="157"/>
      <c r="E6125" s="157"/>
      <c r="F6125" s="157"/>
      <c r="G6125" s="157"/>
      <c r="H6125" s="157"/>
      <c r="I6125" s="159"/>
    </row>
    <row r="6126" spans="1:9" s="65" customFormat="1">
      <c r="A6126" s="653"/>
      <c r="B6126" s="157"/>
      <c r="C6126" s="157"/>
      <c r="D6126" s="157"/>
      <c r="E6126" s="157"/>
      <c r="F6126" s="157"/>
      <c r="G6126" s="157"/>
    </row>
    <row r="6127" spans="1:9" s="65" customFormat="1">
      <c r="A6127" s="69"/>
      <c r="B6127" s="69"/>
      <c r="C6127" s="69"/>
      <c r="D6127" s="69"/>
      <c r="E6127" s="69"/>
    </row>
    <row r="6128" spans="1:9" s="65" customFormat="1">
      <c r="A6128" s="120"/>
      <c r="B6128" s="73"/>
      <c r="C6128" s="73"/>
      <c r="D6128" s="73"/>
      <c r="E6128" s="73"/>
      <c r="F6128" s="121"/>
      <c r="G6128" s="121"/>
      <c r="H6128" s="121"/>
    </row>
    <row r="6129" spans="1:8" s="65" customFormat="1">
      <c r="A6129" s="128"/>
      <c r="B6129" s="141"/>
      <c r="C6129" s="141"/>
      <c r="D6129" s="141"/>
      <c r="E6129" s="141"/>
      <c r="F6129" s="141"/>
      <c r="G6129" s="141"/>
      <c r="H6129" s="121"/>
    </row>
    <row r="6130" spans="1:8" s="65" customFormat="1">
      <c r="A6130" s="142"/>
      <c r="B6130" s="143"/>
      <c r="C6130" s="143"/>
      <c r="D6130" s="143"/>
      <c r="E6130" s="143"/>
      <c r="F6130" s="84"/>
      <c r="G6130" s="144"/>
      <c r="H6130" s="145"/>
    </row>
    <row r="6131" spans="1:8" s="65" customFormat="1">
      <c r="A6131" s="84"/>
      <c r="B6131" s="83"/>
      <c r="C6131" s="84"/>
      <c r="D6131" s="84"/>
      <c r="E6131" s="84"/>
      <c r="G6131" s="104"/>
      <c r="H6131" s="140"/>
    </row>
    <row r="6132" spans="1:8" s="65" customFormat="1">
      <c r="A6132" s="120"/>
      <c r="B6132" s="73"/>
      <c r="C6132" s="73"/>
      <c r="D6132" s="73"/>
      <c r="E6132" s="73"/>
      <c r="G6132" s="121"/>
      <c r="H6132" s="140"/>
    </row>
    <row r="6133" spans="1:8" s="65" customFormat="1">
      <c r="A6133" s="128"/>
      <c r="B6133" s="141"/>
      <c r="C6133" s="141"/>
      <c r="D6133" s="141"/>
      <c r="E6133" s="141"/>
      <c r="F6133" s="141"/>
      <c r="G6133" s="141"/>
      <c r="H6133" s="140"/>
    </row>
    <row r="6134" spans="1:8" s="65" customFormat="1">
      <c r="A6134" s="150"/>
      <c r="B6134" s="83"/>
      <c r="C6134" s="148"/>
      <c r="D6134" s="160"/>
      <c r="E6134" s="84"/>
      <c r="F6134" s="84"/>
      <c r="G6134" s="144"/>
      <c r="H6134" s="145"/>
    </row>
    <row r="6135" spans="1:8" s="65" customFormat="1">
      <c r="A6135" s="91"/>
      <c r="B6135" s="91"/>
      <c r="C6135" s="91"/>
      <c r="D6135" s="91"/>
      <c r="E6135" s="91"/>
      <c r="G6135" s="104"/>
      <c r="H6135" s="140"/>
    </row>
    <row r="6136" spans="1:8" s="65" customFormat="1">
      <c r="A6136" s="120"/>
      <c r="B6136" s="73"/>
      <c r="C6136" s="73"/>
      <c r="D6136" s="73"/>
      <c r="E6136" s="73"/>
      <c r="G6136" s="121"/>
      <c r="H6136" s="140"/>
    </row>
    <row r="6137" spans="1:8" s="65" customFormat="1">
      <c r="A6137" s="128"/>
      <c r="B6137" s="141"/>
      <c r="C6137" s="141"/>
      <c r="D6137" s="141"/>
      <c r="E6137" s="141"/>
      <c r="F6137" s="141"/>
      <c r="G6137" s="141"/>
      <c r="H6137" s="140"/>
    </row>
    <row r="6138" spans="1:8" s="65" customFormat="1">
      <c r="A6138" s="142"/>
      <c r="B6138" s="143"/>
      <c r="C6138" s="143"/>
      <c r="D6138" s="143"/>
      <c r="E6138" s="143"/>
      <c r="F6138" s="84"/>
      <c r="G6138" s="144"/>
      <c r="H6138" s="145"/>
    </row>
    <row r="6139" spans="1:8" s="65" customFormat="1">
      <c r="A6139" s="91"/>
      <c r="B6139" s="91"/>
      <c r="C6139" s="91"/>
      <c r="D6139" s="91"/>
      <c r="E6139" s="91"/>
      <c r="G6139" s="104"/>
      <c r="H6139" s="140"/>
    </row>
    <row r="6140" spans="1:8" s="65" customFormat="1">
      <c r="A6140" s="120"/>
      <c r="B6140" s="73"/>
      <c r="C6140" s="73"/>
      <c r="D6140" s="73"/>
      <c r="E6140" s="73"/>
      <c r="G6140" s="121"/>
      <c r="H6140" s="140"/>
    </row>
    <row r="6141" spans="1:8" s="65" customFormat="1">
      <c r="A6141" s="128"/>
      <c r="B6141" s="141"/>
      <c r="C6141" s="141"/>
      <c r="D6141" s="141"/>
      <c r="E6141" s="141"/>
      <c r="F6141" s="141"/>
      <c r="G6141" s="141"/>
      <c r="H6141" s="140"/>
    </row>
    <row r="6142" spans="1:8" s="65" customFormat="1">
      <c r="A6142" s="142"/>
      <c r="B6142" s="143"/>
      <c r="C6142" s="143"/>
      <c r="D6142" s="143"/>
      <c r="E6142" s="143"/>
      <c r="F6142" s="84"/>
      <c r="G6142" s="144"/>
      <c r="H6142" s="145"/>
    </row>
    <row r="6143" spans="1:8" s="65" customFormat="1">
      <c r="A6143" s="123"/>
      <c r="B6143" s="95"/>
      <c r="C6143" s="95"/>
      <c r="D6143" s="95"/>
      <c r="E6143" s="95"/>
      <c r="G6143" s="104"/>
      <c r="H6143" s="121"/>
    </row>
    <row r="6144" spans="1:8" s="65" customFormat="1">
      <c r="A6144" s="123"/>
      <c r="B6144" s="95"/>
      <c r="C6144" s="95"/>
      <c r="D6144" s="95"/>
      <c r="E6144" s="95"/>
      <c r="G6144" s="121"/>
      <c r="H6144" s="133"/>
    </row>
    <row r="6145" spans="1:9" s="65" customFormat="1">
      <c r="B6145" s="97"/>
      <c r="C6145" s="98"/>
      <c r="D6145" s="98"/>
      <c r="E6145" s="98"/>
      <c r="G6145" s="128"/>
    </row>
    <row r="6146" spans="1:9" s="65" customFormat="1">
      <c r="B6146" s="97"/>
      <c r="C6146" s="98"/>
      <c r="D6146" s="98"/>
      <c r="E6146" s="98"/>
      <c r="F6146" s="128"/>
      <c r="G6146" s="133"/>
      <c r="H6146" s="134"/>
    </row>
    <row r="6147" spans="1:9" s="65" customFormat="1">
      <c r="A6147" s="633"/>
      <c r="B6147" s="633"/>
      <c r="C6147" s="633"/>
      <c r="D6147" s="633"/>
      <c r="E6147" s="633"/>
      <c r="F6147" s="633"/>
      <c r="G6147" s="633"/>
    </row>
    <row r="6148" spans="1:9" s="65" customFormat="1">
      <c r="H6148" s="157"/>
      <c r="I6148" s="158"/>
    </row>
    <row r="6149" spans="1:9" s="65" customFormat="1">
      <c r="A6149" s="653"/>
      <c r="B6149" s="157"/>
      <c r="C6149" s="157"/>
      <c r="D6149" s="157"/>
      <c r="E6149" s="157"/>
      <c r="F6149" s="157"/>
      <c r="G6149" s="157"/>
      <c r="H6149" s="157"/>
      <c r="I6149" s="159"/>
    </row>
    <row r="6150" spans="1:9" s="65" customFormat="1">
      <c r="A6150" s="653"/>
      <c r="B6150" s="157"/>
      <c r="C6150" s="157"/>
      <c r="D6150" s="157"/>
      <c r="E6150" s="157"/>
      <c r="F6150" s="157"/>
      <c r="G6150" s="157"/>
    </row>
    <row r="6151" spans="1:9" s="65" customFormat="1">
      <c r="A6151" s="69"/>
      <c r="B6151" s="69"/>
      <c r="C6151" s="69"/>
      <c r="D6151" s="69"/>
      <c r="E6151" s="69"/>
    </row>
    <row r="6152" spans="1:9" s="65" customFormat="1">
      <c r="A6152" s="120"/>
      <c r="B6152" s="73"/>
      <c r="C6152" s="73"/>
      <c r="D6152" s="73"/>
      <c r="E6152" s="73"/>
      <c r="F6152" s="121"/>
      <c r="G6152" s="121"/>
      <c r="H6152" s="121"/>
    </row>
    <row r="6153" spans="1:9" s="65" customFormat="1">
      <c r="A6153" s="128"/>
      <c r="B6153" s="141"/>
      <c r="C6153" s="141"/>
      <c r="D6153" s="141"/>
      <c r="E6153" s="141"/>
      <c r="F6153" s="141"/>
      <c r="G6153" s="141"/>
      <c r="H6153" s="121"/>
    </row>
    <row r="6154" spans="1:9" s="65" customFormat="1">
      <c r="A6154" s="142"/>
      <c r="B6154" s="143"/>
      <c r="C6154" s="143"/>
      <c r="D6154" s="143"/>
      <c r="E6154" s="143"/>
      <c r="F6154" s="84"/>
      <c r="G6154" s="144"/>
      <c r="H6154" s="145"/>
    </row>
    <row r="6155" spans="1:9" s="65" customFormat="1">
      <c r="A6155" s="84"/>
      <c r="B6155" s="83"/>
      <c r="C6155" s="84"/>
      <c r="D6155" s="84"/>
      <c r="E6155" s="84"/>
      <c r="G6155" s="104"/>
      <c r="H6155" s="140"/>
    </row>
    <row r="6156" spans="1:9" s="65" customFormat="1">
      <c r="A6156" s="120"/>
      <c r="B6156" s="73"/>
      <c r="C6156" s="73"/>
      <c r="D6156" s="73"/>
      <c r="E6156" s="73"/>
      <c r="G6156" s="121"/>
      <c r="H6156" s="140"/>
    </row>
    <row r="6157" spans="1:9" s="65" customFormat="1">
      <c r="A6157" s="128"/>
      <c r="B6157" s="141"/>
      <c r="C6157" s="141"/>
      <c r="D6157" s="141"/>
      <c r="E6157" s="141"/>
      <c r="F6157" s="141"/>
      <c r="G6157" s="141"/>
      <c r="H6157" s="140"/>
    </row>
    <row r="6158" spans="1:9" s="65" customFormat="1">
      <c r="A6158" s="150"/>
      <c r="B6158" s="83"/>
      <c r="C6158" s="148"/>
      <c r="D6158" s="160"/>
      <c r="E6158" s="84"/>
      <c r="F6158" s="84"/>
      <c r="G6158" s="144"/>
      <c r="H6158" s="145"/>
    </row>
    <row r="6159" spans="1:9" s="65" customFormat="1">
      <c r="A6159" s="91"/>
      <c r="B6159" s="91"/>
      <c r="C6159" s="91"/>
      <c r="D6159" s="91"/>
      <c r="E6159" s="91"/>
      <c r="G6159" s="104"/>
      <c r="H6159" s="140"/>
    </row>
    <row r="6160" spans="1:9" s="65" customFormat="1">
      <c r="A6160" s="120"/>
      <c r="B6160" s="73"/>
      <c r="C6160" s="73"/>
      <c r="D6160" s="73"/>
      <c r="E6160" s="73"/>
      <c r="G6160" s="121"/>
      <c r="H6160" s="140"/>
    </row>
    <row r="6161" spans="1:9" s="65" customFormat="1">
      <c r="A6161" s="128"/>
      <c r="B6161" s="141"/>
      <c r="C6161" s="141"/>
      <c r="D6161" s="141"/>
      <c r="E6161" s="141"/>
      <c r="F6161" s="141"/>
      <c r="G6161" s="141"/>
      <c r="H6161" s="140"/>
    </row>
    <row r="6162" spans="1:9" s="65" customFormat="1">
      <c r="A6162" s="142"/>
      <c r="B6162" s="143"/>
      <c r="C6162" s="143"/>
      <c r="D6162" s="143"/>
      <c r="E6162" s="143"/>
      <c r="F6162" s="84"/>
      <c r="G6162" s="144"/>
      <c r="H6162" s="145"/>
    </row>
    <row r="6163" spans="1:9" s="65" customFormat="1">
      <c r="A6163" s="91"/>
      <c r="B6163" s="91"/>
      <c r="C6163" s="91"/>
      <c r="D6163" s="91"/>
      <c r="E6163" s="91"/>
      <c r="G6163" s="104"/>
      <c r="H6163" s="140"/>
    </row>
    <row r="6164" spans="1:9" s="65" customFormat="1">
      <c r="A6164" s="120"/>
      <c r="B6164" s="73"/>
      <c r="C6164" s="73"/>
      <c r="D6164" s="73"/>
      <c r="E6164" s="73"/>
      <c r="G6164" s="121"/>
      <c r="H6164" s="140"/>
    </row>
    <row r="6165" spans="1:9" s="65" customFormat="1">
      <c r="A6165" s="128"/>
      <c r="B6165" s="141"/>
      <c r="C6165" s="141"/>
      <c r="D6165" s="141"/>
      <c r="E6165" s="141"/>
      <c r="F6165" s="141"/>
      <c r="G6165" s="141"/>
      <c r="H6165" s="140"/>
    </row>
    <row r="6166" spans="1:9" s="65" customFormat="1">
      <c r="A6166" s="142"/>
      <c r="B6166" s="143"/>
      <c r="C6166" s="143"/>
      <c r="D6166" s="143"/>
      <c r="E6166" s="143"/>
      <c r="F6166" s="84"/>
      <c r="G6166" s="144"/>
      <c r="H6166" s="145"/>
    </row>
    <row r="6167" spans="1:9" s="65" customFormat="1">
      <c r="A6167" s="123"/>
      <c r="B6167" s="95"/>
      <c r="C6167" s="95"/>
      <c r="D6167" s="95"/>
      <c r="E6167" s="95"/>
      <c r="G6167" s="104"/>
      <c r="H6167" s="121"/>
    </row>
    <row r="6168" spans="1:9" s="65" customFormat="1">
      <c r="A6168" s="123"/>
      <c r="B6168" s="95"/>
      <c r="C6168" s="95"/>
      <c r="D6168" s="95"/>
      <c r="E6168" s="95"/>
      <c r="G6168" s="121"/>
      <c r="H6168" s="133"/>
    </row>
    <row r="6169" spans="1:9" s="65" customFormat="1">
      <c r="B6169" s="97"/>
      <c r="C6169" s="98"/>
      <c r="D6169" s="98"/>
      <c r="E6169" s="98"/>
      <c r="G6169" s="128"/>
    </row>
    <row r="6170" spans="1:9" s="65" customFormat="1">
      <c r="B6170" s="97"/>
      <c r="C6170" s="98"/>
      <c r="D6170" s="98"/>
      <c r="E6170" s="98"/>
      <c r="F6170" s="128"/>
      <c r="G6170" s="133"/>
      <c r="H6170" s="134"/>
    </row>
    <row r="6171" spans="1:9" s="65" customFormat="1">
      <c r="A6171" s="633"/>
      <c r="B6171" s="633"/>
      <c r="C6171" s="633"/>
      <c r="D6171" s="633"/>
      <c r="E6171" s="633"/>
      <c r="F6171" s="633"/>
      <c r="G6171" s="633"/>
    </row>
    <row r="6172" spans="1:9" s="65" customFormat="1">
      <c r="H6172" s="157"/>
      <c r="I6172" s="158"/>
    </row>
    <row r="6173" spans="1:9" s="65" customFormat="1">
      <c r="A6173" s="653"/>
      <c r="B6173" s="157"/>
      <c r="C6173" s="157"/>
      <c r="D6173" s="157"/>
      <c r="E6173" s="157"/>
      <c r="F6173" s="157"/>
      <c r="G6173" s="157"/>
      <c r="H6173" s="157"/>
      <c r="I6173" s="159"/>
    </row>
    <row r="6174" spans="1:9" s="65" customFormat="1">
      <c r="A6174" s="653"/>
      <c r="B6174" s="157"/>
      <c r="C6174" s="157"/>
      <c r="D6174" s="157"/>
      <c r="E6174" s="157"/>
      <c r="F6174" s="157"/>
      <c r="G6174" s="157"/>
    </row>
    <row r="6175" spans="1:9" s="65" customFormat="1">
      <c r="A6175" s="69"/>
      <c r="B6175" s="69"/>
      <c r="C6175" s="69"/>
      <c r="D6175" s="69"/>
      <c r="E6175" s="69"/>
    </row>
    <row r="6176" spans="1:9" s="65" customFormat="1">
      <c r="A6176" s="120"/>
      <c r="B6176" s="73"/>
      <c r="C6176" s="73"/>
      <c r="D6176" s="73"/>
      <c r="E6176" s="73"/>
      <c r="F6176" s="121"/>
      <c r="G6176" s="121"/>
      <c r="H6176" s="121"/>
    </row>
    <row r="6177" spans="1:8" s="65" customFormat="1">
      <c r="A6177" s="128"/>
      <c r="B6177" s="141"/>
      <c r="C6177" s="141"/>
      <c r="D6177" s="141"/>
      <c r="E6177" s="141"/>
      <c r="F6177" s="141"/>
      <c r="G6177" s="141"/>
      <c r="H6177" s="121"/>
    </row>
    <row r="6178" spans="1:8" s="65" customFormat="1">
      <c r="A6178" s="142"/>
      <c r="B6178" s="143"/>
      <c r="C6178" s="143"/>
      <c r="D6178" s="143"/>
      <c r="E6178" s="143"/>
      <c r="F6178" s="84"/>
      <c r="G6178" s="144"/>
      <c r="H6178" s="145"/>
    </row>
    <row r="6179" spans="1:8" s="65" customFormat="1">
      <c r="A6179" s="84"/>
      <c r="B6179" s="83"/>
      <c r="C6179" s="84"/>
      <c r="D6179" s="84"/>
      <c r="E6179" s="84"/>
      <c r="G6179" s="104"/>
      <c r="H6179" s="140"/>
    </row>
    <row r="6180" spans="1:8" s="65" customFormat="1">
      <c r="A6180" s="120"/>
      <c r="B6180" s="73"/>
      <c r="C6180" s="73"/>
      <c r="D6180" s="73"/>
      <c r="E6180" s="73"/>
      <c r="G6180" s="121"/>
      <c r="H6180" s="140"/>
    </row>
    <row r="6181" spans="1:8" s="65" customFormat="1">
      <c r="A6181" s="128"/>
      <c r="B6181" s="141"/>
      <c r="C6181" s="141"/>
      <c r="D6181" s="141"/>
      <c r="E6181" s="141"/>
      <c r="F6181" s="141"/>
      <c r="G6181" s="141"/>
      <c r="H6181" s="140"/>
    </row>
    <row r="6182" spans="1:8" s="65" customFormat="1">
      <c r="A6182" s="150"/>
      <c r="B6182" s="83"/>
      <c r="C6182" s="148"/>
      <c r="D6182" s="160"/>
      <c r="E6182" s="84"/>
      <c r="F6182" s="84"/>
      <c r="G6182" s="144"/>
      <c r="H6182" s="145"/>
    </row>
    <row r="6183" spans="1:8" s="65" customFormat="1">
      <c r="A6183" s="91"/>
      <c r="B6183" s="91"/>
      <c r="C6183" s="91"/>
      <c r="D6183" s="91"/>
      <c r="E6183" s="91"/>
      <c r="G6183" s="104"/>
      <c r="H6183" s="140"/>
    </row>
    <row r="6184" spans="1:8" s="65" customFormat="1">
      <c r="A6184" s="120"/>
      <c r="B6184" s="73"/>
      <c r="C6184" s="73"/>
      <c r="D6184" s="73"/>
      <c r="E6184" s="73"/>
      <c r="G6184" s="121"/>
      <c r="H6184" s="140"/>
    </row>
    <row r="6185" spans="1:8" s="65" customFormat="1">
      <c r="A6185" s="128"/>
      <c r="B6185" s="141"/>
      <c r="C6185" s="141"/>
      <c r="D6185" s="141"/>
      <c r="E6185" s="141"/>
      <c r="F6185" s="141"/>
      <c r="G6185" s="141"/>
      <c r="H6185" s="140"/>
    </row>
    <row r="6186" spans="1:8" s="65" customFormat="1">
      <c r="A6186" s="142"/>
      <c r="B6186" s="143"/>
      <c r="C6186" s="143"/>
      <c r="D6186" s="143"/>
      <c r="E6186" s="143"/>
      <c r="F6186" s="84"/>
      <c r="G6186" s="144"/>
      <c r="H6186" s="145"/>
    </row>
    <row r="6187" spans="1:8" s="65" customFormat="1">
      <c r="A6187" s="91"/>
      <c r="B6187" s="91"/>
      <c r="C6187" s="91"/>
      <c r="D6187" s="91"/>
      <c r="E6187" s="91"/>
      <c r="G6187" s="104"/>
      <c r="H6187" s="140"/>
    </row>
    <row r="6188" spans="1:8" s="65" customFormat="1">
      <c r="A6188" s="120"/>
      <c r="B6188" s="73"/>
      <c r="C6188" s="73"/>
      <c r="D6188" s="73"/>
      <c r="E6188" s="73"/>
      <c r="G6188" s="121"/>
      <c r="H6188" s="140"/>
    </row>
    <row r="6189" spans="1:8" s="65" customFormat="1">
      <c r="A6189" s="128"/>
      <c r="B6189" s="141"/>
      <c r="C6189" s="141"/>
      <c r="D6189" s="141"/>
      <c r="E6189" s="141"/>
      <c r="F6189" s="141"/>
      <c r="G6189" s="141"/>
      <c r="H6189" s="140"/>
    </row>
    <row r="6190" spans="1:8" s="65" customFormat="1">
      <c r="A6190" s="142"/>
      <c r="B6190" s="143"/>
      <c r="C6190" s="143"/>
      <c r="D6190" s="143"/>
      <c r="E6190" s="143"/>
      <c r="F6190" s="84"/>
      <c r="G6190" s="144"/>
      <c r="H6190" s="145"/>
    </row>
    <row r="6191" spans="1:8" s="65" customFormat="1">
      <c r="A6191" s="123"/>
      <c r="B6191" s="95"/>
      <c r="C6191" s="95"/>
      <c r="D6191" s="95"/>
      <c r="E6191" s="95"/>
      <c r="G6191" s="104"/>
      <c r="H6191" s="121"/>
    </row>
    <row r="6192" spans="1:8" s="65" customFormat="1">
      <c r="A6192" s="123"/>
      <c r="B6192" s="95"/>
      <c r="C6192" s="95"/>
      <c r="D6192" s="95"/>
      <c r="E6192" s="95"/>
      <c r="G6192" s="121"/>
      <c r="H6192" s="133"/>
    </row>
    <row r="6193" spans="1:9" s="65" customFormat="1">
      <c r="B6193" s="97"/>
      <c r="C6193" s="98"/>
      <c r="D6193" s="98"/>
      <c r="E6193" s="98"/>
      <c r="G6193" s="128"/>
    </row>
    <row r="6194" spans="1:9" s="65" customFormat="1">
      <c r="B6194" s="97"/>
      <c r="C6194" s="98"/>
      <c r="D6194" s="98"/>
      <c r="E6194" s="98"/>
      <c r="F6194" s="128"/>
      <c r="G6194" s="133"/>
      <c r="H6194" s="134"/>
    </row>
    <row r="6195" spans="1:9" s="65" customFormat="1">
      <c r="A6195" s="633"/>
      <c r="B6195" s="633"/>
      <c r="C6195" s="633"/>
      <c r="D6195" s="633"/>
      <c r="E6195" s="633"/>
      <c r="F6195" s="633"/>
      <c r="G6195" s="633"/>
    </row>
    <row r="6196" spans="1:9" s="65" customFormat="1">
      <c r="H6196" s="157"/>
      <c r="I6196" s="158"/>
    </row>
    <row r="6197" spans="1:9" s="65" customFormat="1">
      <c r="A6197" s="653"/>
      <c r="B6197" s="157"/>
      <c r="C6197" s="157"/>
      <c r="D6197" s="157"/>
      <c r="E6197" s="157"/>
      <c r="F6197" s="157"/>
      <c r="G6197" s="157"/>
      <c r="H6197" s="157"/>
      <c r="I6197" s="159"/>
    </row>
    <row r="6198" spans="1:9" s="65" customFormat="1">
      <c r="A6198" s="653"/>
      <c r="B6198" s="157"/>
      <c r="C6198" s="157"/>
      <c r="D6198" s="157"/>
      <c r="E6198" s="157"/>
      <c r="F6198" s="157"/>
      <c r="G6198" s="157"/>
    </row>
    <row r="6199" spans="1:9" s="65" customFormat="1">
      <c r="A6199" s="69"/>
      <c r="B6199" s="69"/>
      <c r="C6199" s="69"/>
      <c r="D6199" s="69"/>
      <c r="E6199" s="69"/>
    </row>
    <row r="6200" spans="1:9" s="65" customFormat="1">
      <c r="A6200" s="120"/>
      <c r="B6200" s="73"/>
      <c r="C6200" s="73"/>
      <c r="D6200" s="73"/>
      <c r="E6200" s="73"/>
      <c r="F6200" s="121"/>
      <c r="G6200" s="121"/>
      <c r="H6200" s="121"/>
    </row>
    <row r="6201" spans="1:9" s="65" customFormat="1">
      <c r="A6201" s="128"/>
      <c r="B6201" s="141"/>
      <c r="C6201" s="141"/>
      <c r="D6201" s="141"/>
      <c r="E6201" s="141"/>
      <c r="F6201" s="141"/>
      <c r="G6201" s="141"/>
      <c r="H6201" s="121"/>
    </row>
    <row r="6202" spans="1:9" s="65" customFormat="1">
      <c r="A6202" s="142"/>
      <c r="B6202" s="143"/>
      <c r="C6202" s="143"/>
      <c r="D6202" s="143"/>
      <c r="E6202" s="143"/>
      <c r="F6202" s="84"/>
      <c r="G6202" s="144"/>
      <c r="H6202" s="145"/>
    </row>
    <row r="6203" spans="1:9" s="65" customFormat="1">
      <c r="A6203" s="84"/>
      <c r="B6203" s="83"/>
      <c r="C6203" s="84"/>
      <c r="D6203" s="84"/>
      <c r="E6203" s="84"/>
      <c r="G6203" s="104"/>
      <c r="H6203" s="140"/>
    </row>
    <row r="6204" spans="1:9" s="65" customFormat="1">
      <c r="A6204" s="120"/>
      <c r="B6204" s="73"/>
      <c r="C6204" s="73"/>
      <c r="D6204" s="73"/>
      <c r="E6204" s="73"/>
      <c r="G6204" s="121"/>
      <c r="H6204" s="140"/>
    </row>
    <row r="6205" spans="1:9" s="65" customFormat="1">
      <c r="A6205" s="128"/>
      <c r="B6205" s="141"/>
      <c r="C6205" s="141"/>
      <c r="D6205" s="141"/>
      <c r="E6205" s="141"/>
      <c r="F6205" s="141"/>
      <c r="G6205" s="141"/>
      <c r="H6205" s="140"/>
    </row>
    <row r="6206" spans="1:9" s="65" customFormat="1">
      <c r="A6206" s="150"/>
      <c r="B6206" s="83"/>
      <c r="C6206" s="148"/>
      <c r="D6206" s="160"/>
      <c r="E6206" s="84"/>
      <c r="F6206" s="84"/>
      <c r="G6206" s="144"/>
      <c r="H6206" s="145"/>
    </row>
    <row r="6207" spans="1:9" s="65" customFormat="1">
      <c r="A6207" s="91"/>
      <c r="B6207" s="91"/>
      <c r="C6207" s="91"/>
      <c r="D6207" s="91"/>
      <c r="E6207" s="91"/>
      <c r="G6207" s="104"/>
      <c r="H6207" s="140"/>
    </row>
    <row r="6208" spans="1:9" s="65" customFormat="1">
      <c r="A6208" s="120"/>
      <c r="B6208" s="73"/>
      <c r="C6208" s="73"/>
      <c r="D6208" s="73"/>
      <c r="E6208" s="73"/>
      <c r="G6208" s="121"/>
      <c r="H6208" s="140"/>
    </row>
    <row r="6209" spans="1:9" s="65" customFormat="1">
      <c r="A6209" s="128"/>
      <c r="B6209" s="141"/>
      <c r="C6209" s="141"/>
      <c r="D6209" s="141"/>
      <c r="E6209" s="141"/>
      <c r="F6209" s="141"/>
      <c r="G6209" s="141"/>
      <c r="H6209" s="140"/>
    </row>
    <row r="6210" spans="1:9" s="65" customFormat="1">
      <c r="A6210" s="142"/>
      <c r="B6210" s="143"/>
      <c r="C6210" s="143"/>
      <c r="D6210" s="143"/>
      <c r="E6210" s="143"/>
      <c r="F6210" s="84"/>
      <c r="G6210" s="144"/>
      <c r="H6210" s="145"/>
    </row>
    <row r="6211" spans="1:9" s="65" customFormat="1">
      <c r="A6211" s="91"/>
      <c r="B6211" s="91"/>
      <c r="C6211" s="91"/>
      <c r="D6211" s="91"/>
      <c r="E6211" s="91"/>
      <c r="G6211" s="104"/>
      <c r="H6211" s="140"/>
    </row>
    <row r="6212" spans="1:9" s="65" customFormat="1">
      <c r="A6212" s="120"/>
      <c r="B6212" s="73"/>
      <c r="C6212" s="73"/>
      <c r="D6212" s="73"/>
      <c r="E6212" s="73"/>
      <c r="G6212" s="121"/>
      <c r="H6212" s="140"/>
    </row>
    <row r="6213" spans="1:9" s="65" customFormat="1">
      <c r="A6213" s="128"/>
      <c r="B6213" s="141"/>
      <c r="C6213" s="141"/>
      <c r="D6213" s="141"/>
      <c r="E6213" s="141"/>
      <c r="F6213" s="141"/>
      <c r="G6213" s="141"/>
      <c r="H6213" s="140"/>
    </row>
    <row r="6214" spans="1:9" s="65" customFormat="1">
      <c r="A6214" s="142"/>
      <c r="B6214" s="143"/>
      <c r="C6214" s="143"/>
      <c r="D6214" s="143"/>
      <c r="E6214" s="143"/>
      <c r="F6214" s="84"/>
      <c r="G6214" s="144"/>
      <c r="H6214" s="145"/>
    </row>
    <row r="6215" spans="1:9" s="65" customFormat="1">
      <c r="A6215" s="123"/>
      <c r="B6215" s="95"/>
      <c r="C6215" s="95"/>
      <c r="D6215" s="95"/>
      <c r="E6215" s="95"/>
      <c r="G6215" s="104"/>
      <c r="H6215" s="121"/>
    </row>
    <row r="6216" spans="1:9" s="65" customFormat="1">
      <c r="A6216" s="123"/>
      <c r="B6216" s="95"/>
      <c r="C6216" s="95"/>
      <c r="D6216" s="95"/>
      <c r="E6216" s="95"/>
      <c r="G6216" s="121"/>
      <c r="H6216" s="133"/>
    </row>
    <row r="6217" spans="1:9" s="65" customFormat="1">
      <c r="B6217" s="97"/>
      <c r="C6217" s="98"/>
      <c r="D6217" s="98"/>
      <c r="E6217" s="98"/>
      <c r="G6217" s="128"/>
    </row>
    <row r="6218" spans="1:9" s="65" customFormat="1">
      <c r="B6218" s="97"/>
      <c r="C6218" s="98"/>
      <c r="D6218" s="98"/>
      <c r="E6218" s="98"/>
      <c r="F6218" s="128"/>
      <c r="G6218" s="133"/>
      <c r="H6218" s="134"/>
    </row>
    <row r="6219" spans="1:9" s="65" customFormat="1">
      <c r="A6219" s="633"/>
      <c r="B6219" s="633"/>
      <c r="C6219" s="633"/>
      <c r="D6219" s="633"/>
      <c r="E6219" s="633"/>
      <c r="F6219" s="633"/>
      <c r="G6219" s="633"/>
    </row>
    <row r="6220" spans="1:9" s="65" customFormat="1">
      <c r="H6220" s="138"/>
      <c r="I6220" s="151"/>
    </row>
    <row r="6221" spans="1:9" s="65" customFormat="1">
      <c r="A6221" s="645"/>
      <c r="B6221" s="138"/>
      <c r="C6221" s="138"/>
      <c r="D6221" s="138"/>
      <c r="E6221" s="138"/>
      <c r="F6221" s="138"/>
      <c r="G6221" s="138"/>
      <c r="H6221" s="138"/>
      <c r="I6221" s="152"/>
    </row>
    <row r="6222" spans="1:9" s="65" customFormat="1">
      <c r="A6222" s="645"/>
      <c r="B6222" s="138"/>
      <c r="C6222" s="138"/>
      <c r="D6222" s="138"/>
      <c r="E6222" s="138"/>
      <c r="F6222" s="138"/>
      <c r="G6222" s="138"/>
    </row>
    <row r="6223" spans="1:9" s="65" customFormat="1">
      <c r="A6223" s="69"/>
      <c r="B6223" s="69"/>
      <c r="C6223" s="69"/>
      <c r="D6223" s="69"/>
      <c r="E6223" s="69"/>
    </row>
    <row r="6224" spans="1:9" s="65" customFormat="1">
      <c r="A6224" s="120"/>
      <c r="B6224" s="73"/>
      <c r="C6224" s="73"/>
      <c r="D6224" s="73"/>
      <c r="E6224" s="73"/>
      <c r="F6224" s="121"/>
      <c r="G6224" s="121"/>
      <c r="H6224" s="121"/>
    </row>
    <row r="6225" spans="1:8" s="65" customFormat="1">
      <c r="A6225" s="128"/>
      <c r="B6225" s="141"/>
      <c r="C6225" s="141"/>
      <c r="D6225" s="141"/>
      <c r="E6225" s="141"/>
      <c r="F6225" s="141"/>
      <c r="G6225" s="141"/>
      <c r="H6225" s="121"/>
    </row>
    <row r="6226" spans="1:8" s="65" customFormat="1">
      <c r="A6226" s="142"/>
      <c r="B6226" s="143"/>
      <c r="C6226" s="143"/>
      <c r="D6226" s="143"/>
      <c r="E6226" s="143"/>
      <c r="F6226" s="84"/>
      <c r="G6226" s="144"/>
      <c r="H6226" s="145"/>
    </row>
    <row r="6227" spans="1:8" s="65" customFormat="1">
      <c r="A6227" s="84"/>
      <c r="B6227" s="83"/>
      <c r="C6227" s="84"/>
      <c r="D6227" s="84"/>
      <c r="E6227" s="84"/>
      <c r="G6227" s="104"/>
      <c r="H6227" s="140"/>
    </row>
    <row r="6228" spans="1:8" s="65" customFormat="1">
      <c r="A6228" s="120"/>
      <c r="B6228" s="73"/>
      <c r="C6228" s="73"/>
      <c r="D6228" s="73"/>
      <c r="E6228" s="73"/>
      <c r="G6228" s="121"/>
      <c r="H6228" s="140"/>
    </row>
    <row r="6229" spans="1:8" s="65" customFormat="1">
      <c r="A6229" s="128"/>
      <c r="B6229" s="141"/>
      <c r="C6229" s="141"/>
      <c r="D6229" s="141"/>
      <c r="E6229" s="141"/>
      <c r="F6229" s="141"/>
      <c r="G6229" s="141"/>
      <c r="H6229" s="140"/>
    </row>
    <row r="6230" spans="1:8" s="65" customFormat="1">
      <c r="A6230" s="150"/>
      <c r="B6230" s="83"/>
      <c r="C6230" s="148"/>
      <c r="D6230" s="160"/>
      <c r="E6230" s="84"/>
      <c r="F6230" s="84"/>
      <c r="G6230" s="144"/>
      <c r="H6230" s="145"/>
    </row>
    <row r="6231" spans="1:8" s="65" customFormat="1">
      <c r="A6231" s="91"/>
      <c r="B6231" s="91"/>
      <c r="C6231" s="91"/>
      <c r="D6231" s="91"/>
      <c r="E6231" s="91"/>
      <c r="G6231" s="104"/>
      <c r="H6231" s="140"/>
    </row>
    <row r="6232" spans="1:8" s="65" customFormat="1">
      <c r="A6232" s="120"/>
      <c r="B6232" s="73"/>
      <c r="C6232" s="73"/>
      <c r="D6232" s="73"/>
      <c r="E6232" s="73"/>
      <c r="G6232" s="121"/>
      <c r="H6232" s="140"/>
    </row>
    <row r="6233" spans="1:8" s="65" customFormat="1">
      <c r="A6233" s="128"/>
      <c r="B6233" s="141"/>
      <c r="C6233" s="141"/>
      <c r="D6233" s="141"/>
      <c r="E6233" s="141"/>
      <c r="F6233" s="141"/>
      <c r="G6233" s="141"/>
      <c r="H6233" s="140"/>
    </row>
    <row r="6234" spans="1:8" s="65" customFormat="1">
      <c r="A6234" s="142"/>
      <c r="B6234" s="143"/>
      <c r="C6234" s="143"/>
      <c r="D6234" s="143"/>
      <c r="E6234" s="143"/>
      <c r="F6234" s="84"/>
      <c r="G6234" s="144"/>
      <c r="H6234" s="145"/>
    </row>
    <row r="6235" spans="1:8" s="65" customFormat="1">
      <c r="A6235" s="91"/>
      <c r="B6235" s="91"/>
      <c r="C6235" s="91"/>
      <c r="D6235" s="91"/>
      <c r="E6235" s="91"/>
      <c r="G6235" s="104"/>
      <c r="H6235" s="140"/>
    </row>
    <row r="6236" spans="1:8" s="65" customFormat="1">
      <c r="A6236" s="120"/>
      <c r="B6236" s="73"/>
      <c r="C6236" s="73"/>
      <c r="D6236" s="73"/>
      <c r="E6236" s="73"/>
      <c r="G6236" s="121"/>
      <c r="H6236" s="140"/>
    </row>
    <row r="6237" spans="1:8" s="65" customFormat="1">
      <c r="A6237" s="128"/>
      <c r="B6237" s="141"/>
      <c r="C6237" s="141"/>
      <c r="D6237" s="141"/>
      <c r="E6237" s="141"/>
      <c r="F6237" s="141"/>
      <c r="G6237" s="141"/>
      <c r="H6237" s="140"/>
    </row>
    <row r="6238" spans="1:8" s="65" customFormat="1">
      <c r="A6238" s="142"/>
      <c r="B6238" s="143"/>
      <c r="C6238" s="143"/>
      <c r="D6238" s="143"/>
      <c r="E6238" s="143"/>
      <c r="F6238" s="84"/>
      <c r="G6238" s="144"/>
      <c r="H6238" s="145"/>
    </row>
    <row r="6239" spans="1:8" s="65" customFormat="1">
      <c r="A6239" s="123"/>
      <c r="B6239" s="95"/>
      <c r="C6239" s="95"/>
      <c r="D6239" s="95"/>
      <c r="E6239" s="95"/>
      <c r="G6239" s="104"/>
      <c r="H6239" s="121"/>
    </row>
    <row r="6240" spans="1:8" s="65" customFormat="1">
      <c r="A6240" s="123"/>
      <c r="B6240" s="95"/>
      <c r="C6240" s="95"/>
      <c r="D6240" s="95"/>
      <c r="E6240" s="95"/>
      <c r="G6240" s="121"/>
      <c r="H6240" s="133"/>
    </row>
    <row r="6241" spans="1:9" s="65" customFormat="1">
      <c r="B6241" s="97"/>
      <c r="C6241" s="98"/>
      <c r="D6241" s="98"/>
      <c r="E6241" s="98"/>
      <c r="G6241" s="128"/>
    </row>
    <row r="6242" spans="1:9" s="65" customFormat="1">
      <c r="B6242" s="97"/>
      <c r="C6242" s="98"/>
      <c r="D6242" s="98"/>
      <c r="E6242" s="98"/>
      <c r="F6242" s="128"/>
      <c r="G6242" s="133"/>
      <c r="H6242" s="134"/>
    </row>
    <row r="6243" spans="1:9" s="65" customFormat="1">
      <c r="A6243" s="633"/>
      <c r="B6243" s="633"/>
      <c r="C6243" s="633"/>
      <c r="D6243" s="633"/>
      <c r="E6243" s="633"/>
      <c r="F6243" s="633"/>
      <c r="G6243" s="633"/>
    </row>
    <row r="6244" spans="1:9" s="65" customFormat="1">
      <c r="H6244" s="138"/>
      <c r="I6244" s="151"/>
    </row>
    <row r="6245" spans="1:9" s="65" customFormat="1">
      <c r="A6245" s="645"/>
      <c r="B6245" s="138"/>
      <c r="C6245" s="138"/>
      <c r="D6245" s="138"/>
      <c r="E6245" s="138"/>
      <c r="F6245" s="138"/>
      <c r="G6245" s="138"/>
      <c r="H6245" s="138"/>
      <c r="I6245" s="152"/>
    </row>
    <row r="6246" spans="1:9" s="65" customFormat="1">
      <c r="A6246" s="645"/>
      <c r="B6246" s="138"/>
      <c r="C6246" s="138"/>
      <c r="D6246" s="138"/>
      <c r="E6246" s="138"/>
      <c r="F6246" s="138"/>
      <c r="G6246" s="138"/>
    </row>
    <row r="6247" spans="1:9" s="65" customFormat="1">
      <c r="A6247" s="69"/>
      <c r="B6247" s="69"/>
      <c r="C6247" s="69"/>
      <c r="D6247" s="69"/>
      <c r="E6247" s="69"/>
    </row>
    <row r="6248" spans="1:9" s="65" customFormat="1">
      <c r="A6248" s="120"/>
      <c r="B6248" s="73"/>
      <c r="C6248" s="73"/>
      <c r="D6248" s="73"/>
      <c r="E6248" s="73"/>
      <c r="F6248" s="121"/>
      <c r="G6248" s="121"/>
      <c r="H6248" s="121"/>
    </row>
    <row r="6249" spans="1:9" s="65" customFormat="1">
      <c r="A6249" s="128"/>
      <c r="B6249" s="141"/>
      <c r="C6249" s="141"/>
      <c r="D6249" s="141"/>
      <c r="E6249" s="141"/>
      <c r="F6249" s="141"/>
      <c r="G6249" s="141"/>
      <c r="H6249" s="121"/>
    </row>
    <row r="6250" spans="1:9" s="65" customFormat="1">
      <c r="A6250" s="142"/>
      <c r="B6250" s="143"/>
      <c r="C6250" s="143"/>
      <c r="D6250" s="143"/>
      <c r="E6250" s="143"/>
      <c r="F6250" s="84"/>
      <c r="G6250" s="144"/>
      <c r="H6250" s="145"/>
    </row>
    <row r="6251" spans="1:9" s="65" customFormat="1">
      <c r="A6251" s="84"/>
      <c r="B6251" s="83"/>
      <c r="C6251" s="84"/>
      <c r="D6251" s="84"/>
      <c r="E6251" s="84"/>
      <c r="G6251" s="104"/>
      <c r="H6251" s="140"/>
    </row>
    <row r="6252" spans="1:9" s="65" customFormat="1">
      <c r="A6252" s="120"/>
      <c r="B6252" s="73"/>
      <c r="C6252" s="73"/>
      <c r="D6252" s="73"/>
      <c r="E6252" s="73"/>
      <c r="G6252" s="121"/>
      <c r="H6252" s="140"/>
    </row>
    <row r="6253" spans="1:9" s="65" customFormat="1">
      <c r="A6253" s="128"/>
      <c r="B6253" s="141"/>
      <c r="C6253" s="141"/>
      <c r="D6253" s="141"/>
      <c r="E6253" s="141"/>
      <c r="F6253" s="141"/>
      <c r="G6253" s="141"/>
      <c r="H6253" s="140"/>
    </row>
    <row r="6254" spans="1:9" s="65" customFormat="1">
      <c r="A6254" s="150"/>
      <c r="B6254" s="83"/>
      <c r="C6254" s="148"/>
      <c r="D6254" s="160"/>
      <c r="E6254" s="84"/>
      <c r="F6254" s="84"/>
      <c r="G6254" s="144"/>
      <c r="H6254" s="145"/>
    </row>
    <row r="6255" spans="1:9" s="65" customFormat="1">
      <c r="A6255" s="91"/>
      <c r="B6255" s="91"/>
      <c r="C6255" s="91"/>
      <c r="D6255" s="91"/>
      <c r="E6255" s="91"/>
      <c r="G6255" s="104"/>
      <c r="H6255" s="140"/>
    </row>
    <row r="6256" spans="1:9" s="65" customFormat="1">
      <c r="A6256" s="120"/>
      <c r="B6256" s="73"/>
      <c r="C6256" s="73"/>
      <c r="D6256" s="73"/>
      <c r="E6256" s="73"/>
      <c r="G6256" s="121"/>
      <c r="H6256" s="140"/>
    </row>
    <row r="6257" spans="1:9" s="65" customFormat="1">
      <c r="A6257" s="128"/>
      <c r="B6257" s="141"/>
      <c r="C6257" s="141"/>
      <c r="D6257" s="141"/>
      <c r="E6257" s="141"/>
      <c r="F6257" s="141"/>
      <c r="G6257" s="141"/>
      <c r="H6257" s="140"/>
    </row>
    <row r="6258" spans="1:9" s="65" customFormat="1">
      <c r="A6258" s="142"/>
      <c r="B6258" s="143"/>
      <c r="C6258" s="143"/>
      <c r="D6258" s="143"/>
      <c r="E6258" s="143"/>
      <c r="F6258" s="84"/>
      <c r="G6258" s="144"/>
      <c r="H6258" s="145"/>
    </row>
    <row r="6259" spans="1:9" s="65" customFormat="1">
      <c r="A6259" s="91"/>
      <c r="B6259" s="91"/>
      <c r="C6259" s="91"/>
      <c r="D6259" s="91"/>
      <c r="E6259" s="91"/>
      <c r="G6259" s="104"/>
      <c r="H6259" s="140"/>
    </row>
    <row r="6260" spans="1:9" s="65" customFormat="1">
      <c r="A6260" s="120"/>
      <c r="B6260" s="73"/>
      <c r="C6260" s="73"/>
      <c r="D6260" s="73"/>
      <c r="E6260" s="73"/>
      <c r="G6260" s="121"/>
      <c r="H6260" s="140"/>
    </row>
    <row r="6261" spans="1:9" s="65" customFormat="1">
      <c r="A6261" s="128"/>
      <c r="B6261" s="141"/>
      <c r="C6261" s="141"/>
      <c r="D6261" s="141"/>
      <c r="E6261" s="141"/>
      <c r="F6261" s="141"/>
      <c r="G6261" s="141"/>
      <c r="H6261" s="140"/>
    </row>
    <row r="6262" spans="1:9" s="65" customFormat="1">
      <c r="A6262" s="142"/>
      <c r="B6262" s="143"/>
      <c r="C6262" s="143"/>
      <c r="D6262" s="143"/>
      <c r="E6262" s="143"/>
      <c r="F6262" s="84"/>
      <c r="G6262" s="144"/>
      <c r="H6262" s="145"/>
    </row>
    <row r="6263" spans="1:9" s="65" customFormat="1">
      <c r="A6263" s="123"/>
      <c r="B6263" s="95"/>
      <c r="C6263" s="95"/>
      <c r="D6263" s="95"/>
      <c r="E6263" s="95"/>
      <c r="G6263" s="104"/>
      <c r="H6263" s="121"/>
    </row>
    <row r="6264" spans="1:9" s="65" customFormat="1">
      <c r="A6264" s="123"/>
      <c r="B6264" s="95"/>
      <c r="C6264" s="95"/>
      <c r="D6264" s="95"/>
      <c r="E6264" s="95"/>
      <c r="G6264" s="121"/>
      <c r="H6264" s="133"/>
    </row>
    <row r="6265" spans="1:9" s="65" customFormat="1">
      <c r="B6265" s="97"/>
      <c r="C6265" s="98"/>
      <c r="D6265" s="98"/>
      <c r="E6265" s="98"/>
      <c r="G6265" s="128"/>
    </row>
    <row r="6266" spans="1:9" s="65" customFormat="1">
      <c r="B6266" s="97"/>
      <c r="C6266" s="98"/>
      <c r="D6266" s="98"/>
      <c r="E6266" s="98"/>
      <c r="F6266" s="128"/>
      <c r="G6266" s="133"/>
      <c r="H6266" s="134"/>
    </row>
    <row r="6267" spans="1:9" s="65" customFormat="1">
      <c r="A6267" s="633"/>
      <c r="B6267" s="633"/>
      <c r="C6267" s="633"/>
      <c r="D6267" s="633"/>
      <c r="E6267" s="633"/>
      <c r="F6267" s="633"/>
      <c r="G6267" s="633"/>
    </row>
    <row r="6268" spans="1:9" s="65" customFormat="1">
      <c r="H6268" s="138"/>
      <c r="I6268" s="151"/>
    </row>
    <row r="6269" spans="1:9" s="65" customFormat="1">
      <c r="A6269" s="645"/>
      <c r="B6269" s="138"/>
      <c r="C6269" s="138"/>
      <c r="D6269" s="138"/>
      <c r="E6269" s="138"/>
      <c r="F6269" s="138"/>
      <c r="G6269" s="138"/>
      <c r="H6269" s="138"/>
      <c r="I6269" s="152"/>
    </row>
    <row r="6270" spans="1:9" s="65" customFormat="1">
      <c r="A6270" s="645"/>
      <c r="B6270" s="138"/>
      <c r="C6270" s="138"/>
      <c r="D6270" s="138"/>
      <c r="E6270" s="138"/>
      <c r="F6270" s="138"/>
      <c r="G6270" s="138"/>
    </row>
    <row r="6271" spans="1:9" s="65" customFormat="1">
      <c r="A6271" s="69"/>
      <c r="B6271" s="69"/>
      <c r="C6271" s="69"/>
      <c r="D6271" s="69"/>
      <c r="E6271" s="69"/>
    </row>
    <row r="6272" spans="1:9" s="65" customFormat="1">
      <c r="A6272" s="120"/>
      <c r="B6272" s="73"/>
      <c r="C6272" s="73"/>
      <c r="D6272" s="73"/>
      <c r="E6272" s="73"/>
      <c r="F6272" s="121"/>
      <c r="G6272" s="121"/>
      <c r="H6272" s="121"/>
    </row>
    <row r="6273" spans="1:8" s="65" customFormat="1">
      <c r="A6273" s="128"/>
      <c r="B6273" s="141"/>
      <c r="C6273" s="141"/>
      <c r="D6273" s="141"/>
      <c r="E6273" s="141"/>
      <c r="F6273" s="141"/>
      <c r="G6273" s="141"/>
      <c r="H6273" s="121"/>
    </row>
    <row r="6274" spans="1:8" s="65" customFormat="1">
      <c r="A6274" s="142"/>
      <c r="B6274" s="143"/>
      <c r="C6274" s="143"/>
      <c r="D6274" s="143"/>
      <c r="E6274" s="143"/>
      <c r="F6274" s="84"/>
      <c r="G6274" s="144"/>
      <c r="H6274" s="145"/>
    </row>
    <row r="6275" spans="1:8" s="65" customFormat="1">
      <c r="A6275" s="84"/>
      <c r="B6275" s="83"/>
      <c r="C6275" s="84"/>
      <c r="D6275" s="84"/>
      <c r="E6275" s="84"/>
      <c r="G6275" s="104"/>
      <c r="H6275" s="140"/>
    </row>
    <row r="6276" spans="1:8" s="65" customFormat="1">
      <c r="A6276" s="120"/>
      <c r="B6276" s="73"/>
      <c r="C6276" s="73"/>
      <c r="D6276" s="73"/>
      <c r="E6276" s="73"/>
      <c r="G6276" s="121"/>
      <c r="H6276" s="140"/>
    </row>
    <row r="6277" spans="1:8" s="65" customFormat="1">
      <c r="A6277" s="128"/>
      <c r="B6277" s="141"/>
      <c r="C6277" s="141"/>
      <c r="D6277" s="141"/>
      <c r="E6277" s="141"/>
      <c r="F6277" s="141"/>
      <c r="G6277" s="141"/>
      <c r="H6277" s="140"/>
    </row>
    <row r="6278" spans="1:8" s="65" customFormat="1">
      <c r="A6278" s="150"/>
      <c r="B6278" s="83"/>
      <c r="C6278" s="148"/>
      <c r="D6278" s="160"/>
      <c r="E6278" s="84"/>
      <c r="F6278" s="84"/>
      <c r="G6278" s="144"/>
      <c r="H6278" s="145"/>
    </row>
    <row r="6279" spans="1:8" s="65" customFormat="1">
      <c r="A6279" s="91"/>
      <c r="B6279" s="91"/>
      <c r="C6279" s="91"/>
      <c r="D6279" s="91"/>
      <c r="E6279" s="91"/>
      <c r="G6279" s="104"/>
      <c r="H6279" s="140"/>
    </row>
    <row r="6280" spans="1:8" s="65" customFormat="1">
      <c r="A6280" s="120"/>
      <c r="B6280" s="73"/>
      <c r="C6280" s="73"/>
      <c r="D6280" s="73"/>
      <c r="E6280" s="73"/>
      <c r="G6280" s="121"/>
      <c r="H6280" s="140"/>
    </row>
    <row r="6281" spans="1:8" s="65" customFormat="1">
      <c r="A6281" s="128"/>
      <c r="B6281" s="141"/>
      <c r="C6281" s="141"/>
      <c r="D6281" s="141"/>
      <c r="E6281" s="141"/>
      <c r="F6281" s="141"/>
      <c r="G6281" s="141"/>
      <c r="H6281" s="140"/>
    </row>
    <row r="6282" spans="1:8" s="65" customFormat="1">
      <c r="A6282" s="142"/>
      <c r="B6282" s="143"/>
      <c r="C6282" s="143"/>
      <c r="D6282" s="143"/>
      <c r="E6282" s="143"/>
      <c r="F6282" s="84"/>
      <c r="G6282" s="144"/>
      <c r="H6282" s="145"/>
    </row>
    <row r="6283" spans="1:8" s="65" customFormat="1">
      <c r="A6283" s="91"/>
      <c r="B6283" s="91"/>
      <c r="C6283" s="91"/>
      <c r="D6283" s="91"/>
      <c r="E6283" s="91"/>
      <c r="G6283" s="104"/>
      <c r="H6283" s="140"/>
    </row>
    <row r="6284" spans="1:8" s="65" customFormat="1">
      <c r="A6284" s="120"/>
      <c r="B6284" s="73"/>
      <c r="C6284" s="73"/>
      <c r="D6284" s="73"/>
      <c r="E6284" s="73"/>
      <c r="G6284" s="121"/>
      <c r="H6284" s="140"/>
    </row>
    <row r="6285" spans="1:8" s="65" customFormat="1">
      <c r="A6285" s="128"/>
      <c r="B6285" s="141"/>
      <c r="C6285" s="141"/>
      <c r="D6285" s="141"/>
      <c r="E6285" s="141"/>
      <c r="F6285" s="141"/>
      <c r="G6285" s="141"/>
      <c r="H6285" s="140"/>
    </row>
    <row r="6286" spans="1:8" s="65" customFormat="1">
      <c r="A6286" s="142"/>
      <c r="B6286" s="143"/>
      <c r="C6286" s="143"/>
      <c r="D6286" s="143"/>
      <c r="E6286" s="143"/>
      <c r="F6286" s="84"/>
      <c r="G6286" s="144"/>
      <c r="H6286" s="145"/>
    </row>
    <row r="6287" spans="1:8" s="65" customFormat="1">
      <c r="A6287" s="123"/>
      <c r="B6287" s="95"/>
      <c r="C6287" s="95"/>
      <c r="D6287" s="95"/>
      <c r="E6287" s="95"/>
      <c r="G6287" s="104"/>
      <c r="H6287" s="121"/>
    </row>
    <row r="6288" spans="1:8" s="65" customFormat="1">
      <c r="A6288" s="123"/>
      <c r="B6288" s="95"/>
      <c r="C6288" s="95"/>
      <c r="D6288" s="95"/>
      <c r="E6288" s="95"/>
      <c r="G6288" s="121"/>
      <c r="H6288" s="133"/>
    </row>
    <row r="6289" spans="1:9" s="65" customFormat="1">
      <c r="B6289" s="97"/>
      <c r="C6289" s="98"/>
      <c r="D6289" s="98"/>
      <c r="E6289" s="98"/>
      <c r="G6289" s="128"/>
    </row>
    <row r="6290" spans="1:9" s="65" customFormat="1">
      <c r="B6290" s="97"/>
      <c r="C6290" s="98"/>
      <c r="D6290" s="98"/>
      <c r="E6290" s="98"/>
      <c r="F6290" s="128"/>
      <c r="G6290" s="133"/>
      <c r="H6290" s="134"/>
    </row>
    <row r="6291" spans="1:9" s="65" customFormat="1">
      <c r="A6291" s="633"/>
      <c r="B6291" s="633"/>
      <c r="C6291" s="633"/>
      <c r="D6291" s="633"/>
      <c r="E6291" s="633"/>
      <c r="F6291" s="633"/>
      <c r="G6291" s="633"/>
    </row>
    <row r="6292" spans="1:9" s="65" customFormat="1">
      <c r="H6292" s="138"/>
      <c r="I6292" s="151"/>
    </row>
    <row r="6293" spans="1:9" s="65" customFormat="1">
      <c r="A6293" s="645"/>
      <c r="B6293" s="138"/>
      <c r="C6293" s="138"/>
      <c r="D6293" s="138"/>
      <c r="E6293" s="138"/>
      <c r="F6293" s="138"/>
      <c r="G6293" s="138"/>
      <c r="H6293" s="138"/>
      <c r="I6293" s="152"/>
    </row>
    <row r="6294" spans="1:9" s="65" customFormat="1">
      <c r="A6294" s="645"/>
      <c r="B6294" s="138"/>
      <c r="C6294" s="138"/>
      <c r="D6294" s="138"/>
      <c r="E6294" s="138"/>
      <c r="F6294" s="138"/>
      <c r="G6294" s="138"/>
    </row>
    <row r="6295" spans="1:9" s="65" customFormat="1">
      <c r="A6295" s="69"/>
      <c r="B6295" s="69"/>
      <c r="C6295" s="69"/>
      <c r="D6295" s="69"/>
      <c r="E6295" s="69"/>
    </row>
    <row r="6296" spans="1:9" s="65" customFormat="1">
      <c r="A6296" s="120"/>
      <c r="B6296" s="73"/>
      <c r="C6296" s="73"/>
      <c r="D6296" s="73"/>
      <c r="E6296" s="73"/>
      <c r="F6296" s="121"/>
      <c r="G6296" s="121"/>
      <c r="H6296" s="121"/>
    </row>
    <row r="6297" spans="1:9" s="65" customFormat="1">
      <c r="A6297" s="128"/>
      <c r="B6297" s="141"/>
      <c r="C6297" s="141"/>
      <c r="D6297" s="141"/>
      <c r="E6297" s="141"/>
      <c r="F6297" s="141"/>
      <c r="G6297" s="141"/>
      <c r="H6297" s="121"/>
    </row>
    <row r="6298" spans="1:9" s="65" customFormat="1">
      <c r="A6298" s="142"/>
      <c r="B6298" s="143"/>
      <c r="C6298" s="143"/>
      <c r="D6298" s="143"/>
      <c r="E6298" s="143"/>
      <c r="F6298" s="84"/>
      <c r="G6298" s="144"/>
      <c r="H6298" s="145"/>
    </row>
    <row r="6299" spans="1:9" s="65" customFormat="1">
      <c r="A6299" s="84"/>
      <c r="B6299" s="83"/>
      <c r="C6299" s="84"/>
      <c r="D6299" s="84"/>
      <c r="E6299" s="84"/>
      <c r="G6299" s="104"/>
      <c r="H6299" s="140"/>
    </row>
    <row r="6300" spans="1:9" s="65" customFormat="1">
      <c r="A6300" s="120"/>
      <c r="B6300" s="73"/>
      <c r="C6300" s="73"/>
      <c r="D6300" s="73"/>
      <c r="E6300" s="73"/>
      <c r="G6300" s="121"/>
      <c r="H6300" s="140"/>
    </row>
    <row r="6301" spans="1:9" s="65" customFormat="1">
      <c r="A6301" s="128"/>
      <c r="B6301" s="141"/>
      <c r="C6301" s="141"/>
      <c r="D6301" s="141"/>
      <c r="E6301" s="141"/>
      <c r="F6301" s="141"/>
      <c r="G6301" s="141"/>
      <c r="H6301" s="140"/>
    </row>
    <row r="6302" spans="1:9" s="65" customFormat="1">
      <c r="A6302" s="150"/>
      <c r="B6302" s="83"/>
      <c r="C6302" s="148"/>
      <c r="D6302" s="160"/>
      <c r="E6302" s="84"/>
      <c r="F6302" s="84"/>
      <c r="G6302" s="144"/>
      <c r="H6302" s="145"/>
    </row>
    <row r="6303" spans="1:9" s="65" customFormat="1">
      <c r="A6303" s="91"/>
      <c r="B6303" s="91"/>
      <c r="C6303" s="91"/>
      <c r="D6303" s="91"/>
      <c r="E6303" s="91"/>
      <c r="G6303" s="104"/>
      <c r="H6303" s="140"/>
    </row>
    <row r="6304" spans="1:9" s="65" customFormat="1">
      <c r="A6304" s="120"/>
      <c r="B6304" s="73"/>
      <c r="C6304" s="73"/>
      <c r="D6304" s="73"/>
      <c r="E6304" s="73"/>
      <c r="G6304" s="121"/>
      <c r="H6304" s="140"/>
    </row>
    <row r="6305" spans="1:9" s="65" customFormat="1">
      <c r="A6305" s="128"/>
      <c r="B6305" s="141"/>
      <c r="C6305" s="141"/>
      <c r="D6305" s="141"/>
      <c r="E6305" s="141"/>
      <c r="F6305" s="141"/>
      <c r="G6305" s="141"/>
      <c r="H6305" s="140"/>
    </row>
    <row r="6306" spans="1:9" s="65" customFormat="1">
      <c r="A6306" s="142"/>
      <c r="B6306" s="143"/>
      <c r="C6306" s="143"/>
      <c r="D6306" s="143"/>
      <c r="E6306" s="143"/>
      <c r="F6306" s="84"/>
      <c r="G6306" s="144"/>
      <c r="H6306" s="145"/>
    </row>
    <row r="6307" spans="1:9" s="65" customFormat="1">
      <c r="A6307" s="91"/>
      <c r="B6307" s="91"/>
      <c r="C6307" s="91"/>
      <c r="D6307" s="91"/>
      <c r="E6307" s="91"/>
      <c r="G6307" s="104"/>
      <c r="H6307" s="140"/>
    </row>
    <row r="6308" spans="1:9" s="65" customFormat="1">
      <c r="A6308" s="120"/>
      <c r="B6308" s="73"/>
      <c r="C6308" s="73"/>
      <c r="D6308" s="73"/>
      <c r="E6308" s="73"/>
      <c r="G6308" s="121"/>
      <c r="H6308" s="140"/>
    </row>
    <row r="6309" spans="1:9" s="65" customFormat="1">
      <c r="A6309" s="128"/>
      <c r="B6309" s="141"/>
      <c r="C6309" s="141"/>
      <c r="D6309" s="141"/>
      <c r="E6309" s="141"/>
      <c r="F6309" s="141"/>
      <c r="G6309" s="141"/>
      <c r="H6309" s="140"/>
    </row>
    <row r="6310" spans="1:9" s="65" customFormat="1">
      <c r="A6310" s="142"/>
      <c r="B6310" s="143"/>
      <c r="C6310" s="143"/>
      <c r="D6310" s="143"/>
      <c r="E6310" s="143"/>
      <c r="F6310" s="84"/>
      <c r="G6310" s="144"/>
      <c r="H6310" s="145"/>
    </row>
    <row r="6311" spans="1:9" s="65" customFormat="1">
      <c r="A6311" s="123"/>
      <c r="B6311" s="95"/>
      <c r="C6311" s="95"/>
      <c r="D6311" s="95"/>
      <c r="E6311" s="95"/>
      <c r="G6311" s="104"/>
      <c r="H6311" s="121"/>
    </row>
    <row r="6312" spans="1:9" s="65" customFormat="1">
      <c r="A6312" s="123"/>
      <c r="B6312" s="95"/>
      <c r="C6312" s="95"/>
      <c r="D6312" s="95"/>
      <c r="E6312" s="95"/>
      <c r="G6312" s="121"/>
      <c r="H6312" s="133"/>
    </row>
    <row r="6313" spans="1:9" s="65" customFormat="1">
      <c r="B6313" s="97"/>
      <c r="C6313" s="98"/>
      <c r="D6313" s="98"/>
      <c r="E6313" s="98"/>
      <c r="G6313" s="128"/>
    </row>
    <row r="6314" spans="1:9" s="65" customFormat="1">
      <c r="B6314" s="97"/>
      <c r="C6314" s="98"/>
      <c r="D6314" s="98"/>
      <c r="E6314" s="98"/>
      <c r="F6314" s="128"/>
      <c r="G6314" s="133"/>
      <c r="H6314" s="134"/>
    </row>
    <row r="6315" spans="1:9" s="65" customFormat="1">
      <c r="A6315" s="633"/>
      <c r="B6315" s="633"/>
      <c r="C6315" s="633"/>
      <c r="D6315" s="633"/>
      <c r="E6315" s="633"/>
      <c r="F6315" s="633"/>
      <c r="G6315" s="633"/>
    </row>
    <row r="6316" spans="1:9" s="65" customFormat="1">
      <c r="H6316" s="138"/>
      <c r="I6316" s="151"/>
    </row>
    <row r="6317" spans="1:9" s="65" customFormat="1">
      <c r="A6317" s="645"/>
      <c r="B6317" s="138"/>
      <c r="C6317" s="138"/>
      <c r="D6317" s="138"/>
      <c r="E6317" s="138"/>
      <c r="F6317" s="138"/>
      <c r="G6317" s="138"/>
      <c r="H6317" s="138"/>
      <c r="I6317" s="152"/>
    </row>
    <row r="6318" spans="1:9" s="65" customFormat="1">
      <c r="A6318" s="645"/>
      <c r="B6318" s="138"/>
      <c r="C6318" s="138"/>
      <c r="D6318" s="138"/>
      <c r="E6318" s="138"/>
      <c r="F6318" s="138"/>
      <c r="G6318" s="138"/>
    </row>
    <row r="6319" spans="1:9" s="65" customFormat="1">
      <c r="A6319" s="69"/>
      <c r="B6319" s="69"/>
      <c r="C6319" s="69"/>
      <c r="D6319" s="69"/>
      <c r="E6319" s="69"/>
    </row>
    <row r="6320" spans="1:9" s="65" customFormat="1">
      <c r="A6320" s="120"/>
      <c r="B6320" s="73"/>
      <c r="C6320" s="73"/>
      <c r="D6320" s="73"/>
      <c r="E6320" s="73"/>
      <c r="F6320" s="121"/>
      <c r="G6320" s="121"/>
      <c r="H6320" s="121"/>
    </row>
    <row r="6321" spans="1:8" s="65" customFormat="1">
      <c r="A6321" s="128"/>
      <c r="B6321" s="141"/>
      <c r="C6321" s="141"/>
      <c r="D6321" s="141"/>
      <c r="E6321" s="141"/>
      <c r="F6321" s="141"/>
      <c r="G6321" s="141"/>
      <c r="H6321" s="121"/>
    </row>
    <row r="6322" spans="1:8" s="65" customFormat="1">
      <c r="A6322" s="142"/>
      <c r="B6322" s="143"/>
      <c r="C6322" s="143"/>
      <c r="D6322" s="143"/>
      <c r="E6322" s="143"/>
      <c r="F6322" s="84"/>
      <c r="G6322" s="144"/>
      <c r="H6322" s="145"/>
    </row>
    <row r="6323" spans="1:8" s="65" customFormat="1">
      <c r="A6323" s="84"/>
      <c r="B6323" s="83"/>
      <c r="C6323" s="84"/>
      <c r="D6323" s="84"/>
      <c r="E6323" s="84"/>
      <c r="G6323" s="104"/>
      <c r="H6323" s="140"/>
    </row>
    <row r="6324" spans="1:8" s="65" customFormat="1">
      <c r="A6324" s="120"/>
      <c r="B6324" s="73"/>
      <c r="C6324" s="73"/>
      <c r="D6324" s="73"/>
      <c r="E6324" s="73"/>
      <c r="G6324" s="121"/>
      <c r="H6324" s="140"/>
    </row>
    <row r="6325" spans="1:8" s="65" customFormat="1">
      <c r="A6325" s="128"/>
      <c r="B6325" s="141"/>
      <c r="C6325" s="141"/>
      <c r="D6325" s="141"/>
      <c r="E6325" s="141"/>
      <c r="F6325" s="141"/>
      <c r="G6325" s="141"/>
      <c r="H6325" s="140"/>
    </row>
    <row r="6326" spans="1:8" s="65" customFormat="1">
      <c r="A6326" s="150"/>
      <c r="B6326" s="83"/>
      <c r="C6326" s="148"/>
      <c r="D6326" s="160"/>
      <c r="E6326" s="84"/>
      <c r="F6326" s="84"/>
      <c r="G6326" s="144"/>
      <c r="H6326" s="145"/>
    </row>
    <row r="6327" spans="1:8" s="65" customFormat="1">
      <c r="A6327" s="91"/>
      <c r="B6327" s="91"/>
      <c r="C6327" s="91"/>
      <c r="D6327" s="91"/>
      <c r="E6327" s="91"/>
      <c r="G6327" s="104"/>
      <c r="H6327" s="140"/>
    </row>
    <row r="6328" spans="1:8" s="65" customFormat="1">
      <c r="A6328" s="120"/>
      <c r="B6328" s="73"/>
      <c r="C6328" s="73"/>
      <c r="D6328" s="73"/>
      <c r="E6328" s="73"/>
      <c r="G6328" s="121"/>
      <c r="H6328" s="140"/>
    </row>
    <row r="6329" spans="1:8" s="65" customFormat="1">
      <c r="A6329" s="128"/>
      <c r="B6329" s="141"/>
      <c r="C6329" s="141"/>
      <c r="D6329" s="141"/>
      <c r="E6329" s="141"/>
      <c r="F6329" s="141"/>
      <c r="G6329" s="141"/>
      <c r="H6329" s="140"/>
    </row>
    <row r="6330" spans="1:8" s="65" customFormat="1">
      <c r="A6330" s="142"/>
      <c r="B6330" s="143"/>
      <c r="C6330" s="143"/>
      <c r="D6330" s="143"/>
      <c r="E6330" s="143"/>
      <c r="F6330" s="84"/>
      <c r="G6330" s="144"/>
      <c r="H6330" s="145"/>
    </row>
    <row r="6331" spans="1:8" s="65" customFormat="1">
      <c r="A6331" s="91"/>
      <c r="B6331" s="91"/>
      <c r="C6331" s="91"/>
      <c r="D6331" s="91"/>
      <c r="E6331" s="91"/>
      <c r="G6331" s="104"/>
      <c r="H6331" s="140"/>
    </row>
    <row r="6332" spans="1:8" s="65" customFormat="1">
      <c r="A6332" s="120"/>
      <c r="B6332" s="73"/>
      <c r="C6332" s="73"/>
      <c r="D6332" s="73"/>
      <c r="E6332" s="73"/>
      <c r="G6332" s="121"/>
      <c r="H6332" s="140"/>
    </row>
    <row r="6333" spans="1:8" s="65" customFormat="1">
      <c r="A6333" s="128"/>
      <c r="B6333" s="141"/>
      <c r="C6333" s="141"/>
      <c r="D6333" s="141"/>
      <c r="E6333" s="141"/>
      <c r="F6333" s="141"/>
      <c r="G6333" s="141"/>
      <c r="H6333" s="140"/>
    </row>
    <row r="6334" spans="1:8" s="65" customFormat="1">
      <c r="A6334" s="142"/>
      <c r="B6334" s="143"/>
      <c r="C6334" s="143"/>
      <c r="D6334" s="143"/>
      <c r="E6334" s="143"/>
      <c r="F6334" s="84"/>
      <c r="G6334" s="144"/>
      <c r="H6334" s="145"/>
    </row>
    <row r="6335" spans="1:8" s="65" customFormat="1">
      <c r="A6335" s="123"/>
      <c r="B6335" s="95"/>
      <c r="C6335" s="95"/>
      <c r="D6335" s="95"/>
      <c r="E6335" s="95"/>
      <c r="G6335" s="104"/>
      <c r="H6335" s="121"/>
    </row>
    <row r="6336" spans="1:8" s="65" customFormat="1">
      <c r="A6336" s="123"/>
      <c r="B6336" s="95"/>
      <c r="C6336" s="95"/>
      <c r="D6336" s="95"/>
      <c r="E6336" s="95"/>
      <c r="G6336" s="121"/>
      <c r="H6336" s="133"/>
    </row>
    <row r="6337" spans="1:9" s="65" customFormat="1">
      <c r="B6337" s="97"/>
      <c r="C6337" s="98"/>
      <c r="D6337" s="98"/>
      <c r="E6337" s="98"/>
      <c r="G6337" s="128"/>
    </row>
    <row r="6338" spans="1:9" s="65" customFormat="1">
      <c r="B6338" s="97"/>
      <c r="C6338" s="98"/>
      <c r="D6338" s="98"/>
      <c r="E6338" s="98"/>
      <c r="F6338" s="128"/>
      <c r="G6338" s="133"/>
      <c r="H6338" s="134"/>
    </row>
    <row r="6339" spans="1:9" s="65" customFormat="1">
      <c r="A6339" s="633"/>
      <c r="B6339" s="633"/>
      <c r="C6339" s="633"/>
      <c r="D6339" s="633"/>
      <c r="E6339" s="633"/>
      <c r="F6339" s="633"/>
      <c r="G6339" s="633"/>
    </row>
    <row r="6340" spans="1:9" s="65" customFormat="1">
      <c r="H6340" s="138"/>
      <c r="I6340" s="151"/>
    </row>
    <row r="6341" spans="1:9" s="65" customFormat="1">
      <c r="A6341" s="645"/>
      <c r="B6341" s="138"/>
      <c r="C6341" s="138"/>
      <c r="D6341" s="138"/>
      <c r="E6341" s="138"/>
      <c r="F6341" s="138"/>
      <c r="G6341" s="138"/>
      <c r="H6341" s="138"/>
      <c r="I6341" s="152"/>
    </row>
    <row r="6342" spans="1:9" s="65" customFormat="1">
      <c r="A6342" s="645"/>
      <c r="B6342" s="138"/>
      <c r="C6342" s="138"/>
      <c r="D6342" s="138"/>
      <c r="E6342" s="138"/>
      <c r="F6342" s="138"/>
      <c r="G6342" s="138"/>
    </row>
    <row r="6343" spans="1:9" s="65" customFormat="1">
      <c r="A6343" s="69"/>
      <c r="B6343" s="69"/>
      <c r="C6343" s="69"/>
      <c r="D6343" s="69"/>
      <c r="E6343" s="69"/>
    </row>
    <row r="6344" spans="1:9" s="65" customFormat="1">
      <c r="A6344" s="120"/>
      <c r="B6344" s="73"/>
      <c r="C6344" s="73"/>
      <c r="D6344" s="73"/>
      <c r="E6344" s="73"/>
      <c r="F6344" s="121"/>
      <c r="G6344" s="121"/>
      <c r="H6344" s="121"/>
    </row>
    <row r="6345" spans="1:9" s="65" customFormat="1">
      <c r="A6345" s="128"/>
      <c r="B6345" s="141"/>
      <c r="C6345" s="141"/>
      <c r="D6345" s="141"/>
      <c r="E6345" s="141"/>
      <c r="F6345" s="141"/>
      <c r="G6345" s="141"/>
      <c r="H6345" s="121"/>
    </row>
    <row r="6346" spans="1:9" s="65" customFormat="1">
      <c r="A6346" s="142"/>
      <c r="B6346" s="143"/>
      <c r="C6346" s="143"/>
      <c r="D6346" s="143"/>
      <c r="E6346" s="143"/>
      <c r="F6346" s="84"/>
      <c r="G6346" s="144"/>
      <c r="H6346" s="145"/>
    </row>
    <row r="6347" spans="1:9" s="65" customFormat="1">
      <c r="A6347" s="84"/>
      <c r="B6347" s="83"/>
      <c r="C6347" s="84"/>
      <c r="D6347" s="84"/>
      <c r="E6347" s="84"/>
      <c r="G6347" s="104"/>
      <c r="H6347" s="140"/>
    </row>
    <row r="6348" spans="1:9" s="65" customFormat="1">
      <c r="A6348" s="120"/>
      <c r="B6348" s="73"/>
      <c r="C6348" s="73"/>
      <c r="D6348" s="73"/>
      <c r="E6348" s="73"/>
      <c r="G6348" s="121"/>
      <c r="H6348" s="140"/>
    </row>
    <row r="6349" spans="1:9" s="65" customFormat="1">
      <c r="A6349" s="128"/>
      <c r="B6349" s="141"/>
      <c r="C6349" s="141"/>
      <c r="D6349" s="141"/>
      <c r="E6349" s="141"/>
      <c r="F6349" s="141"/>
      <c r="G6349" s="141"/>
      <c r="H6349" s="140"/>
    </row>
    <row r="6350" spans="1:9" s="65" customFormat="1">
      <c r="A6350" s="150"/>
      <c r="B6350" s="83"/>
      <c r="C6350" s="148"/>
      <c r="D6350" s="160"/>
      <c r="E6350" s="84"/>
      <c r="F6350" s="84"/>
      <c r="G6350" s="144"/>
      <c r="H6350" s="145"/>
    </row>
    <row r="6351" spans="1:9" s="65" customFormat="1">
      <c r="A6351" s="91"/>
      <c r="B6351" s="91"/>
      <c r="C6351" s="91"/>
      <c r="D6351" s="91"/>
      <c r="E6351" s="91"/>
      <c r="G6351" s="104"/>
      <c r="H6351" s="140"/>
    </row>
    <row r="6352" spans="1:9" s="65" customFormat="1">
      <c r="A6352" s="120"/>
      <c r="B6352" s="73"/>
      <c r="C6352" s="73"/>
      <c r="D6352" s="73"/>
      <c r="E6352" s="73"/>
      <c r="G6352" s="121"/>
      <c r="H6352" s="140"/>
    </row>
    <row r="6353" spans="1:9" s="65" customFormat="1">
      <c r="A6353" s="128"/>
      <c r="B6353" s="141"/>
      <c r="C6353" s="141"/>
      <c r="D6353" s="141"/>
      <c r="E6353" s="141"/>
      <c r="F6353" s="141"/>
      <c r="G6353" s="141"/>
      <c r="H6353" s="140"/>
    </row>
    <row r="6354" spans="1:9" s="65" customFormat="1">
      <c r="A6354" s="142"/>
      <c r="B6354" s="143"/>
      <c r="C6354" s="143"/>
      <c r="D6354" s="143"/>
      <c r="E6354" s="143"/>
      <c r="F6354" s="84"/>
      <c r="G6354" s="144"/>
      <c r="H6354" s="145"/>
    </row>
    <row r="6355" spans="1:9" s="65" customFormat="1">
      <c r="A6355" s="91"/>
      <c r="B6355" s="91"/>
      <c r="C6355" s="91"/>
      <c r="D6355" s="91"/>
      <c r="E6355" s="91"/>
      <c r="G6355" s="104"/>
      <c r="H6355" s="140"/>
    </row>
    <row r="6356" spans="1:9" s="65" customFormat="1">
      <c r="A6356" s="120"/>
      <c r="B6356" s="73"/>
      <c r="C6356" s="73"/>
      <c r="D6356" s="73"/>
      <c r="E6356" s="73"/>
      <c r="G6356" s="121"/>
      <c r="H6356" s="140"/>
    </row>
    <row r="6357" spans="1:9" s="65" customFormat="1">
      <c r="A6357" s="128"/>
      <c r="B6357" s="141"/>
      <c r="C6357" s="141"/>
      <c r="D6357" s="141"/>
      <c r="E6357" s="141"/>
      <c r="F6357" s="141"/>
      <c r="G6357" s="141"/>
      <c r="H6357" s="140"/>
    </row>
    <row r="6358" spans="1:9" s="65" customFormat="1">
      <c r="A6358" s="142"/>
      <c r="B6358" s="143"/>
      <c r="C6358" s="143"/>
      <c r="D6358" s="143"/>
      <c r="E6358" s="143"/>
      <c r="F6358" s="84"/>
      <c r="G6358" s="144"/>
      <c r="H6358" s="145"/>
    </row>
    <row r="6359" spans="1:9" s="65" customFormat="1">
      <c r="A6359" s="123"/>
      <c r="B6359" s="95"/>
      <c r="C6359" s="95"/>
      <c r="D6359" s="95"/>
      <c r="E6359" s="95"/>
      <c r="G6359" s="104"/>
      <c r="H6359" s="121"/>
    </row>
    <row r="6360" spans="1:9" s="65" customFormat="1">
      <c r="A6360" s="123"/>
      <c r="B6360" s="95"/>
      <c r="C6360" s="95"/>
      <c r="D6360" s="95"/>
      <c r="E6360" s="95"/>
      <c r="G6360" s="121"/>
      <c r="H6360" s="133"/>
    </row>
    <row r="6361" spans="1:9" s="65" customFormat="1">
      <c r="B6361" s="97"/>
      <c r="C6361" s="98"/>
      <c r="D6361" s="98"/>
      <c r="E6361" s="98"/>
      <c r="G6361" s="128"/>
    </row>
    <row r="6362" spans="1:9" s="65" customFormat="1">
      <c r="B6362" s="97"/>
      <c r="C6362" s="98"/>
      <c r="D6362" s="98"/>
      <c r="E6362" s="98"/>
      <c r="F6362" s="128"/>
      <c r="G6362" s="133"/>
      <c r="H6362" s="134"/>
    </row>
    <row r="6363" spans="1:9" s="65" customFormat="1">
      <c r="A6363" s="633"/>
      <c r="B6363" s="633"/>
      <c r="C6363" s="633"/>
      <c r="D6363" s="633"/>
      <c r="E6363" s="633"/>
      <c r="F6363" s="633"/>
      <c r="G6363" s="633"/>
    </row>
    <row r="6364" spans="1:9" s="65" customFormat="1">
      <c r="H6364" s="138"/>
      <c r="I6364" s="151"/>
    </row>
    <row r="6365" spans="1:9" s="65" customFormat="1">
      <c r="A6365" s="645"/>
      <c r="B6365" s="138"/>
      <c r="C6365" s="138"/>
      <c r="D6365" s="138"/>
      <c r="E6365" s="138"/>
      <c r="F6365" s="138"/>
      <c r="G6365" s="138"/>
      <c r="H6365" s="138"/>
      <c r="I6365" s="152"/>
    </row>
    <row r="6366" spans="1:9" s="65" customFormat="1">
      <c r="A6366" s="645"/>
      <c r="B6366" s="138"/>
      <c r="C6366" s="138"/>
      <c r="D6366" s="138"/>
      <c r="E6366" s="138"/>
      <c r="F6366" s="138"/>
      <c r="G6366" s="138"/>
    </row>
    <row r="6367" spans="1:9" s="65" customFormat="1">
      <c r="A6367" s="69"/>
      <c r="B6367" s="69"/>
      <c r="C6367" s="69"/>
      <c r="D6367" s="69"/>
      <c r="E6367" s="69"/>
    </row>
    <row r="6368" spans="1:9" s="65" customFormat="1">
      <c r="A6368" s="120"/>
      <c r="B6368" s="73"/>
      <c r="C6368" s="73"/>
      <c r="D6368" s="73"/>
      <c r="E6368" s="73"/>
      <c r="F6368" s="121"/>
      <c r="G6368" s="121"/>
      <c r="H6368" s="121"/>
    </row>
    <row r="6369" spans="1:8" s="65" customFormat="1">
      <c r="A6369" s="128"/>
      <c r="B6369" s="141"/>
      <c r="C6369" s="141"/>
      <c r="D6369" s="141"/>
      <c r="E6369" s="141"/>
      <c r="F6369" s="141"/>
      <c r="G6369" s="141"/>
      <c r="H6369" s="121"/>
    </row>
    <row r="6370" spans="1:8" s="65" customFormat="1">
      <c r="A6370" s="142"/>
      <c r="B6370" s="143"/>
      <c r="C6370" s="143"/>
      <c r="D6370" s="143"/>
      <c r="E6370" s="143"/>
      <c r="F6370" s="84"/>
      <c r="G6370" s="144"/>
      <c r="H6370" s="145"/>
    </row>
    <row r="6371" spans="1:8" s="65" customFormat="1">
      <c r="A6371" s="84"/>
      <c r="B6371" s="83"/>
      <c r="C6371" s="84"/>
      <c r="D6371" s="84"/>
      <c r="E6371" s="84"/>
      <c r="G6371" s="104"/>
      <c r="H6371" s="140"/>
    </row>
    <row r="6372" spans="1:8" s="65" customFormat="1">
      <c r="A6372" s="120"/>
      <c r="B6372" s="73"/>
      <c r="C6372" s="73"/>
      <c r="D6372" s="73"/>
      <c r="E6372" s="73"/>
      <c r="G6372" s="121"/>
      <c r="H6372" s="140"/>
    </row>
    <row r="6373" spans="1:8" s="65" customFormat="1">
      <c r="A6373" s="128"/>
      <c r="B6373" s="141"/>
      <c r="C6373" s="141"/>
      <c r="D6373" s="141"/>
      <c r="E6373" s="141"/>
      <c r="F6373" s="141"/>
      <c r="G6373" s="141"/>
      <c r="H6373" s="140"/>
    </row>
    <row r="6374" spans="1:8" s="65" customFormat="1">
      <c r="A6374" s="150"/>
      <c r="B6374" s="83"/>
      <c r="C6374" s="148"/>
      <c r="D6374" s="160"/>
      <c r="E6374" s="84"/>
      <c r="F6374" s="84"/>
      <c r="G6374" s="144"/>
      <c r="H6374" s="145"/>
    </row>
    <row r="6375" spans="1:8" s="65" customFormat="1">
      <c r="A6375" s="91"/>
      <c r="B6375" s="91"/>
      <c r="C6375" s="91"/>
      <c r="D6375" s="91"/>
      <c r="E6375" s="91"/>
      <c r="G6375" s="104"/>
      <c r="H6375" s="140"/>
    </row>
    <row r="6376" spans="1:8" s="65" customFormat="1">
      <c r="A6376" s="120"/>
      <c r="B6376" s="73"/>
      <c r="C6376" s="73"/>
      <c r="D6376" s="73"/>
      <c r="E6376" s="73"/>
      <c r="G6376" s="121"/>
      <c r="H6376" s="140"/>
    </row>
    <row r="6377" spans="1:8" s="65" customFormat="1">
      <c r="A6377" s="128"/>
      <c r="B6377" s="141"/>
      <c r="C6377" s="141"/>
      <c r="D6377" s="141"/>
      <c r="E6377" s="141"/>
      <c r="F6377" s="141"/>
      <c r="G6377" s="141"/>
      <c r="H6377" s="140"/>
    </row>
    <row r="6378" spans="1:8" s="65" customFormat="1">
      <c r="A6378" s="142"/>
      <c r="B6378" s="143"/>
      <c r="C6378" s="143"/>
      <c r="D6378" s="143"/>
      <c r="E6378" s="143"/>
      <c r="F6378" s="84"/>
      <c r="G6378" s="144"/>
      <c r="H6378" s="145"/>
    </row>
    <row r="6379" spans="1:8" s="65" customFormat="1">
      <c r="A6379" s="91"/>
      <c r="B6379" s="91"/>
      <c r="C6379" s="91"/>
      <c r="D6379" s="91"/>
      <c r="E6379" s="91"/>
      <c r="G6379" s="104"/>
      <c r="H6379" s="140"/>
    </row>
    <row r="6380" spans="1:8" s="65" customFormat="1">
      <c r="A6380" s="120"/>
      <c r="B6380" s="73"/>
      <c r="C6380" s="73"/>
      <c r="D6380" s="73"/>
      <c r="E6380" s="73"/>
      <c r="G6380" s="121"/>
      <c r="H6380" s="140"/>
    </row>
    <row r="6381" spans="1:8" s="65" customFormat="1">
      <c r="A6381" s="128"/>
      <c r="B6381" s="141"/>
      <c r="C6381" s="141"/>
      <c r="D6381" s="141"/>
      <c r="E6381" s="141"/>
      <c r="F6381" s="141"/>
      <c r="G6381" s="141"/>
      <c r="H6381" s="140"/>
    </row>
    <row r="6382" spans="1:8" s="65" customFormat="1">
      <c r="A6382" s="142"/>
      <c r="B6382" s="143"/>
      <c r="C6382" s="143"/>
      <c r="D6382" s="143"/>
      <c r="E6382" s="143"/>
      <c r="F6382" s="84"/>
      <c r="G6382" s="144"/>
      <c r="H6382" s="145"/>
    </row>
    <row r="6383" spans="1:8" s="65" customFormat="1">
      <c r="A6383" s="123"/>
      <c r="B6383" s="95"/>
      <c r="C6383" s="95"/>
      <c r="D6383" s="95"/>
      <c r="E6383" s="95"/>
      <c r="G6383" s="104"/>
      <c r="H6383" s="121"/>
    </row>
    <row r="6384" spans="1:8" s="65" customFormat="1">
      <c r="A6384" s="123"/>
      <c r="B6384" s="95"/>
      <c r="C6384" s="95"/>
      <c r="D6384" s="95"/>
      <c r="E6384" s="95"/>
      <c r="G6384" s="121"/>
      <c r="H6384" s="133"/>
    </row>
    <row r="6385" spans="1:9" s="65" customFormat="1">
      <c r="B6385" s="97"/>
      <c r="C6385" s="98"/>
      <c r="D6385" s="98"/>
      <c r="E6385" s="98"/>
      <c r="G6385" s="128"/>
    </row>
    <row r="6386" spans="1:9" s="65" customFormat="1">
      <c r="B6386" s="97"/>
      <c r="C6386" s="98"/>
      <c r="D6386" s="98"/>
      <c r="E6386" s="98"/>
      <c r="F6386" s="128"/>
      <c r="G6386" s="133"/>
      <c r="H6386" s="134"/>
    </row>
    <row r="6387" spans="1:9" s="65" customFormat="1">
      <c r="A6387" s="633"/>
      <c r="B6387" s="633"/>
      <c r="C6387" s="633"/>
      <c r="D6387" s="633"/>
      <c r="E6387" s="633"/>
      <c r="F6387" s="633"/>
      <c r="G6387" s="633"/>
    </row>
    <row r="6388" spans="1:9" s="65" customFormat="1">
      <c r="H6388" s="138"/>
      <c r="I6388" s="151"/>
    </row>
    <row r="6389" spans="1:9" s="65" customFormat="1">
      <c r="A6389" s="645"/>
      <c r="B6389" s="138"/>
      <c r="C6389" s="138"/>
      <c r="D6389" s="138"/>
      <c r="E6389" s="138"/>
      <c r="F6389" s="138"/>
      <c r="G6389" s="138"/>
      <c r="H6389" s="138"/>
      <c r="I6389" s="152"/>
    </row>
    <row r="6390" spans="1:9" s="65" customFormat="1">
      <c r="A6390" s="645"/>
      <c r="B6390" s="138"/>
      <c r="C6390" s="138"/>
      <c r="D6390" s="138"/>
      <c r="E6390" s="138"/>
      <c r="F6390" s="138"/>
      <c r="G6390" s="138"/>
    </row>
    <row r="6391" spans="1:9" s="65" customFormat="1">
      <c r="A6391" s="69"/>
      <c r="B6391" s="69"/>
      <c r="C6391" s="69"/>
      <c r="D6391" s="69"/>
      <c r="E6391" s="69"/>
    </row>
    <row r="6392" spans="1:9" s="65" customFormat="1">
      <c r="A6392" s="120"/>
      <c r="B6392" s="73"/>
      <c r="C6392" s="73"/>
      <c r="D6392" s="73"/>
      <c r="E6392" s="73"/>
      <c r="F6392" s="121"/>
      <c r="G6392" s="121"/>
      <c r="H6392" s="121"/>
    </row>
    <row r="6393" spans="1:9" s="65" customFormat="1">
      <c r="A6393" s="128"/>
      <c r="B6393" s="141"/>
      <c r="C6393" s="141"/>
      <c r="D6393" s="141"/>
      <c r="E6393" s="141"/>
      <c r="F6393" s="141"/>
      <c r="G6393" s="141"/>
      <c r="H6393" s="121"/>
    </row>
    <row r="6394" spans="1:9" s="65" customFormat="1">
      <c r="A6394" s="142"/>
      <c r="B6394" s="143"/>
      <c r="C6394" s="143"/>
      <c r="D6394" s="143"/>
      <c r="E6394" s="143"/>
      <c r="F6394" s="84"/>
      <c r="G6394" s="144"/>
      <c r="H6394" s="145"/>
    </row>
    <row r="6395" spans="1:9" s="65" customFormat="1">
      <c r="A6395" s="84"/>
      <c r="B6395" s="83"/>
      <c r="C6395" s="84"/>
      <c r="D6395" s="84"/>
      <c r="E6395" s="84"/>
      <c r="G6395" s="104"/>
      <c r="H6395" s="140"/>
    </row>
    <row r="6396" spans="1:9" s="65" customFormat="1">
      <c r="A6396" s="120"/>
      <c r="B6396" s="73"/>
      <c r="C6396" s="73"/>
      <c r="D6396" s="73"/>
      <c r="E6396" s="73"/>
      <c r="G6396" s="121"/>
      <c r="H6396" s="140"/>
    </row>
    <row r="6397" spans="1:9" s="65" customFormat="1">
      <c r="A6397" s="128"/>
      <c r="B6397" s="141"/>
      <c r="C6397" s="141"/>
      <c r="D6397" s="141"/>
      <c r="E6397" s="141"/>
      <c r="F6397" s="141"/>
      <c r="G6397" s="141"/>
      <c r="H6397" s="140"/>
    </row>
    <row r="6398" spans="1:9" s="65" customFormat="1">
      <c r="A6398" s="150"/>
      <c r="B6398" s="83"/>
      <c r="C6398" s="148"/>
      <c r="D6398" s="160"/>
      <c r="E6398" s="84"/>
      <c r="F6398" s="84"/>
      <c r="G6398" s="144"/>
      <c r="H6398" s="145"/>
    </row>
    <row r="6399" spans="1:9" s="65" customFormat="1">
      <c r="A6399" s="91"/>
      <c r="B6399" s="91"/>
      <c r="C6399" s="91"/>
      <c r="D6399" s="91"/>
      <c r="E6399" s="91"/>
      <c r="G6399" s="104"/>
      <c r="H6399" s="140"/>
    </row>
    <row r="6400" spans="1:9" s="65" customFormat="1">
      <c r="A6400" s="120"/>
      <c r="B6400" s="73"/>
      <c r="C6400" s="73"/>
      <c r="D6400" s="73"/>
      <c r="E6400" s="73"/>
      <c r="G6400" s="121"/>
      <c r="H6400" s="140"/>
    </row>
    <row r="6401" spans="1:9" s="65" customFormat="1">
      <c r="A6401" s="128"/>
      <c r="B6401" s="141"/>
      <c r="C6401" s="141"/>
      <c r="D6401" s="141"/>
      <c r="E6401" s="141"/>
      <c r="F6401" s="141"/>
      <c r="G6401" s="141"/>
      <c r="H6401" s="140"/>
    </row>
    <row r="6402" spans="1:9" s="65" customFormat="1">
      <c r="A6402" s="142"/>
      <c r="B6402" s="143"/>
      <c r="C6402" s="143"/>
      <c r="D6402" s="143"/>
      <c r="E6402" s="143"/>
      <c r="F6402" s="84"/>
      <c r="G6402" s="144"/>
      <c r="H6402" s="145"/>
    </row>
    <row r="6403" spans="1:9" s="65" customFormat="1">
      <c r="A6403" s="91"/>
      <c r="B6403" s="91"/>
      <c r="C6403" s="91"/>
      <c r="D6403" s="91"/>
      <c r="E6403" s="91"/>
      <c r="G6403" s="104"/>
      <c r="H6403" s="140"/>
    </row>
    <row r="6404" spans="1:9" s="65" customFormat="1">
      <c r="A6404" s="120"/>
      <c r="B6404" s="73"/>
      <c r="C6404" s="73"/>
      <c r="D6404" s="73"/>
      <c r="E6404" s="73"/>
      <c r="G6404" s="121"/>
      <c r="H6404" s="140"/>
    </row>
    <row r="6405" spans="1:9" s="65" customFormat="1">
      <c r="A6405" s="128"/>
      <c r="B6405" s="141"/>
      <c r="C6405" s="141"/>
      <c r="D6405" s="141"/>
      <c r="E6405" s="141"/>
      <c r="F6405" s="141"/>
      <c r="G6405" s="141"/>
      <c r="H6405" s="140"/>
    </row>
    <row r="6406" spans="1:9" s="65" customFormat="1">
      <c r="A6406" s="142"/>
      <c r="B6406" s="143"/>
      <c r="C6406" s="143"/>
      <c r="D6406" s="143"/>
      <c r="E6406" s="143"/>
      <c r="F6406" s="84"/>
      <c r="G6406" s="144"/>
      <c r="H6406" s="145"/>
    </row>
    <row r="6407" spans="1:9" s="65" customFormat="1">
      <c r="A6407" s="123"/>
      <c r="B6407" s="95"/>
      <c r="C6407" s="95"/>
      <c r="D6407" s="95"/>
      <c r="E6407" s="95"/>
      <c r="G6407" s="104"/>
      <c r="H6407" s="121"/>
    </row>
    <row r="6408" spans="1:9" s="65" customFormat="1">
      <c r="A6408" s="123"/>
      <c r="B6408" s="95"/>
      <c r="C6408" s="95"/>
      <c r="D6408" s="95"/>
      <c r="E6408" s="95"/>
      <c r="G6408" s="121"/>
      <c r="H6408" s="133"/>
    </row>
    <row r="6409" spans="1:9" s="65" customFormat="1">
      <c r="B6409" s="97"/>
      <c r="C6409" s="98"/>
      <c r="D6409" s="98"/>
      <c r="E6409" s="98"/>
      <c r="G6409" s="128"/>
    </row>
    <row r="6410" spans="1:9" s="65" customFormat="1">
      <c r="B6410" s="97"/>
      <c r="C6410" s="98"/>
      <c r="D6410" s="98"/>
      <c r="E6410" s="98"/>
      <c r="F6410" s="128"/>
      <c r="G6410" s="133"/>
      <c r="H6410" s="134"/>
    </row>
    <row r="6411" spans="1:9" s="65" customFormat="1">
      <c r="A6411" s="633"/>
      <c r="B6411" s="633"/>
      <c r="C6411" s="633"/>
      <c r="D6411" s="633"/>
      <c r="E6411" s="633"/>
      <c r="F6411" s="633"/>
      <c r="G6411" s="633"/>
    </row>
    <row r="6412" spans="1:9" s="65" customFormat="1">
      <c r="H6412" s="138"/>
      <c r="I6412" s="151"/>
    </row>
    <row r="6413" spans="1:9" s="65" customFormat="1">
      <c r="A6413" s="645"/>
      <c r="B6413" s="138"/>
      <c r="C6413" s="138"/>
      <c r="D6413" s="138"/>
      <c r="E6413" s="138"/>
      <c r="F6413" s="138"/>
      <c r="G6413" s="138"/>
      <c r="H6413" s="138"/>
      <c r="I6413" s="152"/>
    </row>
    <row r="6414" spans="1:9" s="65" customFormat="1">
      <c r="A6414" s="645"/>
      <c r="B6414" s="138"/>
      <c r="C6414" s="138"/>
      <c r="D6414" s="138"/>
      <c r="E6414" s="138"/>
      <c r="F6414" s="138"/>
      <c r="G6414" s="138"/>
    </row>
    <row r="6415" spans="1:9" s="65" customFormat="1">
      <c r="A6415" s="69"/>
      <c r="B6415" s="69"/>
      <c r="C6415" s="69"/>
      <c r="D6415" s="69"/>
      <c r="E6415" s="69"/>
    </row>
    <row r="6416" spans="1:9" s="65" customFormat="1">
      <c r="A6416" s="120"/>
      <c r="B6416" s="73"/>
      <c r="C6416" s="73"/>
      <c r="D6416" s="73"/>
      <c r="E6416" s="73"/>
      <c r="F6416" s="121"/>
      <c r="G6416" s="121"/>
      <c r="H6416" s="121"/>
    </row>
    <row r="6417" spans="1:8" s="65" customFormat="1">
      <c r="A6417" s="128"/>
      <c r="B6417" s="141"/>
      <c r="C6417" s="141"/>
      <c r="D6417" s="141"/>
      <c r="E6417" s="141"/>
      <c r="F6417" s="141"/>
      <c r="G6417" s="141"/>
      <c r="H6417" s="121"/>
    </row>
    <row r="6418" spans="1:8" s="65" customFormat="1">
      <c r="A6418" s="142"/>
      <c r="B6418" s="143"/>
      <c r="C6418" s="143"/>
      <c r="D6418" s="143"/>
      <c r="E6418" s="143"/>
      <c r="F6418" s="84"/>
      <c r="G6418" s="144"/>
      <c r="H6418" s="145"/>
    </row>
    <row r="6419" spans="1:8" s="65" customFormat="1">
      <c r="A6419" s="84"/>
      <c r="B6419" s="83"/>
      <c r="C6419" s="84"/>
      <c r="D6419" s="84"/>
      <c r="E6419" s="84"/>
      <c r="G6419" s="104"/>
      <c r="H6419" s="140"/>
    </row>
    <row r="6420" spans="1:8" s="65" customFormat="1">
      <c r="A6420" s="120"/>
      <c r="B6420" s="73"/>
      <c r="C6420" s="73"/>
      <c r="D6420" s="73"/>
      <c r="E6420" s="73"/>
      <c r="G6420" s="121"/>
      <c r="H6420" s="140"/>
    </row>
    <row r="6421" spans="1:8" s="65" customFormat="1">
      <c r="A6421" s="128"/>
      <c r="B6421" s="141"/>
      <c r="C6421" s="141"/>
      <c r="D6421" s="141"/>
      <c r="E6421" s="141"/>
      <c r="F6421" s="141"/>
      <c r="G6421" s="141"/>
      <c r="H6421" s="140"/>
    </row>
    <row r="6422" spans="1:8" s="65" customFormat="1">
      <c r="A6422" s="150"/>
      <c r="B6422" s="83"/>
      <c r="C6422" s="148"/>
      <c r="D6422" s="160"/>
      <c r="E6422" s="84"/>
      <c r="F6422" s="84"/>
      <c r="G6422" s="144"/>
      <c r="H6422" s="145"/>
    </row>
    <row r="6423" spans="1:8" s="65" customFormat="1">
      <c r="A6423" s="91"/>
      <c r="B6423" s="91"/>
      <c r="C6423" s="91"/>
      <c r="D6423" s="91"/>
      <c r="E6423" s="91"/>
      <c r="G6423" s="104"/>
      <c r="H6423" s="140"/>
    </row>
    <row r="6424" spans="1:8" s="65" customFormat="1">
      <c r="A6424" s="120"/>
      <c r="B6424" s="73"/>
      <c r="C6424" s="73"/>
      <c r="D6424" s="73"/>
      <c r="E6424" s="73"/>
      <c r="G6424" s="121"/>
      <c r="H6424" s="140"/>
    </row>
    <row r="6425" spans="1:8" s="65" customFormat="1">
      <c r="A6425" s="128"/>
      <c r="B6425" s="141"/>
      <c r="C6425" s="141"/>
      <c r="D6425" s="141"/>
      <c r="E6425" s="141"/>
      <c r="F6425" s="141"/>
      <c r="G6425" s="141"/>
      <c r="H6425" s="140"/>
    </row>
    <row r="6426" spans="1:8" s="65" customFormat="1">
      <c r="A6426" s="142"/>
      <c r="B6426" s="143"/>
      <c r="C6426" s="143"/>
      <c r="D6426" s="143"/>
      <c r="E6426" s="143"/>
      <c r="F6426" s="84"/>
      <c r="G6426" s="144"/>
      <c r="H6426" s="145"/>
    </row>
    <row r="6427" spans="1:8" s="65" customFormat="1">
      <c r="A6427" s="91"/>
      <c r="B6427" s="91"/>
      <c r="C6427" s="91"/>
      <c r="D6427" s="91"/>
      <c r="E6427" s="91"/>
      <c r="G6427" s="104"/>
      <c r="H6427" s="140"/>
    </row>
    <row r="6428" spans="1:8" s="65" customFormat="1">
      <c r="A6428" s="120"/>
      <c r="B6428" s="73"/>
      <c r="C6428" s="73"/>
      <c r="D6428" s="73"/>
      <c r="E6428" s="73"/>
      <c r="G6428" s="121"/>
      <c r="H6428" s="140"/>
    </row>
    <row r="6429" spans="1:8" s="65" customFormat="1">
      <c r="A6429" s="128"/>
      <c r="B6429" s="141"/>
      <c r="C6429" s="141"/>
      <c r="D6429" s="141"/>
      <c r="E6429" s="141"/>
      <c r="F6429" s="141"/>
      <c r="G6429" s="141"/>
      <c r="H6429" s="140"/>
    </row>
    <row r="6430" spans="1:8" s="65" customFormat="1">
      <c r="A6430" s="142"/>
      <c r="B6430" s="143"/>
      <c r="C6430" s="143"/>
      <c r="D6430" s="143"/>
      <c r="E6430" s="143"/>
      <c r="F6430" s="84"/>
      <c r="G6430" s="144"/>
      <c r="H6430" s="145"/>
    </row>
    <row r="6431" spans="1:8" s="65" customFormat="1">
      <c r="A6431" s="123"/>
      <c r="B6431" s="95"/>
      <c r="C6431" s="95"/>
      <c r="D6431" s="95"/>
      <c r="E6431" s="95"/>
      <c r="G6431" s="104"/>
      <c r="H6431" s="121"/>
    </row>
    <row r="6432" spans="1:8" s="65" customFormat="1">
      <c r="A6432" s="123"/>
      <c r="B6432" s="95"/>
      <c r="C6432" s="95"/>
      <c r="D6432" s="95"/>
      <c r="E6432" s="95"/>
      <c r="G6432" s="121"/>
      <c r="H6432" s="133"/>
    </row>
    <row r="6433" spans="1:9" s="65" customFormat="1">
      <c r="B6433" s="97"/>
      <c r="C6433" s="98"/>
      <c r="D6433" s="98"/>
      <c r="E6433" s="98"/>
      <c r="G6433" s="128"/>
    </row>
    <row r="6434" spans="1:9" s="65" customFormat="1">
      <c r="B6434" s="97"/>
      <c r="C6434" s="98"/>
      <c r="D6434" s="98"/>
      <c r="E6434" s="98"/>
      <c r="F6434" s="128"/>
      <c r="G6434" s="133"/>
      <c r="H6434" s="134"/>
    </row>
    <row r="6435" spans="1:9" s="65" customFormat="1">
      <c r="A6435" s="633"/>
      <c r="B6435" s="633"/>
      <c r="C6435" s="633"/>
      <c r="D6435" s="633"/>
      <c r="E6435" s="633"/>
      <c r="F6435" s="633"/>
      <c r="G6435" s="633"/>
    </row>
    <row r="6436" spans="1:9" s="65" customFormat="1">
      <c r="H6436" s="138"/>
      <c r="I6436" s="151"/>
    </row>
    <row r="6437" spans="1:9" s="65" customFormat="1">
      <c r="A6437" s="645"/>
      <c r="B6437" s="138"/>
      <c r="C6437" s="138"/>
      <c r="D6437" s="138"/>
      <c r="E6437" s="138"/>
      <c r="F6437" s="138"/>
      <c r="G6437" s="138"/>
      <c r="H6437" s="138"/>
      <c r="I6437" s="152"/>
    </row>
    <row r="6438" spans="1:9" s="65" customFormat="1">
      <c r="A6438" s="645"/>
      <c r="B6438" s="138"/>
      <c r="C6438" s="138"/>
      <c r="D6438" s="138"/>
      <c r="E6438" s="138"/>
      <c r="F6438" s="138"/>
      <c r="G6438" s="138"/>
    </row>
    <row r="6439" spans="1:9" s="65" customFormat="1">
      <c r="A6439" s="69"/>
      <c r="B6439" s="69"/>
      <c r="C6439" s="69"/>
      <c r="D6439" s="69"/>
      <c r="E6439" s="69"/>
    </row>
    <row r="6440" spans="1:9" s="65" customFormat="1">
      <c r="A6440" s="120"/>
      <c r="B6440" s="73"/>
      <c r="C6440" s="73"/>
      <c r="D6440" s="73"/>
      <c r="E6440" s="73"/>
      <c r="F6440" s="121"/>
      <c r="G6440" s="121"/>
      <c r="H6440" s="121"/>
    </row>
    <row r="6441" spans="1:9" s="65" customFormat="1">
      <c r="A6441" s="128"/>
      <c r="B6441" s="141"/>
      <c r="C6441" s="141"/>
      <c r="D6441" s="141"/>
      <c r="E6441" s="141"/>
      <c r="F6441" s="141"/>
      <c r="G6441" s="141"/>
      <c r="H6441" s="121"/>
    </row>
    <row r="6442" spans="1:9" s="65" customFormat="1">
      <c r="A6442" s="142"/>
      <c r="B6442" s="143"/>
      <c r="C6442" s="143"/>
      <c r="D6442" s="143"/>
      <c r="E6442" s="143"/>
      <c r="F6442" s="84"/>
      <c r="G6442" s="144"/>
      <c r="H6442" s="145"/>
    </row>
    <row r="6443" spans="1:9" s="65" customFormat="1">
      <c r="A6443" s="84"/>
      <c r="B6443" s="83"/>
      <c r="C6443" s="84"/>
      <c r="D6443" s="84"/>
      <c r="E6443" s="84"/>
      <c r="G6443" s="104"/>
      <c r="H6443" s="140"/>
    </row>
    <row r="6444" spans="1:9" s="65" customFormat="1">
      <c r="A6444" s="120"/>
      <c r="B6444" s="73"/>
      <c r="C6444" s="73"/>
      <c r="D6444" s="73"/>
      <c r="E6444" s="73"/>
      <c r="G6444" s="121"/>
      <c r="H6444" s="140"/>
    </row>
    <row r="6445" spans="1:9" s="65" customFormat="1">
      <c r="A6445" s="128"/>
      <c r="B6445" s="141"/>
      <c r="C6445" s="141"/>
      <c r="D6445" s="141"/>
      <c r="E6445" s="141"/>
      <c r="F6445" s="141"/>
      <c r="G6445" s="141"/>
      <c r="H6445" s="140"/>
    </row>
    <row r="6446" spans="1:9" s="65" customFormat="1">
      <c r="A6446" s="150"/>
      <c r="B6446" s="83"/>
      <c r="C6446" s="148"/>
      <c r="D6446" s="160"/>
      <c r="E6446" s="84"/>
      <c r="F6446" s="84"/>
      <c r="G6446" s="144"/>
      <c r="H6446" s="145"/>
    </row>
    <row r="6447" spans="1:9" s="65" customFormat="1">
      <c r="A6447" s="91"/>
      <c r="B6447" s="91"/>
      <c r="C6447" s="91"/>
      <c r="D6447" s="91"/>
      <c r="E6447" s="91"/>
      <c r="G6447" s="104"/>
      <c r="H6447" s="140"/>
    </row>
    <row r="6448" spans="1:9" s="65" customFormat="1">
      <c r="A6448" s="120"/>
      <c r="B6448" s="73"/>
      <c r="C6448" s="73"/>
      <c r="D6448" s="73"/>
      <c r="E6448" s="73"/>
      <c r="G6448" s="121"/>
      <c r="H6448" s="140"/>
    </row>
    <row r="6449" spans="1:9" s="65" customFormat="1">
      <c r="A6449" s="128"/>
      <c r="B6449" s="141"/>
      <c r="C6449" s="141"/>
      <c r="D6449" s="141"/>
      <c r="E6449" s="141"/>
      <c r="F6449" s="141"/>
      <c r="G6449" s="141"/>
      <c r="H6449" s="140"/>
    </row>
    <row r="6450" spans="1:9" s="65" customFormat="1">
      <c r="A6450" s="142"/>
      <c r="B6450" s="143"/>
      <c r="C6450" s="143"/>
      <c r="D6450" s="143"/>
      <c r="E6450" s="143"/>
      <c r="F6450" s="84"/>
      <c r="G6450" s="144"/>
      <c r="H6450" s="145"/>
    </row>
    <row r="6451" spans="1:9" s="65" customFormat="1">
      <c r="A6451" s="91"/>
      <c r="B6451" s="91"/>
      <c r="C6451" s="91"/>
      <c r="D6451" s="91"/>
      <c r="E6451" s="91"/>
      <c r="G6451" s="104"/>
      <c r="H6451" s="140"/>
    </row>
    <row r="6452" spans="1:9" s="65" customFormat="1">
      <c r="A6452" s="120"/>
      <c r="B6452" s="73"/>
      <c r="C6452" s="73"/>
      <c r="D6452" s="73"/>
      <c r="E6452" s="73"/>
      <c r="G6452" s="121"/>
      <c r="H6452" s="140"/>
    </row>
    <row r="6453" spans="1:9" s="65" customFormat="1">
      <c r="A6453" s="128"/>
      <c r="B6453" s="141"/>
      <c r="C6453" s="141"/>
      <c r="D6453" s="141"/>
      <c r="E6453" s="141"/>
      <c r="F6453" s="141"/>
      <c r="G6453" s="141"/>
      <c r="H6453" s="140"/>
    </row>
    <row r="6454" spans="1:9" s="65" customFormat="1">
      <c r="A6454" s="142"/>
      <c r="B6454" s="143"/>
      <c r="C6454" s="143"/>
      <c r="D6454" s="143"/>
      <c r="E6454" s="143"/>
      <c r="F6454" s="84"/>
      <c r="G6454" s="144"/>
      <c r="H6454" s="145"/>
    </row>
    <row r="6455" spans="1:9" s="65" customFormat="1">
      <c r="A6455" s="123"/>
      <c r="B6455" s="95"/>
      <c r="C6455" s="95"/>
      <c r="D6455" s="95"/>
      <c r="E6455" s="95"/>
      <c r="G6455" s="104"/>
      <c r="H6455" s="121"/>
    </row>
    <row r="6456" spans="1:9" s="65" customFormat="1">
      <c r="A6456" s="123"/>
      <c r="B6456" s="95"/>
      <c r="C6456" s="95"/>
      <c r="D6456" s="95"/>
      <c r="E6456" s="95"/>
      <c r="G6456" s="121"/>
      <c r="H6456" s="133"/>
    </row>
    <row r="6457" spans="1:9" s="65" customFormat="1">
      <c r="B6457" s="97"/>
      <c r="C6457" s="98"/>
      <c r="D6457" s="98"/>
      <c r="E6457" s="98"/>
      <c r="G6457" s="128"/>
    </row>
    <row r="6458" spans="1:9" s="65" customFormat="1">
      <c r="B6458" s="97"/>
      <c r="C6458" s="98"/>
      <c r="D6458" s="98"/>
      <c r="E6458" s="98"/>
      <c r="F6458" s="128"/>
      <c r="G6458" s="133"/>
      <c r="H6458" s="134"/>
    </row>
    <row r="6459" spans="1:9" s="65" customFormat="1">
      <c r="A6459" s="633"/>
      <c r="B6459" s="633"/>
      <c r="C6459" s="633"/>
      <c r="D6459" s="633"/>
      <c r="E6459" s="633"/>
      <c r="F6459" s="633"/>
      <c r="G6459" s="633"/>
    </row>
    <row r="6460" spans="1:9" s="65" customFormat="1">
      <c r="H6460" s="138"/>
      <c r="I6460" s="151"/>
    </row>
    <row r="6461" spans="1:9" s="65" customFormat="1">
      <c r="A6461" s="645"/>
      <c r="B6461" s="138"/>
      <c r="C6461" s="138"/>
      <c r="D6461" s="138"/>
      <c r="E6461" s="138"/>
      <c r="F6461" s="138"/>
      <c r="G6461" s="138"/>
      <c r="H6461" s="138"/>
      <c r="I6461" s="152"/>
    </row>
    <row r="6462" spans="1:9" s="65" customFormat="1">
      <c r="A6462" s="645"/>
      <c r="B6462" s="138"/>
      <c r="C6462" s="138"/>
      <c r="D6462" s="138"/>
      <c r="E6462" s="138"/>
      <c r="F6462" s="138"/>
      <c r="G6462" s="138"/>
    </row>
    <row r="6463" spans="1:9" s="65" customFormat="1">
      <c r="A6463" s="69"/>
      <c r="B6463" s="69"/>
      <c r="C6463" s="69"/>
      <c r="D6463" s="69"/>
      <c r="E6463" s="69"/>
    </row>
    <row r="6464" spans="1:9" s="65" customFormat="1">
      <c r="A6464" s="120"/>
      <c r="B6464" s="73"/>
      <c r="C6464" s="73"/>
      <c r="D6464" s="73"/>
      <c r="E6464" s="73"/>
      <c r="F6464" s="121"/>
      <c r="G6464" s="121"/>
      <c r="H6464" s="121"/>
    </row>
    <row r="6465" spans="1:8" s="65" customFormat="1">
      <c r="A6465" s="128"/>
      <c r="B6465" s="141"/>
      <c r="C6465" s="141"/>
      <c r="D6465" s="141"/>
      <c r="E6465" s="141"/>
      <c r="F6465" s="141"/>
      <c r="G6465" s="141"/>
      <c r="H6465" s="121"/>
    </row>
    <row r="6466" spans="1:8" s="65" customFormat="1">
      <c r="A6466" s="142"/>
      <c r="B6466" s="143"/>
      <c r="C6466" s="143"/>
      <c r="D6466" s="143"/>
      <c r="E6466" s="143"/>
      <c r="F6466" s="84"/>
      <c r="G6466" s="144"/>
      <c r="H6466" s="145"/>
    </row>
    <row r="6467" spans="1:8" s="65" customFormat="1">
      <c r="A6467" s="84"/>
      <c r="B6467" s="83"/>
      <c r="C6467" s="84"/>
      <c r="D6467" s="84"/>
      <c r="E6467" s="84"/>
      <c r="G6467" s="104"/>
      <c r="H6467" s="140"/>
    </row>
    <row r="6468" spans="1:8" s="65" customFormat="1">
      <c r="A6468" s="120"/>
      <c r="B6468" s="73"/>
      <c r="C6468" s="73"/>
      <c r="D6468" s="73"/>
      <c r="E6468" s="73"/>
      <c r="G6468" s="121"/>
      <c r="H6468" s="140"/>
    </row>
    <row r="6469" spans="1:8" s="65" customFormat="1">
      <c r="A6469" s="128"/>
      <c r="B6469" s="141"/>
      <c r="C6469" s="141"/>
      <c r="D6469" s="141"/>
      <c r="E6469" s="141"/>
      <c r="F6469" s="141"/>
      <c r="G6469" s="141"/>
      <c r="H6469" s="140"/>
    </row>
    <row r="6470" spans="1:8" s="65" customFormat="1">
      <c r="A6470" s="150"/>
      <c r="B6470" s="83"/>
      <c r="C6470" s="148"/>
      <c r="D6470" s="160"/>
      <c r="E6470" s="84"/>
      <c r="F6470" s="84"/>
      <c r="G6470" s="144"/>
      <c r="H6470" s="145"/>
    </row>
    <row r="6471" spans="1:8" s="65" customFormat="1">
      <c r="A6471" s="91"/>
      <c r="B6471" s="91"/>
      <c r="C6471" s="91"/>
      <c r="D6471" s="91"/>
      <c r="E6471" s="91"/>
      <c r="G6471" s="104"/>
      <c r="H6471" s="140"/>
    </row>
    <row r="6472" spans="1:8" s="65" customFormat="1">
      <c r="A6472" s="120"/>
      <c r="B6472" s="73"/>
      <c r="C6472" s="73"/>
      <c r="D6472" s="73"/>
      <c r="E6472" s="73"/>
      <c r="G6472" s="121"/>
      <c r="H6472" s="140"/>
    </row>
    <row r="6473" spans="1:8" s="65" customFormat="1">
      <c r="A6473" s="128"/>
      <c r="B6473" s="141"/>
      <c r="C6473" s="141"/>
      <c r="D6473" s="141"/>
      <c r="E6473" s="141"/>
      <c r="F6473" s="141"/>
      <c r="G6473" s="141"/>
      <c r="H6473" s="140"/>
    </row>
    <row r="6474" spans="1:8" s="65" customFormat="1">
      <c r="A6474" s="142"/>
      <c r="B6474" s="143"/>
      <c r="C6474" s="143"/>
      <c r="D6474" s="143"/>
      <c r="E6474" s="143"/>
      <c r="F6474" s="84"/>
      <c r="G6474" s="144"/>
      <c r="H6474" s="145"/>
    </row>
    <row r="6475" spans="1:8" s="65" customFormat="1">
      <c r="A6475" s="91"/>
      <c r="B6475" s="91"/>
      <c r="C6475" s="91"/>
      <c r="D6475" s="91"/>
      <c r="E6475" s="91"/>
      <c r="G6475" s="104"/>
      <c r="H6475" s="140"/>
    </row>
    <row r="6476" spans="1:8" s="65" customFormat="1">
      <c r="A6476" s="120"/>
      <c r="B6476" s="73"/>
      <c r="C6476" s="73"/>
      <c r="D6476" s="73"/>
      <c r="E6476" s="73"/>
      <c r="G6476" s="121"/>
      <c r="H6476" s="140"/>
    </row>
    <row r="6477" spans="1:8" s="65" customFormat="1">
      <c r="A6477" s="128"/>
      <c r="B6477" s="141"/>
      <c r="C6477" s="141"/>
      <c r="D6477" s="141"/>
      <c r="E6477" s="141"/>
      <c r="F6477" s="141"/>
      <c r="G6477" s="141"/>
      <c r="H6477" s="140"/>
    </row>
    <row r="6478" spans="1:8" s="65" customFormat="1">
      <c r="A6478" s="142"/>
      <c r="B6478" s="143"/>
      <c r="C6478" s="143"/>
      <c r="D6478" s="143"/>
      <c r="E6478" s="143"/>
      <c r="F6478" s="84"/>
      <c r="G6478" s="144"/>
      <c r="H6478" s="145"/>
    </row>
    <row r="6479" spans="1:8" s="65" customFormat="1">
      <c r="A6479" s="123"/>
      <c r="B6479" s="95"/>
      <c r="C6479" s="95"/>
      <c r="D6479" s="95"/>
      <c r="E6479" s="95"/>
      <c r="G6479" s="104"/>
      <c r="H6479" s="121"/>
    </row>
    <row r="6480" spans="1:8" s="65" customFormat="1">
      <c r="A6480" s="123"/>
      <c r="B6480" s="95"/>
      <c r="C6480" s="95"/>
      <c r="D6480" s="95"/>
      <c r="E6480" s="95"/>
      <c r="G6480" s="121"/>
      <c r="H6480" s="133"/>
    </row>
    <row r="6481" spans="1:9" s="65" customFormat="1">
      <c r="B6481" s="97"/>
      <c r="C6481" s="98"/>
      <c r="D6481" s="98"/>
      <c r="E6481" s="98"/>
      <c r="G6481" s="128"/>
    </row>
    <row r="6482" spans="1:9" s="65" customFormat="1">
      <c r="B6482" s="97"/>
      <c r="C6482" s="98"/>
      <c r="D6482" s="98"/>
      <c r="E6482" s="98"/>
      <c r="F6482" s="128"/>
      <c r="G6482" s="133"/>
      <c r="H6482" s="134"/>
    </row>
    <row r="6483" spans="1:9" s="65" customFormat="1">
      <c r="A6483" s="633"/>
      <c r="B6483" s="633"/>
      <c r="C6483" s="633"/>
      <c r="D6483" s="633"/>
      <c r="E6483" s="633"/>
      <c r="F6483" s="633"/>
      <c r="G6483" s="633"/>
    </row>
    <row r="6484" spans="1:9" s="65" customFormat="1">
      <c r="H6484" s="138"/>
      <c r="I6484" s="151"/>
    </row>
    <row r="6485" spans="1:9" s="65" customFormat="1">
      <c r="A6485" s="645"/>
      <c r="B6485" s="138"/>
      <c r="C6485" s="138"/>
      <c r="D6485" s="138"/>
      <c r="E6485" s="138"/>
      <c r="F6485" s="138"/>
      <c r="G6485" s="138"/>
      <c r="H6485" s="138"/>
      <c r="I6485" s="152"/>
    </row>
    <row r="6486" spans="1:9" s="65" customFormat="1">
      <c r="A6486" s="645"/>
      <c r="B6486" s="138"/>
      <c r="C6486" s="138"/>
      <c r="D6486" s="138"/>
      <c r="E6486" s="138"/>
      <c r="F6486" s="138"/>
      <c r="G6486" s="138"/>
    </row>
    <row r="6487" spans="1:9" s="65" customFormat="1">
      <c r="A6487" s="69"/>
      <c r="B6487" s="69"/>
      <c r="C6487" s="69"/>
      <c r="D6487" s="69"/>
      <c r="E6487" s="69"/>
    </row>
    <row r="6488" spans="1:9" s="65" customFormat="1">
      <c r="A6488" s="120"/>
      <c r="B6488" s="73"/>
      <c r="C6488" s="73"/>
      <c r="D6488" s="73"/>
      <c r="E6488" s="73"/>
      <c r="F6488" s="121"/>
      <c r="G6488" s="121"/>
      <c r="H6488" s="121"/>
    </row>
    <row r="6489" spans="1:9" s="65" customFormat="1">
      <c r="A6489" s="128"/>
      <c r="B6489" s="141"/>
      <c r="C6489" s="141"/>
      <c r="D6489" s="141"/>
      <c r="E6489" s="141"/>
      <c r="F6489" s="141"/>
      <c r="G6489" s="141"/>
      <c r="H6489" s="121"/>
    </row>
    <row r="6490" spans="1:9" s="65" customFormat="1">
      <c r="A6490" s="142"/>
      <c r="B6490" s="143"/>
      <c r="C6490" s="143"/>
      <c r="D6490" s="143"/>
      <c r="E6490" s="143"/>
      <c r="F6490" s="84"/>
      <c r="G6490" s="144"/>
      <c r="H6490" s="145"/>
    </row>
    <row r="6491" spans="1:9" s="65" customFormat="1">
      <c r="A6491" s="84"/>
      <c r="B6491" s="83"/>
      <c r="C6491" s="84"/>
      <c r="D6491" s="84"/>
      <c r="E6491" s="84"/>
      <c r="G6491" s="104"/>
      <c r="H6491" s="140"/>
    </row>
    <row r="6492" spans="1:9" s="65" customFormat="1">
      <c r="A6492" s="120"/>
      <c r="B6492" s="73"/>
      <c r="C6492" s="73"/>
      <c r="D6492" s="73"/>
      <c r="E6492" s="73"/>
      <c r="G6492" s="121"/>
      <c r="H6492" s="140"/>
    </row>
    <row r="6493" spans="1:9" s="65" customFormat="1">
      <c r="A6493" s="128"/>
      <c r="B6493" s="141"/>
      <c r="C6493" s="141"/>
      <c r="D6493" s="141"/>
      <c r="E6493" s="141"/>
      <c r="F6493" s="141"/>
      <c r="G6493" s="141"/>
      <c r="H6493" s="140"/>
    </row>
    <row r="6494" spans="1:9" s="65" customFormat="1">
      <c r="A6494" s="150"/>
      <c r="B6494" s="83"/>
      <c r="C6494" s="148"/>
      <c r="D6494" s="160"/>
      <c r="E6494" s="84"/>
      <c r="F6494" s="84"/>
      <c r="G6494" s="144"/>
      <c r="H6494" s="145"/>
    </row>
    <row r="6495" spans="1:9" s="65" customFormat="1">
      <c r="A6495" s="91"/>
      <c r="B6495" s="91"/>
      <c r="C6495" s="91"/>
      <c r="D6495" s="91"/>
      <c r="E6495" s="91"/>
      <c r="G6495" s="104"/>
      <c r="H6495" s="140"/>
    </row>
    <row r="6496" spans="1:9" s="65" customFormat="1">
      <c r="A6496" s="120"/>
      <c r="B6496" s="73"/>
      <c r="C6496" s="73"/>
      <c r="D6496" s="73"/>
      <c r="E6496" s="73"/>
      <c r="G6496" s="121"/>
      <c r="H6496" s="140"/>
    </row>
    <row r="6497" spans="1:9" s="65" customFormat="1">
      <c r="A6497" s="128"/>
      <c r="B6497" s="141"/>
      <c r="C6497" s="141"/>
      <c r="D6497" s="141"/>
      <c r="E6497" s="141"/>
      <c r="F6497" s="141"/>
      <c r="G6497" s="141"/>
      <c r="H6497" s="140"/>
    </row>
    <row r="6498" spans="1:9" s="65" customFormat="1">
      <c r="A6498" s="142"/>
      <c r="B6498" s="143"/>
      <c r="C6498" s="143"/>
      <c r="D6498" s="143"/>
      <c r="E6498" s="143"/>
      <c r="F6498" s="84"/>
      <c r="G6498" s="144"/>
      <c r="H6498" s="145"/>
    </row>
    <row r="6499" spans="1:9" s="65" customFormat="1">
      <c r="A6499" s="91"/>
      <c r="B6499" s="91"/>
      <c r="C6499" s="91"/>
      <c r="D6499" s="91"/>
      <c r="E6499" s="91"/>
      <c r="G6499" s="104"/>
      <c r="H6499" s="140"/>
    </row>
    <row r="6500" spans="1:9" s="65" customFormat="1">
      <c r="A6500" s="120"/>
      <c r="B6500" s="73"/>
      <c r="C6500" s="73"/>
      <c r="D6500" s="73"/>
      <c r="E6500" s="73"/>
      <c r="G6500" s="121"/>
      <c r="H6500" s="140"/>
    </row>
    <row r="6501" spans="1:9" s="65" customFormat="1">
      <c r="A6501" s="128"/>
      <c r="B6501" s="141"/>
      <c r="C6501" s="141"/>
      <c r="D6501" s="141"/>
      <c r="E6501" s="141"/>
      <c r="F6501" s="141"/>
      <c r="G6501" s="141"/>
      <c r="H6501" s="140"/>
    </row>
    <row r="6502" spans="1:9" s="65" customFormat="1">
      <c r="A6502" s="142"/>
      <c r="B6502" s="143"/>
      <c r="C6502" s="143"/>
      <c r="D6502" s="143"/>
      <c r="E6502" s="143"/>
      <c r="F6502" s="84"/>
      <c r="G6502" s="144"/>
      <c r="H6502" s="145"/>
    </row>
    <row r="6503" spans="1:9" s="65" customFormat="1">
      <c r="A6503" s="123"/>
      <c r="B6503" s="95"/>
      <c r="C6503" s="95"/>
      <c r="D6503" s="95"/>
      <c r="E6503" s="95"/>
      <c r="G6503" s="104"/>
      <c r="H6503" s="121"/>
    </row>
    <row r="6504" spans="1:9" s="65" customFormat="1">
      <c r="A6504" s="123"/>
      <c r="B6504" s="95"/>
      <c r="C6504" s="95"/>
      <c r="D6504" s="95"/>
      <c r="E6504" s="95"/>
      <c r="G6504" s="121"/>
      <c r="H6504" s="133"/>
    </row>
    <row r="6505" spans="1:9" s="65" customFormat="1">
      <c r="B6505" s="97"/>
      <c r="C6505" s="98"/>
      <c r="D6505" s="98"/>
      <c r="E6505" s="98"/>
      <c r="G6505" s="128"/>
    </row>
    <row r="6506" spans="1:9" s="65" customFormat="1">
      <c r="B6506" s="97"/>
      <c r="C6506" s="98"/>
      <c r="D6506" s="98"/>
      <c r="E6506" s="98"/>
      <c r="F6506" s="128"/>
      <c r="G6506" s="133"/>
      <c r="H6506" s="134"/>
    </row>
    <row r="6507" spans="1:9" s="65" customFormat="1">
      <c r="A6507" s="633"/>
      <c r="B6507" s="633"/>
      <c r="C6507" s="633"/>
      <c r="D6507" s="633"/>
      <c r="E6507" s="633"/>
      <c r="F6507" s="633"/>
      <c r="G6507" s="633"/>
    </row>
    <row r="6508" spans="1:9" s="65" customFormat="1">
      <c r="H6508" s="138"/>
      <c r="I6508" s="151"/>
    </row>
    <row r="6509" spans="1:9" s="65" customFormat="1">
      <c r="A6509" s="645"/>
      <c r="B6509" s="138"/>
      <c r="C6509" s="138"/>
      <c r="D6509" s="138"/>
      <c r="E6509" s="138"/>
      <c r="F6509" s="138"/>
      <c r="G6509" s="138"/>
      <c r="H6509" s="138"/>
      <c r="I6509" s="152"/>
    </row>
    <row r="6510" spans="1:9" s="65" customFormat="1">
      <c r="A6510" s="645"/>
      <c r="B6510" s="138"/>
      <c r="C6510" s="138"/>
      <c r="D6510" s="138"/>
      <c r="E6510" s="138"/>
      <c r="F6510" s="138"/>
      <c r="G6510" s="138"/>
    </row>
    <row r="6511" spans="1:9" s="65" customFormat="1">
      <c r="A6511" s="69"/>
      <c r="B6511" s="69"/>
      <c r="C6511" s="69"/>
      <c r="D6511" s="69"/>
      <c r="E6511" s="69"/>
    </row>
    <row r="6512" spans="1:9" s="65" customFormat="1">
      <c r="A6512" s="120"/>
      <c r="B6512" s="73"/>
      <c r="C6512" s="73"/>
      <c r="D6512" s="73"/>
      <c r="E6512" s="73"/>
      <c r="F6512" s="121"/>
      <c r="G6512" s="121"/>
      <c r="H6512" s="121"/>
    </row>
    <row r="6513" spans="1:8" s="65" customFormat="1">
      <c r="A6513" s="128"/>
      <c r="B6513" s="141"/>
      <c r="C6513" s="141"/>
      <c r="D6513" s="141"/>
      <c r="E6513" s="141"/>
      <c r="F6513" s="141"/>
      <c r="G6513" s="141"/>
      <c r="H6513" s="121"/>
    </row>
    <row r="6514" spans="1:8" s="65" customFormat="1">
      <c r="A6514" s="142"/>
      <c r="B6514" s="143"/>
      <c r="C6514" s="143"/>
      <c r="D6514" s="143"/>
      <c r="E6514" s="143"/>
      <c r="F6514" s="84"/>
      <c r="G6514" s="144"/>
      <c r="H6514" s="145"/>
    </row>
    <row r="6515" spans="1:8" s="65" customFormat="1">
      <c r="A6515" s="84"/>
      <c r="B6515" s="83"/>
      <c r="C6515" s="84"/>
      <c r="D6515" s="84"/>
      <c r="E6515" s="84"/>
      <c r="G6515" s="104"/>
      <c r="H6515" s="140"/>
    </row>
    <row r="6516" spans="1:8" s="65" customFormat="1">
      <c r="A6516" s="120"/>
      <c r="B6516" s="73"/>
      <c r="C6516" s="73"/>
      <c r="D6516" s="73"/>
      <c r="E6516" s="73"/>
      <c r="G6516" s="121"/>
      <c r="H6516" s="140"/>
    </row>
    <row r="6517" spans="1:8" s="65" customFormat="1">
      <c r="A6517" s="128"/>
      <c r="B6517" s="141"/>
      <c r="C6517" s="141"/>
      <c r="D6517" s="141"/>
      <c r="E6517" s="141"/>
      <c r="F6517" s="141"/>
      <c r="G6517" s="141"/>
      <c r="H6517" s="140"/>
    </row>
    <row r="6518" spans="1:8" s="65" customFormat="1">
      <c r="A6518" s="150"/>
      <c r="B6518" s="83"/>
      <c r="C6518" s="148"/>
      <c r="D6518" s="160"/>
      <c r="E6518" s="84"/>
      <c r="F6518" s="84"/>
      <c r="G6518" s="144"/>
      <c r="H6518" s="145"/>
    </row>
    <row r="6519" spans="1:8" s="65" customFormat="1">
      <c r="A6519" s="91"/>
      <c r="B6519" s="91"/>
      <c r="C6519" s="91"/>
      <c r="D6519" s="91"/>
      <c r="E6519" s="91"/>
      <c r="G6519" s="104"/>
      <c r="H6519" s="140"/>
    </row>
    <row r="6520" spans="1:8" s="65" customFormat="1">
      <c r="A6520" s="120"/>
      <c r="B6520" s="73"/>
      <c r="C6520" s="73"/>
      <c r="D6520" s="73"/>
      <c r="E6520" s="73"/>
      <c r="G6520" s="121"/>
      <c r="H6520" s="140"/>
    </row>
    <row r="6521" spans="1:8" s="65" customFormat="1">
      <c r="A6521" s="128"/>
      <c r="B6521" s="141"/>
      <c r="C6521" s="141"/>
      <c r="D6521" s="141"/>
      <c r="E6521" s="141"/>
      <c r="F6521" s="141"/>
      <c r="G6521" s="141"/>
      <c r="H6521" s="140"/>
    </row>
    <row r="6522" spans="1:8" s="65" customFormat="1">
      <c r="A6522" s="142"/>
      <c r="B6522" s="143"/>
      <c r="C6522" s="143"/>
      <c r="D6522" s="143"/>
      <c r="E6522" s="143"/>
      <c r="F6522" s="84"/>
      <c r="G6522" s="144"/>
      <c r="H6522" s="145"/>
    </row>
    <row r="6523" spans="1:8" s="65" customFormat="1">
      <c r="A6523" s="91"/>
      <c r="B6523" s="91"/>
      <c r="C6523" s="91"/>
      <c r="D6523" s="91"/>
      <c r="E6523" s="91"/>
      <c r="G6523" s="104"/>
      <c r="H6523" s="140"/>
    </row>
    <row r="6524" spans="1:8" s="65" customFormat="1">
      <c r="A6524" s="120"/>
      <c r="B6524" s="73"/>
      <c r="C6524" s="73"/>
      <c r="D6524" s="73"/>
      <c r="E6524" s="73"/>
      <c r="G6524" s="121"/>
      <c r="H6524" s="140"/>
    </row>
    <row r="6525" spans="1:8" s="65" customFormat="1">
      <c r="A6525" s="128"/>
      <c r="B6525" s="141"/>
      <c r="C6525" s="141"/>
      <c r="D6525" s="141"/>
      <c r="E6525" s="141"/>
      <c r="F6525" s="141"/>
      <c r="G6525" s="141"/>
      <c r="H6525" s="140"/>
    </row>
    <row r="6526" spans="1:8" s="65" customFormat="1">
      <c r="A6526" s="142"/>
      <c r="B6526" s="143"/>
      <c r="C6526" s="143"/>
      <c r="D6526" s="143"/>
      <c r="E6526" s="143"/>
      <c r="F6526" s="84"/>
      <c r="G6526" s="144"/>
      <c r="H6526" s="145"/>
    </row>
    <row r="6527" spans="1:8" s="65" customFormat="1">
      <c r="A6527" s="123"/>
      <c r="B6527" s="95"/>
      <c r="C6527" s="95"/>
      <c r="D6527" s="95"/>
      <c r="E6527" s="95"/>
      <c r="G6527" s="104"/>
      <c r="H6527" s="121"/>
    </row>
    <row r="6528" spans="1:8" s="65" customFormat="1">
      <c r="A6528" s="123"/>
      <c r="B6528" s="95"/>
      <c r="C6528" s="95"/>
      <c r="D6528" s="95"/>
      <c r="E6528" s="95"/>
      <c r="G6528" s="121"/>
      <c r="H6528" s="133"/>
    </row>
    <row r="6529" spans="1:9" s="65" customFormat="1">
      <c r="B6529" s="97"/>
      <c r="C6529" s="98"/>
      <c r="D6529" s="98"/>
      <c r="E6529" s="98"/>
      <c r="G6529" s="128"/>
    </row>
    <row r="6530" spans="1:9" s="65" customFormat="1">
      <c r="B6530" s="97"/>
      <c r="C6530" s="98"/>
      <c r="D6530" s="98"/>
      <c r="E6530" s="98"/>
      <c r="F6530" s="128"/>
      <c r="G6530" s="133"/>
      <c r="H6530" s="134"/>
    </row>
    <row r="6531" spans="1:9" s="65" customFormat="1">
      <c r="A6531" s="633"/>
      <c r="B6531" s="633"/>
      <c r="C6531" s="633"/>
      <c r="D6531" s="633"/>
      <c r="E6531" s="633"/>
      <c r="F6531" s="633"/>
      <c r="G6531" s="633"/>
    </row>
    <row r="6532" spans="1:9" s="65" customFormat="1">
      <c r="H6532" s="138"/>
      <c r="I6532" s="151"/>
    </row>
    <row r="6533" spans="1:9" s="65" customFormat="1">
      <c r="A6533" s="645"/>
      <c r="B6533" s="138"/>
      <c r="C6533" s="138"/>
      <c r="D6533" s="138"/>
      <c r="E6533" s="138"/>
      <c r="F6533" s="138"/>
      <c r="G6533" s="138"/>
      <c r="H6533" s="138"/>
      <c r="I6533" s="152"/>
    </row>
    <row r="6534" spans="1:9" s="65" customFormat="1">
      <c r="A6534" s="645"/>
      <c r="B6534" s="138"/>
      <c r="C6534" s="138"/>
      <c r="D6534" s="138"/>
      <c r="E6534" s="138"/>
      <c r="F6534" s="138"/>
      <c r="G6534" s="138"/>
    </row>
    <row r="6535" spans="1:9" s="65" customFormat="1">
      <c r="A6535" s="69"/>
      <c r="B6535" s="69"/>
      <c r="C6535" s="69"/>
      <c r="D6535" s="69"/>
      <c r="E6535" s="69"/>
    </row>
    <row r="6536" spans="1:9" s="65" customFormat="1">
      <c r="A6536" s="120"/>
      <c r="B6536" s="73"/>
      <c r="C6536" s="73"/>
      <c r="D6536" s="73"/>
      <c r="E6536" s="73"/>
      <c r="F6536" s="121"/>
      <c r="G6536" s="121"/>
      <c r="H6536" s="121"/>
    </row>
    <row r="6537" spans="1:9" s="65" customFormat="1">
      <c r="A6537" s="128"/>
      <c r="B6537" s="141"/>
      <c r="C6537" s="141"/>
      <c r="D6537" s="141"/>
      <c r="E6537" s="141"/>
      <c r="F6537" s="141"/>
      <c r="G6537" s="141"/>
      <c r="H6537" s="121"/>
    </row>
    <row r="6538" spans="1:9" s="65" customFormat="1">
      <c r="A6538" s="142"/>
      <c r="B6538" s="143"/>
      <c r="C6538" s="143"/>
      <c r="D6538" s="143"/>
      <c r="E6538" s="143"/>
      <c r="F6538" s="84"/>
      <c r="G6538" s="144"/>
      <c r="H6538" s="145"/>
    </row>
    <row r="6539" spans="1:9" s="65" customFormat="1">
      <c r="A6539" s="84"/>
      <c r="B6539" s="83"/>
      <c r="C6539" s="84"/>
      <c r="D6539" s="84"/>
      <c r="E6539" s="84"/>
      <c r="G6539" s="104"/>
      <c r="H6539" s="140"/>
    </row>
    <row r="6540" spans="1:9" s="65" customFormat="1">
      <c r="A6540" s="120"/>
      <c r="B6540" s="73"/>
      <c r="C6540" s="73"/>
      <c r="D6540" s="73"/>
      <c r="E6540" s="73"/>
      <c r="G6540" s="121"/>
      <c r="H6540" s="140"/>
    </row>
    <row r="6541" spans="1:9" s="65" customFormat="1">
      <c r="A6541" s="128"/>
      <c r="B6541" s="141"/>
      <c r="C6541" s="141"/>
      <c r="D6541" s="141"/>
      <c r="E6541" s="141"/>
      <c r="F6541" s="141"/>
      <c r="G6541" s="141"/>
      <c r="H6541" s="140"/>
    </row>
    <row r="6542" spans="1:9" s="65" customFormat="1">
      <c r="A6542" s="150"/>
      <c r="B6542" s="83"/>
      <c r="C6542" s="148"/>
      <c r="D6542" s="160"/>
      <c r="E6542" s="84"/>
      <c r="F6542" s="84"/>
      <c r="G6542" s="144"/>
      <c r="H6542" s="145"/>
    </row>
    <row r="6543" spans="1:9" s="65" customFormat="1">
      <c r="A6543" s="91"/>
      <c r="B6543" s="91"/>
      <c r="C6543" s="91"/>
      <c r="D6543" s="91"/>
      <c r="E6543" s="91"/>
      <c r="G6543" s="104"/>
      <c r="H6543" s="140"/>
    </row>
    <row r="6544" spans="1:9" s="65" customFormat="1">
      <c r="A6544" s="120"/>
      <c r="B6544" s="73"/>
      <c r="C6544" s="73"/>
      <c r="D6544" s="73"/>
      <c r="E6544" s="73"/>
      <c r="G6544" s="121"/>
      <c r="H6544" s="140"/>
    </row>
    <row r="6545" spans="1:9" s="65" customFormat="1">
      <c r="A6545" s="128"/>
      <c r="B6545" s="141"/>
      <c r="C6545" s="141"/>
      <c r="D6545" s="141"/>
      <c r="E6545" s="141"/>
      <c r="F6545" s="141"/>
      <c r="G6545" s="141"/>
      <c r="H6545" s="140"/>
    </row>
    <row r="6546" spans="1:9" s="65" customFormat="1">
      <c r="A6546" s="142"/>
      <c r="B6546" s="143"/>
      <c r="C6546" s="143"/>
      <c r="D6546" s="143"/>
      <c r="E6546" s="143"/>
      <c r="F6546" s="84"/>
      <c r="G6546" s="144"/>
      <c r="H6546" s="145"/>
    </row>
    <row r="6547" spans="1:9" s="65" customFormat="1">
      <c r="A6547" s="91"/>
      <c r="B6547" s="91"/>
      <c r="C6547" s="91"/>
      <c r="D6547" s="91"/>
      <c r="E6547" s="91"/>
      <c r="G6547" s="104"/>
      <c r="H6547" s="140"/>
    </row>
    <row r="6548" spans="1:9" s="65" customFormat="1">
      <c r="A6548" s="120"/>
      <c r="B6548" s="73"/>
      <c r="C6548" s="73"/>
      <c r="D6548" s="73"/>
      <c r="E6548" s="73"/>
      <c r="G6548" s="121"/>
      <c r="H6548" s="140"/>
    </row>
    <row r="6549" spans="1:9" s="65" customFormat="1">
      <c r="A6549" s="128"/>
      <c r="B6549" s="141"/>
      <c r="C6549" s="141"/>
      <c r="D6549" s="141"/>
      <c r="E6549" s="141"/>
      <c r="F6549" s="141"/>
      <c r="G6549" s="141"/>
      <c r="H6549" s="140"/>
    </row>
    <row r="6550" spans="1:9" s="65" customFormat="1">
      <c r="A6550" s="142"/>
      <c r="B6550" s="143"/>
      <c r="C6550" s="143"/>
      <c r="D6550" s="143"/>
      <c r="E6550" s="143"/>
      <c r="F6550" s="84"/>
      <c r="G6550" s="144"/>
      <c r="H6550" s="145"/>
    </row>
    <row r="6551" spans="1:9" s="65" customFormat="1">
      <c r="A6551" s="123"/>
      <c r="B6551" s="95"/>
      <c r="C6551" s="95"/>
      <c r="D6551" s="95"/>
      <c r="E6551" s="95"/>
      <c r="G6551" s="104"/>
      <c r="H6551" s="121"/>
    </row>
    <row r="6552" spans="1:9" s="65" customFormat="1">
      <c r="A6552" s="123"/>
      <c r="B6552" s="95"/>
      <c r="C6552" s="95"/>
      <c r="D6552" s="95"/>
      <c r="E6552" s="95"/>
      <c r="G6552" s="121"/>
      <c r="H6552" s="133"/>
    </row>
    <row r="6553" spans="1:9" s="65" customFormat="1">
      <c r="B6553" s="97"/>
      <c r="C6553" s="98"/>
      <c r="D6553" s="98"/>
      <c r="E6553" s="98"/>
      <c r="G6553" s="128"/>
    </row>
    <row r="6554" spans="1:9" s="65" customFormat="1">
      <c r="B6554" s="97"/>
      <c r="C6554" s="98"/>
      <c r="D6554" s="98"/>
      <c r="E6554" s="98"/>
      <c r="F6554" s="128"/>
      <c r="G6554" s="133"/>
      <c r="H6554" s="134"/>
    </row>
    <row r="6555" spans="1:9" s="65" customFormat="1">
      <c r="A6555" s="633"/>
      <c r="B6555" s="633"/>
      <c r="C6555" s="633"/>
      <c r="D6555" s="633"/>
      <c r="E6555" s="633"/>
      <c r="F6555" s="633"/>
      <c r="G6555" s="633"/>
    </row>
    <row r="6556" spans="1:9" s="65" customFormat="1">
      <c r="H6556" s="138"/>
      <c r="I6556" s="151"/>
    </row>
    <row r="6557" spans="1:9" s="65" customFormat="1">
      <c r="A6557" s="645"/>
      <c r="B6557" s="138"/>
      <c r="C6557" s="138"/>
      <c r="D6557" s="138"/>
      <c r="E6557" s="138"/>
      <c r="F6557" s="138"/>
      <c r="G6557" s="138"/>
      <c r="H6557" s="138"/>
      <c r="I6557" s="152"/>
    </row>
    <row r="6558" spans="1:9" s="65" customFormat="1">
      <c r="A6558" s="645"/>
      <c r="B6558" s="138"/>
      <c r="C6558" s="138"/>
      <c r="D6558" s="138"/>
      <c r="E6558" s="138"/>
      <c r="F6558" s="138"/>
      <c r="G6558" s="138"/>
    </row>
    <row r="6559" spans="1:9" s="65" customFormat="1">
      <c r="A6559" s="69"/>
      <c r="B6559" s="69"/>
      <c r="C6559" s="69"/>
      <c r="D6559" s="69"/>
      <c r="E6559" s="69"/>
    </row>
    <row r="6560" spans="1:9" s="65" customFormat="1">
      <c r="A6560" s="120"/>
      <c r="B6560" s="73"/>
      <c r="C6560" s="73"/>
      <c r="D6560" s="73"/>
      <c r="E6560" s="73"/>
      <c r="F6560" s="121"/>
      <c r="G6560" s="121"/>
      <c r="H6560" s="121"/>
    </row>
    <row r="6561" spans="1:8" s="65" customFormat="1">
      <c r="A6561" s="128"/>
      <c r="B6561" s="141"/>
      <c r="C6561" s="141"/>
      <c r="D6561" s="141"/>
      <c r="E6561" s="141"/>
      <c r="F6561" s="141"/>
      <c r="G6561" s="141"/>
      <c r="H6561" s="121"/>
    </row>
    <row r="6562" spans="1:8" s="65" customFormat="1">
      <c r="A6562" s="142"/>
      <c r="B6562" s="143"/>
      <c r="C6562" s="143"/>
      <c r="D6562" s="143"/>
      <c r="E6562" s="143"/>
      <c r="F6562" s="84"/>
      <c r="G6562" s="144"/>
      <c r="H6562" s="145"/>
    </row>
    <row r="6563" spans="1:8" s="65" customFormat="1">
      <c r="A6563" s="84"/>
      <c r="B6563" s="83"/>
      <c r="C6563" s="84"/>
      <c r="D6563" s="84"/>
      <c r="E6563" s="84"/>
      <c r="G6563" s="104"/>
      <c r="H6563" s="140"/>
    </row>
    <row r="6564" spans="1:8" s="65" customFormat="1">
      <c r="A6564" s="120"/>
      <c r="B6564" s="73"/>
      <c r="C6564" s="73"/>
      <c r="D6564" s="73"/>
      <c r="E6564" s="73"/>
      <c r="G6564" s="121"/>
      <c r="H6564" s="140"/>
    </row>
    <row r="6565" spans="1:8" s="65" customFormat="1">
      <c r="A6565" s="128"/>
      <c r="B6565" s="141"/>
      <c r="C6565" s="141"/>
      <c r="D6565" s="141"/>
      <c r="E6565" s="141"/>
      <c r="F6565" s="141"/>
      <c r="G6565" s="141"/>
      <c r="H6565" s="140"/>
    </row>
    <row r="6566" spans="1:8" s="65" customFormat="1">
      <c r="A6566" s="150"/>
      <c r="B6566" s="83"/>
      <c r="C6566" s="148"/>
      <c r="D6566" s="160"/>
      <c r="E6566" s="84"/>
      <c r="F6566" s="84"/>
      <c r="G6566" s="144"/>
      <c r="H6566" s="145"/>
    </row>
    <row r="6567" spans="1:8" s="65" customFormat="1">
      <c r="A6567" s="91"/>
      <c r="B6567" s="91"/>
      <c r="C6567" s="91"/>
      <c r="D6567" s="91"/>
      <c r="E6567" s="91"/>
      <c r="G6567" s="104"/>
      <c r="H6567" s="140"/>
    </row>
    <row r="6568" spans="1:8" s="65" customFormat="1">
      <c r="A6568" s="120"/>
      <c r="B6568" s="73"/>
      <c r="C6568" s="73"/>
      <c r="D6568" s="73"/>
      <c r="E6568" s="73"/>
      <c r="G6568" s="121"/>
      <c r="H6568" s="140"/>
    </row>
    <row r="6569" spans="1:8" s="65" customFormat="1">
      <c r="A6569" s="128"/>
      <c r="B6569" s="141"/>
      <c r="C6569" s="141"/>
      <c r="D6569" s="141"/>
      <c r="E6569" s="141"/>
      <c r="F6569" s="141"/>
      <c r="G6569" s="141"/>
      <c r="H6569" s="140"/>
    </row>
    <row r="6570" spans="1:8" s="65" customFormat="1">
      <c r="A6570" s="142"/>
      <c r="B6570" s="143"/>
      <c r="C6570" s="143"/>
      <c r="D6570" s="143"/>
      <c r="E6570" s="143"/>
      <c r="F6570" s="84"/>
      <c r="G6570" s="144"/>
      <c r="H6570" s="145"/>
    </row>
    <row r="6571" spans="1:8" s="65" customFormat="1">
      <c r="A6571" s="91"/>
      <c r="B6571" s="91"/>
      <c r="C6571" s="91"/>
      <c r="D6571" s="91"/>
      <c r="E6571" s="91"/>
      <c r="G6571" s="104"/>
      <c r="H6571" s="140"/>
    </row>
    <row r="6572" spans="1:8" s="65" customFormat="1">
      <c r="A6572" s="120"/>
      <c r="B6572" s="73"/>
      <c r="C6572" s="73"/>
      <c r="D6572" s="73"/>
      <c r="E6572" s="73"/>
      <c r="G6572" s="121"/>
      <c r="H6572" s="140"/>
    </row>
    <row r="6573" spans="1:8" s="65" customFormat="1">
      <c r="A6573" s="128"/>
      <c r="B6573" s="141"/>
      <c r="C6573" s="141"/>
      <c r="D6573" s="141"/>
      <c r="E6573" s="141"/>
      <c r="F6573" s="141"/>
      <c r="G6573" s="141"/>
      <c r="H6573" s="140"/>
    </row>
    <row r="6574" spans="1:8" s="65" customFormat="1">
      <c r="A6574" s="142"/>
      <c r="B6574" s="143"/>
      <c r="C6574" s="143"/>
      <c r="D6574" s="143"/>
      <c r="E6574" s="143"/>
      <c r="F6574" s="84"/>
      <c r="G6574" s="144"/>
      <c r="H6574" s="145"/>
    </row>
    <row r="6575" spans="1:8" s="65" customFormat="1">
      <c r="A6575" s="123"/>
      <c r="B6575" s="95"/>
      <c r="C6575" s="95"/>
      <c r="D6575" s="95"/>
      <c r="E6575" s="95"/>
      <c r="G6575" s="104"/>
      <c r="H6575" s="121"/>
    </row>
    <row r="6576" spans="1:8" s="65" customFormat="1">
      <c r="A6576" s="123"/>
      <c r="B6576" s="95"/>
      <c r="C6576" s="95"/>
      <c r="D6576" s="95"/>
      <c r="E6576" s="95"/>
      <c r="G6576" s="121"/>
      <c r="H6576" s="133"/>
    </row>
    <row r="6577" spans="1:9" s="65" customFormat="1">
      <c r="B6577" s="97"/>
      <c r="C6577" s="98"/>
      <c r="D6577" s="98"/>
      <c r="E6577" s="98"/>
      <c r="G6577" s="128"/>
    </row>
    <row r="6578" spans="1:9" s="65" customFormat="1">
      <c r="B6578" s="97"/>
      <c r="C6578" s="98"/>
      <c r="D6578" s="98"/>
      <c r="E6578" s="98"/>
      <c r="F6578" s="128"/>
      <c r="G6578" s="133"/>
      <c r="H6578" s="134"/>
    </row>
    <row r="6579" spans="1:9" s="65" customFormat="1">
      <c r="A6579" s="633"/>
      <c r="B6579" s="633"/>
      <c r="C6579" s="633"/>
      <c r="D6579" s="633"/>
      <c r="E6579" s="633"/>
      <c r="F6579" s="633"/>
      <c r="G6579" s="633"/>
    </row>
    <row r="6580" spans="1:9" s="65" customFormat="1">
      <c r="H6580" s="138"/>
      <c r="I6580" s="151"/>
    </row>
    <row r="6581" spans="1:9" s="65" customFormat="1">
      <c r="A6581" s="645"/>
      <c r="B6581" s="138"/>
      <c r="C6581" s="138"/>
      <c r="D6581" s="138"/>
      <c r="E6581" s="138"/>
      <c r="F6581" s="138"/>
      <c r="G6581" s="138"/>
      <c r="H6581" s="138"/>
      <c r="I6581" s="152"/>
    </row>
    <row r="6582" spans="1:9" s="65" customFormat="1">
      <c r="A6582" s="645"/>
      <c r="B6582" s="138"/>
      <c r="C6582" s="138"/>
      <c r="D6582" s="138"/>
      <c r="E6582" s="138"/>
      <c r="F6582" s="138"/>
      <c r="G6582" s="138"/>
    </row>
    <row r="6583" spans="1:9" s="65" customFormat="1">
      <c r="A6583" s="69"/>
      <c r="B6583" s="69"/>
      <c r="C6583" s="69"/>
      <c r="D6583" s="69"/>
      <c r="E6583" s="69"/>
    </row>
    <row r="6584" spans="1:9" s="65" customFormat="1">
      <c r="A6584" s="120"/>
      <c r="B6584" s="73"/>
      <c r="C6584" s="73"/>
      <c r="D6584" s="73"/>
      <c r="E6584" s="73"/>
      <c r="F6584" s="121"/>
      <c r="G6584" s="121"/>
      <c r="H6584" s="121"/>
    </row>
    <row r="6585" spans="1:9" s="65" customFormat="1">
      <c r="A6585" s="128"/>
      <c r="B6585" s="141"/>
      <c r="C6585" s="141"/>
      <c r="D6585" s="141"/>
      <c r="E6585" s="141"/>
      <c r="F6585" s="141"/>
      <c r="G6585" s="141"/>
      <c r="H6585" s="121"/>
    </row>
    <row r="6586" spans="1:9" s="65" customFormat="1">
      <c r="A6586" s="142"/>
      <c r="B6586" s="143"/>
      <c r="C6586" s="143"/>
      <c r="D6586" s="143"/>
      <c r="E6586" s="143"/>
      <c r="F6586" s="84"/>
      <c r="G6586" s="144"/>
      <c r="H6586" s="145"/>
    </row>
    <row r="6587" spans="1:9" s="65" customFormat="1">
      <c r="A6587" s="84"/>
      <c r="B6587" s="83"/>
      <c r="C6587" s="84"/>
      <c r="D6587" s="84"/>
      <c r="E6587" s="84"/>
      <c r="G6587" s="104"/>
      <c r="H6587" s="140"/>
    </row>
    <row r="6588" spans="1:9" s="65" customFormat="1">
      <c r="A6588" s="120"/>
      <c r="B6588" s="73"/>
      <c r="C6588" s="73"/>
      <c r="D6588" s="73"/>
      <c r="E6588" s="73"/>
      <c r="G6588" s="121"/>
      <c r="H6588" s="140"/>
    </row>
    <row r="6589" spans="1:9" s="65" customFormat="1">
      <c r="A6589" s="128"/>
      <c r="B6589" s="141"/>
      <c r="C6589" s="141"/>
      <c r="D6589" s="141"/>
      <c r="E6589" s="141"/>
      <c r="F6589" s="141"/>
      <c r="G6589" s="141"/>
      <c r="H6589" s="140"/>
    </row>
    <row r="6590" spans="1:9" s="65" customFormat="1">
      <c r="A6590" s="150"/>
      <c r="B6590" s="83"/>
      <c r="C6590" s="148"/>
      <c r="D6590" s="160"/>
      <c r="E6590" s="84"/>
      <c r="F6590" s="84"/>
      <c r="G6590" s="144"/>
      <c r="H6590" s="145"/>
    </row>
    <row r="6591" spans="1:9" s="65" customFormat="1">
      <c r="A6591" s="91"/>
      <c r="B6591" s="91"/>
      <c r="C6591" s="91"/>
      <c r="D6591" s="91"/>
      <c r="E6591" s="91"/>
      <c r="G6591" s="104"/>
      <c r="H6591" s="140"/>
    </row>
    <row r="6592" spans="1:9" s="65" customFormat="1">
      <c r="A6592" s="120"/>
      <c r="B6592" s="73"/>
      <c r="C6592" s="73"/>
      <c r="D6592" s="73"/>
      <c r="E6592" s="73"/>
      <c r="G6592" s="121"/>
      <c r="H6592" s="140"/>
    </row>
    <row r="6593" spans="1:9" s="65" customFormat="1">
      <c r="A6593" s="128"/>
      <c r="B6593" s="141"/>
      <c r="C6593" s="141"/>
      <c r="D6593" s="141"/>
      <c r="E6593" s="141"/>
      <c r="F6593" s="141"/>
      <c r="G6593" s="141"/>
      <c r="H6593" s="140"/>
    </row>
    <row r="6594" spans="1:9" s="65" customFormat="1">
      <c r="A6594" s="142"/>
      <c r="B6594" s="143"/>
      <c r="C6594" s="143"/>
      <c r="D6594" s="143"/>
      <c r="E6594" s="143"/>
      <c r="F6594" s="84"/>
      <c r="G6594" s="144"/>
      <c r="H6594" s="145"/>
    </row>
    <row r="6595" spans="1:9" s="65" customFormat="1">
      <c r="A6595" s="91"/>
      <c r="B6595" s="91"/>
      <c r="C6595" s="91"/>
      <c r="D6595" s="91"/>
      <c r="E6595" s="91"/>
      <c r="G6595" s="104"/>
      <c r="H6595" s="140"/>
    </row>
    <row r="6596" spans="1:9" s="65" customFormat="1">
      <c r="A6596" s="120"/>
      <c r="B6596" s="73"/>
      <c r="C6596" s="73"/>
      <c r="D6596" s="73"/>
      <c r="E6596" s="73"/>
      <c r="G6596" s="121"/>
      <c r="H6596" s="140"/>
    </row>
    <row r="6597" spans="1:9" s="65" customFormat="1">
      <c r="A6597" s="128"/>
      <c r="B6597" s="141"/>
      <c r="C6597" s="141"/>
      <c r="D6597" s="141"/>
      <c r="E6597" s="141"/>
      <c r="F6597" s="141"/>
      <c r="G6597" s="141"/>
      <c r="H6597" s="140"/>
    </row>
    <row r="6598" spans="1:9" s="65" customFormat="1">
      <c r="A6598" s="142"/>
      <c r="B6598" s="143"/>
      <c r="C6598" s="143"/>
      <c r="D6598" s="143"/>
      <c r="E6598" s="143"/>
      <c r="F6598" s="84"/>
      <c r="G6598" s="144"/>
      <c r="H6598" s="145"/>
    </row>
    <row r="6599" spans="1:9" s="65" customFormat="1">
      <c r="A6599" s="123"/>
      <c r="B6599" s="95"/>
      <c r="C6599" s="95"/>
      <c r="D6599" s="95"/>
      <c r="E6599" s="95"/>
      <c r="G6599" s="104"/>
      <c r="H6599" s="121"/>
    </row>
    <row r="6600" spans="1:9" s="65" customFormat="1">
      <c r="A6600" s="123"/>
      <c r="B6600" s="95"/>
      <c r="C6600" s="95"/>
      <c r="D6600" s="95"/>
      <c r="E6600" s="95"/>
      <c r="G6600" s="121"/>
      <c r="H6600" s="133"/>
    </row>
    <row r="6601" spans="1:9" s="65" customFormat="1">
      <c r="B6601" s="97"/>
      <c r="C6601" s="98"/>
      <c r="D6601" s="98"/>
      <c r="E6601" s="98"/>
      <c r="G6601" s="128"/>
    </row>
    <row r="6602" spans="1:9" s="65" customFormat="1">
      <c r="B6602" s="97"/>
      <c r="C6602" s="98"/>
      <c r="D6602" s="98"/>
      <c r="E6602" s="98"/>
      <c r="F6602" s="128"/>
      <c r="G6602" s="133"/>
      <c r="H6602" s="134"/>
    </row>
    <row r="6603" spans="1:9" s="65" customFormat="1">
      <c r="A6603" s="633"/>
      <c r="B6603" s="633"/>
      <c r="C6603" s="633"/>
      <c r="D6603" s="633"/>
      <c r="E6603" s="633"/>
      <c r="F6603" s="633"/>
      <c r="G6603" s="633"/>
    </row>
    <row r="6604" spans="1:9" s="65" customFormat="1">
      <c r="H6604" s="138"/>
      <c r="I6604" s="151"/>
    </row>
    <row r="6605" spans="1:9" s="65" customFormat="1">
      <c r="A6605" s="645"/>
      <c r="B6605" s="138"/>
      <c r="C6605" s="138"/>
      <c r="D6605" s="138"/>
      <c r="E6605" s="138"/>
      <c r="F6605" s="138"/>
      <c r="G6605" s="138"/>
      <c r="H6605" s="138"/>
      <c r="I6605" s="152"/>
    </row>
    <row r="6606" spans="1:9" s="65" customFormat="1">
      <c r="A6606" s="645"/>
      <c r="B6606" s="138"/>
      <c r="C6606" s="138"/>
      <c r="D6606" s="138"/>
      <c r="E6606" s="138"/>
      <c r="F6606" s="138"/>
      <c r="G6606" s="138"/>
    </row>
    <row r="6607" spans="1:9" s="65" customFormat="1">
      <c r="A6607" s="69"/>
      <c r="B6607" s="69"/>
      <c r="C6607" s="69"/>
      <c r="D6607" s="69"/>
      <c r="E6607" s="69"/>
    </row>
    <row r="6608" spans="1:9" s="65" customFormat="1">
      <c r="A6608" s="120"/>
      <c r="B6608" s="73"/>
      <c r="C6608" s="73"/>
      <c r="D6608" s="73"/>
      <c r="E6608" s="73"/>
      <c r="F6608" s="121"/>
      <c r="G6608" s="121"/>
      <c r="H6608" s="121"/>
    </row>
    <row r="6609" spans="1:8" s="65" customFormat="1">
      <c r="A6609" s="128"/>
      <c r="B6609" s="141"/>
      <c r="C6609" s="141"/>
      <c r="D6609" s="141"/>
      <c r="E6609" s="141"/>
      <c r="F6609" s="141"/>
      <c r="G6609" s="141"/>
      <c r="H6609" s="121"/>
    </row>
    <row r="6610" spans="1:8" s="65" customFormat="1">
      <c r="A6610" s="142"/>
      <c r="B6610" s="143"/>
      <c r="C6610" s="143"/>
      <c r="D6610" s="143"/>
      <c r="E6610" s="143"/>
      <c r="F6610" s="84"/>
      <c r="G6610" s="144"/>
      <c r="H6610" s="145"/>
    </row>
    <row r="6611" spans="1:8" s="65" customFormat="1">
      <c r="A6611" s="84"/>
      <c r="B6611" s="83"/>
      <c r="C6611" s="84"/>
      <c r="D6611" s="84"/>
      <c r="E6611" s="84"/>
      <c r="G6611" s="104"/>
      <c r="H6611" s="140"/>
    </row>
    <row r="6612" spans="1:8" s="65" customFormat="1">
      <c r="A6612" s="120"/>
      <c r="B6612" s="73"/>
      <c r="C6612" s="73"/>
      <c r="D6612" s="73"/>
      <c r="E6612" s="73"/>
      <c r="G6612" s="121"/>
      <c r="H6612" s="140"/>
    </row>
    <row r="6613" spans="1:8" s="65" customFormat="1">
      <c r="A6613" s="128"/>
      <c r="B6613" s="141"/>
      <c r="C6613" s="141"/>
      <c r="D6613" s="141"/>
      <c r="E6613" s="141"/>
      <c r="F6613" s="141"/>
      <c r="G6613" s="141"/>
      <c r="H6613" s="140"/>
    </row>
    <row r="6614" spans="1:8" s="65" customFormat="1">
      <c r="A6614" s="150"/>
      <c r="B6614" s="83"/>
      <c r="C6614" s="148"/>
      <c r="D6614" s="160"/>
      <c r="E6614" s="84"/>
      <c r="F6614" s="84"/>
      <c r="G6614" s="144"/>
      <c r="H6614" s="145"/>
    </row>
    <row r="6615" spans="1:8" s="65" customFormat="1">
      <c r="A6615" s="91"/>
      <c r="B6615" s="91"/>
      <c r="C6615" s="91"/>
      <c r="D6615" s="91"/>
      <c r="E6615" s="91"/>
      <c r="G6615" s="104"/>
      <c r="H6615" s="140"/>
    </row>
    <row r="6616" spans="1:8" s="65" customFormat="1">
      <c r="A6616" s="120"/>
      <c r="B6616" s="73"/>
      <c r="C6616" s="73"/>
      <c r="D6616" s="73"/>
      <c r="E6616" s="73"/>
      <c r="G6616" s="121"/>
      <c r="H6616" s="140"/>
    </row>
    <row r="6617" spans="1:8" s="65" customFormat="1">
      <c r="A6617" s="128"/>
      <c r="B6617" s="141"/>
      <c r="C6617" s="141"/>
      <c r="D6617" s="141"/>
      <c r="E6617" s="141"/>
      <c r="F6617" s="141"/>
      <c r="G6617" s="141"/>
      <c r="H6617" s="140"/>
    </row>
    <row r="6618" spans="1:8" s="65" customFormat="1">
      <c r="A6618" s="142"/>
      <c r="B6618" s="143"/>
      <c r="C6618" s="143"/>
      <c r="D6618" s="143"/>
      <c r="E6618" s="143"/>
      <c r="F6618" s="84"/>
      <c r="G6618" s="144"/>
      <c r="H6618" s="145"/>
    </row>
    <row r="6619" spans="1:8" s="65" customFormat="1">
      <c r="A6619" s="91"/>
      <c r="B6619" s="91"/>
      <c r="C6619" s="91"/>
      <c r="D6619" s="91"/>
      <c r="E6619" s="91"/>
      <c r="G6619" s="104"/>
      <c r="H6619" s="140"/>
    </row>
    <row r="6620" spans="1:8" s="65" customFormat="1">
      <c r="A6620" s="120"/>
      <c r="B6620" s="73"/>
      <c r="C6620" s="73"/>
      <c r="D6620" s="73"/>
      <c r="E6620" s="73"/>
      <c r="G6620" s="121"/>
      <c r="H6620" s="140"/>
    </row>
    <row r="6621" spans="1:8" s="65" customFormat="1">
      <c r="A6621" s="128"/>
      <c r="B6621" s="141"/>
      <c r="C6621" s="141"/>
      <c r="D6621" s="141"/>
      <c r="E6621" s="141"/>
      <c r="F6621" s="141"/>
      <c r="G6621" s="141"/>
      <c r="H6621" s="140"/>
    </row>
    <row r="6622" spans="1:8" s="65" customFormat="1">
      <c r="A6622" s="142"/>
      <c r="B6622" s="143"/>
      <c r="C6622" s="143"/>
      <c r="D6622" s="143"/>
      <c r="E6622" s="143"/>
      <c r="F6622" s="84"/>
      <c r="G6622" s="144"/>
      <c r="H6622" s="145"/>
    </row>
    <row r="6623" spans="1:8" s="65" customFormat="1">
      <c r="A6623" s="123"/>
      <c r="B6623" s="95"/>
      <c r="C6623" s="95"/>
      <c r="D6623" s="95"/>
      <c r="E6623" s="95"/>
      <c r="G6623" s="104"/>
      <c r="H6623" s="121"/>
    </row>
    <row r="6624" spans="1:8" s="65" customFormat="1">
      <c r="A6624" s="123"/>
      <c r="B6624" s="95"/>
      <c r="C6624" s="95"/>
      <c r="D6624" s="95"/>
      <c r="E6624" s="95"/>
      <c r="G6624" s="121"/>
      <c r="H6624" s="133"/>
    </row>
    <row r="6625" spans="1:9" s="65" customFormat="1">
      <c r="B6625" s="97"/>
      <c r="C6625" s="98"/>
      <c r="D6625" s="98"/>
      <c r="E6625" s="98"/>
      <c r="G6625" s="128"/>
    </row>
    <row r="6626" spans="1:9" s="65" customFormat="1">
      <c r="B6626" s="97"/>
      <c r="C6626" s="98"/>
      <c r="D6626" s="98"/>
      <c r="E6626" s="98"/>
      <c r="F6626" s="128"/>
      <c r="G6626" s="133"/>
      <c r="H6626" s="134"/>
    </row>
    <row r="6627" spans="1:9" s="65" customFormat="1">
      <c r="A6627" s="633"/>
      <c r="B6627" s="633"/>
      <c r="C6627" s="633"/>
      <c r="D6627" s="633"/>
      <c r="E6627" s="633"/>
      <c r="F6627" s="633"/>
      <c r="G6627" s="633"/>
    </row>
    <row r="6628" spans="1:9" s="65" customFormat="1">
      <c r="H6628" s="138"/>
      <c r="I6628" s="151"/>
    </row>
    <row r="6629" spans="1:9" s="65" customFormat="1">
      <c r="A6629" s="645"/>
      <c r="B6629" s="138"/>
      <c r="C6629" s="138"/>
      <c r="D6629" s="138"/>
      <c r="E6629" s="138"/>
      <c r="F6629" s="138"/>
      <c r="G6629" s="138"/>
      <c r="H6629" s="138"/>
      <c r="I6629" s="152"/>
    </row>
    <row r="6630" spans="1:9" s="65" customFormat="1">
      <c r="A6630" s="645"/>
      <c r="B6630" s="138"/>
      <c r="C6630" s="138"/>
      <c r="D6630" s="138"/>
      <c r="E6630" s="138"/>
      <c r="F6630" s="138"/>
      <c r="G6630" s="138"/>
    </row>
    <row r="6631" spans="1:9" s="65" customFormat="1">
      <c r="A6631" s="69"/>
      <c r="B6631" s="69"/>
      <c r="C6631" s="69"/>
      <c r="D6631" s="69"/>
      <c r="E6631" s="69"/>
    </row>
    <row r="6632" spans="1:9" s="65" customFormat="1">
      <c r="A6632" s="120"/>
      <c r="B6632" s="73"/>
      <c r="C6632" s="73"/>
      <c r="D6632" s="73"/>
      <c r="E6632" s="73"/>
      <c r="F6632" s="121"/>
      <c r="G6632" s="121"/>
      <c r="H6632" s="121"/>
    </row>
    <row r="6633" spans="1:9" s="65" customFormat="1">
      <c r="A6633" s="128"/>
      <c r="B6633" s="141"/>
      <c r="C6633" s="141"/>
      <c r="D6633" s="141"/>
      <c r="E6633" s="141"/>
      <c r="F6633" s="141"/>
      <c r="G6633" s="141"/>
      <c r="H6633" s="121"/>
    </row>
    <row r="6634" spans="1:9" s="65" customFormat="1">
      <c r="A6634" s="142"/>
      <c r="B6634" s="143"/>
      <c r="C6634" s="143"/>
      <c r="D6634" s="143"/>
      <c r="E6634" s="143"/>
      <c r="F6634" s="84"/>
      <c r="G6634" s="144"/>
      <c r="H6634" s="145"/>
    </row>
    <row r="6635" spans="1:9" s="65" customFormat="1">
      <c r="A6635" s="84"/>
      <c r="B6635" s="83"/>
      <c r="C6635" s="84"/>
      <c r="D6635" s="84"/>
      <c r="E6635" s="84"/>
      <c r="G6635" s="104"/>
      <c r="H6635" s="140"/>
    </row>
    <row r="6636" spans="1:9" s="65" customFormat="1">
      <c r="A6636" s="120"/>
      <c r="B6636" s="73"/>
      <c r="C6636" s="73"/>
      <c r="D6636" s="73"/>
      <c r="E6636" s="73"/>
      <c r="G6636" s="121"/>
      <c r="H6636" s="140"/>
    </row>
    <row r="6637" spans="1:9" s="65" customFormat="1">
      <c r="A6637" s="128"/>
      <c r="B6637" s="141"/>
      <c r="C6637" s="141"/>
      <c r="D6637" s="141"/>
      <c r="E6637" s="141"/>
      <c r="F6637" s="141"/>
      <c r="G6637" s="141"/>
      <c r="H6637" s="140"/>
    </row>
    <row r="6638" spans="1:9" s="65" customFormat="1">
      <c r="A6638" s="150"/>
      <c r="B6638" s="83"/>
      <c r="C6638" s="148"/>
      <c r="D6638" s="160"/>
      <c r="E6638" s="84"/>
      <c r="F6638" s="84"/>
      <c r="G6638" s="144"/>
      <c r="H6638" s="145"/>
    </row>
    <row r="6639" spans="1:9" s="65" customFormat="1">
      <c r="A6639" s="91"/>
      <c r="B6639" s="91"/>
      <c r="C6639" s="91"/>
      <c r="D6639" s="91"/>
      <c r="E6639" s="91"/>
      <c r="G6639" s="104"/>
      <c r="H6639" s="140"/>
    </row>
    <row r="6640" spans="1:9" s="65" customFormat="1">
      <c r="A6640" s="120"/>
      <c r="B6640" s="73"/>
      <c r="C6640" s="73"/>
      <c r="D6640" s="73"/>
      <c r="E6640" s="73"/>
      <c r="G6640" s="121"/>
      <c r="H6640" s="140"/>
    </row>
    <row r="6641" spans="1:9" s="65" customFormat="1">
      <c r="A6641" s="128"/>
      <c r="B6641" s="141"/>
      <c r="C6641" s="141"/>
      <c r="D6641" s="141"/>
      <c r="E6641" s="141"/>
      <c r="F6641" s="141"/>
      <c r="G6641" s="141"/>
      <c r="H6641" s="140"/>
    </row>
    <row r="6642" spans="1:9" s="65" customFormat="1">
      <c r="A6642" s="142"/>
      <c r="B6642" s="143"/>
      <c r="C6642" s="143"/>
      <c r="D6642" s="143"/>
      <c r="E6642" s="143"/>
      <c r="F6642" s="84"/>
      <c r="G6642" s="144"/>
      <c r="H6642" s="145"/>
    </row>
    <row r="6643" spans="1:9" s="65" customFormat="1">
      <c r="A6643" s="91"/>
      <c r="B6643" s="91"/>
      <c r="C6643" s="91"/>
      <c r="D6643" s="91"/>
      <c r="E6643" s="91"/>
      <c r="G6643" s="104"/>
      <c r="H6643" s="140"/>
    </row>
    <row r="6644" spans="1:9" s="65" customFormat="1">
      <c r="A6644" s="120"/>
      <c r="B6644" s="73"/>
      <c r="C6644" s="73"/>
      <c r="D6644" s="73"/>
      <c r="E6644" s="73"/>
      <c r="G6644" s="121"/>
      <c r="H6644" s="140"/>
    </row>
    <row r="6645" spans="1:9" s="65" customFormat="1">
      <c r="A6645" s="128"/>
      <c r="B6645" s="141"/>
      <c r="C6645" s="141"/>
      <c r="D6645" s="141"/>
      <c r="E6645" s="141"/>
      <c r="F6645" s="141"/>
      <c r="G6645" s="141"/>
      <c r="H6645" s="140"/>
    </row>
    <row r="6646" spans="1:9" s="65" customFormat="1">
      <c r="A6646" s="142"/>
      <c r="B6646" s="143"/>
      <c r="C6646" s="143"/>
      <c r="D6646" s="143"/>
      <c r="E6646" s="143"/>
      <c r="F6646" s="84"/>
      <c r="G6646" s="144"/>
      <c r="H6646" s="145"/>
    </row>
    <row r="6647" spans="1:9" s="65" customFormat="1">
      <c r="A6647" s="123"/>
      <c r="B6647" s="95"/>
      <c r="C6647" s="95"/>
      <c r="D6647" s="95"/>
      <c r="E6647" s="95"/>
      <c r="G6647" s="104"/>
      <c r="H6647" s="121"/>
    </row>
    <row r="6648" spans="1:9" s="65" customFormat="1">
      <c r="A6648" s="123"/>
      <c r="B6648" s="95"/>
      <c r="C6648" s="95"/>
      <c r="D6648" s="95"/>
      <c r="E6648" s="95"/>
      <c r="G6648" s="121"/>
      <c r="H6648" s="133"/>
    </row>
    <row r="6649" spans="1:9" s="65" customFormat="1">
      <c r="B6649" s="97"/>
      <c r="C6649" s="98"/>
      <c r="D6649" s="98"/>
      <c r="E6649" s="98"/>
      <c r="G6649" s="128"/>
    </row>
    <row r="6650" spans="1:9" s="65" customFormat="1">
      <c r="B6650" s="97"/>
      <c r="C6650" s="98"/>
      <c r="D6650" s="98"/>
      <c r="E6650" s="98"/>
      <c r="F6650" s="128"/>
      <c r="G6650" s="133"/>
      <c r="H6650" s="134"/>
    </row>
    <row r="6651" spans="1:9" s="65" customFormat="1">
      <c r="A6651" s="633"/>
      <c r="B6651" s="633"/>
      <c r="C6651" s="633"/>
      <c r="D6651" s="633"/>
      <c r="E6651" s="633"/>
      <c r="F6651" s="633"/>
      <c r="G6651" s="633"/>
    </row>
    <row r="6652" spans="1:9" s="65" customFormat="1">
      <c r="H6652" s="138"/>
      <c r="I6652" s="151"/>
    </row>
    <row r="6653" spans="1:9" s="65" customFormat="1">
      <c r="A6653" s="645"/>
      <c r="B6653" s="138"/>
      <c r="C6653" s="138"/>
      <c r="D6653" s="138"/>
      <c r="E6653" s="138"/>
      <c r="F6653" s="138"/>
      <c r="G6653" s="138"/>
      <c r="H6653" s="138"/>
      <c r="I6653" s="152"/>
    </row>
    <row r="6654" spans="1:9" s="65" customFormat="1">
      <c r="A6654" s="645"/>
      <c r="B6654" s="138"/>
      <c r="C6654" s="138"/>
      <c r="D6654" s="138"/>
      <c r="E6654" s="138"/>
      <c r="F6654" s="138"/>
      <c r="G6654" s="138"/>
    </row>
    <row r="6655" spans="1:9" s="65" customFormat="1">
      <c r="A6655" s="69"/>
      <c r="B6655" s="69"/>
      <c r="C6655" s="69"/>
      <c r="D6655" s="69"/>
      <c r="E6655" s="69"/>
    </row>
    <row r="6656" spans="1:9" s="65" customFormat="1">
      <c r="A6656" s="120"/>
      <c r="B6656" s="73"/>
      <c r="C6656" s="73"/>
      <c r="D6656" s="73"/>
      <c r="E6656" s="73"/>
      <c r="F6656" s="121"/>
      <c r="G6656" s="121"/>
      <c r="H6656" s="121"/>
    </row>
    <row r="6657" spans="1:8" s="65" customFormat="1">
      <c r="A6657" s="128"/>
      <c r="B6657" s="141"/>
      <c r="C6657" s="141"/>
      <c r="D6657" s="141"/>
      <c r="E6657" s="141"/>
      <c r="F6657" s="141"/>
      <c r="G6657" s="141"/>
      <c r="H6657" s="121"/>
    </row>
    <row r="6658" spans="1:8" s="65" customFormat="1">
      <c r="A6658" s="142"/>
      <c r="B6658" s="143"/>
      <c r="C6658" s="143"/>
      <c r="D6658" s="143"/>
      <c r="E6658" s="143"/>
      <c r="F6658" s="84"/>
      <c r="G6658" s="144"/>
      <c r="H6658" s="145"/>
    </row>
    <row r="6659" spans="1:8" s="65" customFormat="1">
      <c r="A6659" s="84"/>
      <c r="B6659" s="83"/>
      <c r="C6659" s="84"/>
      <c r="D6659" s="84"/>
      <c r="E6659" s="84"/>
      <c r="G6659" s="104"/>
      <c r="H6659" s="140"/>
    </row>
    <row r="6660" spans="1:8" s="65" customFormat="1">
      <c r="A6660" s="120"/>
      <c r="B6660" s="73"/>
      <c r="C6660" s="73"/>
      <c r="D6660" s="73"/>
      <c r="E6660" s="73"/>
      <c r="G6660" s="121"/>
      <c r="H6660" s="140"/>
    </row>
    <row r="6661" spans="1:8" s="65" customFormat="1">
      <c r="A6661" s="128"/>
      <c r="B6661" s="141"/>
      <c r="C6661" s="141"/>
      <c r="D6661" s="141"/>
      <c r="E6661" s="141"/>
      <c r="F6661" s="141"/>
      <c r="G6661" s="141"/>
      <c r="H6661" s="140"/>
    </row>
    <row r="6662" spans="1:8" s="65" customFormat="1">
      <c r="A6662" s="150"/>
      <c r="B6662" s="83"/>
      <c r="C6662" s="148"/>
      <c r="D6662" s="160"/>
      <c r="E6662" s="84"/>
      <c r="F6662" s="84"/>
      <c r="G6662" s="144"/>
      <c r="H6662" s="145"/>
    </row>
    <row r="6663" spans="1:8" s="65" customFormat="1">
      <c r="A6663" s="91"/>
      <c r="B6663" s="91"/>
      <c r="C6663" s="91"/>
      <c r="D6663" s="91"/>
      <c r="E6663" s="91"/>
      <c r="G6663" s="104"/>
      <c r="H6663" s="140"/>
    </row>
    <row r="6664" spans="1:8" s="65" customFormat="1">
      <c r="A6664" s="120"/>
      <c r="B6664" s="73"/>
      <c r="C6664" s="73"/>
      <c r="D6664" s="73"/>
      <c r="E6664" s="73"/>
      <c r="G6664" s="121"/>
      <c r="H6664" s="140"/>
    </row>
    <row r="6665" spans="1:8" s="65" customFormat="1">
      <c r="A6665" s="128"/>
      <c r="B6665" s="141"/>
      <c r="C6665" s="141"/>
      <c r="D6665" s="141"/>
      <c r="E6665" s="141"/>
      <c r="F6665" s="141"/>
      <c r="G6665" s="141"/>
      <c r="H6665" s="140"/>
    </row>
    <row r="6666" spans="1:8" s="65" customFormat="1">
      <c r="A6666" s="142"/>
      <c r="B6666" s="143"/>
      <c r="C6666" s="143"/>
      <c r="D6666" s="143"/>
      <c r="E6666" s="143"/>
      <c r="F6666" s="84"/>
      <c r="G6666" s="144"/>
      <c r="H6666" s="145"/>
    </row>
    <row r="6667" spans="1:8" s="65" customFormat="1">
      <c r="A6667" s="91"/>
      <c r="B6667" s="91"/>
      <c r="C6667" s="91"/>
      <c r="D6667" s="91"/>
      <c r="E6667" s="91"/>
      <c r="G6667" s="104"/>
      <c r="H6667" s="140"/>
    </row>
    <row r="6668" spans="1:8" s="65" customFormat="1">
      <c r="A6668" s="120"/>
      <c r="B6668" s="73"/>
      <c r="C6668" s="73"/>
      <c r="D6668" s="73"/>
      <c r="E6668" s="73"/>
      <c r="G6668" s="121"/>
      <c r="H6668" s="140"/>
    </row>
    <row r="6669" spans="1:8" s="65" customFormat="1">
      <c r="A6669" s="128"/>
      <c r="B6669" s="141"/>
      <c r="C6669" s="141"/>
      <c r="D6669" s="141"/>
      <c r="E6669" s="141"/>
      <c r="F6669" s="141"/>
      <c r="G6669" s="141"/>
      <c r="H6669" s="140"/>
    </row>
    <row r="6670" spans="1:8" s="65" customFormat="1">
      <c r="A6670" s="142"/>
      <c r="B6670" s="143"/>
      <c r="C6670" s="143"/>
      <c r="D6670" s="143"/>
      <c r="E6670" s="143"/>
      <c r="F6670" s="84"/>
      <c r="G6670" s="144"/>
      <c r="H6670" s="145"/>
    </row>
    <row r="6671" spans="1:8" s="65" customFormat="1">
      <c r="A6671" s="123"/>
      <c r="B6671" s="95"/>
      <c r="C6671" s="95"/>
      <c r="D6671" s="95"/>
      <c r="E6671" s="95"/>
      <c r="G6671" s="104"/>
      <c r="H6671" s="121"/>
    </row>
    <row r="6672" spans="1:8" s="65" customFormat="1">
      <c r="A6672" s="123"/>
      <c r="B6672" s="95"/>
      <c r="C6672" s="95"/>
      <c r="D6672" s="95"/>
      <c r="E6672" s="95"/>
      <c r="G6672" s="121"/>
      <c r="H6672" s="133"/>
    </row>
    <row r="6673" spans="1:9" s="65" customFormat="1">
      <c r="B6673" s="97"/>
      <c r="C6673" s="98"/>
      <c r="D6673" s="98"/>
      <c r="E6673" s="98"/>
      <c r="G6673" s="128"/>
    </row>
    <row r="6674" spans="1:9" s="65" customFormat="1">
      <c r="B6674" s="97"/>
      <c r="C6674" s="98"/>
      <c r="D6674" s="98"/>
      <c r="E6674" s="98"/>
      <c r="F6674" s="128"/>
      <c r="G6674" s="133"/>
      <c r="H6674" s="134"/>
    </row>
    <row r="6675" spans="1:9" s="65" customFormat="1">
      <c r="A6675" s="633"/>
      <c r="B6675" s="633"/>
      <c r="C6675" s="633"/>
      <c r="D6675" s="633"/>
      <c r="E6675" s="633"/>
      <c r="F6675" s="633"/>
      <c r="G6675" s="633"/>
    </row>
    <row r="6676" spans="1:9" s="65" customFormat="1">
      <c r="H6676" s="138"/>
      <c r="I6676" s="151"/>
    </row>
    <row r="6677" spans="1:9" s="65" customFormat="1">
      <c r="A6677" s="645"/>
      <c r="B6677" s="138"/>
      <c r="C6677" s="138"/>
      <c r="D6677" s="138"/>
      <c r="E6677" s="138"/>
      <c r="F6677" s="138"/>
      <c r="G6677" s="138"/>
      <c r="H6677" s="138"/>
      <c r="I6677" s="152"/>
    </row>
    <row r="6678" spans="1:9" s="65" customFormat="1">
      <c r="A6678" s="645"/>
      <c r="B6678" s="138"/>
      <c r="C6678" s="138"/>
      <c r="D6678" s="138"/>
      <c r="E6678" s="138"/>
      <c r="F6678" s="138"/>
      <c r="G6678" s="138"/>
    </row>
    <row r="6679" spans="1:9" s="65" customFormat="1">
      <c r="A6679" s="69"/>
      <c r="B6679" s="69"/>
      <c r="C6679" s="69"/>
      <c r="D6679" s="69"/>
      <c r="E6679" s="69"/>
    </row>
    <row r="6680" spans="1:9" s="65" customFormat="1">
      <c r="A6680" s="120"/>
      <c r="B6680" s="73"/>
      <c r="C6680" s="73"/>
      <c r="D6680" s="73"/>
      <c r="E6680" s="73"/>
      <c r="F6680" s="121"/>
      <c r="G6680" s="121"/>
      <c r="H6680" s="121"/>
    </row>
    <row r="6681" spans="1:9" s="65" customFormat="1">
      <c r="A6681" s="128"/>
      <c r="B6681" s="141"/>
      <c r="C6681" s="141"/>
      <c r="D6681" s="141"/>
      <c r="E6681" s="141"/>
      <c r="F6681" s="141"/>
      <c r="G6681" s="141"/>
      <c r="H6681" s="121"/>
    </row>
    <row r="6682" spans="1:9" s="65" customFormat="1">
      <c r="A6682" s="142"/>
      <c r="B6682" s="143"/>
      <c r="C6682" s="143"/>
      <c r="D6682" s="143"/>
      <c r="E6682" s="143"/>
      <c r="F6682" s="84"/>
      <c r="G6682" s="144"/>
      <c r="H6682" s="145"/>
    </row>
    <row r="6683" spans="1:9" s="65" customFormat="1">
      <c r="A6683" s="84"/>
      <c r="B6683" s="83"/>
      <c r="C6683" s="84"/>
      <c r="D6683" s="84"/>
      <c r="E6683" s="84"/>
      <c r="G6683" s="104"/>
      <c r="H6683" s="140"/>
    </row>
    <row r="6684" spans="1:9" s="65" customFormat="1">
      <c r="A6684" s="120"/>
      <c r="B6684" s="73"/>
      <c r="C6684" s="73"/>
      <c r="D6684" s="73"/>
      <c r="E6684" s="73"/>
      <c r="G6684" s="121"/>
      <c r="H6684" s="140"/>
    </row>
    <row r="6685" spans="1:9" s="65" customFormat="1">
      <c r="A6685" s="128"/>
      <c r="B6685" s="141"/>
      <c r="C6685" s="141"/>
      <c r="D6685" s="141"/>
      <c r="E6685" s="141"/>
      <c r="F6685" s="141"/>
      <c r="G6685" s="141"/>
      <c r="H6685" s="140"/>
    </row>
    <row r="6686" spans="1:9" s="65" customFormat="1">
      <c r="A6686" s="150"/>
      <c r="B6686" s="83"/>
      <c r="C6686" s="148"/>
      <c r="D6686" s="160"/>
      <c r="E6686" s="84"/>
      <c r="F6686" s="84"/>
      <c r="G6686" s="144"/>
      <c r="H6686" s="145"/>
    </row>
    <row r="6687" spans="1:9" s="65" customFormat="1">
      <c r="A6687" s="91"/>
      <c r="B6687" s="91"/>
      <c r="C6687" s="91"/>
      <c r="D6687" s="91"/>
      <c r="E6687" s="91"/>
      <c r="G6687" s="104"/>
      <c r="H6687" s="140"/>
    </row>
    <row r="6688" spans="1:9" s="65" customFormat="1">
      <c r="A6688" s="120"/>
      <c r="B6688" s="73"/>
      <c r="C6688" s="73"/>
      <c r="D6688" s="73"/>
      <c r="E6688" s="73"/>
      <c r="G6688" s="121"/>
      <c r="H6688" s="140"/>
    </row>
    <row r="6689" spans="1:9" s="65" customFormat="1">
      <c r="A6689" s="128"/>
      <c r="B6689" s="141"/>
      <c r="C6689" s="141"/>
      <c r="D6689" s="141"/>
      <c r="E6689" s="141"/>
      <c r="F6689" s="141"/>
      <c r="G6689" s="141"/>
      <c r="H6689" s="140"/>
    </row>
    <row r="6690" spans="1:9" s="65" customFormat="1">
      <c r="A6690" s="142"/>
      <c r="B6690" s="143"/>
      <c r="C6690" s="143"/>
      <c r="D6690" s="143"/>
      <c r="E6690" s="143"/>
      <c r="F6690" s="84"/>
      <c r="G6690" s="144"/>
      <c r="H6690" s="145"/>
    </row>
    <row r="6691" spans="1:9" s="65" customFormat="1">
      <c r="A6691" s="91"/>
      <c r="B6691" s="91"/>
      <c r="C6691" s="91"/>
      <c r="D6691" s="91"/>
      <c r="E6691" s="91"/>
      <c r="G6691" s="104"/>
      <c r="H6691" s="140"/>
    </row>
    <row r="6692" spans="1:9" s="65" customFormat="1">
      <c r="A6692" s="120"/>
      <c r="B6692" s="73"/>
      <c r="C6692" s="73"/>
      <c r="D6692" s="73"/>
      <c r="E6692" s="73"/>
      <c r="G6692" s="121"/>
      <c r="H6692" s="140"/>
    </row>
    <row r="6693" spans="1:9" s="65" customFormat="1">
      <c r="A6693" s="128"/>
      <c r="B6693" s="141"/>
      <c r="C6693" s="141"/>
      <c r="D6693" s="141"/>
      <c r="E6693" s="141"/>
      <c r="F6693" s="141"/>
      <c r="G6693" s="141"/>
      <c r="H6693" s="140"/>
    </row>
    <row r="6694" spans="1:9" s="65" customFormat="1">
      <c r="A6694" s="142"/>
      <c r="B6694" s="143"/>
      <c r="C6694" s="143"/>
      <c r="D6694" s="143"/>
      <c r="E6694" s="143"/>
      <c r="F6694" s="84"/>
      <c r="G6694" s="144"/>
      <c r="H6694" s="145"/>
    </row>
    <row r="6695" spans="1:9" s="65" customFormat="1">
      <c r="A6695" s="123"/>
      <c r="B6695" s="95"/>
      <c r="C6695" s="95"/>
      <c r="D6695" s="95"/>
      <c r="E6695" s="95"/>
      <c r="G6695" s="104"/>
      <c r="H6695" s="121"/>
    </row>
    <row r="6696" spans="1:9" s="65" customFormat="1">
      <c r="A6696" s="123"/>
      <c r="B6696" s="95"/>
      <c r="C6696" s="95"/>
      <c r="D6696" s="95"/>
      <c r="E6696" s="95"/>
      <c r="G6696" s="121"/>
      <c r="H6696" s="133"/>
    </row>
    <row r="6697" spans="1:9" s="65" customFormat="1">
      <c r="B6697" s="97"/>
      <c r="C6697" s="98"/>
      <c r="D6697" s="98"/>
      <c r="E6697" s="98"/>
      <c r="G6697" s="128"/>
    </row>
    <row r="6698" spans="1:9" s="65" customFormat="1">
      <c r="B6698" s="97"/>
      <c r="C6698" s="98"/>
      <c r="D6698" s="98"/>
      <c r="E6698" s="98"/>
      <c r="F6698" s="128"/>
      <c r="G6698" s="133"/>
      <c r="H6698" s="134"/>
    </row>
    <row r="6699" spans="1:9" s="65" customFormat="1">
      <c r="A6699" s="633"/>
      <c r="B6699" s="633"/>
      <c r="C6699" s="633"/>
      <c r="D6699" s="633"/>
      <c r="E6699" s="633"/>
      <c r="F6699" s="633"/>
      <c r="G6699" s="633"/>
    </row>
    <row r="6700" spans="1:9" s="65" customFormat="1">
      <c r="H6700" s="138"/>
      <c r="I6700" s="151"/>
    </row>
    <row r="6701" spans="1:9" s="65" customFormat="1">
      <c r="A6701" s="645"/>
      <c r="B6701" s="138"/>
      <c r="C6701" s="138"/>
      <c r="D6701" s="138"/>
      <c r="E6701" s="138"/>
      <c r="F6701" s="138"/>
      <c r="G6701" s="138"/>
      <c r="H6701" s="138"/>
      <c r="I6701" s="152"/>
    </row>
    <row r="6702" spans="1:9" s="65" customFormat="1">
      <c r="A6702" s="645"/>
      <c r="B6702" s="138"/>
      <c r="C6702" s="138"/>
      <c r="D6702" s="138"/>
      <c r="E6702" s="138"/>
      <c r="F6702" s="138"/>
      <c r="G6702" s="138"/>
    </row>
    <row r="6703" spans="1:9" s="65" customFormat="1">
      <c r="A6703" s="69"/>
      <c r="B6703" s="69"/>
      <c r="C6703" s="69"/>
      <c r="D6703" s="69"/>
      <c r="E6703" s="69"/>
    </row>
    <row r="6704" spans="1:9" s="65" customFormat="1">
      <c r="A6704" s="120"/>
      <c r="B6704" s="73"/>
      <c r="C6704" s="73"/>
      <c r="D6704" s="73"/>
      <c r="E6704" s="73"/>
      <c r="F6704" s="121"/>
      <c r="G6704" s="121"/>
      <c r="H6704" s="121"/>
    </row>
    <row r="6705" spans="1:8" s="65" customFormat="1">
      <c r="A6705" s="128"/>
      <c r="B6705" s="141"/>
      <c r="C6705" s="141"/>
      <c r="D6705" s="141"/>
      <c r="E6705" s="141"/>
      <c r="F6705" s="141"/>
      <c r="G6705" s="141"/>
      <c r="H6705" s="121"/>
    </row>
    <row r="6706" spans="1:8" s="65" customFormat="1">
      <c r="A6706" s="142"/>
      <c r="B6706" s="143"/>
      <c r="C6706" s="143"/>
      <c r="D6706" s="143"/>
      <c r="E6706" s="143"/>
      <c r="F6706" s="84"/>
      <c r="G6706" s="144"/>
      <c r="H6706" s="145"/>
    </row>
    <row r="6707" spans="1:8" s="65" customFormat="1">
      <c r="A6707" s="84"/>
      <c r="B6707" s="83"/>
      <c r="C6707" s="84"/>
      <c r="D6707" s="84"/>
      <c r="E6707" s="84"/>
      <c r="G6707" s="104"/>
      <c r="H6707" s="140"/>
    </row>
    <row r="6708" spans="1:8" s="65" customFormat="1">
      <c r="A6708" s="120"/>
      <c r="B6708" s="73"/>
      <c r="C6708" s="73"/>
      <c r="D6708" s="73"/>
      <c r="E6708" s="73"/>
      <c r="G6708" s="121"/>
      <c r="H6708" s="140"/>
    </row>
    <row r="6709" spans="1:8" s="65" customFormat="1">
      <c r="A6709" s="128"/>
      <c r="B6709" s="141"/>
      <c r="C6709" s="141"/>
      <c r="D6709" s="141"/>
      <c r="E6709" s="141"/>
      <c r="F6709" s="141"/>
      <c r="G6709" s="141"/>
      <c r="H6709" s="140"/>
    </row>
    <row r="6710" spans="1:8" s="65" customFormat="1">
      <c r="A6710" s="150"/>
      <c r="B6710" s="83"/>
      <c r="C6710" s="148"/>
      <c r="D6710" s="160"/>
      <c r="E6710" s="84"/>
      <c r="F6710" s="84"/>
      <c r="G6710" s="144"/>
      <c r="H6710" s="145"/>
    </row>
    <row r="6711" spans="1:8" s="65" customFormat="1">
      <c r="A6711" s="91"/>
      <c r="B6711" s="91"/>
      <c r="C6711" s="91"/>
      <c r="D6711" s="91"/>
      <c r="E6711" s="91"/>
      <c r="G6711" s="104"/>
      <c r="H6711" s="140"/>
    </row>
    <row r="6712" spans="1:8" s="65" customFormat="1">
      <c r="A6712" s="120"/>
      <c r="B6712" s="73"/>
      <c r="C6712" s="73"/>
      <c r="D6712" s="73"/>
      <c r="E6712" s="73"/>
      <c r="G6712" s="121"/>
      <c r="H6712" s="140"/>
    </row>
    <row r="6713" spans="1:8" s="65" customFormat="1">
      <c r="A6713" s="128"/>
      <c r="B6713" s="141"/>
      <c r="C6713" s="141"/>
      <c r="D6713" s="141"/>
      <c r="E6713" s="141"/>
      <c r="F6713" s="141"/>
      <c r="G6713" s="141"/>
      <c r="H6713" s="140"/>
    </row>
    <row r="6714" spans="1:8" s="65" customFormat="1">
      <c r="A6714" s="142"/>
      <c r="B6714" s="143"/>
      <c r="C6714" s="143"/>
      <c r="D6714" s="143"/>
      <c r="E6714" s="143"/>
      <c r="F6714" s="84"/>
      <c r="G6714" s="144"/>
      <c r="H6714" s="145"/>
    </row>
    <row r="6715" spans="1:8" s="65" customFormat="1">
      <c r="A6715" s="91"/>
      <c r="B6715" s="91"/>
      <c r="C6715" s="91"/>
      <c r="D6715" s="91"/>
      <c r="E6715" s="91"/>
      <c r="G6715" s="104"/>
      <c r="H6715" s="140"/>
    </row>
    <row r="6716" spans="1:8" s="65" customFormat="1">
      <c r="A6716" s="120"/>
      <c r="B6716" s="73"/>
      <c r="C6716" s="73"/>
      <c r="D6716" s="73"/>
      <c r="E6716" s="73"/>
      <c r="G6716" s="121"/>
      <c r="H6716" s="140"/>
    </row>
    <row r="6717" spans="1:8" s="65" customFormat="1">
      <c r="A6717" s="128"/>
      <c r="B6717" s="141"/>
      <c r="C6717" s="141"/>
      <c r="D6717" s="141"/>
      <c r="E6717" s="141"/>
      <c r="F6717" s="141"/>
      <c r="G6717" s="141"/>
      <c r="H6717" s="140"/>
    </row>
    <row r="6718" spans="1:8" s="65" customFormat="1">
      <c r="A6718" s="142"/>
      <c r="B6718" s="143"/>
      <c r="C6718" s="143"/>
      <c r="D6718" s="143"/>
      <c r="E6718" s="143"/>
      <c r="F6718" s="84"/>
      <c r="G6718" s="144"/>
      <c r="H6718" s="145"/>
    </row>
    <row r="6719" spans="1:8" s="65" customFormat="1">
      <c r="A6719" s="123"/>
      <c r="B6719" s="95"/>
      <c r="C6719" s="95"/>
      <c r="D6719" s="95"/>
      <c r="E6719" s="95"/>
      <c r="G6719" s="104"/>
      <c r="H6719" s="121"/>
    </row>
    <row r="6720" spans="1:8" s="65" customFormat="1">
      <c r="A6720" s="123"/>
      <c r="B6720" s="95"/>
      <c r="C6720" s="95"/>
      <c r="D6720" s="95"/>
      <c r="E6720" s="95"/>
      <c r="G6720" s="121"/>
      <c r="H6720" s="133"/>
    </row>
    <row r="6721" spans="1:9" s="65" customFormat="1">
      <c r="B6721" s="97"/>
      <c r="C6721" s="98"/>
      <c r="D6721" s="98"/>
      <c r="E6721" s="98"/>
      <c r="G6721" s="128"/>
    </row>
    <row r="6722" spans="1:9" s="65" customFormat="1">
      <c r="B6722" s="97"/>
      <c r="C6722" s="98"/>
      <c r="D6722" s="98"/>
      <c r="E6722" s="98"/>
      <c r="F6722" s="128"/>
      <c r="G6722" s="133"/>
      <c r="H6722" s="134"/>
    </row>
    <row r="6723" spans="1:9" s="65" customFormat="1">
      <c r="A6723" s="633"/>
      <c r="B6723" s="633"/>
      <c r="C6723" s="633"/>
      <c r="D6723" s="633"/>
      <c r="E6723" s="633"/>
      <c r="F6723" s="633"/>
      <c r="G6723" s="633"/>
    </row>
    <row r="6724" spans="1:9" s="65" customFormat="1">
      <c r="H6724" s="138"/>
      <c r="I6724" s="151"/>
    </row>
    <row r="6725" spans="1:9" s="65" customFormat="1">
      <c r="A6725" s="645"/>
      <c r="B6725" s="138"/>
      <c r="C6725" s="138"/>
      <c r="D6725" s="138"/>
      <c r="E6725" s="138"/>
      <c r="F6725" s="138"/>
      <c r="G6725" s="138"/>
      <c r="H6725" s="138"/>
      <c r="I6725" s="152"/>
    </row>
    <row r="6726" spans="1:9" s="65" customFormat="1">
      <c r="A6726" s="645"/>
      <c r="B6726" s="138"/>
      <c r="C6726" s="138"/>
      <c r="D6726" s="138"/>
      <c r="E6726" s="138"/>
      <c r="F6726" s="138"/>
      <c r="G6726" s="138"/>
    </row>
    <row r="6727" spans="1:9" s="65" customFormat="1">
      <c r="A6727" s="69"/>
      <c r="B6727" s="69"/>
      <c r="C6727" s="69"/>
      <c r="D6727" s="69"/>
      <c r="E6727" s="69"/>
    </row>
    <row r="6728" spans="1:9" s="65" customFormat="1">
      <c r="A6728" s="120"/>
      <c r="B6728" s="73"/>
      <c r="C6728" s="73"/>
      <c r="D6728" s="73"/>
      <c r="E6728" s="73"/>
      <c r="F6728" s="121"/>
      <c r="G6728" s="121"/>
      <c r="H6728" s="121"/>
    </row>
    <row r="6729" spans="1:9" s="65" customFormat="1">
      <c r="A6729" s="128"/>
      <c r="B6729" s="141"/>
      <c r="C6729" s="141"/>
      <c r="D6729" s="141"/>
      <c r="E6729" s="141"/>
      <c r="F6729" s="141"/>
      <c r="G6729" s="141"/>
      <c r="H6729" s="121"/>
    </row>
    <row r="6730" spans="1:9" s="65" customFormat="1">
      <c r="A6730" s="142"/>
      <c r="B6730" s="143"/>
      <c r="C6730" s="143"/>
      <c r="D6730" s="143"/>
      <c r="E6730" s="143"/>
      <c r="F6730" s="84"/>
      <c r="G6730" s="144"/>
      <c r="H6730" s="145"/>
    </row>
    <row r="6731" spans="1:9" s="65" customFormat="1">
      <c r="A6731" s="84"/>
      <c r="B6731" s="83"/>
      <c r="C6731" s="84"/>
      <c r="D6731" s="84"/>
      <c r="E6731" s="84"/>
      <c r="G6731" s="104"/>
      <c r="H6731" s="140"/>
    </row>
    <row r="6732" spans="1:9" s="65" customFormat="1">
      <c r="A6732" s="120"/>
      <c r="B6732" s="73"/>
      <c r="C6732" s="73"/>
      <c r="D6732" s="73"/>
      <c r="E6732" s="73"/>
      <c r="G6732" s="121"/>
      <c r="H6732" s="140"/>
    </row>
    <row r="6733" spans="1:9" s="65" customFormat="1">
      <c r="A6733" s="128"/>
      <c r="B6733" s="141"/>
      <c r="C6733" s="141"/>
      <c r="D6733" s="141"/>
      <c r="E6733" s="141"/>
      <c r="F6733" s="141"/>
      <c r="G6733" s="141"/>
      <c r="H6733" s="140"/>
    </row>
    <row r="6734" spans="1:9" s="65" customFormat="1">
      <c r="A6734" s="150"/>
      <c r="B6734" s="83"/>
      <c r="C6734" s="148"/>
      <c r="D6734" s="160"/>
      <c r="E6734" s="84"/>
      <c r="F6734" s="84"/>
      <c r="G6734" s="144"/>
      <c r="H6734" s="145"/>
    </row>
    <row r="6735" spans="1:9" s="65" customFormat="1">
      <c r="A6735" s="91"/>
      <c r="B6735" s="91"/>
      <c r="C6735" s="91"/>
      <c r="D6735" s="91"/>
      <c r="E6735" s="91"/>
      <c r="G6735" s="104"/>
      <c r="H6735" s="140"/>
    </row>
    <row r="6736" spans="1:9" s="65" customFormat="1">
      <c r="A6736" s="120"/>
      <c r="B6736" s="73"/>
      <c r="C6736" s="73"/>
      <c r="D6736" s="73"/>
      <c r="E6736" s="73"/>
      <c r="G6736" s="121"/>
      <c r="H6736" s="140"/>
    </row>
    <row r="6737" spans="1:9" s="65" customFormat="1">
      <c r="A6737" s="128"/>
      <c r="B6737" s="141"/>
      <c r="C6737" s="141"/>
      <c r="D6737" s="141"/>
      <c r="E6737" s="141"/>
      <c r="F6737" s="141"/>
      <c r="G6737" s="141"/>
      <c r="H6737" s="140"/>
    </row>
    <row r="6738" spans="1:9" s="65" customFormat="1">
      <c r="A6738" s="142"/>
      <c r="B6738" s="143"/>
      <c r="C6738" s="143"/>
      <c r="D6738" s="143"/>
      <c r="E6738" s="143"/>
      <c r="F6738" s="84"/>
      <c r="G6738" s="144"/>
      <c r="H6738" s="145"/>
    </row>
    <row r="6739" spans="1:9" s="65" customFormat="1">
      <c r="A6739" s="91"/>
      <c r="B6739" s="91"/>
      <c r="C6739" s="91"/>
      <c r="D6739" s="91"/>
      <c r="E6739" s="91"/>
      <c r="G6739" s="104"/>
      <c r="H6739" s="140"/>
    </row>
    <row r="6740" spans="1:9" s="65" customFormat="1">
      <c r="A6740" s="120"/>
      <c r="B6740" s="73"/>
      <c r="C6740" s="73"/>
      <c r="D6740" s="73"/>
      <c r="E6740" s="73"/>
      <c r="G6740" s="121"/>
      <c r="H6740" s="140"/>
    </row>
    <row r="6741" spans="1:9" s="65" customFormat="1">
      <c r="A6741" s="128"/>
      <c r="B6741" s="141"/>
      <c r="C6741" s="141"/>
      <c r="D6741" s="141"/>
      <c r="E6741" s="141"/>
      <c r="F6741" s="141"/>
      <c r="G6741" s="141"/>
      <c r="H6741" s="140"/>
    </row>
    <row r="6742" spans="1:9" s="65" customFormat="1">
      <c r="A6742" s="142"/>
      <c r="B6742" s="143"/>
      <c r="C6742" s="143"/>
      <c r="D6742" s="143"/>
      <c r="E6742" s="143"/>
      <c r="F6742" s="84"/>
      <c r="G6742" s="144"/>
      <c r="H6742" s="145"/>
    </row>
    <row r="6743" spans="1:9" s="65" customFormat="1">
      <c r="A6743" s="123"/>
      <c r="B6743" s="95"/>
      <c r="C6743" s="95"/>
      <c r="D6743" s="95"/>
      <c r="E6743" s="95"/>
      <c r="G6743" s="104"/>
      <c r="H6743" s="121"/>
    </row>
    <row r="6744" spans="1:9" s="65" customFormat="1">
      <c r="A6744" s="123"/>
      <c r="B6744" s="95"/>
      <c r="C6744" s="95"/>
      <c r="D6744" s="95"/>
      <c r="E6744" s="95"/>
      <c r="G6744" s="121"/>
      <c r="H6744" s="133"/>
    </row>
    <row r="6745" spans="1:9" s="65" customFormat="1">
      <c r="B6745" s="97"/>
      <c r="C6745" s="98"/>
      <c r="D6745" s="98"/>
      <c r="E6745" s="98"/>
      <c r="G6745" s="128"/>
    </row>
    <row r="6746" spans="1:9" s="65" customFormat="1">
      <c r="B6746" s="97"/>
      <c r="C6746" s="98"/>
      <c r="D6746" s="98"/>
      <c r="E6746" s="98"/>
      <c r="F6746" s="128"/>
      <c r="G6746" s="133"/>
      <c r="H6746" s="134"/>
    </row>
    <row r="6747" spans="1:9" s="65" customFormat="1">
      <c r="A6747" s="633"/>
      <c r="B6747" s="633"/>
      <c r="C6747" s="633"/>
      <c r="D6747" s="633"/>
      <c r="E6747" s="633"/>
      <c r="F6747" s="633"/>
      <c r="G6747" s="633"/>
    </row>
    <row r="6748" spans="1:9" s="65" customFormat="1">
      <c r="H6748" s="138"/>
      <c r="I6748" s="151"/>
    </row>
    <row r="6749" spans="1:9" s="65" customFormat="1">
      <c r="A6749" s="645"/>
      <c r="B6749" s="138"/>
      <c r="C6749" s="138"/>
      <c r="D6749" s="138"/>
      <c r="E6749" s="138"/>
      <c r="F6749" s="138"/>
      <c r="G6749" s="138"/>
      <c r="H6749" s="138"/>
      <c r="I6749" s="152"/>
    </row>
    <row r="6750" spans="1:9" s="65" customFormat="1">
      <c r="A6750" s="645"/>
      <c r="B6750" s="138"/>
      <c r="C6750" s="138"/>
      <c r="D6750" s="138"/>
      <c r="E6750" s="138"/>
      <c r="F6750" s="138"/>
      <c r="G6750" s="138"/>
    </row>
    <row r="6751" spans="1:9" s="65" customFormat="1">
      <c r="A6751" s="69"/>
      <c r="B6751" s="69"/>
      <c r="C6751" s="69"/>
      <c r="D6751" s="69"/>
      <c r="E6751" s="69"/>
    </row>
    <row r="6752" spans="1:9" s="65" customFormat="1">
      <c r="A6752" s="120"/>
      <c r="B6752" s="73"/>
      <c r="C6752" s="73"/>
      <c r="D6752" s="73"/>
      <c r="E6752" s="73"/>
      <c r="F6752" s="121"/>
      <c r="G6752" s="121"/>
      <c r="H6752" s="121"/>
    </row>
    <row r="6753" spans="1:8" s="65" customFormat="1">
      <c r="A6753" s="128"/>
      <c r="B6753" s="141"/>
      <c r="C6753" s="141"/>
      <c r="D6753" s="141"/>
      <c r="E6753" s="141"/>
      <c r="F6753" s="141"/>
      <c r="G6753" s="141"/>
      <c r="H6753" s="121"/>
    </row>
    <row r="6754" spans="1:8" s="65" customFormat="1">
      <c r="A6754" s="142"/>
      <c r="B6754" s="143"/>
      <c r="C6754" s="143"/>
      <c r="D6754" s="143"/>
      <c r="E6754" s="143"/>
      <c r="F6754" s="84"/>
      <c r="G6754" s="144"/>
      <c r="H6754" s="145"/>
    </row>
    <row r="6755" spans="1:8" s="65" customFormat="1">
      <c r="A6755" s="84"/>
      <c r="B6755" s="83"/>
      <c r="C6755" s="84"/>
      <c r="D6755" s="84"/>
      <c r="E6755" s="84"/>
      <c r="G6755" s="104"/>
      <c r="H6755" s="140"/>
    </row>
    <row r="6756" spans="1:8" s="65" customFormat="1">
      <c r="A6756" s="120"/>
      <c r="B6756" s="73"/>
      <c r="C6756" s="73"/>
      <c r="D6756" s="73"/>
      <c r="E6756" s="73"/>
      <c r="G6756" s="121"/>
      <c r="H6756" s="140"/>
    </row>
    <row r="6757" spans="1:8" s="65" customFormat="1">
      <c r="A6757" s="128"/>
      <c r="B6757" s="141"/>
      <c r="C6757" s="141"/>
      <c r="D6757" s="141"/>
      <c r="E6757" s="141"/>
      <c r="F6757" s="141"/>
      <c r="G6757" s="141"/>
      <c r="H6757" s="140"/>
    </row>
    <row r="6758" spans="1:8" s="65" customFormat="1">
      <c r="A6758" s="150"/>
      <c r="B6758" s="83"/>
      <c r="C6758" s="148"/>
      <c r="D6758" s="160"/>
      <c r="E6758" s="84"/>
      <c r="F6758" s="84"/>
      <c r="G6758" s="144"/>
      <c r="H6758" s="145"/>
    </row>
    <row r="6759" spans="1:8" s="65" customFormat="1">
      <c r="A6759" s="91"/>
      <c r="B6759" s="91"/>
      <c r="C6759" s="91"/>
      <c r="D6759" s="91"/>
      <c r="E6759" s="91"/>
      <c r="G6759" s="104"/>
      <c r="H6759" s="140"/>
    </row>
    <row r="6760" spans="1:8" s="65" customFormat="1">
      <c r="A6760" s="120"/>
      <c r="B6760" s="73"/>
      <c r="C6760" s="73"/>
      <c r="D6760" s="73"/>
      <c r="E6760" s="73"/>
      <c r="G6760" s="121"/>
      <c r="H6760" s="140"/>
    </row>
    <row r="6761" spans="1:8" s="65" customFormat="1">
      <c r="A6761" s="128"/>
      <c r="B6761" s="141"/>
      <c r="C6761" s="141"/>
      <c r="D6761" s="141"/>
      <c r="E6761" s="141"/>
      <c r="F6761" s="141"/>
      <c r="G6761" s="141"/>
      <c r="H6761" s="140"/>
    </row>
    <row r="6762" spans="1:8" s="65" customFormat="1">
      <c r="A6762" s="142"/>
      <c r="B6762" s="143"/>
      <c r="C6762" s="143"/>
      <c r="D6762" s="143"/>
      <c r="E6762" s="143"/>
      <c r="F6762" s="84"/>
      <c r="G6762" s="144"/>
      <c r="H6762" s="145"/>
    </row>
    <row r="6763" spans="1:8" s="65" customFormat="1">
      <c r="A6763" s="91"/>
      <c r="B6763" s="91"/>
      <c r="C6763" s="91"/>
      <c r="D6763" s="91"/>
      <c r="E6763" s="91"/>
      <c r="G6763" s="104"/>
      <c r="H6763" s="140"/>
    </row>
    <row r="6764" spans="1:8" s="65" customFormat="1">
      <c r="A6764" s="120"/>
      <c r="B6764" s="73"/>
      <c r="C6764" s="73"/>
      <c r="D6764" s="73"/>
      <c r="E6764" s="73"/>
      <c r="G6764" s="121"/>
      <c r="H6764" s="140"/>
    </row>
    <row r="6765" spans="1:8" s="65" customFormat="1">
      <c r="A6765" s="128"/>
      <c r="B6765" s="141"/>
      <c r="C6765" s="141"/>
      <c r="D6765" s="141"/>
      <c r="E6765" s="141"/>
      <c r="F6765" s="141"/>
      <c r="G6765" s="141"/>
      <c r="H6765" s="140"/>
    </row>
    <row r="6766" spans="1:8" s="65" customFormat="1">
      <c r="A6766" s="142"/>
      <c r="B6766" s="143"/>
      <c r="C6766" s="143"/>
      <c r="D6766" s="143"/>
      <c r="E6766" s="143"/>
      <c r="F6766" s="84"/>
      <c r="G6766" s="144"/>
      <c r="H6766" s="145"/>
    </row>
    <row r="6767" spans="1:8" s="65" customFormat="1">
      <c r="A6767" s="123"/>
      <c r="B6767" s="95"/>
      <c r="C6767" s="95"/>
      <c r="D6767" s="95"/>
      <c r="E6767" s="95"/>
      <c r="G6767" s="104"/>
      <c r="H6767" s="121"/>
    </row>
    <row r="6768" spans="1:8" s="65" customFormat="1">
      <c r="A6768" s="123"/>
      <c r="B6768" s="95"/>
      <c r="C6768" s="95"/>
      <c r="D6768" s="95"/>
      <c r="E6768" s="95"/>
      <c r="G6768" s="121"/>
      <c r="H6768" s="133"/>
    </row>
    <row r="6769" spans="1:9" s="65" customFormat="1">
      <c r="B6769" s="97"/>
      <c r="C6769" s="98"/>
      <c r="D6769" s="98"/>
      <c r="E6769" s="98"/>
      <c r="G6769" s="128"/>
    </row>
    <row r="6770" spans="1:9" s="65" customFormat="1">
      <c r="B6770" s="97"/>
      <c r="C6770" s="98"/>
      <c r="D6770" s="98"/>
      <c r="E6770" s="98"/>
      <c r="F6770" s="128"/>
      <c r="G6770" s="133"/>
      <c r="H6770" s="134"/>
    </row>
    <row r="6771" spans="1:9" s="65" customFormat="1">
      <c r="A6771" s="633"/>
      <c r="B6771" s="633"/>
      <c r="C6771" s="633"/>
      <c r="D6771" s="633"/>
      <c r="E6771" s="633"/>
      <c r="F6771" s="633"/>
      <c r="G6771" s="633"/>
    </row>
    <row r="6772" spans="1:9" s="65" customFormat="1">
      <c r="H6772" s="138"/>
      <c r="I6772" s="151"/>
    </row>
    <row r="6773" spans="1:9" s="65" customFormat="1">
      <c r="A6773" s="645"/>
      <c r="B6773" s="138"/>
      <c r="C6773" s="138"/>
      <c r="D6773" s="138"/>
      <c r="E6773" s="138"/>
      <c r="F6773" s="138"/>
      <c r="G6773" s="138"/>
      <c r="H6773" s="138"/>
      <c r="I6773" s="152"/>
    </row>
    <row r="6774" spans="1:9" s="65" customFormat="1">
      <c r="A6774" s="645"/>
      <c r="B6774" s="138"/>
      <c r="C6774" s="138"/>
      <c r="D6774" s="138"/>
      <c r="E6774" s="138"/>
      <c r="F6774" s="138"/>
      <c r="G6774" s="138"/>
    </row>
    <row r="6775" spans="1:9" s="65" customFormat="1">
      <c r="A6775" s="69"/>
      <c r="B6775" s="69"/>
      <c r="C6775" s="69"/>
      <c r="D6775" s="69"/>
      <c r="E6775" s="69"/>
    </row>
    <row r="6776" spans="1:9" s="65" customFormat="1">
      <c r="A6776" s="120"/>
      <c r="B6776" s="73"/>
      <c r="C6776" s="73"/>
      <c r="D6776" s="73"/>
      <c r="E6776" s="73"/>
      <c r="F6776" s="121"/>
      <c r="G6776" s="121"/>
      <c r="H6776" s="121"/>
    </row>
    <row r="6777" spans="1:9" s="65" customFormat="1">
      <c r="A6777" s="128"/>
      <c r="B6777" s="141"/>
      <c r="C6777" s="141"/>
      <c r="D6777" s="141"/>
      <c r="E6777" s="141"/>
      <c r="F6777" s="141"/>
      <c r="G6777" s="141"/>
      <c r="H6777" s="121"/>
    </row>
    <row r="6778" spans="1:9" s="65" customFormat="1">
      <c r="A6778" s="142"/>
      <c r="B6778" s="143"/>
      <c r="C6778" s="143"/>
      <c r="D6778" s="143"/>
      <c r="E6778" s="143"/>
      <c r="F6778" s="84"/>
      <c r="G6778" s="144"/>
      <c r="H6778" s="145"/>
    </row>
    <row r="6779" spans="1:9" s="65" customFormat="1">
      <c r="A6779" s="84"/>
      <c r="B6779" s="83"/>
      <c r="C6779" s="84"/>
      <c r="D6779" s="84"/>
      <c r="E6779" s="84"/>
      <c r="G6779" s="104"/>
      <c r="H6779" s="140"/>
    </row>
    <row r="6780" spans="1:9" s="65" customFormat="1">
      <c r="A6780" s="120"/>
      <c r="B6780" s="73"/>
      <c r="C6780" s="73"/>
      <c r="D6780" s="73"/>
      <c r="E6780" s="73"/>
      <c r="G6780" s="121"/>
      <c r="H6780" s="140"/>
    </row>
    <row r="6781" spans="1:9" s="65" customFormat="1">
      <c r="A6781" s="128"/>
      <c r="B6781" s="141"/>
      <c r="C6781" s="141"/>
      <c r="D6781" s="141"/>
      <c r="E6781" s="141"/>
      <c r="F6781" s="141"/>
      <c r="G6781" s="141"/>
      <c r="H6781" s="140"/>
    </row>
    <row r="6782" spans="1:9" s="65" customFormat="1">
      <c r="A6782" s="150"/>
      <c r="B6782" s="83"/>
      <c r="C6782" s="148"/>
      <c r="D6782" s="160"/>
      <c r="E6782" s="84"/>
      <c r="F6782" s="84"/>
      <c r="G6782" s="144"/>
      <c r="H6782" s="145"/>
    </row>
    <row r="6783" spans="1:9" s="65" customFormat="1">
      <c r="A6783" s="91"/>
      <c r="B6783" s="91"/>
      <c r="C6783" s="91"/>
      <c r="D6783" s="91"/>
      <c r="E6783" s="91"/>
      <c r="G6783" s="104"/>
      <c r="H6783" s="140"/>
    </row>
    <row r="6784" spans="1:9" s="65" customFormat="1">
      <c r="A6784" s="120"/>
      <c r="B6784" s="73"/>
      <c r="C6784" s="73"/>
      <c r="D6784" s="73"/>
      <c r="E6784" s="73"/>
      <c r="G6784" s="121"/>
      <c r="H6784" s="140"/>
    </row>
    <row r="6785" spans="1:9" s="65" customFormat="1">
      <c r="A6785" s="128"/>
      <c r="B6785" s="141"/>
      <c r="C6785" s="141"/>
      <c r="D6785" s="141"/>
      <c r="E6785" s="141"/>
      <c r="F6785" s="141"/>
      <c r="G6785" s="141"/>
      <c r="H6785" s="140"/>
    </row>
    <row r="6786" spans="1:9" s="65" customFormat="1">
      <c r="A6786" s="142"/>
      <c r="B6786" s="143"/>
      <c r="C6786" s="143"/>
      <c r="D6786" s="143"/>
      <c r="E6786" s="143"/>
      <c r="F6786" s="84"/>
      <c r="G6786" s="144"/>
      <c r="H6786" s="145"/>
    </row>
    <row r="6787" spans="1:9" s="65" customFormat="1">
      <c r="A6787" s="91"/>
      <c r="B6787" s="91"/>
      <c r="C6787" s="91"/>
      <c r="D6787" s="91"/>
      <c r="E6787" s="91"/>
      <c r="G6787" s="104"/>
      <c r="H6787" s="140"/>
    </row>
    <row r="6788" spans="1:9" s="65" customFormat="1">
      <c r="A6788" s="120"/>
      <c r="B6788" s="73"/>
      <c r="C6788" s="73"/>
      <c r="D6788" s="73"/>
      <c r="E6788" s="73"/>
      <c r="G6788" s="121"/>
      <c r="H6788" s="140"/>
    </row>
    <row r="6789" spans="1:9" s="65" customFormat="1">
      <c r="A6789" s="128"/>
      <c r="B6789" s="141"/>
      <c r="C6789" s="141"/>
      <c r="D6789" s="141"/>
      <c r="E6789" s="141"/>
      <c r="F6789" s="141"/>
      <c r="G6789" s="141"/>
      <c r="H6789" s="140"/>
    </row>
    <row r="6790" spans="1:9" s="65" customFormat="1">
      <c r="A6790" s="142"/>
      <c r="B6790" s="143"/>
      <c r="C6790" s="143"/>
      <c r="D6790" s="143"/>
      <c r="E6790" s="143"/>
      <c r="F6790" s="84"/>
      <c r="G6790" s="144"/>
      <c r="H6790" s="145"/>
    </row>
    <row r="6791" spans="1:9" s="65" customFormat="1">
      <c r="A6791" s="123"/>
      <c r="B6791" s="95"/>
      <c r="C6791" s="95"/>
      <c r="D6791" s="95"/>
      <c r="E6791" s="95"/>
      <c r="G6791" s="104"/>
      <c r="H6791" s="121"/>
    </row>
    <row r="6792" spans="1:9" s="65" customFormat="1">
      <c r="A6792" s="123"/>
      <c r="B6792" s="95"/>
      <c r="C6792" s="95"/>
      <c r="D6792" s="95"/>
      <c r="E6792" s="95"/>
      <c r="G6792" s="121"/>
      <c r="H6792" s="133"/>
    </row>
    <row r="6793" spans="1:9" s="65" customFormat="1">
      <c r="B6793" s="97"/>
      <c r="C6793" s="98"/>
      <c r="D6793" s="98"/>
      <c r="E6793" s="98"/>
      <c r="G6793" s="128"/>
    </row>
    <row r="6794" spans="1:9" s="65" customFormat="1">
      <c r="B6794" s="97"/>
      <c r="C6794" s="98"/>
      <c r="D6794" s="98"/>
      <c r="E6794" s="98"/>
      <c r="F6794" s="128"/>
      <c r="G6794" s="133"/>
      <c r="H6794" s="134"/>
    </row>
    <row r="6795" spans="1:9" s="65" customFormat="1">
      <c r="A6795" s="633"/>
      <c r="B6795" s="633"/>
      <c r="C6795" s="633"/>
      <c r="D6795" s="633"/>
      <c r="E6795" s="633"/>
      <c r="F6795" s="633"/>
      <c r="G6795" s="633"/>
    </row>
    <row r="6796" spans="1:9" s="65" customFormat="1">
      <c r="H6796" s="138"/>
      <c r="I6796" s="151"/>
    </row>
    <row r="6797" spans="1:9" s="65" customFormat="1">
      <c r="A6797" s="645"/>
      <c r="B6797" s="138"/>
      <c r="C6797" s="138"/>
      <c r="D6797" s="138"/>
      <c r="E6797" s="138"/>
      <c r="F6797" s="138"/>
      <c r="G6797" s="138"/>
      <c r="H6797" s="138"/>
      <c r="I6797" s="152"/>
    </row>
    <row r="6798" spans="1:9" s="65" customFormat="1">
      <c r="A6798" s="645"/>
      <c r="B6798" s="138"/>
      <c r="C6798" s="138"/>
      <c r="D6798" s="138"/>
      <c r="E6798" s="138"/>
      <c r="F6798" s="138"/>
      <c r="G6798" s="138"/>
    </row>
    <row r="6799" spans="1:9" s="65" customFormat="1">
      <c r="A6799" s="69"/>
      <c r="B6799" s="69"/>
      <c r="C6799" s="69"/>
      <c r="D6799" s="69"/>
      <c r="E6799" s="69"/>
    </row>
    <row r="6800" spans="1:9" s="65" customFormat="1">
      <c r="A6800" s="120"/>
      <c r="B6800" s="73"/>
      <c r="C6800" s="73"/>
      <c r="D6800" s="73"/>
      <c r="E6800" s="73"/>
      <c r="F6800" s="121"/>
      <c r="G6800" s="121"/>
      <c r="H6800" s="121"/>
    </row>
    <row r="6801" spans="1:8" s="65" customFormat="1">
      <c r="A6801" s="128"/>
      <c r="B6801" s="141"/>
      <c r="C6801" s="141"/>
      <c r="D6801" s="141"/>
      <c r="E6801" s="141"/>
      <c r="F6801" s="141"/>
      <c r="G6801" s="141"/>
      <c r="H6801" s="121"/>
    </row>
    <row r="6802" spans="1:8" s="65" customFormat="1">
      <c r="A6802" s="142"/>
      <c r="B6802" s="143"/>
      <c r="C6802" s="143"/>
      <c r="D6802" s="143"/>
      <c r="E6802" s="143"/>
      <c r="F6802" s="84"/>
      <c r="G6802" s="144"/>
      <c r="H6802" s="145"/>
    </row>
    <row r="6803" spans="1:8" s="65" customFormat="1">
      <c r="A6803" s="84"/>
      <c r="B6803" s="83"/>
      <c r="C6803" s="84"/>
      <c r="D6803" s="84"/>
      <c r="E6803" s="84"/>
      <c r="G6803" s="104"/>
      <c r="H6803" s="140"/>
    </row>
    <row r="6804" spans="1:8" s="65" customFormat="1">
      <c r="A6804" s="120"/>
      <c r="B6804" s="73"/>
      <c r="C6804" s="73"/>
      <c r="D6804" s="73"/>
      <c r="E6804" s="73"/>
      <c r="G6804" s="121"/>
      <c r="H6804" s="140"/>
    </row>
    <row r="6805" spans="1:8" s="65" customFormat="1">
      <c r="A6805" s="128"/>
      <c r="B6805" s="141"/>
      <c r="C6805" s="141"/>
      <c r="D6805" s="141"/>
      <c r="E6805" s="141"/>
      <c r="F6805" s="141"/>
      <c r="G6805" s="141"/>
      <c r="H6805" s="140"/>
    </row>
    <row r="6806" spans="1:8" s="65" customFormat="1">
      <c r="A6806" s="150"/>
      <c r="B6806" s="83"/>
      <c r="C6806" s="148"/>
      <c r="D6806" s="160"/>
      <c r="E6806" s="84"/>
      <c r="F6806" s="84"/>
      <c r="G6806" s="144"/>
      <c r="H6806" s="145"/>
    </row>
    <row r="6807" spans="1:8" s="65" customFormat="1">
      <c r="A6807" s="91"/>
      <c r="B6807" s="91"/>
      <c r="C6807" s="91"/>
      <c r="D6807" s="91"/>
      <c r="E6807" s="91"/>
      <c r="G6807" s="104"/>
      <c r="H6807" s="140"/>
    </row>
    <row r="6808" spans="1:8" s="65" customFormat="1">
      <c r="A6808" s="120"/>
      <c r="B6808" s="73"/>
      <c r="C6808" s="73"/>
      <c r="D6808" s="73"/>
      <c r="E6808" s="73"/>
      <c r="G6808" s="121"/>
      <c r="H6808" s="140"/>
    </row>
    <row r="6809" spans="1:8" s="65" customFormat="1">
      <c r="A6809" s="128"/>
      <c r="B6809" s="141"/>
      <c r="C6809" s="141"/>
      <c r="D6809" s="141"/>
      <c r="E6809" s="141"/>
      <c r="F6809" s="141"/>
      <c r="G6809" s="141"/>
      <c r="H6809" s="140"/>
    </row>
    <row r="6810" spans="1:8" s="65" customFormat="1">
      <c r="A6810" s="142"/>
      <c r="B6810" s="143"/>
      <c r="C6810" s="143"/>
      <c r="D6810" s="143"/>
      <c r="E6810" s="143"/>
      <c r="F6810" s="84"/>
      <c r="G6810" s="144"/>
      <c r="H6810" s="145"/>
    </row>
    <row r="6811" spans="1:8" s="65" customFormat="1">
      <c r="A6811" s="91"/>
      <c r="B6811" s="91"/>
      <c r="C6811" s="91"/>
      <c r="D6811" s="91"/>
      <c r="E6811" s="91"/>
      <c r="G6811" s="104"/>
      <c r="H6811" s="140"/>
    </row>
    <row r="6812" spans="1:8" s="65" customFormat="1">
      <c r="A6812" s="120"/>
      <c r="B6812" s="73"/>
      <c r="C6812" s="73"/>
      <c r="D6812" s="73"/>
      <c r="E6812" s="73"/>
      <c r="G6812" s="121"/>
      <c r="H6812" s="140"/>
    </row>
    <row r="6813" spans="1:8" s="65" customFormat="1">
      <c r="A6813" s="128"/>
      <c r="B6813" s="141"/>
      <c r="C6813" s="141"/>
      <c r="D6813" s="141"/>
      <c r="E6813" s="141"/>
      <c r="F6813" s="141"/>
      <c r="G6813" s="141"/>
      <c r="H6813" s="140"/>
    </row>
    <row r="6814" spans="1:8" s="65" customFormat="1">
      <c r="A6814" s="142"/>
      <c r="B6814" s="143"/>
      <c r="C6814" s="143"/>
      <c r="D6814" s="143"/>
      <c r="E6814" s="143"/>
      <c r="F6814" s="84"/>
      <c r="G6814" s="144"/>
      <c r="H6814" s="145"/>
    </row>
    <row r="6815" spans="1:8" s="65" customFormat="1">
      <c r="A6815" s="123"/>
      <c r="B6815" s="95"/>
      <c r="C6815" s="95"/>
      <c r="D6815" s="95"/>
      <c r="E6815" s="95"/>
      <c r="G6815" s="104"/>
      <c r="H6815" s="121"/>
    </row>
    <row r="6816" spans="1:8" s="65" customFormat="1">
      <c r="A6816" s="123"/>
      <c r="B6816" s="95"/>
      <c r="C6816" s="95"/>
      <c r="D6816" s="95"/>
      <c r="E6816" s="95"/>
      <c r="G6816" s="121"/>
      <c r="H6816" s="133"/>
    </row>
    <row r="6817" spans="1:9" s="65" customFormat="1">
      <c r="B6817" s="97"/>
      <c r="C6817" s="98"/>
      <c r="D6817" s="98"/>
      <c r="E6817" s="98"/>
      <c r="G6817" s="128"/>
    </row>
    <row r="6818" spans="1:9" s="65" customFormat="1">
      <c r="B6818" s="97"/>
      <c r="C6818" s="98"/>
      <c r="D6818" s="98"/>
      <c r="E6818" s="98"/>
      <c r="F6818" s="128"/>
      <c r="G6818" s="133"/>
      <c r="H6818" s="134"/>
    </row>
    <row r="6819" spans="1:9" s="65" customFormat="1">
      <c r="A6819" s="633"/>
      <c r="B6819" s="633"/>
      <c r="C6819" s="633"/>
      <c r="D6819" s="633"/>
      <c r="E6819" s="633"/>
      <c r="F6819" s="633"/>
      <c r="G6819" s="633"/>
    </row>
    <row r="6820" spans="1:9" s="65" customFormat="1">
      <c r="H6820" s="138"/>
      <c r="I6820" s="151"/>
    </row>
    <row r="6821" spans="1:9" s="65" customFormat="1">
      <c r="A6821" s="645"/>
      <c r="B6821" s="138"/>
      <c r="C6821" s="138"/>
      <c r="D6821" s="138"/>
      <c r="E6821" s="138"/>
      <c r="F6821" s="138"/>
      <c r="G6821" s="138"/>
      <c r="H6821" s="138"/>
      <c r="I6821" s="152"/>
    </row>
    <row r="6822" spans="1:9" s="65" customFormat="1">
      <c r="A6822" s="645"/>
      <c r="B6822" s="138"/>
      <c r="C6822" s="138"/>
      <c r="D6822" s="138"/>
      <c r="E6822" s="138"/>
      <c r="F6822" s="138"/>
      <c r="G6822" s="138"/>
    </row>
    <row r="6823" spans="1:9" s="65" customFormat="1">
      <c r="A6823" s="69"/>
      <c r="B6823" s="69"/>
      <c r="C6823" s="69"/>
      <c r="D6823" s="69"/>
      <c r="E6823" s="69"/>
    </row>
    <row r="6824" spans="1:9" s="65" customFormat="1">
      <c r="A6824" s="120"/>
      <c r="B6824" s="73"/>
      <c r="C6824" s="73"/>
      <c r="D6824" s="73"/>
      <c r="E6824" s="73"/>
      <c r="F6824" s="121"/>
      <c r="G6824" s="121"/>
      <c r="H6824" s="121"/>
    </row>
    <row r="6825" spans="1:9" s="65" customFormat="1">
      <c r="A6825" s="128"/>
      <c r="B6825" s="141"/>
      <c r="C6825" s="141"/>
      <c r="D6825" s="141"/>
      <c r="E6825" s="141"/>
      <c r="F6825" s="141"/>
      <c r="G6825" s="141"/>
      <c r="H6825" s="121"/>
    </row>
    <row r="6826" spans="1:9" s="65" customFormat="1">
      <c r="A6826" s="142"/>
      <c r="B6826" s="143"/>
      <c r="C6826" s="143"/>
      <c r="D6826" s="143"/>
      <c r="E6826" s="143"/>
      <c r="F6826" s="84"/>
      <c r="G6826" s="144"/>
      <c r="H6826" s="145"/>
    </row>
    <row r="6827" spans="1:9" s="65" customFormat="1">
      <c r="A6827" s="84"/>
      <c r="B6827" s="83"/>
      <c r="C6827" s="84"/>
      <c r="D6827" s="84"/>
      <c r="E6827" s="84"/>
      <c r="G6827" s="104"/>
      <c r="H6827" s="140"/>
    </row>
    <row r="6828" spans="1:9" s="65" customFormat="1">
      <c r="A6828" s="120"/>
      <c r="B6828" s="73"/>
      <c r="C6828" s="73"/>
      <c r="D6828" s="73"/>
      <c r="E6828" s="73"/>
      <c r="G6828" s="121"/>
      <c r="H6828" s="140"/>
    </row>
    <row r="6829" spans="1:9" s="65" customFormat="1">
      <c r="A6829" s="128"/>
      <c r="B6829" s="141"/>
      <c r="C6829" s="141"/>
      <c r="D6829" s="141"/>
      <c r="E6829" s="141"/>
      <c r="F6829" s="141"/>
      <c r="G6829" s="141"/>
      <c r="H6829" s="140"/>
    </row>
    <row r="6830" spans="1:9" s="65" customFormat="1">
      <c r="A6830" s="150"/>
      <c r="B6830" s="83"/>
      <c r="C6830" s="148"/>
      <c r="D6830" s="160"/>
      <c r="E6830" s="84"/>
      <c r="F6830" s="84"/>
      <c r="G6830" s="144"/>
      <c r="H6830" s="145"/>
    </row>
    <row r="6831" spans="1:9" s="65" customFormat="1">
      <c r="A6831" s="91"/>
      <c r="B6831" s="91"/>
      <c r="C6831" s="91"/>
      <c r="D6831" s="91"/>
      <c r="E6831" s="91"/>
      <c r="G6831" s="104"/>
      <c r="H6831" s="140"/>
    </row>
    <row r="6832" spans="1:9" s="65" customFormat="1">
      <c r="A6832" s="120"/>
      <c r="B6832" s="73"/>
      <c r="C6832" s="73"/>
      <c r="D6832" s="73"/>
      <c r="E6832" s="73"/>
      <c r="G6832" s="121"/>
      <c r="H6832" s="140"/>
    </row>
    <row r="6833" spans="1:9" s="65" customFormat="1">
      <c r="A6833" s="128"/>
      <c r="B6833" s="141"/>
      <c r="C6833" s="141"/>
      <c r="D6833" s="141"/>
      <c r="E6833" s="141"/>
      <c r="F6833" s="141"/>
      <c r="G6833" s="141"/>
      <c r="H6833" s="140"/>
    </row>
    <row r="6834" spans="1:9" s="65" customFormat="1">
      <c r="A6834" s="142"/>
      <c r="B6834" s="143"/>
      <c r="C6834" s="143"/>
      <c r="D6834" s="143"/>
      <c r="E6834" s="143"/>
      <c r="F6834" s="84"/>
      <c r="G6834" s="144"/>
      <c r="H6834" s="145"/>
    </row>
    <row r="6835" spans="1:9" s="65" customFormat="1">
      <c r="A6835" s="91"/>
      <c r="B6835" s="91"/>
      <c r="C6835" s="91"/>
      <c r="D6835" s="91"/>
      <c r="E6835" s="91"/>
      <c r="G6835" s="104"/>
      <c r="H6835" s="140"/>
    </row>
    <row r="6836" spans="1:9" s="65" customFormat="1">
      <c r="A6836" s="120"/>
      <c r="B6836" s="73"/>
      <c r="C6836" s="73"/>
      <c r="D6836" s="73"/>
      <c r="E6836" s="73"/>
      <c r="G6836" s="121"/>
      <c r="H6836" s="140"/>
    </row>
    <row r="6837" spans="1:9" s="65" customFormat="1">
      <c r="A6837" s="128"/>
      <c r="B6837" s="141"/>
      <c r="C6837" s="141"/>
      <c r="D6837" s="141"/>
      <c r="E6837" s="141"/>
      <c r="F6837" s="141"/>
      <c r="G6837" s="141"/>
      <c r="H6837" s="140"/>
    </row>
    <row r="6838" spans="1:9" s="65" customFormat="1">
      <c r="A6838" s="142"/>
      <c r="B6838" s="143"/>
      <c r="C6838" s="143"/>
      <c r="D6838" s="143"/>
      <c r="E6838" s="143"/>
      <c r="F6838" s="84"/>
      <c r="G6838" s="144"/>
      <c r="H6838" s="145"/>
    </row>
    <row r="6839" spans="1:9" s="65" customFormat="1">
      <c r="A6839" s="123"/>
      <c r="B6839" s="95"/>
      <c r="C6839" s="95"/>
      <c r="D6839" s="95"/>
      <c r="E6839" s="95"/>
      <c r="G6839" s="104"/>
      <c r="H6839" s="121"/>
    </row>
    <row r="6840" spans="1:9" s="65" customFormat="1">
      <c r="A6840" s="123"/>
      <c r="B6840" s="95"/>
      <c r="C6840" s="95"/>
      <c r="D6840" s="95"/>
      <c r="E6840" s="95"/>
      <c r="G6840" s="121"/>
      <c r="H6840" s="133"/>
    </row>
    <row r="6841" spans="1:9" s="65" customFormat="1">
      <c r="B6841" s="97"/>
      <c r="C6841" s="98"/>
      <c r="D6841" s="98"/>
      <c r="E6841" s="98"/>
      <c r="G6841" s="128"/>
    </row>
    <row r="6842" spans="1:9" s="65" customFormat="1">
      <c r="B6842" s="97"/>
      <c r="C6842" s="98"/>
      <c r="D6842" s="98"/>
      <c r="E6842" s="98"/>
      <c r="F6842" s="128"/>
      <c r="G6842" s="133"/>
      <c r="H6842" s="134"/>
    </row>
    <row r="6843" spans="1:9" s="65" customFormat="1">
      <c r="A6843" s="633"/>
      <c r="B6843" s="633"/>
      <c r="C6843" s="633"/>
      <c r="D6843" s="633"/>
      <c r="E6843" s="633"/>
      <c r="F6843" s="633"/>
      <c r="G6843" s="633"/>
    </row>
    <row r="6844" spans="1:9" s="65" customFormat="1">
      <c r="H6844" s="138"/>
      <c r="I6844" s="151"/>
    </row>
    <row r="6845" spans="1:9" s="65" customFormat="1">
      <c r="A6845" s="645"/>
      <c r="B6845" s="138"/>
      <c r="C6845" s="138"/>
      <c r="D6845" s="138"/>
      <c r="E6845" s="138"/>
      <c r="F6845" s="138"/>
      <c r="G6845" s="138"/>
      <c r="H6845" s="138"/>
      <c r="I6845" s="152"/>
    </row>
    <row r="6846" spans="1:9" s="65" customFormat="1">
      <c r="A6846" s="645"/>
      <c r="B6846" s="138"/>
      <c r="C6846" s="138"/>
      <c r="D6846" s="138"/>
      <c r="E6846" s="138"/>
      <c r="F6846" s="138"/>
      <c r="G6846" s="138"/>
    </row>
    <row r="6847" spans="1:9" s="65" customFormat="1">
      <c r="A6847" s="69"/>
      <c r="B6847" s="69"/>
      <c r="C6847" s="69"/>
      <c r="D6847" s="69"/>
      <c r="E6847" s="69"/>
    </row>
    <row r="6848" spans="1:9" s="65" customFormat="1">
      <c r="A6848" s="120"/>
      <c r="B6848" s="73"/>
      <c r="C6848" s="73"/>
      <c r="D6848" s="73"/>
      <c r="E6848" s="73"/>
      <c r="F6848" s="121"/>
      <c r="G6848" s="121"/>
      <c r="H6848" s="121"/>
    </row>
    <row r="6849" spans="1:8" s="65" customFormat="1">
      <c r="A6849" s="128"/>
      <c r="B6849" s="141"/>
      <c r="C6849" s="141"/>
      <c r="D6849" s="141"/>
      <c r="E6849" s="141"/>
      <c r="F6849" s="141"/>
      <c r="G6849" s="141"/>
      <c r="H6849" s="121"/>
    </row>
    <row r="6850" spans="1:8" s="65" customFormat="1">
      <c r="A6850" s="142"/>
      <c r="B6850" s="143"/>
      <c r="C6850" s="143"/>
      <c r="D6850" s="143"/>
      <c r="E6850" s="143"/>
      <c r="F6850" s="84"/>
      <c r="G6850" s="144"/>
      <c r="H6850" s="145"/>
    </row>
    <row r="6851" spans="1:8" s="65" customFormat="1">
      <c r="A6851" s="84"/>
      <c r="B6851" s="83"/>
      <c r="C6851" s="84"/>
      <c r="D6851" s="84"/>
      <c r="E6851" s="84"/>
      <c r="G6851" s="104"/>
      <c r="H6851" s="140"/>
    </row>
    <row r="6852" spans="1:8" s="65" customFormat="1">
      <c r="A6852" s="120"/>
      <c r="B6852" s="73"/>
      <c r="C6852" s="73"/>
      <c r="D6852" s="73"/>
      <c r="E6852" s="73"/>
      <c r="G6852" s="121"/>
      <c r="H6852" s="140"/>
    </row>
    <row r="6853" spans="1:8" s="65" customFormat="1">
      <c r="A6853" s="128"/>
      <c r="B6853" s="141"/>
      <c r="C6853" s="141"/>
      <c r="D6853" s="141"/>
      <c r="E6853" s="141"/>
      <c r="F6853" s="141"/>
      <c r="G6853" s="141"/>
      <c r="H6853" s="140"/>
    </row>
    <row r="6854" spans="1:8" s="65" customFormat="1">
      <c r="A6854" s="150"/>
      <c r="B6854" s="83"/>
      <c r="C6854" s="148"/>
      <c r="D6854" s="160"/>
      <c r="E6854" s="84"/>
      <c r="F6854" s="84"/>
      <c r="G6854" s="144"/>
      <c r="H6854" s="145"/>
    </row>
    <row r="6855" spans="1:8" s="65" customFormat="1">
      <c r="A6855" s="91"/>
      <c r="B6855" s="91"/>
      <c r="C6855" s="91"/>
      <c r="D6855" s="91"/>
      <c r="E6855" s="91"/>
      <c r="G6855" s="104"/>
      <c r="H6855" s="140"/>
    </row>
    <row r="6856" spans="1:8" s="65" customFormat="1">
      <c r="A6856" s="120"/>
      <c r="B6856" s="73"/>
      <c r="C6856" s="73"/>
      <c r="D6856" s="73"/>
      <c r="E6856" s="73"/>
      <c r="G6856" s="121"/>
      <c r="H6856" s="140"/>
    </row>
    <row r="6857" spans="1:8" s="65" customFormat="1">
      <c r="A6857" s="128"/>
      <c r="B6857" s="141"/>
      <c r="C6857" s="141"/>
      <c r="D6857" s="141"/>
      <c r="E6857" s="141"/>
      <c r="F6857" s="141"/>
      <c r="G6857" s="141"/>
      <c r="H6857" s="140"/>
    </row>
    <row r="6858" spans="1:8" s="65" customFormat="1">
      <c r="A6858" s="142"/>
      <c r="B6858" s="143"/>
      <c r="C6858" s="143"/>
      <c r="D6858" s="143"/>
      <c r="E6858" s="143"/>
      <c r="F6858" s="84"/>
      <c r="G6858" s="144"/>
      <c r="H6858" s="145"/>
    </row>
    <row r="6859" spans="1:8" s="65" customFormat="1">
      <c r="A6859" s="91"/>
      <c r="B6859" s="91"/>
      <c r="C6859" s="91"/>
      <c r="D6859" s="91"/>
      <c r="E6859" s="91"/>
      <c r="G6859" s="104"/>
      <c r="H6859" s="140"/>
    </row>
    <row r="6860" spans="1:8" s="65" customFormat="1">
      <c r="A6860" s="120"/>
      <c r="B6860" s="73"/>
      <c r="C6860" s="73"/>
      <c r="D6860" s="73"/>
      <c r="E6860" s="73"/>
      <c r="G6860" s="121"/>
      <c r="H6860" s="140"/>
    </row>
    <row r="6861" spans="1:8" s="65" customFormat="1">
      <c r="A6861" s="128"/>
      <c r="B6861" s="141"/>
      <c r="C6861" s="141"/>
      <c r="D6861" s="141"/>
      <c r="E6861" s="141"/>
      <c r="F6861" s="141"/>
      <c r="G6861" s="141"/>
      <c r="H6861" s="140"/>
    </row>
    <row r="6862" spans="1:8" s="65" customFormat="1">
      <c r="A6862" s="142"/>
      <c r="B6862" s="143"/>
      <c r="C6862" s="143"/>
      <c r="D6862" s="143"/>
      <c r="E6862" s="143"/>
      <c r="F6862" s="84"/>
      <c r="G6862" s="144"/>
      <c r="H6862" s="145"/>
    </row>
    <row r="6863" spans="1:8" s="65" customFormat="1">
      <c r="A6863" s="123"/>
      <c r="B6863" s="95"/>
      <c r="C6863" s="95"/>
      <c r="D6863" s="95"/>
      <c r="E6863" s="95"/>
      <c r="G6863" s="104"/>
      <c r="H6863" s="121"/>
    </row>
    <row r="6864" spans="1:8" s="65" customFormat="1">
      <c r="A6864" s="123"/>
      <c r="B6864" s="95"/>
      <c r="C6864" s="95"/>
      <c r="D6864" s="95"/>
      <c r="E6864" s="95"/>
      <c r="G6864" s="121"/>
      <c r="H6864" s="133"/>
    </row>
    <row r="6865" spans="1:9" s="65" customFormat="1">
      <c r="B6865" s="97"/>
      <c r="C6865" s="98"/>
      <c r="D6865" s="98"/>
      <c r="E6865" s="98"/>
      <c r="G6865" s="128"/>
    </row>
    <row r="6866" spans="1:9" s="65" customFormat="1">
      <c r="B6866" s="97"/>
      <c r="C6866" s="98"/>
      <c r="D6866" s="98"/>
      <c r="E6866" s="98"/>
      <c r="F6866" s="128"/>
      <c r="G6866" s="133"/>
      <c r="H6866" s="134"/>
    </row>
    <row r="6867" spans="1:9" s="65" customFormat="1">
      <c r="A6867" s="633"/>
      <c r="B6867" s="633"/>
      <c r="C6867" s="633"/>
      <c r="D6867" s="633"/>
      <c r="E6867" s="633"/>
      <c r="F6867" s="633"/>
      <c r="G6867" s="633"/>
    </row>
    <row r="6868" spans="1:9" s="65" customFormat="1">
      <c r="H6868" s="138"/>
      <c r="I6868" s="151"/>
    </row>
    <row r="6869" spans="1:9" s="65" customFormat="1">
      <c r="A6869" s="645"/>
      <c r="B6869" s="138"/>
      <c r="C6869" s="138"/>
      <c r="D6869" s="138"/>
      <c r="E6869" s="138"/>
      <c r="F6869" s="138"/>
      <c r="G6869" s="138"/>
      <c r="H6869" s="138"/>
      <c r="I6869" s="152"/>
    </row>
    <row r="6870" spans="1:9" s="65" customFormat="1">
      <c r="A6870" s="645"/>
      <c r="B6870" s="138"/>
      <c r="C6870" s="138"/>
      <c r="D6870" s="138"/>
      <c r="E6870" s="138"/>
      <c r="F6870" s="138"/>
      <c r="G6870" s="138"/>
    </row>
    <row r="6871" spans="1:9" s="65" customFormat="1">
      <c r="A6871" s="69"/>
      <c r="B6871" s="69"/>
      <c r="C6871" s="69"/>
      <c r="D6871" s="69"/>
      <c r="E6871" s="69"/>
    </row>
    <row r="6872" spans="1:9" s="65" customFormat="1">
      <c r="A6872" s="120"/>
      <c r="B6872" s="73"/>
      <c r="C6872" s="73"/>
      <c r="D6872" s="73"/>
      <c r="E6872" s="73"/>
      <c r="F6872" s="121"/>
      <c r="G6872" s="121"/>
      <c r="H6872" s="121"/>
    </row>
    <row r="6873" spans="1:9" s="65" customFormat="1">
      <c r="A6873" s="128"/>
      <c r="B6873" s="141"/>
      <c r="C6873" s="141"/>
      <c r="D6873" s="141"/>
      <c r="E6873" s="141"/>
      <c r="F6873" s="141"/>
      <c r="G6873" s="141"/>
      <c r="H6873" s="121"/>
    </row>
    <row r="6874" spans="1:9" s="65" customFormat="1">
      <c r="A6874" s="142"/>
      <c r="B6874" s="143"/>
      <c r="C6874" s="143"/>
      <c r="D6874" s="143"/>
      <c r="E6874" s="143"/>
      <c r="F6874" s="84"/>
      <c r="G6874" s="144"/>
      <c r="H6874" s="145"/>
    </row>
    <row r="6875" spans="1:9" s="65" customFormat="1">
      <c r="A6875" s="84"/>
      <c r="B6875" s="83"/>
      <c r="C6875" s="84"/>
      <c r="D6875" s="84"/>
      <c r="E6875" s="84"/>
      <c r="G6875" s="104"/>
      <c r="H6875" s="140"/>
    </row>
    <row r="6876" spans="1:9" s="65" customFormat="1">
      <c r="A6876" s="120"/>
      <c r="B6876" s="73"/>
      <c r="C6876" s="73"/>
      <c r="D6876" s="73"/>
      <c r="E6876" s="73"/>
      <c r="G6876" s="121"/>
      <c r="H6876" s="140"/>
    </row>
    <row r="6877" spans="1:9" s="65" customFormat="1">
      <c r="A6877" s="128"/>
      <c r="B6877" s="141"/>
      <c r="C6877" s="141"/>
      <c r="D6877" s="141"/>
      <c r="E6877" s="141"/>
      <c r="F6877" s="141"/>
      <c r="G6877" s="141"/>
      <c r="H6877" s="140"/>
    </row>
    <row r="6878" spans="1:9" s="65" customFormat="1">
      <c r="A6878" s="150"/>
      <c r="B6878" s="83"/>
      <c r="C6878" s="148"/>
      <c r="D6878" s="160"/>
      <c r="E6878" s="84"/>
      <c r="F6878" s="84"/>
      <c r="G6878" s="144"/>
      <c r="H6878" s="145"/>
    </row>
    <row r="6879" spans="1:9" s="65" customFormat="1">
      <c r="A6879" s="91"/>
      <c r="B6879" s="91"/>
      <c r="C6879" s="91"/>
      <c r="D6879" s="91"/>
      <c r="E6879" s="91"/>
      <c r="G6879" s="104"/>
      <c r="H6879" s="140"/>
    </row>
    <row r="6880" spans="1:9" s="65" customFormat="1">
      <c r="A6880" s="120"/>
      <c r="B6880" s="73"/>
      <c r="C6880" s="73"/>
      <c r="D6880" s="73"/>
      <c r="E6880" s="73"/>
      <c r="G6880" s="121"/>
      <c r="H6880" s="140"/>
    </row>
    <row r="6881" spans="1:9" s="65" customFormat="1">
      <c r="A6881" s="128"/>
      <c r="B6881" s="141"/>
      <c r="C6881" s="141"/>
      <c r="D6881" s="141"/>
      <c r="E6881" s="141"/>
      <c r="F6881" s="141"/>
      <c r="G6881" s="141"/>
      <c r="H6881" s="140"/>
    </row>
    <row r="6882" spans="1:9" s="65" customFormat="1">
      <c r="A6882" s="142"/>
      <c r="B6882" s="143"/>
      <c r="C6882" s="143"/>
      <c r="D6882" s="143"/>
      <c r="E6882" s="143"/>
      <c r="F6882" s="84"/>
      <c r="G6882" s="144"/>
      <c r="H6882" s="145"/>
    </row>
    <row r="6883" spans="1:9" s="65" customFormat="1">
      <c r="A6883" s="91"/>
      <c r="B6883" s="91"/>
      <c r="C6883" s="91"/>
      <c r="D6883" s="91"/>
      <c r="E6883" s="91"/>
      <c r="G6883" s="104"/>
      <c r="H6883" s="140"/>
    </row>
    <row r="6884" spans="1:9" s="65" customFormat="1">
      <c r="A6884" s="120"/>
      <c r="B6884" s="73"/>
      <c r="C6884" s="73"/>
      <c r="D6884" s="73"/>
      <c r="E6884" s="73"/>
      <c r="G6884" s="121"/>
      <c r="H6884" s="140"/>
    </row>
    <row r="6885" spans="1:9" s="65" customFormat="1">
      <c r="A6885" s="128"/>
      <c r="B6885" s="141"/>
      <c r="C6885" s="141"/>
      <c r="D6885" s="141"/>
      <c r="E6885" s="141"/>
      <c r="F6885" s="141"/>
      <c r="G6885" s="141"/>
      <c r="H6885" s="140"/>
    </row>
    <row r="6886" spans="1:9" s="65" customFormat="1">
      <c r="A6886" s="142"/>
      <c r="B6886" s="143"/>
      <c r="C6886" s="143"/>
      <c r="D6886" s="143"/>
      <c r="E6886" s="143"/>
      <c r="F6886" s="84"/>
      <c r="G6886" s="144"/>
      <c r="H6886" s="145"/>
    </row>
    <row r="6887" spans="1:9" s="65" customFormat="1">
      <c r="A6887" s="123"/>
      <c r="B6887" s="95"/>
      <c r="C6887" s="95"/>
      <c r="D6887" s="95"/>
      <c r="E6887" s="95"/>
      <c r="G6887" s="104"/>
      <c r="H6887" s="121"/>
    </row>
    <row r="6888" spans="1:9" s="65" customFormat="1">
      <c r="A6888" s="123"/>
      <c r="B6888" s="95"/>
      <c r="C6888" s="95"/>
      <c r="D6888" s="95"/>
      <c r="E6888" s="95"/>
      <c r="G6888" s="121"/>
      <c r="H6888" s="133"/>
    </row>
    <row r="6889" spans="1:9" s="65" customFormat="1">
      <c r="B6889" s="97"/>
      <c r="C6889" s="98"/>
      <c r="D6889" s="98"/>
      <c r="E6889" s="98"/>
      <c r="G6889" s="128"/>
    </row>
    <row r="6890" spans="1:9" s="65" customFormat="1">
      <c r="B6890" s="97"/>
      <c r="C6890" s="98"/>
      <c r="D6890" s="98"/>
      <c r="E6890" s="98"/>
      <c r="F6890" s="128"/>
      <c r="G6890" s="133"/>
      <c r="H6890" s="134"/>
    </row>
    <row r="6891" spans="1:9" s="65" customFormat="1">
      <c r="A6891" s="633"/>
      <c r="B6891" s="633"/>
      <c r="C6891" s="633"/>
      <c r="D6891" s="633"/>
      <c r="E6891" s="633"/>
      <c r="F6891" s="633"/>
      <c r="G6891" s="633"/>
    </row>
    <row r="6892" spans="1:9" s="65" customFormat="1">
      <c r="H6892" s="138"/>
      <c r="I6892" s="151"/>
    </row>
    <row r="6893" spans="1:9" s="65" customFormat="1">
      <c r="A6893" s="645"/>
      <c r="B6893" s="138"/>
      <c r="C6893" s="138"/>
      <c r="D6893" s="138"/>
      <c r="E6893" s="138"/>
      <c r="F6893" s="138"/>
      <c r="G6893" s="138"/>
      <c r="H6893" s="138"/>
      <c r="I6893" s="152"/>
    </row>
    <row r="6894" spans="1:9" s="65" customFormat="1">
      <c r="A6894" s="645"/>
      <c r="B6894" s="138"/>
      <c r="C6894" s="138"/>
      <c r="D6894" s="138"/>
      <c r="E6894" s="138"/>
      <c r="F6894" s="138"/>
      <c r="G6894" s="138"/>
    </row>
    <row r="6895" spans="1:9" s="65" customFormat="1">
      <c r="A6895" s="69"/>
      <c r="B6895" s="69"/>
      <c r="C6895" s="69"/>
      <c r="D6895" s="69"/>
      <c r="E6895" s="69"/>
    </row>
    <row r="6896" spans="1:9" s="65" customFormat="1">
      <c r="A6896" s="120"/>
      <c r="B6896" s="73"/>
      <c r="C6896" s="73"/>
      <c r="D6896" s="73"/>
      <c r="E6896" s="73"/>
      <c r="F6896" s="121"/>
      <c r="G6896" s="121"/>
      <c r="H6896" s="121"/>
    </row>
    <row r="6897" spans="1:8" s="65" customFormat="1">
      <c r="A6897" s="128"/>
      <c r="B6897" s="141"/>
      <c r="C6897" s="141"/>
      <c r="D6897" s="141"/>
      <c r="E6897" s="141"/>
      <c r="F6897" s="141"/>
      <c r="G6897" s="141"/>
      <c r="H6897" s="121"/>
    </row>
    <row r="6898" spans="1:8" s="65" customFormat="1">
      <c r="A6898" s="142"/>
      <c r="B6898" s="143"/>
      <c r="C6898" s="143"/>
      <c r="D6898" s="143"/>
      <c r="E6898" s="143"/>
      <c r="F6898" s="84"/>
      <c r="G6898" s="144"/>
      <c r="H6898" s="145"/>
    </row>
    <row r="6899" spans="1:8" s="65" customFormat="1">
      <c r="A6899" s="84"/>
      <c r="B6899" s="83"/>
      <c r="C6899" s="84"/>
      <c r="D6899" s="84"/>
      <c r="E6899" s="84"/>
      <c r="G6899" s="104"/>
      <c r="H6899" s="140"/>
    </row>
    <row r="6900" spans="1:8" s="65" customFormat="1">
      <c r="A6900" s="120"/>
      <c r="B6900" s="73"/>
      <c r="C6900" s="73"/>
      <c r="D6900" s="73"/>
      <c r="E6900" s="73"/>
      <c r="G6900" s="121"/>
      <c r="H6900" s="140"/>
    </row>
    <row r="6901" spans="1:8" s="65" customFormat="1">
      <c r="A6901" s="128"/>
      <c r="B6901" s="141"/>
      <c r="C6901" s="141"/>
      <c r="D6901" s="141"/>
      <c r="E6901" s="141"/>
      <c r="F6901" s="141"/>
      <c r="G6901" s="141"/>
      <c r="H6901" s="140"/>
    </row>
    <row r="6902" spans="1:8" s="65" customFormat="1">
      <c r="A6902" s="150"/>
      <c r="B6902" s="83"/>
      <c r="C6902" s="148"/>
      <c r="D6902" s="160"/>
      <c r="E6902" s="84"/>
      <c r="F6902" s="84"/>
      <c r="G6902" s="144"/>
      <c r="H6902" s="145"/>
    </row>
    <row r="6903" spans="1:8" s="65" customFormat="1">
      <c r="A6903" s="91"/>
      <c r="B6903" s="91"/>
      <c r="C6903" s="91"/>
      <c r="D6903" s="91"/>
      <c r="E6903" s="91"/>
      <c r="G6903" s="104"/>
      <c r="H6903" s="140"/>
    </row>
    <row r="6904" spans="1:8" s="65" customFormat="1">
      <c r="A6904" s="120"/>
      <c r="B6904" s="73"/>
      <c r="C6904" s="73"/>
      <c r="D6904" s="73"/>
      <c r="E6904" s="73"/>
      <c r="G6904" s="121"/>
      <c r="H6904" s="140"/>
    </row>
    <row r="6905" spans="1:8" s="65" customFormat="1">
      <c r="A6905" s="128"/>
      <c r="B6905" s="141"/>
      <c r="C6905" s="141"/>
      <c r="D6905" s="141"/>
      <c r="E6905" s="141"/>
      <c r="F6905" s="141"/>
      <c r="G6905" s="141"/>
      <c r="H6905" s="140"/>
    </row>
    <row r="6906" spans="1:8" s="65" customFormat="1">
      <c r="A6906" s="142"/>
      <c r="B6906" s="143"/>
      <c r="C6906" s="143"/>
      <c r="D6906" s="143"/>
      <c r="E6906" s="143"/>
      <c r="F6906" s="84"/>
      <c r="G6906" s="144"/>
      <c r="H6906" s="145"/>
    </row>
    <row r="6907" spans="1:8" s="65" customFormat="1">
      <c r="A6907" s="91"/>
      <c r="B6907" s="91"/>
      <c r="C6907" s="91"/>
      <c r="D6907" s="91"/>
      <c r="E6907" s="91"/>
      <c r="G6907" s="104"/>
      <c r="H6907" s="140"/>
    </row>
    <row r="6908" spans="1:8" s="65" customFormat="1">
      <c r="A6908" s="120"/>
      <c r="B6908" s="73"/>
      <c r="C6908" s="73"/>
      <c r="D6908" s="73"/>
      <c r="E6908" s="73"/>
      <c r="G6908" s="121"/>
      <c r="H6908" s="140"/>
    </row>
    <row r="6909" spans="1:8" s="65" customFormat="1">
      <c r="A6909" s="128"/>
      <c r="B6909" s="141"/>
      <c r="C6909" s="141"/>
      <c r="D6909" s="141"/>
      <c r="E6909" s="141"/>
      <c r="F6909" s="141"/>
      <c r="G6909" s="141"/>
      <c r="H6909" s="140"/>
    </row>
    <row r="6910" spans="1:8" s="65" customFormat="1">
      <c r="A6910" s="142"/>
      <c r="B6910" s="143"/>
      <c r="C6910" s="143"/>
      <c r="D6910" s="143"/>
      <c r="E6910" s="143"/>
      <c r="F6910" s="84"/>
      <c r="G6910" s="144"/>
      <c r="H6910" s="145"/>
    </row>
    <row r="6911" spans="1:8" s="65" customFormat="1">
      <c r="A6911" s="123"/>
      <c r="B6911" s="95"/>
      <c r="C6911" s="95"/>
      <c r="D6911" s="95"/>
      <c r="E6911" s="95"/>
      <c r="G6911" s="104"/>
      <c r="H6911" s="121"/>
    </row>
    <row r="6912" spans="1:8" s="65" customFormat="1">
      <c r="A6912" s="123"/>
      <c r="B6912" s="95"/>
      <c r="C6912" s="95"/>
      <c r="D6912" s="95"/>
      <c r="E6912" s="95"/>
      <c r="G6912" s="121"/>
      <c r="H6912" s="133"/>
    </row>
    <row r="6913" spans="1:9" s="65" customFormat="1">
      <c r="B6913" s="97"/>
      <c r="C6913" s="98"/>
      <c r="D6913" s="98"/>
      <c r="E6913" s="98"/>
      <c r="G6913" s="128"/>
    </row>
    <row r="6914" spans="1:9" s="65" customFormat="1">
      <c r="B6914" s="97"/>
      <c r="C6914" s="98"/>
      <c r="D6914" s="98"/>
      <c r="E6914" s="98"/>
      <c r="F6914" s="128"/>
      <c r="G6914" s="133"/>
      <c r="H6914" s="134"/>
    </row>
    <row r="6915" spans="1:9" s="65" customFormat="1">
      <c r="A6915" s="633"/>
      <c r="B6915" s="633"/>
      <c r="C6915" s="633"/>
      <c r="D6915" s="633"/>
      <c r="E6915" s="633"/>
      <c r="F6915" s="633"/>
      <c r="G6915" s="633"/>
    </row>
    <row r="6916" spans="1:9" s="65" customFormat="1">
      <c r="H6916" s="138"/>
      <c r="I6916" s="151"/>
    </row>
    <row r="6917" spans="1:9" s="65" customFormat="1">
      <c r="A6917" s="645"/>
      <c r="B6917" s="138"/>
      <c r="C6917" s="138"/>
      <c r="D6917" s="138"/>
      <c r="E6917" s="138"/>
      <c r="F6917" s="138"/>
      <c r="G6917" s="138"/>
      <c r="H6917" s="138"/>
      <c r="I6917" s="152"/>
    </row>
    <row r="6918" spans="1:9" s="65" customFormat="1">
      <c r="A6918" s="645"/>
      <c r="B6918" s="138"/>
      <c r="C6918" s="138"/>
      <c r="D6918" s="138"/>
      <c r="E6918" s="138"/>
      <c r="F6918" s="138"/>
      <c r="G6918" s="138"/>
    </row>
    <row r="6919" spans="1:9" s="65" customFormat="1">
      <c r="A6919" s="69"/>
      <c r="B6919" s="69"/>
      <c r="C6919" s="69"/>
      <c r="D6919" s="69"/>
      <c r="E6919" s="69"/>
    </row>
    <row r="6920" spans="1:9" s="65" customFormat="1">
      <c r="A6920" s="120"/>
      <c r="B6920" s="73"/>
      <c r="C6920" s="73"/>
      <c r="D6920" s="73"/>
      <c r="E6920" s="73"/>
      <c r="F6920" s="121"/>
      <c r="G6920" s="121"/>
      <c r="H6920" s="121"/>
    </row>
    <row r="6921" spans="1:9" s="65" customFormat="1">
      <c r="A6921" s="128"/>
      <c r="B6921" s="141"/>
      <c r="C6921" s="141"/>
      <c r="D6921" s="141"/>
      <c r="E6921" s="141"/>
      <c r="F6921" s="141"/>
      <c r="G6921" s="141"/>
      <c r="H6921" s="121"/>
    </row>
    <row r="6922" spans="1:9" s="65" customFormat="1">
      <c r="A6922" s="142"/>
      <c r="B6922" s="143"/>
      <c r="C6922" s="143"/>
      <c r="D6922" s="143"/>
      <c r="E6922" s="143"/>
      <c r="F6922" s="84"/>
      <c r="G6922" s="144"/>
      <c r="H6922" s="145"/>
    </row>
    <row r="6923" spans="1:9" s="65" customFormat="1">
      <c r="A6923" s="84"/>
      <c r="B6923" s="83"/>
      <c r="C6923" s="84"/>
      <c r="D6923" s="84"/>
      <c r="E6923" s="84"/>
      <c r="G6923" s="104"/>
      <c r="H6923" s="140"/>
    </row>
    <row r="6924" spans="1:9" s="65" customFormat="1">
      <c r="A6924" s="120"/>
      <c r="B6924" s="73"/>
      <c r="C6924" s="73"/>
      <c r="D6924" s="73"/>
      <c r="E6924" s="73"/>
      <c r="G6924" s="121"/>
      <c r="H6924" s="140"/>
    </row>
    <row r="6925" spans="1:9" s="65" customFormat="1">
      <c r="A6925" s="128"/>
      <c r="B6925" s="141"/>
      <c r="C6925" s="141"/>
      <c r="D6925" s="141"/>
      <c r="E6925" s="141"/>
      <c r="F6925" s="141"/>
      <c r="G6925" s="141"/>
      <c r="H6925" s="140"/>
    </row>
    <row r="6926" spans="1:9" s="65" customFormat="1">
      <c r="A6926" s="150"/>
      <c r="B6926" s="83"/>
      <c r="C6926" s="148"/>
      <c r="D6926" s="160"/>
      <c r="E6926" s="84"/>
      <c r="F6926" s="84"/>
      <c r="G6926" s="144"/>
      <c r="H6926" s="145"/>
    </row>
    <row r="6927" spans="1:9" s="65" customFormat="1">
      <c r="A6927" s="91"/>
      <c r="B6927" s="91"/>
      <c r="C6927" s="91"/>
      <c r="D6927" s="91"/>
      <c r="E6927" s="91"/>
      <c r="G6927" s="104"/>
      <c r="H6927" s="140"/>
    </row>
    <row r="6928" spans="1:9" s="65" customFormat="1">
      <c r="A6928" s="120"/>
      <c r="B6928" s="73"/>
      <c r="C6928" s="73"/>
      <c r="D6928" s="73"/>
      <c r="E6928" s="73"/>
      <c r="G6928" s="121"/>
      <c r="H6928" s="140"/>
    </row>
    <row r="6929" spans="1:9" s="65" customFormat="1">
      <c r="A6929" s="128"/>
      <c r="B6929" s="141"/>
      <c r="C6929" s="141"/>
      <c r="D6929" s="141"/>
      <c r="E6929" s="141"/>
      <c r="F6929" s="141"/>
      <c r="G6929" s="141"/>
      <c r="H6929" s="140"/>
    </row>
    <row r="6930" spans="1:9" s="65" customFormat="1">
      <c r="A6930" s="142"/>
      <c r="B6930" s="143"/>
      <c r="C6930" s="143"/>
      <c r="D6930" s="143"/>
      <c r="E6930" s="143"/>
      <c r="F6930" s="84"/>
      <c r="G6930" s="144"/>
      <c r="H6930" s="145"/>
    </row>
    <row r="6931" spans="1:9" s="65" customFormat="1">
      <c r="A6931" s="91"/>
      <c r="B6931" s="91"/>
      <c r="C6931" s="91"/>
      <c r="D6931" s="91"/>
      <c r="E6931" s="91"/>
      <c r="G6931" s="104"/>
      <c r="H6931" s="140"/>
    </row>
    <row r="6932" spans="1:9" s="65" customFormat="1">
      <c r="A6932" s="120"/>
      <c r="B6932" s="73"/>
      <c r="C6932" s="73"/>
      <c r="D6932" s="73"/>
      <c r="E6932" s="73"/>
      <c r="G6932" s="121"/>
      <c r="H6932" s="140"/>
    </row>
    <row r="6933" spans="1:9" s="65" customFormat="1">
      <c r="A6933" s="128"/>
      <c r="B6933" s="141"/>
      <c r="C6933" s="141"/>
      <c r="D6933" s="141"/>
      <c r="E6933" s="141"/>
      <c r="F6933" s="141"/>
      <c r="G6933" s="141"/>
      <c r="H6933" s="140"/>
    </row>
    <row r="6934" spans="1:9" s="65" customFormat="1">
      <c r="A6934" s="142"/>
      <c r="B6934" s="143"/>
      <c r="C6934" s="143"/>
      <c r="D6934" s="143"/>
      <c r="E6934" s="143"/>
      <c r="F6934" s="84"/>
      <c r="G6934" s="144"/>
      <c r="H6934" s="145"/>
    </row>
    <row r="6935" spans="1:9" s="65" customFormat="1">
      <c r="A6935" s="123"/>
      <c r="B6935" s="95"/>
      <c r="C6935" s="95"/>
      <c r="D6935" s="95"/>
      <c r="E6935" s="95"/>
      <c r="G6935" s="104"/>
      <c r="H6935" s="121"/>
    </row>
    <row r="6936" spans="1:9" s="65" customFormat="1">
      <c r="A6936" s="123"/>
      <c r="B6936" s="95"/>
      <c r="C6936" s="95"/>
      <c r="D6936" s="95"/>
      <c r="E6936" s="95"/>
      <c r="G6936" s="121"/>
      <c r="H6936" s="133"/>
    </row>
    <row r="6937" spans="1:9" s="65" customFormat="1">
      <c r="B6937" s="97"/>
      <c r="C6937" s="98"/>
      <c r="D6937" s="98"/>
      <c r="E6937" s="98"/>
      <c r="G6937" s="128"/>
    </row>
    <row r="6938" spans="1:9" s="65" customFormat="1">
      <c r="B6938" s="97"/>
      <c r="C6938" s="98"/>
      <c r="D6938" s="98"/>
      <c r="E6938" s="98"/>
      <c r="F6938" s="128"/>
      <c r="G6938" s="133"/>
      <c r="H6938" s="134"/>
    </row>
    <row r="6939" spans="1:9" s="65" customFormat="1">
      <c r="A6939" s="633"/>
      <c r="B6939" s="633"/>
      <c r="C6939" s="633"/>
      <c r="D6939" s="633"/>
      <c r="E6939" s="633"/>
      <c r="F6939" s="633"/>
      <c r="G6939" s="633"/>
    </row>
    <row r="6940" spans="1:9" s="65" customFormat="1">
      <c r="H6940" s="138"/>
      <c r="I6940" s="151"/>
    </row>
    <row r="6941" spans="1:9" s="65" customFormat="1">
      <c r="A6941" s="645"/>
      <c r="B6941" s="138"/>
      <c r="C6941" s="138"/>
      <c r="D6941" s="138"/>
      <c r="E6941" s="138"/>
      <c r="F6941" s="138"/>
      <c r="G6941" s="138"/>
      <c r="H6941" s="138"/>
      <c r="I6941" s="152"/>
    </row>
    <row r="6942" spans="1:9" s="65" customFormat="1">
      <c r="A6942" s="645"/>
      <c r="B6942" s="138"/>
      <c r="C6942" s="138"/>
      <c r="D6942" s="138"/>
      <c r="E6942" s="138"/>
      <c r="F6942" s="138"/>
      <c r="G6942" s="138"/>
    </row>
    <row r="6943" spans="1:9" s="65" customFormat="1">
      <c r="A6943" s="69"/>
      <c r="B6943" s="69"/>
      <c r="C6943" s="69"/>
      <c r="D6943" s="69"/>
      <c r="E6943" s="69"/>
    </row>
    <row r="6944" spans="1:9" s="65" customFormat="1">
      <c r="A6944" s="120"/>
      <c r="B6944" s="73"/>
      <c r="C6944" s="73"/>
      <c r="D6944" s="73"/>
      <c r="E6944" s="73"/>
      <c r="F6944" s="121"/>
      <c r="G6944" s="121"/>
      <c r="H6944" s="121"/>
    </row>
    <row r="6945" spans="1:8" s="65" customFormat="1">
      <c r="A6945" s="128"/>
      <c r="B6945" s="141"/>
      <c r="C6945" s="141"/>
      <c r="D6945" s="141"/>
      <c r="E6945" s="141"/>
      <c r="F6945" s="141"/>
      <c r="G6945" s="141"/>
      <c r="H6945" s="121"/>
    </row>
    <row r="6946" spans="1:8" s="65" customFormat="1">
      <c r="A6946" s="142"/>
      <c r="B6946" s="143"/>
      <c r="C6946" s="143"/>
      <c r="D6946" s="143"/>
      <c r="E6946" s="143"/>
      <c r="F6946" s="84"/>
      <c r="G6946" s="144"/>
      <c r="H6946" s="145"/>
    </row>
    <row r="6947" spans="1:8" s="65" customFormat="1">
      <c r="A6947" s="84"/>
      <c r="B6947" s="83"/>
      <c r="C6947" s="84"/>
      <c r="D6947" s="84"/>
      <c r="E6947" s="84"/>
      <c r="G6947" s="104"/>
      <c r="H6947" s="140"/>
    </row>
    <row r="6948" spans="1:8" s="65" customFormat="1">
      <c r="A6948" s="120"/>
      <c r="B6948" s="73"/>
      <c r="C6948" s="73"/>
      <c r="D6948" s="73"/>
      <c r="E6948" s="73"/>
      <c r="G6948" s="121"/>
      <c r="H6948" s="140"/>
    </row>
    <row r="6949" spans="1:8" s="65" customFormat="1">
      <c r="A6949" s="128"/>
      <c r="B6949" s="141"/>
      <c r="C6949" s="141"/>
      <c r="D6949" s="141"/>
      <c r="E6949" s="141"/>
      <c r="F6949" s="141"/>
      <c r="G6949" s="141"/>
      <c r="H6949" s="140"/>
    </row>
    <row r="6950" spans="1:8" s="65" customFormat="1">
      <c r="A6950" s="150"/>
      <c r="B6950" s="83"/>
      <c r="C6950" s="148"/>
      <c r="D6950" s="160"/>
      <c r="E6950" s="84"/>
      <c r="F6950" s="84"/>
      <c r="G6950" s="144"/>
      <c r="H6950" s="145"/>
    </row>
    <row r="6951" spans="1:8" s="65" customFormat="1">
      <c r="A6951" s="91"/>
      <c r="B6951" s="91"/>
      <c r="C6951" s="91"/>
      <c r="D6951" s="91"/>
      <c r="E6951" s="91"/>
      <c r="G6951" s="104"/>
      <c r="H6951" s="140"/>
    </row>
    <row r="6952" spans="1:8" s="65" customFormat="1">
      <c r="A6952" s="120"/>
      <c r="B6952" s="73"/>
      <c r="C6952" s="73"/>
      <c r="D6952" s="73"/>
      <c r="E6952" s="73"/>
      <c r="G6952" s="121"/>
      <c r="H6952" s="140"/>
    </row>
    <row r="6953" spans="1:8" s="65" customFormat="1">
      <c r="A6953" s="128"/>
      <c r="B6953" s="141"/>
      <c r="C6953" s="141"/>
      <c r="D6953" s="141"/>
      <c r="E6953" s="141"/>
      <c r="F6953" s="141"/>
      <c r="G6953" s="141"/>
      <c r="H6953" s="140"/>
    </row>
    <row r="6954" spans="1:8" s="65" customFormat="1">
      <c r="A6954" s="142"/>
      <c r="B6954" s="143"/>
      <c r="C6954" s="143"/>
      <c r="D6954" s="143"/>
      <c r="E6954" s="143"/>
      <c r="F6954" s="84"/>
      <c r="G6954" s="144"/>
      <c r="H6954" s="145"/>
    </row>
    <row r="6955" spans="1:8" s="65" customFormat="1">
      <c r="A6955" s="91"/>
      <c r="B6955" s="91"/>
      <c r="C6955" s="91"/>
      <c r="D6955" s="91"/>
      <c r="E6955" s="91"/>
      <c r="G6955" s="104"/>
      <c r="H6955" s="140"/>
    </row>
    <row r="6956" spans="1:8" s="65" customFormat="1">
      <c r="A6956" s="120"/>
      <c r="B6956" s="73"/>
      <c r="C6956" s="73"/>
      <c r="D6956" s="73"/>
      <c r="E6956" s="73"/>
      <c r="G6956" s="121"/>
      <c r="H6956" s="140"/>
    </row>
    <row r="6957" spans="1:8" s="65" customFormat="1">
      <c r="A6957" s="128"/>
      <c r="B6957" s="141"/>
      <c r="C6957" s="141"/>
      <c r="D6957" s="141"/>
      <c r="E6957" s="141"/>
      <c r="F6957" s="141"/>
      <c r="G6957" s="141"/>
      <c r="H6957" s="140"/>
    </row>
    <row r="6958" spans="1:8" s="65" customFormat="1">
      <c r="A6958" s="142"/>
      <c r="B6958" s="143"/>
      <c r="C6958" s="143"/>
      <c r="D6958" s="143"/>
      <c r="E6958" s="143"/>
      <c r="F6958" s="84"/>
      <c r="G6958" s="144"/>
      <c r="H6958" s="145"/>
    </row>
    <row r="6959" spans="1:8" s="65" customFormat="1">
      <c r="A6959" s="123"/>
      <c r="B6959" s="95"/>
      <c r="C6959" s="95"/>
      <c r="D6959" s="95"/>
      <c r="E6959" s="95"/>
      <c r="G6959" s="104"/>
      <c r="H6959" s="121"/>
    </row>
    <row r="6960" spans="1:8" s="65" customFormat="1">
      <c r="A6960" s="123"/>
      <c r="B6960" s="95"/>
      <c r="C6960" s="95"/>
      <c r="D6960" s="95"/>
      <c r="E6960" s="95"/>
      <c r="G6960" s="121"/>
      <c r="H6960" s="133"/>
    </row>
    <row r="6961" spans="1:9" s="65" customFormat="1">
      <c r="B6961" s="97"/>
      <c r="C6961" s="98"/>
      <c r="D6961" s="98"/>
      <c r="E6961" s="98"/>
      <c r="G6961" s="128"/>
    </row>
    <row r="6962" spans="1:9" s="65" customFormat="1">
      <c r="B6962" s="97"/>
      <c r="C6962" s="98"/>
      <c r="D6962" s="98"/>
      <c r="E6962" s="98"/>
      <c r="F6962" s="128"/>
      <c r="G6962" s="133"/>
      <c r="H6962" s="134"/>
    </row>
    <row r="6963" spans="1:9" s="65" customFormat="1">
      <c r="A6963" s="633"/>
      <c r="B6963" s="633"/>
      <c r="C6963" s="633"/>
      <c r="D6963" s="633"/>
      <c r="E6963" s="633"/>
      <c r="F6963" s="633"/>
      <c r="G6963" s="633"/>
    </row>
    <row r="6964" spans="1:9" s="65" customFormat="1">
      <c r="H6964" s="138"/>
      <c r="I6964" s="151"/>
    </row>
    <row r="6965" spans="1:9" s="65" customFormat="1">
      <c r="A6965" s="645"/>
      <c r="B6965" s="138"/>
      <c r="C6965" s="138"/>
      <c r="D6965" s="138"/>
      <c r="E6965" s="138"/>
      <c r="F6965" s="138"/>
      <c r="G6965" s="138"/>
      <c r="H6965" s="138"/>
      <c r="I6965" s="152"/>
    </row>
    <row r="6966" spans="1:9" s="65" customFormat="1">
      <c r="A6966" s="645"/>
      <c r="B6966" s="138"/>
      <c r="C6966" s="138"/>
      <c r="D6966" s="138"/>
      <c r="E6966" s="138"/>
      <c r="F6966" s="138"/>
      <c r="G6966" s="138"/>
    </row>
    <row r="6967" spans="1:9" s="65" customFormat="1">
      <c r="A6967" s="69"/>
      <c r="B6967" s="69"/>
      <c r="C6967" s="69"/>
      <c r="D6967" s="69"/>
      <c r="E6967" s="69"/>
    </row>
    <row r="6968" spans="1:9" s="65" customFormat="1">
      <c r="A6968" s="120"/>
      <c r="B6968" s="73"/>
      <c r="C6968" s="73"/>
      <c r="D6968" s="73"/>
      <c r="E6968" s="73"/>
      <c r="F6968" s="121"/>
      <c r="G6968" s="121"/>
      <c r="H6968" s="121"/>
    </row>
    <row r="6969" spans="1:9" s="65" customFormat="1">
      <c r="A6969" s="128"/>
      <c r="B6969" s="141"/>
      <c r="C6969" s="141"/>
      <c r="D6969" s="141"/>
      <c r="E6969" s="141"/>
      <c r="F6969" s="141"/>
      <c r="G6969" s="141"/>
      <c r="H6969" s="121"/>
    </row>
    <row r="6970" spans="1:9" s="65" customFormat="1">
      <c r="A6970" s="142"/>
      <c r="B6970" s="143"/>
      <c r="C6970" s="143"/>
      <c r="D6970" s="143"/>
      <c r="E6970" s="143"/>
      <c r="F6970" s="84"/>
      <c r="G6970" s="144"/>
      <c r="H6970" s="145"/>
    </row>
    <row r="6971" spans="1:9" s="65" customFormat="1">
      <c r="A6971" s="84"/>
      <c r="B6971" s="83"/>
      <c r="C6971" s="84"/>
      <c r="D6971" s="84"/>
      <c r="E6971" s="84"/>
      <c r="G6971" s="104"/>
      <c r="H6971" s="140"/>
    </row>
    <row r="6972" spans="1:9" s="65" customFormat="1">
      <c r="A6972" s="120"/>
      <c r="B6972" s="73"/>
      <c r="C6972" s="73"/>
      <c r="D6972" s="73"/>
      <c r="E6972" s="73"/>
      <c r="G6972" s="121"/>
      <c r="H6972" s="140"/>
    </row>
    <row r="6973" spans="1:9" s="65" customFormat="1">
      <c r="A6973" s="128"/>
      <c r="B6973" s="141"/>
      <c r="C6973" s="141"/>
      <c r="D6973" s="141"/>
      <c r="E6973" s="141"/>
      <c r="F6973" s="141"/>
      <c r="G6973" s="141"/>
      <c r="H6973" s="140"/>
    </row>
    <row r="6974" spans="1:9" s="65" customFormat="1">
      <c r="A6974" s="150"/>
      <c r="B6974" s="83"/>
      <c r="C6974" s="148"/>
      <c r="D6974" s="160"/>
      <c r="E6974" s="84"/>
      <c r="F6974" s="84"/>
      <c r="G6974" s="144"/>
      <c r="H6974" s="145"/>
    </row>
    <row r="6975" spans="1:9" s="65" customFormat="1">
      <c r="A6975" s="91"/>
      <c r="B6975" s="91"/>
      <c r="C6975" s="91"/>
      <c r="D6975" s="91"/>
      <c r="E6975" s="91"/>
      <c r="G6975" s="104"/>
      <c r="H6975" s="140"/>
    </row>
    <row r="6976" spans="1:9" s="65" customFormat="1">
      <c r="A6976" s="120"/>
      <c r="B6976" s="73"/>
      <c r="C6976" s="73"/>
      <c r="D6976" s="73"/>
      <c r="E6976" s="73"/>
      <c r="G6976" s="121"/>
      <c r="H6976" s="140"/>
    </row>
    <row r="6977" spans="1:9" s="65" customFormat="1">
      <c r="A6977" s="128"/>
      <c r="B6977" s="141"/>
      <c r="C6977" s="141"/>
      <c r="D6977" s="141"/>
      <c r="E6977" s="141"/>
      <c r="F6977" s="141"/>
      <c r="G6977" s="141"/>
      <c r="H6977" s="140"/>
    </row>
    <row r="6978" spans="1:9" s="65" customFormat="1">
      <c r="A6978" s="142"/>
      <c r="B6978" s="143"/>
      <c r="C6978" s="143"/>
      <c r="D6978" s="143"/>
      <c r="E6978" s="143"/>
      <c r="F6978" s="84"/>
      <c r="G6978" s="144"/>
      <c r="H6978" s="145"/>
    </row>
    <row r="6979" spans="1:9" s="65" customFormat="1">
      <c r="A6979" s="91"/>
      <c r="B6979" s="91"/>
      <c r="C6979" s="91"/>
      <c r="D6979" s="91"/>
      <c r="E6979" s="91"/>
      <c r="G6979" s="104"/>
      <c r="H6979" s="140"/>
    </row>
    <row r="6980" spans="1:9" s="65" customFormat="1">
      <c r="A6980" s="120"/>
      <c r="B6980" s="73"/>
      <c r="C6980" s="73"/>
      <c r="D6980" s="73"/>
      <c r="E6980" s="73"/>
      <c r="G6980" s="121"/>
      <c r="H6980" s="140"/>
    </row>
    <row r="6981" spans="1:9" s="65" customFormat="1">
      <c r="A6981" s="128"/>
      <c r="B6981" s="141"/>
      <c r="C6981" s="141"/>
      <c r="D6981" s="141"/>
      <c r="E6981" s="141"/>
      <c r="F6981" s="141"/>
      <c r="G6981" s="141"/>
      <c r="H6981" s="140"/>
    </row>
    <row r="6982" spans="1:9" s="65" customFormat="1">
      <c r="A6982" s="142"/>
      <c r="B6982" s="143"/>
      <c r="C6982" s="143"/>
      <c r="D6982" s="143"/>
      <c r="E6982" s="143"/>
      <c r="F6982" s="84"/>
      <c r="G6982" s="144"/>
      <c r="H6982" s="145"/>
    </row>
    <row r="6983" spans="1:9" s="65" customFormat="1">
      <c r="A6983" s="123"/>
      <c r="B6983" s="95"/>
      <c r="C6983" s="95"/>
      <c r="D6983" s="95"/>
      <c r="E6983" s="95"/>
      <c r="G6983" s="104"/>
      <c r="H6983" s="121"/>
    </row>
    <row r="6984" spans="1:9" s="65" customFormat="1">
      <c r="A6984" s="123"/>
      <c r="B6984" s="95"/>
      <c r="C6984" s="95"/>
      <c r="D6984" s="95"/>
      <c r="E6984" s="95"/>
      <c r="G6984" s="121"/>
      <c r="H6984" s="133"/>
    </row>
    <row r="6985" spans="1:9" s="65" customFormat="1">
      <c r="B6985" s="97"/>
      <c r="C6985" s="98"/>
      <c r="D6985" s="98"/>
      <c r="E6985" s="98"/>
      <c r="G6985" s="128"/>
    </row>
    <row r="6986" spans="1:9" s="65" customFormat="1">
      <c r="B6986" s="97"/>
      <c r="C6986" s="98"/>
      <c r="D6986" s="98"/>
      <c r="E6986" s="98"/>
      <c r="F6986" s="128"/>
      <c r="G6986" s="133"/>
      <c r="H6986" s="134"/>
    </row>
    <row r="6987" spans="1:9" s="65" customFormat="1">
      <c r="A6987" s="633"/>
      <c r="B6987" s="633"/>
      <c r="C6987" s="633"/>
      <c r="D6987" s="633"/>
      <c r="E6987" s="633"/>
      <c r="F6987" s="633"/>
      <c r="G6987" s="633"/>
    </row>
    <row r="6988" spans="1:9" s="65" customFormat="1">
      <c r="H6988" s="138"/>
      <c r="I6988" s="151"/>
    </row>
    <row r="6989" spans="1:9" s="65" customFormat="1">
      <c r="A6989" s="645"/>
      <c r="B6989" s="138"/>
      <c r="C6989" s="138"/>
      <c r="D6989" s="138"/>
      <c r="E6989" s="138"/>
      <c r="F6989" s="138"/>
      <c r="G6989" s="138"/>
      <c r="H6989" s="138"/>
      <c r="I6989" s="152"/>
    </row>
    <row r="6990" spans="1:9" s="65" customFormat="1">
      <c r="A6990" s="645"/>
      <c r="B6990" s="138"/>
      <c r="C6990" s="138"/>
      <c r="D6990" s="138"/>
      <c r="E6990" s="138"/>
      <c r="F6990" s="138"/>
      <c r="G6990" s="138"/>
    </row>
    <row r="6991" spans="1:9" s="65" customFormat="1">
      <c r="A6991" s="69"/>
      <c r="B6991" s="69"/>
      <c r="C6991" s="69"/>
      <c r="D6991" s="69"/>
      <c r="E6991" s="69"/>
    </row>
    <row r="6992" spans="1:9" s="65" customFormat="1">
      <c r="A6992" s="120"/>
      <c r="B6992" s="73"/>
      <c r="C6992" s="73"/>
      <c r="D6992" s="73"/>
      <c r="E6992" s="73"/>
      <c r="F6992" s="121"/>
      <c r="G6992" s="121"/>
      <c r="H6992" s="121"/>
    </row>
    <row r="6993" spans="1:8" s="65" customFormat="1">
      <c r="A6993" s="128"/>
      <c r="B6993" s="141"/>
      <c r="C6993" s="141"/>
      <c r="D6993" s="141"/>
      <c r="E6993" s="141"/>
      <c r="F6993" s="141"/>
      <c r="G6993" s="141"/>
      <c r="H6993" s="121"/>
    </row>
    <row r="6994" spans="1:8" s="65" customFormat="1">
      <c r="A6994" s="142"/>
      <c r="B6994" s="143"/>
      <c r="C6994" s="143"/>
      <c r="D6994" s="143"/>
      <c r="E6994" s="143"/>
      <c r="F6994" s="84"/>
      <c r="G6994" s="144"/>
      <c r="H6994" s="145"/>
    </row>
    <row r="6995" spans="1:8" s="65" customFormat="1">
      <c r="A6995" s="84"/>
      <c r="B6995" s="83"/>
      <c r="C6995" s="84"/>
      <c r="D6995" s="84"/>
      <c r="E6995" s="84"/>
      <c r="G6995" s="104"/>
      <c r="H6995" s="140"/>
    </row>
    <row r="6996" spans="1:8" s="65" customFormat="1">
      <c r="A6996" s="120"/>
      <c r="B6996" s="73"/>
      <c r="C6996" s="73"/>
      <c r="D6996" s="73"/>
      <c r="E6996" s="73"/>
      <c r="G6996" s="121"/>
      <c r="H6996" s="140"/>
    </row>
    <row r="6997" spans="1:8" s="65" customFormat="1">
      <c r="A6997" s="128"/>
      <c r="B6997" s="141"/>
      <c r="C6997" s="141"/>
      <c r="D6997" s="141"/>
      <c r="E6997" s="141"/>
      <c r="F6997" s="141"/>
      <c r="G6997" s="141"/>
      <c r="H6997" s="140"/>
    </row>
    <row r="6998" spans="1:8" s="65" customFormat="1">
      <c r="A6998" s="150"/>
      <c r="B6998" s="83"/>
      <c r="C6998" s="148"/>
      <c r="D6998" s="160"/>
      <c r="E6998" s="84"/>
      <c r="F6998" s="84"/>
      <c r="G6998" s="144"/>
      <c r="H6998" s="145"/>
    </row>
    <row r="6999" spans="1:8" s="65" customFormat="1">
      <c r="A6999" s="91"/>
      <c r="B6999" s="91"/>
      <c r="C6999" s="91"/>
      <c r="D6999" s="91"/>
      <c r="E6999" s="91"/>
      <c r="G6999" s="104"/>
      <c r="H6999" s="140"/>
    </row>
    <row r="7000" spans="1:8" s="65" customFormat="1">
      <c r="A7000" s="120"/>
      <c r="B7000" s="73"/>
      <c r="C7000" s="73"/>
      <c r="D7000" s="73"/>
      <c r="E7000" s="73"/>
      <c r="G7000" s="121"/>
      <c r="H7000" s="140"/>
    </row>
    <row r="7001" spans="1:8" s="65" customFormat="1">
      <c r="A7001" s="128"/>
      <c r="B7001" s="141"/>
      <c r="C7001" s="141"/>
      <c r="D7001" s="141"/>
      <c r="E7001" s="141"/>
      <c r="F7001" s="141"/>
      <c r="G7001" s="141"/>
      <c r="H7001" s="140"/>
    </row>
    <row r="7002" spans="1:8" s="65" customFormat="1">
      <c r="A7002" s="142"/>
      <c r="B7002" s="143"/>
      <c r="C7002" s="143"/>
      <c r="D7002" s="143"/>
      <c r="E7002" s="143"/>
      <c r="F7002" s="84"/>
      <c r="G7002" s="144"/>
      <c r="H7002" s="145"/>
    </row>
    <row r="7003" spans="1:8" s="65" customFormat="1">
      <c r="A7003" s="91"/>
      <c r="B7003" s="91"/>
      <c r="C7003" s="91"/>
      <c r="D7003" s="91"/>
      <c r="E7003" s="91"/>
      <c r="G7003" s="104"/>
      <c r="H7003" s="140"/>
    </row>
    <row r="7004" spans="1:8" s="65" customFormat="1">
      <c r="A7004" s="120"/>
      <c r="B7004" s="73"/>
      <c r="C7004" s="73"/>
      <c r="D7004" s="73"/>
      <c r="E7004" s="73"/>
      <c r="G7004" s="121"/>
      <c r="H7004" s="140"/>
    </row>
    <row r="7005" spans="1:8" s="65" customFormat="1">
      <c r="A7005" s="128"/>
      <c r="B7005" s="141"/>
      <c r="C7005" s="141"/>
      <c r="D7005" s="141"/>
      <c r="E7005" s="141"/>
      <c r="F7005" s="141"/>
      <c r="G7005" s="141"/>
      <c r="H7005" s="140"/>
    </row>
    <row r="7006" spans="1:8" s="65" customFormat="1">
      <c r="A7006" s="142"/>
      <c r="B7006" s="143"/>
      <c r="C7006" s="143"/>
      <c r="D7006" s="143"/>
      <c r="E7006" s="143"/>
      <c r="F7006" s="84"/>
      <c r="G7006" s="144"/>
      <c r="H7006" s="145"/>
    </row>
    <row r="7007" spans="1:8" s="65" customFormat="1">
      <c r="A7007" s="123"/>
      <c r="B7007" s="95"/>
      <c r="C7007" s="95"/>
      <c r="D7007" s="95"/>
      <c r="E7007" s="95"/>
      <c r="G7007" s="104"/>
      <c r="H7007" s="121"/>
    </row>
    <row r="7008" spans="1:8" s="65" customFormat="1">
      <c r="A7008" s="123"/>
      <c r="B7008" s="95"/>
      <c r="C7008" s="95"/>
      <c r="D7008" s="95"/>
      <c r="E7008" s="95"/>
      <c r="G7008" s="121"/>
      <c r="H7008" s="133"/>
    </row>
    <row r="7009" spans="1:9" s="65" customFormat="1">
      <c r="B7009" s="97"/>
      <c r="C7009" s="98"/>
      <c r="D7009" s="98"/>
      <c r="E7009" s="98"/>
      <c r="G7009" s="128"/>
    </row>
    <row r="7010" spans="1:9" s="65" customFormat="1">
      <c r="B7010" s="97"/>
      <c r="C7010" s="98"/>
      <c r="D7010" s="98"/>
      <c r="E7010" s="98"/>
      <c r="F7010" s="128"/>
      <c r="G7010" s="133"/>
      <c r="H7010" s="134"/>
    </row>
    <row r="7011" spans="1:9" s="65" customFormat="1">
      <c r="A7011" s="633"/>
      <c r="B7011" s="633"/>
      <c r="C7011" s="633"/>
      <c r="D7011" s="633"/>
      <c r="E7011" s="633"/>
      <c r="F7011" s="633"/>
      <c r="G7011" s="633"/>
    </row>
    <row r="7012" spans="1:9" s="65" customFormat="1">
      <c r="H7012" s="138"/>
      <c r="I7012" s="151"/>
    </row>
    <row r="7013" spans="1:9" s="65" customFormat="1">
      <c r="A7013" s="645"/>
      <c r="B7013" s="138"/>
      <c r="C7013" s="138"/>
      <c r="D7013" s="138"/>
      <c r="E7013" s="138"/>
      <c r="F7013" s="138"/>
      <c r="G7013" s="138"/>
      <c r="H7013" s="138"/>
      <c r="I7013" s="152"/>
    </row>
    <row r="7014" spans="1:9" s="65" customFormat="1">
      <c r="A7014" s="645"/>
      <c r="B7014" s="138"/>
      <c r="C7014" s="138"/>
      <c r="D7014" s="138"/>
      <c r="E7014" s="138"/>
      <c r="F7014" s="138"/>
      <c r="G7014" s="138"/>
    </row>
    <row r="7015" spans="1:9" s="65" customFormat="1">
      <c r="A7015" s="69"/>
      <c r="B7015" s="69"/>
      <c r="C7015" s="69"/>
      <c r="D7015" s="69"/>
      <c r="E7015" s="69"/>
    </row>
    <row r="7016" spans="1:9" s="65" customFormat="1">
      <c r="A7016" s="120"/>
      <c r="B7016" s="73"/>
      <c r="C7016" s="73"/>
      <c r="D7016" s="73"/>
      <c r="E7016" s="73"/>
      <c r="F7016" s="121"/>
      <c r="G7016" s="121"/>
      <c r="H7016" s="121"/>
    </row>
    <row r="7017" spans="1:9" s="65" customFormat="1">
      <c r="A7017" s="128"/>
      <c r="B7017" s="141"/>
      <c r="C7017" s="141"/>
      <c r="D7017" s="141"/>
      <c r="E7017" s="141"/>
      <c r="F7017" s="141"/>
      <c r="G7017" s="141"/>
      <c r="H7017" s="121"/>
    </row>
    <row r="7018" spans="1:9" s="65" customFormat="1">
      <c r="A7018" s="142"/>
      <c r="B7018" s="143"/>
      <c r="C7018" s="143"/>
      <c r="D7018" s="143"/>
      <c r="E7018" s="143"/>
      <c r="F7018" s="84"/>
      <c r="G7018" s="144"/>
      <c r="H7018" s="145"/>
    </row>
    <row r="7019" spans="1:9" s="65" customFormat="1">
      <c r="A7019" s="84"/>
      <c r="B7019" s="83"/>
      <c r="C7019" s="84"/>
      <c r="D7019" s="84"/>
      <c r="E7019" s="84"/>
      <c r="G7019" s="104"/>
      <c r="H7019" s="140"/>
    </row>
    <row r="7020" spans="1:9" s="65" customFormat="1">
      <c r="A7020" s="120"/>
      <c r="B7020" s="73"/>
      <c r="C7020" s="73"/>
      <c r="D7020" s="73"/>
      <c r="E7020" s="73"/>
      <c r="G7020" s="121"/>
      <c r="H7020" s="140"/>
    </row>
    <row r="7021" spans="1:9" s="65" customFormat="1">
      <c r="A7021" s="128"/>
      <c r="B7021" s="141"/>
      <c r="C7021" s="141"/>
      <c r="D7021" s="141"/>
      <c r="E7021" s="141"/>
      <c r="F7021" s="141"/>
      <c r="G7021" s="141"/>
      <c r="H7021" s="140"/>
    </row>
    <row r="7022" spans="1:9" s="65" customFormat="1">
      <c r="A7022" s="150"/>
      <c r="B7022" s="83"/>
      <c r="C7022" s="148"/>
      <c r="D7022" s="160"/>
      <c r="E7022" s="84"/>
      <c r="F7022" s="84"/>
      <c r="G7022" s="144"/>
      <c r="H7022" s="145"/>
    </row>
    <row r="7023" spans="1:9" s="65" customFormat="1">
      <c r="A7023" s="91"/>
      <c r="B7023" s="91"/>
      <c r="C7023" s="91"/>
      <c r="D7023" s="91"/>
      <c r="E7023" s="91"/>
      <c r="G7023" s="104"/>
      <c r="H7023" s="140"/>
    </row>
    <row r="7024" spans="1:9" s="65" customFormat="1">
      <c r="A7024" s="120"/>
      <c r="B7024" s="73"/>
      <c r="C7024" s="73"/>
      <c r="D7024" s="73"/>
      <c r="E7024" s="73"/>
      <c r="G7024" s="121"/>
      <c r="H7024" s="140"/>
    </row>
    <row r="7025" spans="1:9" s="65" customFormat="1">
      <c r="A7025" s="128"/>
      <c r="B7025" s="141"/>
      <c r="C7025" s="141"/>
      <c r="D7025" s="141"/>
      <c r="E7025" s="141"/>
      <c r="F7025" s="141"/>
      <c r="G7025" s="141"/>
      <c r="H7025" s="140"/>
    </row>
    <row r="7026" spans="1:9" s="65" customFormat="1">
      <c r="A7026" s="142"/>
      <c r="B7026" s="143"/>
      <c r="C7026" s="143"/>
      <c r="D7026" s="143"/>
      <c r="E7026" s="143"/>
      <c r="F7026" s="84"/>
      <c r="G7026" s="144"/>
      <c r="H7026" s="145"/>
    </row>
    <row r="7027" spans="1:9" s="65" customFormat="1">
      <c r="A7027" s="91"/>
      <c r="B7027" s="91"/>
      <c r="C7027" s="91"/>
      <c r="D7027" s="91"/>
      <c r="E7027" s="91"/>
      <c r="G7027" s="104"/>
      <c r="H7027" s="140"/>
    </row>
    <row r="7028" spans="1:9" s="65" customFormat="1">
      <c r="A7028" s="120"/>
      <c r="B7028" s="73"/>
      <c r="C7028" s="73"/>
      <c r="D7028" s="73"/>
      <c r="E7028" s="73"/>
      <c r="G7028" s="121"/>
      <c r="H7028" s="140"/>
    </row>
    <row r="7029" spans="1:9" s="65" customFormat="1">
      <c r="A7029" s="128"/>
      <c r="B7029" s="141"/>
      <c r="C7029" s="141"/>
      <c r="D7029" s="141"/>
      <c r="E7029" s="141"/>
      <c r="F7029" s="141"/>
      <c r="G7029" s="141"/>
      <c r="H7029" s="140"/>
    </row>
    <row r="7030" spans="1:9" s="65" customFormat="1">
      <c r="A7030" s="142"/>
      <c r="B7030" s="143"/>
      <c r="C7030" s="143"/>
      <c r="D7030" s="143"/>
      <c r="E7030" s="143"/>
      <c r="F7030" s="84"/>
      <c r="G7030" s="144"/>
      <c r="H7030" s="145"/>
    </row>
    <row r="7031" spans="1:9" s="65" customFormat="1">
      <c r="A7031" s="123"/>
      <c r="B7031" s="95"/>
      <c r="C7031" s="95"/>
      <c r="D7031" s="95"/>
      <c r="E7031" s="95"/>
      <c r="G7031" s="104"/>
      <c r="H7031" s="121"/>
    </row>
    <row r="7032" spans="1:9" s="65" customFormat="1">
      <c r="A7032" s="123"/>
      <c r="B7032" s="95"/>
      <c r="C7032" s="95"/>
      <c r="D7032" s="95"/>
      <c r="E7032" s="95"/>
      <c r="G7032" s="121"/>
      <c r="H7032" s="133"/>
    </row>
    <row r="7033" spans="1:9" s="65" customFormat="1">
      <c r="B7033" s="97"/>
      <c r="C7033" s="98"/>
      <c r="D7033" s="98"/>
      <c r="E7033" s="98"/>
      <c r="G7033" s="128"/>
    </row>
    <row r="7034" spans="1:9" s="65" customFormat="1">
      <c r="B7034" s="97"/>
      <c r="C7034" s="98"/>
      <c r="D7034" s="98"/>
      <c r="E7034" s="98"/>
      <c r="F7034" s="128"/>
      <c r="G7034" s="133"/>
      <c r="H7034" s="134"/>
    </row>
    <row r="7035" spans="1:9" s="65" customFormat="1">
      <c r="A7035" s="633"/>
      <c r="B7035" s="633"/>
      <c r="C7035" s="633"/>
      <c r="D7035" s="633"/>
      <c r="E7035" s="633"/>
      <c r="F7035" s="633"/>
      <c r="G7035" s="633"/>
    </row>
    <row r="7036" spans="1:9" s="65" customFormat="1">
      <c r="H7036" s="138"/>
      <c r="I7036" s="151"/>
    </row>
    <row r="7037" spans="1:9" s="65" customFormat="1">
      <c r="A7037" s="645"/>
      <c r="B7037" s="138"/>
      <c r="C7037" s="138"/>
      <c r="D7037" s="138"/>
      <c r="E7037" s="138"/>
      <c r="F7037" s="138"/>
      <c r="G7037" s="138"/>
      <c r="H7037" s="138"/>
      <c r="I7037" s="152"/>
    </row>
    <row r="7038" spans="1:9" s="65" customFormat="1">
      <c r="A7038" s="645"/>
      <c r="B7038" s="138"/>
      <c r="C7038" s="138"/>
      <c r="D7038" s="138"/>
      <c r="E7038" s="138"/>
      <c r="F7038" s="138"/>
      <c r="G7038" s="138"/>
    </row>
    <row r="7039" spans="1:9" s="65" customFormat="1">
      <c r="A7039" s="69"/>
      <c r="B7039" s="69"/>
      <c r="C7039" s="69"/>
      <c r="D7039" s="69"/>
      <c r="E7039" s="69"/>
    </row>
    <row r="7040" spans="1:9" s="65" customFormat="1">
      <c r="A7040" s="120"/>
      <c r="B7040" s="73"/>
      <c r="C7040" s="73"/>
      <c r="D7040" s="73"/>
      <c r="E7040" s="73"/>
      <c r="F7040" s="121"/>
      <c r="G7040" s="121"/>
      <c r="H7040" s="121"/>
    </row>
    <row r="7041" spans="1:8" s="65" customFormat="1">
      <c r="A7041" s="128"/>
      <c r="B7041" s="141"/>
      <c r="C7041" s="141"/>
      <c r="D7041" s="141"/>
      <c r="E7041" s="141"/>
      <c r="F7041" s="141"/>
      <c r="G7041" s="141"/>
      <c r="H7041" s="121"/>
    </row>
    <row r="7042" spans="1:8" s="65" customFormat="1">
      <c r="A7042" s="142"/>
      <c r="B7042" s="143"/>
      <c r="C7042" s="143"/>
      <c r="D7042" s="143"/>
      <c r="E7042" s="143"/>
      <c r="F7042" s="84"/>
      <c r="G7042" s="144"/>
      <c r="H7042" s="145"/>
    </row>
    <row r="7043" spans="1:8" s="65" customFormat="1">
      <c r="A7043" s="84"/>
      <c r="B7043" s="83"/>
      <c r="C7043" s="84"/>
      <c r="D7043" s="84"/>
      <c r="E7043" s="84"/>
      <c r="G7043" s="104"/>
      <c r="H7043" s="140"/>
    </row>
    <row r="7044" spans="1:8" s="65" customFormat="1">
      <c r="A7044" s="120"/>
      <c r="B7044" s="73"/>
      <c r="C7044" s="73"/>
      <c r="D7044" s="73"/>
      <c r="E7044" s="73"/>
      <c r="G7044" s="121"/>
      <c r="H7044" s="140"/>
    </row>
    <row r="7045" spans="1:8" s="65" customFormat="1">
      <c r="A7045" s="128"/>
      <c r="B7045" s="141"/>
      <c r="C7045" s="141"/>
      <c r="D7045" s="141"/>
      <c r="E7045" s="141"/>
      <c r="F7045" s="141"/>
      <c r="G7045" s="141"/>
      <c r="H7045" s="140"/>
    </row>
    <row r="7046" spans="1:8" s="65" customFormat="1">
      <c r="A7046" s="150"/>
      <c r="B7046" s="83"/>
      <c r="C7046" s="148"/>
      <c r="D7046" s="160"/>
      <c r="E7046" s="84"/>
      <c r="F7046" s="84"/>
      <c r="G7046" s="144"/>
      <c r="H7046" s="145"/>
    </row>
    <row r="7047" spans="1:8" s="65" customFormat="1">
      <c r="A7047" s="91"/>
      <c r="B7047" s="91"/>
      <c r="C7047" s="91"/>
      <c r="D7047" s="91"/>
      <c r="E7047" s="91"/>
      <c r="G7047" s="104"/>
      <c r="H7047" s="140"/>
    </row>
    <row r="7048" spans="1:8" s="65" customFormat="1">
      <c r="A7048" s="120"/>
      <c r="B7048" s="73"/>
      <c r="C7048" s="73"/>
      <c r="D7048" s="73"/>
      <c r="E7048" s="73"/>
      <c r="G7048" s="121"/>
      <c r="H7048" s="140"/>
    </row>
    <row r="7049" spans="1:8" s="65" customFormat="1">
      <c r="A7049" s="128"/>
      <c r="B7049" s="141"/>
      <c r="C7049" s="141"/>
      <c r="D7049" s="141"/>
      <c r="E7049" s="141"/>
      <c r="F7049" s="141"/>
      <c r="G7049" s="141"/>
      <c r="H7049" s="140"/>
    </row>
    <row r="7050" spans="1:8" s="65" customFormat="1">
      <c r="A7050" s="142"/>
      <c r="B7050" s="143"/>
      <c r="C7050" s="143"/>
      <c r="D7050" s="143"/>
      <c r="E7050" s="143"/>
      <c r="F7050" s="84"/>
      <c r="G7050" s="144"/>
      <c r="H7050" s="145"/>
    </row>
    <row r="7051" spans="1:8" s="65" customFormat="1">
      <c r="A7051" s="91"/>
      <c r="B7051" s="91"/>
      <c r="C7051" s="91"/>
      <c r="D7051" s="91"/>
      <c r="E7051" s="91"/>
      <c r="G7051" s="104"/>
      <c r="H7051" s="140"/>
    </row>
    <row r="7052" spans="1:8" s="65" customFormat="1">
      <c r="A7052" s="120"/>
      <c r="B7052" s="73"/>
      <c r="C7052" s="73"/>
      <c r="D7052" s="73"/>
      <c r="E7052" s="73"/>
      <c r="G7052" s="121"/>
      <c r="H7052" s="140"/>
    </row>
    <row r="7053" spans="1:8" s="65" customFormat="1">
      <c r="A7053" s="128"/>
      <c r="B7053" s="141"/>
      <c r="C7053" s="141"/>
      <c r="D7053" s="141"/>
      <c r="E7053" s="141"/>
      <c r="F7053" s="141"/>
      <c r="G7053" s="141"/>
      <c r="H7053" s="140"/>
    </row>
    <row r="7054" spans="1:8" s="65" customFormat="1">
      <c r="A7054" s="142"/>
      <c r="B7054" s="143"/>
      <c r="C7054" s="143"/>
      <c r="D7054" s="143"/>
      <c r="E7054" s="143"/>
      <c r="F7054" s="84"/>
      <c r="G7054" s="144"/>
      <c r="H7054" s="145"/>
    </row>
    <row r="7055" spans="1:8" s="65" customFormat="1">
      <c r="A7055" s="123"/>
      <c r="B7055" s="95"/>
      <c r="C7055" s="95"/>
      <c r="D7055" s="95"/>
      <c r="E7055" s="95"/>
      <c r="G7055" s="104"/>
      <c r="H7055" s="121"/>
    </row>
    <row r="7056" spans="1:8" s="65" customFormat="1">
      <c r="A7056" s="123"/>
      <c r="B7056" s="95"/>
      <c r="C7056" s="95"/>
      <c r="D7056" s="95"/>
      <c r="E7056" s="95"/>
      <c r="G7056" s="121"/>
      <c r="H7056" s="133"/>
    </row>
    <row r="7057" spans="1:9" s="65" customFormat="1">
      <c r="B7057" s="97"/>
      <c r="C7057" s="98"/>
      <c r="D7057" s="98"/>
      <c r="E7057" s="98"/>
      <c r="G7057" s="128"/>
    </row>
    <row r="7058" spans="1:9" s="65" customFormat="1">
      <c r="B7058" s="97"/>
      <c r="C7058" s="98"/>
      <c r="D7058" s="98"/>
      <c r="E7058" s="98"/>
      <c r="F7058" s="128"/>
      <c r="G7058" s="133"/>
      <c r="H7058" s="134"/>
    </row>
    <row r="7059" spans="1:9" s="65" customFormat="1">
      <c r="A7059" s="633"/>
      <c r="B7059" s="633"/>
      <c r="C7059" s="633"/>
      <c r="D7059" s="633"/>
      <c r="E7059" s="633"/>
      <c r="F7059" s="633"/>
      <c r="G7059" s="633"/>
    </row>
    <row r="7060" spans="1:9" s="65" customFormat="1">
      <c r="H7060" s="138"/>
      <c r="I7060" s="151"/>
    </row>
    <row r="7061" spans="1:9" s="65" customFormat="1">
      <c r="A7061" s="645"/>
      <c r="B7061" s="138"/>
      <c r="C7061" s="138"/>
      <c r="D7061" s="138"/>
      <c r="E7061" s="138"/>
      <c r="F7061" s="138"/>
      <c r="G7061" s="138"/>
      <c r="H7061" s="138"/>
      <c r="I7061" s="152"/>
    </row>
    <row r="7062" spans="1:9" s="65" customFormat="1">
      <c r="A7062" s="645"/>
      <c r="B7062" s="138"/>
      <c r="C7062" s="138"/>
      <c r="D7062" s="138"/>
      <c r="E7062" s="138"/>
      <c r="F7062" s="138"/>
      <c r="G7062" s="138"/>
    </row>
    <row r="7063" spans="1:9" s="65" customFormat="1">
      <c r="A7063" s="69"/>
      <c r="B7063" s="69"/>
      <c r="C7063" s="69"/>
      <c r="D7063" s="69"/>
      <c r="E7063" s="69"/>
    </row>
    <row r="7064" spans="1:9" s="65" customFormat="1">
      <c r="A7064" s="120"/>
      <c r="B7064" s="73"/>
      <c r="C7064" s="73"/>
      <c r="D7064" s="73"/>
      <c r="E7064" s="73"/>
      <c r="F7064" s="121"/>
      <c r="G7064" s="121"/>
      <c r="H7064" s="121"/>
    </row>
    <row r="7065" spans="1:9" s="65" customFormat="1">
      <c r="A7065" s="128"/>
      <c r="B7065" s="141"/>
      <c r="C7065" s="141"/>
      <c r="D7065" s="141"/>
      <c r="E7065" s="141"/>
      <c r="F7065" s="141"/>
      <c r="G7065" s="141"/>
      <c r="H7065" s="121"/>
    </row>
    <row r="7066" spans="1:9" s="65" customFormat="1">
      <c r="A7066" s="142"/>
      <c r="B7066" s="143"/>
      <c r="C7066" s="143"/>
      <c r="D7066" s="143"/>
      <c r="E7066" s="143"/>
      <c r="F7066" s="84"/>
      <c r="G7066" s="144"/>
      <c r="H7066" s="145"/>
    </row>
    <row r="7067" spans="1:9" s="65" customFormat="1">
      <c r="A7067" s="84"/>
      <c r="B7067" s="83"/>
      <c r="C7067" s="84"/>
      <c r="D7067" s="84"/>
      <c r="E7067" s="84"/>
      <c r="G7067" s="104"/>
      <c r="H7067" s="140"/>
    </row>
    <row r="7068" spans="1:9" s="65" customFormat="1">
      <c r="A7068" s="120"/>
      <c r="B7068" s="73"/>
      <c r="C7068" s="73"/>
      <c r="D7068" s="73"/>
      <c r="E7068" s="73"/>
      <c r="G7068" s="121"/>
      <c r="H7068" s="140"/>
    </row>
    <row r="7069" spans="1:9" s="65" customFormat="1">
      <c r="A7069" s="128"/>
      <c r="B7069" s="141"/>
      <c r="C7069" s="141"/>
      <c r="D7069" s="141"/>
      <c r="E7069" s="141"/>
      <c r="F7069" s="141"/>
      <c r="G7069" s="141"/>
      <c r="H7069" s="140"/>
    </row>
    <row r="7070" spans="1:9" s="65" customFormat="1">
      <c r="A7070" s="150"/>
      <c r="B7070" s="83"/>
      <c r="C7070" s="148"/>
      <c r="D7070" s="160"/>
      <c r="E7070" s="84"/>
      <c r="F7070" s="84"/>
      <c r="G7070" s="144"/>
      <c r="H7070" s="145"/>
    </row>
    <row r="7071" spans="1:9" s="65" customFormat="1">
      <c r="A7071" s="91"/>
      <c r="B7071" s="91"/>
      <c r="C7071" s="91"/>
      <c r="D7071" s="91"/>
      <c r="E7071" s="91"/>
      <c r="G7071" s="104"/>
      <c r="H7071" s="140"/>
    </row>
    <row r="7072" spans="1:9" s="65" customFormat="1">
      <c r="A7072" s="120"/>
      <c r="B7072" s="73"/>
      <c r="C7072" s="73"/>
      <c r="D7072" s="73"/>
      <c r="E7072" s="73"/>
      <c r="G7072" s="121"/>
      <c r="H7072" s="140"/>
    </row>
    <row r="7073" spans="1:9" s="65" customFormat="1">
      <c r="A7073" s="128"/>
      <c r="B7073" s="141"/>
      <c r="C7073" s="141"/>
      <c r="D7073" s="141"/>
      <c r="E7073" s="141"/>
      <c r="F7073" s="141"/>
      <c r="G7073" s="141"/>
      <c r="H7073" s="140"/>
    </row>
    <row r="7074" spans="1:9" s="65" customFormat="1">
      <c r="A7074" s="142"/>
      <c r="B7074" s="143"/>
      <c r="C7074" s="143"/>
      <c r="D7074" s="143"/>
      <c r="E7074" s="143"/>
      <c r="F7074" s="84"/>
      <c r="G7074" s="144"/>
      <c r="H7074" s="145"/>
    </row>
    <row r="7075" spans="1:9" s="65" customFormat="1">
      <c r="A7075" s="91"/>
      <c r="B7075" s="91"/>
      <c r="C7075" s="91"/>
      <c r="D7075" s="91"/>
      <c r="E7075" s="91"/>
      <c r="G7075" s="104"/>
      <c r="H7075" s="140"/>
    </row>
    <row r="7076" spans="1:9" s="65" customFormat="1">
      <c r="A7076" s="120"/>
      <c r="B7076" s="73"/>
      <c r="C7076" s="73"/>
      <c r="D7076" s="73"/>
      <c r="E7076" s="73"/>
      <c r="G7076" s="121"/>
      <c r="H7076" s="140"/>
    </row>
    <row r="7077" spans="1:9" s="65" customFormat="1">
      <c r="A7077" s="128"/>
      <c r="B7077" s="141"/>
      <c r="C7077" s="141"/>
      <c r="D7077" s="141"/>
      <c r="E7077" s="141"/>
      <c r="F7077" s="141"/>
      <c r="G7077" s="141"/>
      <c r="H7077" s="140"/>
    </row>
    <row r="7078" spans="1:9" s="65" customFormat="1">
      <c r="A7078" s="142"/>
      <c r="B7078" s="143"/>
      <c r="C7078" s="143"/>
      <c r="D7078" s="143"/>
      <c r="E7078" s="143"/>
      <c r="F7078" s="84"/>
      <c r="G7078" s="144"/>
      <c r="H7078" s="145"/>
    </row>
    <row r="7079" spans="1:9" s="65" customFormat="1">
      <c r="A7079" s="123"/>
      <c r="B7079" s="95"/>
      <c r="C7079" s="95"/>
      <c r="D7079" s="95"/>
      <c r="E7079" s="95"/>
      <c r="G7079" s="104"/>
      <c r="H7079" s="121"/>
    </row>
    <row r="7080" spans="1:9" s="65" customFormat="1">
      <c r="A7080" s="123"/>
      <c r="B7080" s="95"/>
      <c r="C7080" s="95"/>
      <c r="D7080" s="95"/>
      <c r="E7080" s="95"/>
      <c r="G7080" s="121"/>
      <c r="H7080" s="133"/>
    </row>
    <row r="7081" spans="1:9" s="65" customFormat="1">
      <c r="B7081" s="97"/>
      <c r="C7081" s="98"/>
      <c r="D7081" s="98"/>
      <c r="E7081" s="98"/>
      <c r="G7081" s="128"/>
    </row>
    <row r="7082" spans="1:9" s="65" customFormat="1">
      <c r="B7082" s="97"/>
      <c r="C7082" s="98"/>
      <c r="D7082" s="98"/>
      <c r="E7082" s="98"/>
      <c r="F7082" s="128"/>
      <c r="G7082" s="133"/>
      <c r="H7082" s="134"/>
    </row>
    <row r="7083" spans="1:9" s="65" customFormat="1">
      <c r="A7083" s="633"/>
      <c r="B7083" s="633"/>
      <c r="C7083" s="633"/>
      <c r="D7083" s="633"/>
      <c r="E7083" s="633"/>
      <c r="F7083" s="633"/>
      <c r="G7083" s="633"/>
    </row>
    <row r="7084" spans="1:9" s="65" customFormat="1">
      <c r="H7084" s="138"/>
      <c r="I7084" s="151"/>
    </row>
    <row r="7085" spans="1:9" s="65" customFormat="1" ht="18.75" customHeight="1">
      <c r="A7085" s="645"/>
      <c r="B7085" s="138"/>
      <c r="C7085" s="138"/>
      <c r="D7085" s="138"/>
      <c r="E7085" s="138"/>
      <c r="F7085" s="138"/>
      <c r="G7085" s="138"/>
      <c r="H7085" s="138"/>
      <c r="I7085" s="152"/>
    </row>
    <row r="7086" spans="1:9" s="65" customFormat="1">
      <c r="A7086" s="645"/>
      <c r="B7086" s="138"/>
      <c r="C7086" s="138"/>
      <c r="D7086" s="138"/>
      <c r="E7086" s="138"/>
      <c r="F7086" s="138"/>
      <c r="G7086" s="138"/>
    </row>
    <row r="7087" spans="1:9" s="65" customFormat="1">
      <c r="A7087" s="69"/>
      <c r="B7087" s="69"/>
      <c r="C7087" s="69"/>
      <c r="D7087" s="69"/>
      <c r="E7087" s="69"/>
    </row>
    <row r="7088" spans="1:9" s="65" customFormat="1">
      <c r="A7088" s="120"/>
      <c r="B7088" s="73"/>
      <c r="C7088" s="73"/>
      <c r="D7088" s="73"/>
      <c r="E7088" s="73"/>
      <c r="F7088" s="121"/>
      <c r="G7088" s="121"/>
      <c r="H7088" s="121"/>
    </row>
    <row r="7089" spans="1:8" s="65" customFormat="1">
      <c r="A7089" s="128"/>
      <c r="B7089" s="141"/>
      <c r="C7089" s="141"/>
      <c r="D7089" s="141"/>
      <c r="E7089" s="141"/>
      <c r="F7089" s="141"/>
      <c r="G7089" s="141"/>
      <c r="H7089" s="121"/>
    </row>
    <row r="7090" spans="1:8" s="65" customFormat="1">
      <c r="A7090" s="142"/>
      <c r="B7090" s="143"/>
      <c r="C7090" s="143"/>
      <c r="D7090" s="143"/>
      <c r="E7090" s="143"/>
      <c r="F7090" s="84"/>
      <c r="G7090" s="144"/>
      <c r="H7090" s="145"/>
    </row>
    <row r="7091" spans="1:8" s="65" customFormat="1">
      <c r="A7091" s="84"/>
      <c r="B7091" s="83"/>
      <c r="C7091" s="84"/>
      <c r="D7091" s="84"/>
      <c r="E7091" s="84"/>
      <c r="G7091" s="104"/>
      <c r="H7091" s="140"/>
    </row>
    <row r="7092" spans="1:8" s="65" customFormat="1">
      <c r="A7092" s="120"/>
      <c r="B7092" s="73"/>
      <c r="C7092" s="73"/>
      <c r="D7092" s="73"/>
      <c r="E7092" s="73"/>
      <c r="G7092" s="121"/>
      <c r="H7092" s="140"/>
    </row>
    <row r="7093" spans="1:8" s="65" customFormat="1">
      <c r="A7093" s="128"/>
      <c r="B7093" s="141"/>
      <c r="C7093" s="141"/>
      <c r="D7093" s="141"/>
      <c r="E7093" s="141"/>
      <c r="F7093" s="141"/>
      <c r="G7093" s="141"/>
      <c r="H7093" s="140"/>
    </row>
    <row r="7094" spans="1:8" s="65" customFormat="1">
      <c r="A7094" s="150"/>
      <c r="B7094" s="83"/>
      <c r="C7094" s="148"/>
      <c r="D7094" s="160"/>
      <c r="E7094" s="84"/>
      <c r="F7094" s="84"/>
      <c r="G7094" s="144"/>
      <c r="H7094" s="145"/>
    </row>
    <row r="7095" spans="1:8" s="65" customFormat="1">
      <c r="A7095" s="91"/>
      <c r="B7095" s="91"/>
      <c r="C7095" s="91"/>
      <c r="D7095" s="91"/>
      <c r="E7095" s="91"/>
      <c r="G7095" s="104"/>
      <c r="H7095" s="140"/>
    </row>
    <row r="7096" spans="1:8" s="65" customFormat="1">
      <c r="A7096" s="120"/>
      <c r="B7096" s="73"/>
      <c r="C7096" s="73"/>
      <c r="D7096" s="73"/>
      <c r="E7096" s="73"/>
      <c r="G7096" s="121"/>
      <c r="H7096" s="140"/>
    </row>
    <row r="7097" spans="1:8" s="65" customFormat="1">
      <c r="A7097" s="128"/>
      <c r="B7097" s="141"/>
      <c r="C7097" s="141"/>
      <c r="D7097" s="141"/>
      <c r="E7097" s="141"/>
      <c r="F7097" s="141"/>
      <c r="G7097" s="141"/>
      <c r="H7097" s="140"/>
    </row>
    <row r="7098" spans="1:8" s="65" customFormat="1">
      <c r="A7098" s="142"/>
      <c r="B7098" s="143"/>
      <c r="C7098" s="143"/>
      <c r="D7098" s="143"/>
      <c r="E7098" s="143"/>
      <c r="F7098" s="84"/>
      <c r="G7098" s="144"/>
      <c r="H7098" s="145"/>
    </row>
    <row r="7099" spans="1:8" s="65" customFormat="1">
      <c r="A7099" s="91"/>
      <c r="B7099" s="91"/>
      <c r="C7099" s="91"/>
      <c r="D7099" s="91"/>
      <c r="E7099" s="91"/>
      <c r="G7099" s="104"/>
      <c r="H7099" s="140"/>
    </row>
    <row r="7100" spans="1:8" s="65" customFormat="1">
      <c r="A7100" s="120"/>
      <c r="B7100" s="73"/>
      <c r="C7100" s="73"/>
      <c r="D7100" s="73"/>
      <c r="E7100" s="73"/>
      <c r="G7100" s="121"/>
      <c r="H7100" s="140"/>
    </row>
    <row r="7101" spans="1:8" s="65" customFormat="1">
      <c r="A7101" s="128"/>
      <c r="B7101" s="141"/>
      <c r="C7101" s="141"/>
      <c r="D7101" s="141"/>
      <c r="E7101" s="141"/>
      <c r="F7101" s="141"/>
      <c r="G7101" s="141"/>
      <c r="H7101" s="140"/>
    </row>
    <row r="7102" spans="1:8" s="65" customFormat="1">
      <c r="A7102" s="142"/>
      <c r="B7102" s="143"/>
      <c r="C7102" s="143"/>
      <c r="D7102" s="143"/>
      <c r="E7102" s="143"/>
      <c r="F7102" s="84"/>
      <c r="G7102" s="144"/>
      <c r="H7102" s="145"/>
    </row>
    <row r="7103" spans="1:8" s="65" customFormat="1">
      <c r="A7103" s="123"/>
      <c r="B7103" s="95"/>
      <c r="C7103" s="95"/>
      <c r="D7103" s="95"/>
      <c r="E7103" s="95"/>
      <c r="G7103" s="104"/>
      <c r="H7103" s="121"/>
    </row>
    <row r="7104" spans="1:8" s="65" customFormat="1">
      <c r="A7104" s="123"/>
      <c r="B7104" s="95"/>
      <c r="C7104" s="95"/>
      <c r="D7104" s="95"/>
      <c r="E7104" s="95"/>
      <c r="G7104" s="121"/>
      <c r="H7104" s="133"/>
    </row>
    <row r="7105" spans="1:9" s="65" customFormat="1">
      <c r="B7105" s="97"/>
      <c r="C7105" s="98"/>
      <c r="D7105" s="98"/>
      <c r="E7105" s="98"/>
      <c r="G7105" s="128"/>
    </row>
    <row r="7106" spans="1:9" s="65" customFormat="1">
      <c r="B7106" s="97"/>
      <c r="C7106" s="98"/>
      <c r="D7106" s="98"/>
      <c r="E7106" s="98"/>
      <c r="F7106" s="128"/>
      <c r="G7106" s="133"/>
      <c r="H7106" s="134"/>
    </row>
    <row r="7107" spans="1:9" s="65" customFormat="1">
      <c r="A7107" s="633"/>
      <c r="B7107" s="633"/>
      <c r="C7107" s="633"/>
      <c r="D7107" s="633"/>
      <c r="E7107" s="633"/>
      <c r="F7107" s="633"/>
      <c r="G7107" s="633"/>
    </row>
    <row r="7108" spans="1:9" s="65" customFormat="1">
      <c r="H7108" s="138"/>
      <c r="I7108" s="151"/>
    </row>
    <row r="7109" spans="1:9" s="65" customFormat="1">
      <c r="A7109" s="645"/>
      <c r="B7109" s="138"/>
      <c r="C7109" s="138"/>
      <c r="D7109" s="138"/>
      <c r="E7109" s="138"/>
      <c r="F7109" s="138"/>
      <c r="G7109" s="138"/>
      <c r="H7109" s="138"/>
      <c r="I7109" s="152"/>
    </row>
    <row r="7110" spans="1:9" s="65" customFormat="1">
      <c r="A7110" s="645"/>
      <c r="B7110" s="138"/>
      <c r="C7110" s="138"/>
      <c r="D7110" s="138"/>
      <c r="E7110" s="138"/>
      <c r="F7110" s="138"/>
      <c r="G7110" s="138"/>
    </row>
    <row r="7111" spans="1:9" s="65" customFormat="1">
      <c r="A7111" s="69"/>
      <c r="B7111" s="69"/>
      <c r="C7111" s="69"/>
      <c r="D7111" s="69"/>
      <c r="E7111" s="69"/>
    </row>
    <row r="7112" spans="1:9" s="65" customFormat="1">
      <c r="A7112" s="120"/>
      <c r="B7112" s="73"/>
      <c r="C7112" s="73"/>
      <c r="D7112" s="73"/>
      <c r="E7112" s="73"/>
      <c r="F7112" s="121"/>
      <c r="G7112" s="121"/>
      <c r="H7112" s="121"/>
    </row>
    <row r="7113" spans="1:9" s="65" customFormat="1">
      <c r="A7113" s="128"/>
      <c r="B7113" s="141"/>
      <c r="C7113" s="141"/>
      <c r="D7113" s="141"/>
      <c r="E7113" s="141"/>
      <c r="F7113" s="141"/>
      <c r="G7113" s="141"/>
      <c r="H7113" s="121"/>
    </row>
    <row r="7114" spans="1:9" s="65" customFormat="1">
      <c r="A7114" s="142"/>
      <c r="B7114" s="143"/>
      <c r="C7114" s="143"/>
      <c r="D7114" s="143"/>
      <c r="E7114" s="143"/>
      <c r="F7114" s="84"/>
      <c r="G7114" s="144"/>
      <c r="H7114" s="145"/>
    </row>
    <row r="7115" spans="1:9" s="65" customFormat="1">
      <c r="A7115" s="84"/>
      <c r="B7115" s="83"/>
      <c r="C7115" s="84"/>
      <c r="D7115" s="84"/>
      <c r="E7115" s="84"/>
      <c r="G7115" s="104"/>
      <c r="H7115" s="140"/>
    </row>
    <row r="7116" spans="1:9" s="65" customFormat="1">
      <c r="A7116" s="120"/>
      <c r="B7116" s="73"/>
      <c r="C7116" s="73"/>
      <c r="D7116" s="73"/>
      <c r="E7116" s="73"/>
      <c r="G7116" s="121"/>
      <c r="H7116" s="140"/>
    </row>
    <row r="7117" spans="1:9" s="65" customFormat="1">
      <c r="A7117" s="128"/>
      <c r="B7117" s="141"/>
      <c r="C7117" s="141"/>
      <c r="D7117" s="141"/>
      <c r="E7117" s="141"/>
      <c r="F7117" s="141"/>
      <c r="G7117" s="141"/>
      <c r="H7117" s="140"/>
    </row>
    <row r="7118" spans="1:9" s="65" customFormat="1">
      <c r="A7118" s="150"/>
      <c r="B7118" s="83"/>
      <c r="C7118" s="148"/>
      <c r="D7118" s="160"/>
      <c r="E7118" s="84"/>
      <c r="F7118" s="84"/>
      <c r="G7118" s="144"/>
      <c r="H7118" s="145"/>
    </row>
    <row r="7119" spans="1:9" s="65" customFormat="1">
      <c r="A7119" s="91"/>
      <c r="B7119" s="91"/>
      <c r="C7119" s="91"/>
      <c r="D7119" s="91"/>
      <c r="E7119" s="91"/>
      <c r="G7119" s="104"/>
      <c r="H7119" s="140"/>
    </row>
    <row r="7120" spans="1:9" s="65" customFormat="1">
      <c r="A7120" s="120"/>
      <c r="B7120" s="73"/>
      <c r="C7120" s="73"/>
      <c r="D7120" s="73"/>
      <c r="E7120" s="73"/>
      <c r="G7120" s="121"/>
      <c r="H7120" s="140"/>
    </row>
    <row r="7121" spans="1:9" s="65" customFormat="1">
      <c r="A7121" s="128"/>
      <c r="B7121" s="141"/>
      <c r="C7121" s="141"/>
      <c r="D7121" s="141"/>
      <c r="E7121" s="141"/>
      <c r="F7121" s="141"/>
      <c r="G7121" s="141"/>
      <c r="H7121" s="140"/>
    </row>
    <row r="7122" spans="1:9" s="65" customFormat="1">
      <c r="A7122" s="142"/>
      <c r="B7122" s="143"/>
      <c r="C7122" s="143"/>
      <c r="D7122" s="143"/>
      <c r="E7122" s="143"/>
      <c r="F7122" s="84"/>
      <c r="G7122" s="144"/>
      <c r="H7122" s="145"/>
    </row>
    <row r="7123" spans="1:9" s="65" customFormat="1">
      <c r="A7123" s="91"/>
      <c r="B7123" s="91"/>
      <c r="C7123" s="91"/>
      <c r="D7123" s="91"/>
      <c r="E7123" s="91"/>
      <c r="G7123" s="104"/>
      <c r="H7123" s="140"/>
    </row>
    <row r="7124" spans="1:9" s="65" customFormat="1">
      <c r="A7124" s="120"/>
      <c r="B7124" s="73"/>
      <c r="C7124" s="73"/>
      <c r="D7124" s="73"/>
      <c r="E7124" s="73"/>
      <c r="G7124" s="121"/>
      <c r="H7124" s="140"/>
    </row>
    <row r="7125" spans="1:9" s="65" customFormat="1">
      <c r="A7125" s="128"/>
      <c r="B7125" s="141"/>
      <c r="C7125" s="141"/>
      <c r="D7125" s="141"/>
      <c r="E7125" s="141"/>
      <c r="F7125" s="141"/>
      <c r="G7125" s="141"/>
      <c r="H7125" s="140"/>
    </row>
    <row r="7126" spans="1:9" s="65" customFormat="1">
      <c r="A7126" s="142"/>
      <c r="B7126" s="143"/>
      <c r="C7126" s="143"/>
      <c r="D7126" s="143"/>
      <c r="E7126" s="143"/>
      <c r="F7126" s="84"/>
      <c r="G7126" s="144"/>
      <c r="H7126" s="145"/>
    </row>
    <row r="7127" spans="1:9" s="65" customFormat="1">
      <c r="A7127" s="123"/>
      <c r="B7127" s="95"/>
      <c r="C7127" s="95"/>
      <c r="D7127" s="95"/>
      <c r="E7127" s="95"/>
      <c r="G7127" s="104"/>
      <c r="H7127" s="121"/>
    </row>
    <row r="7128" spans="1:9" s="65" customFormat="1">
      <c r="A7128" s="123"/>
      <c r="B7128" s="95"/>
      <c r="C7128" s="95"/>
      <c r="D7128" s="95"/>
      <c r="E7128" s="95"/>
      <c r="G7128" s="121"/>
      <c r="H7128" s="133"/>
    </row>
    <row r="7129" spans="1:9" s="65" customFormat="1">
      <c r="B7129" s="97"/>
      <c r="C7129" s="98"/>
      <c r="D7129" s="98"/>
      <c r="E7129" s="98"/>
      <c r="G7129" s="128"/>
    </row>
    <row r="7130" spans="1:9" s="65" customFormat="1">
      <c r="B7130" s="97"/>
      <c r="C7130" s="98"/>
      <c r="D7130" s="98"/>
      <c r="E7130" s="98"/>
      <c r="F7130" s="128"/>
      <c r="G7130" s="133"/>
      <c r="H7130" s="134"/>
    </row>
    <row r="7131" spans="1:9" s="65" customFormat="1">
      <c r="A7131" s="633"/>
      <c r="B7131" s="633"/>
      <c r="C7131" s="633"/>
      <c r="D7131" s="633"/>
      <c r="E7131" s="633"/>
      <c r="F7131" s="633"/>
      <c r="G7131" s="633"/>
    </row>
    <row r="7132" spans="1:9" s="65" customFormat="1">
      <c r="H7132" s="138"/>
      <c r="I7132" s="151"/>
    </row>
    <row r="7133" spans="1:9" s="65" customFormat="1">
      <c r="A7133" s="645"/>
      <c r="B7133" s="138"/>
      <c r="C7133" s="138"/>
      <c r="D7133" s="138"/>
      <c r="E7133" s="138"/>
      <c r="F7133" s="138"/>
      <c r="G7133" s="138"/>
      <c r="H7133" s="138"/>
      <c r="I7133" s="152"/>
    </row>
    <row r="7134" spans="1:9" s="65" customFormat="1">
      <c r="A7134" s="645"/>
      <c r="B7134" s="138"/>
      <c r="C7134" s="138"/>
      <c r="D7134" s="138"/>
      <c r="E7134" s="138"/>
      <c r="F7134" s="138"/>
      <c r="G7134" s="138"/>
    </row>
    <row r="7135" spans="1:9" s="65" customFormat="1">
      <c r="A7135" s="69"/>
      <c r="B7135" s="69"/>
      <c r="C7135" s="69"/>
      <c r="D7135" s="69"/>
      <c r="E7135" s="69"/>
    </row>
    <row r="7136" spans="1:9" s="65" customFormat="1">
      <c r="A7136" s="120"/>
      <c r="B7136" s="73"/>
      <c r="C7136" s="73"/>
      <c r="D7136" s="73"/>
      <c r="E7136" s="73"/>
      <c r="F7136" s="121"/>
      <c r="G7136" s="121"/>
      <c r="H7136" s="121"/>
    </row>
    <row r="7137" spans="1:8" s="65" customFormat="1">
      <c r="A7137" s="128"/>
      <c r="B7137" s="141"/>
      <c r="C7137" s="141"/>
      <c r="D7137" s="141"/>
      <c r="E7137" s="141"/>
      <c r="F7137" s="141"/>
      <c r="G7137" s="141"/>
      <c r="H7137" s="121"/>
    </row>
    <row r="7138" spans="1:8" s="65" customFormat="1">
      <c r="A7138" s="84"/>
      <c r="B7138" s="83"/>
      <c r="C7138" s="84"/>
      <c r="D7138" s="84"/>
      <c r="E7138" s="84"/>
      <c r="F7138" s="84"/>
      <c r="G7138" s="144"/>
      <c r="H7138" s="133"/>
    </row>
    <row r="7139" spans="1:8" s="65" customFormat="1">
      <c r="A7139" s="84"/>
      <c r="B7139" s="83"/>
      <c r="C7139" s="84"/>
      <c r="D7139" s="84"/>
      <c r="E7139" s="84"/>
      <c r="G7139" s="104"/>
      <c r="H7139" s="140"/>
    </row>
    <row r="7140" spans="1:8" s="65" customFormat="1">
      <c r="A7140" s="120"/>
      <c r="B7140" s="73"/>
      <c r="C7140" s="73"/>
      <c r="D7140" s="73"/>
      <c r="E7140" s="73"/>
      <c r="G7140" s="121"/>
      <c r="H7140" s="140"/>
    </row>
    <row r="7141" spans="1:8" s="65" customFormat="1">
      <c r="A7141" s="128"/>
      <c r="B7141" s="141"/>
      <c r="C7141" s="141"/>
      <c r="D7141" s="141"/>
      <c r="E7141" s="141"/>
      <c r="F7141" s="141"/>
      <c r="G7141" s="141"/>
      <c r="H7141" s="140"/>
    </row>
    <row r="7142" spans="1:8" s="65" customFormat="1">
      <c r="A7142" s="84"/>
      <c r="B7142" s="83"/>
      <c r="C7142" s="84"/>
      <c r="D7142" s="84"/>
      <c r="E7142" s="84"/>
      <c r="F7142" s="141"/>
      <c r="G7142" s="168"/>
      <c r="H7142" s="140"/>
    </row>
    <row r="7143" spans="1:8" s="65" customFormat="1">
      <c r="A7143" s="150"/>
      <c r="B7143" s="83"/>
      <c r="C7143" s="148"/>
      <c r="D7143" s="84"/>
      <c r="E7143" s="84"/>
      <c r="F7143" s="141"/>
      <c r="G7143" s="168"/>
      <c r="H7143" s="140"/>
    </row>
    <row r="7144" spans="1:8" s="65" customFormat="1">
      <c r="A7144" s="150"/>
      <c r="B7144" s="83"/>
      <c r="C7144" s="148"/>
      <c r="D7144" s="84"/>
      <c r="E7144" s="84"/>
      <c r="F7144" s="141"/>
      <c r="G7144" s="168"/>
      <c r="H7144" s="140"/>
    </row>
    <row r="7145" spans="1:8" s="65" customFormat="1">
      <c r="A7145" s="150"/>
      <c r="B7145" s="83"/>
      <c r="C7145" s="148"/>
      <c r="D7145" s="84"/>
      <c r="E7145" s="84"/>
      <c r="F7145" s="84"/>
      <c r="G7145" s="168"/>
      <c r="H7145" s="133"/>
    </row>
    <row r="7146" spans="1:8" s="65" customFormat="1">
      <c r="A7146" s="91"/>
      <c r="B7146" s="91"/>
      <c r="C7146" s="91"/>
      <c r="D7146" s="91"/>
      <c r="E7146" s="91"/>
      <c r="G7146" s="104"/>
      <c r="H7146" s="140"/>
    </row>
    <row r="7147" spans="1:8" s="65" customFormat="1">
      <c r="A7147" s="120"/>
      <c r="B7147" s="73"/>
      <c r="C7147" s="73"/>
      <c r="D7147" s="73"/>
      <c r="E7147" s="73"/>
      <c r="G7147" s="121"/>
      <c r="H7147" s="140"/>
    </row>
    <row r="7148" spans="1:8" s="65" customFormat="1">
      <c r="A7148" s="128"/>
      <c r="B7148" s="141"/>
      <c r="C7148" s="141"/>
      <c r="D7148" s="141"/>
      <c r="E7148" s="141"/>
      <c r="F7148" s="141"/>
      <c r="G7148" s="141"/>
      <c r="H7148" s="140"/>
    </row>
    <row r="7149" spans="1:8" s="65" customFormat="1">
      <c r="A7149" s="146"/>
      <c r="B7149" s="147"/>
      <c r="C7149" s="148"/>
      <c r="D7149" s="84"/>
      <c r="E7149" s="143"/>
      <c r="F7149" s="84"/>
      <c r="G7149" s="144"/>
      <c r="H7149" s="133"/>
    </row>
    <row r="7150" spans="1:8" s="65" customFormat="1">
      <c r="A7150" s="91"/>
      <c r="B7150" s="91"/>
      <c r="C7150" s="91"/>
      <c r="D7150" s="91"/>
      <c r="E7150" s="91"/>
      <c r="G7150" s="104"/>
      <c r="H7150" s="140"/>
    </row>
    <row r="7151" spans="1:8" s="65" customFormat="1">
      <c r="A7151" s="120"/>
      <c r="B7151" s="73"/>
      <c r="C7151" s="73"/>
      <c r="D7151" s="73"/>
      <c r="E7151" s="73"/>
      <c r="G7151" s="121"/>
      <c r="H7151" s="140"/>
    </row>
    <row r="7152" spans="1:8" s="65" customFormat="1">
      <c r="A7152" s="128"/>
      <c r="B7152" s="141"/>
      <c r="C7152" s="141"/>
      <c r="D7152" s="141"/>
      <c r="E7152" s="141"/>
      <c r="F7152" s="141"/>
      <c r="G7152" s="141"/>
      <c r="H7152" s="140"/>
    </row>
    <row r="7153" spans="1:9" s="65" customFormat="1">
      <c r="A7153" s="142"/>
      <c r="B7153" s="143"/>
      <c r="C7153" s="143"/>
      <c r="D7153" s="143"/>
      <c r="E7153" s="143"/>
      <c r="F7153" s="84"/>
      <c r="G7153" s="144"/>
      <c r="H7153" s="145"/>
    </row>
    <row r="7154" spans="1:9" s="65" customFormat="1">
      <c r="A7154" s="123"/>
      <c r="B7154" s="95"/>
      <c r="C7154" s="95"/>
      <c r="D7154" s="95"/>
      <c r="E7154" s="95"/>
      <c r="G7154" s="104"/>
      <c r="H7154" s="121"/>
    </row>
    <row r="7155" spans="1:9" s="65" customFormat="1">
      <c r="A7155" s="123"/>
      <c r="B7155" s="95"/>
      <c r="C7155" s="95"/>
      <c r="D7155" s="95"/>
      <c r="E7155" s="95"/>
      <c r="G7155" s="121"/>
      <c r="H7155" s="133"/>
    </row>
    <row r="7156" spans="1:9" s="65" customFormat="1">
      <c r="B7156" s="97"/>
      <c r="C7156" s="98"/>
      <c r="D7156" s="98"/>
      <c r="E7156" s="98"/>
      <c r="G7156" s="128"/>
    </row>
    <row r="7157" spans="1:9" s="65" customFormat="1">
      <c r="B7157" s="97"/>
      <c r="C7157" s="98"/>
      <c r="D7157" s="98"/>
      <c r="E7157" s="98"/>
      <c r="F7157" s="128"/>
      <c r="G7157" s="133"/>
      <c r="H7157" s="134"/>
    </row>
    <row r="7158" spans="1:9" s="65" customFormat="1">
      <c r="A7158" s="633"/>
      <c r="B7158" s="633"/>
      <c r="C7158" s="633"/>
      <c r="D7158" s="633"/>
      <c r="E7158" s="633"/>
      <c r="F7158" s="633"/>
      <c r="G7158" s="633"/>
    </row>
    <row r="7159" spans="1:9" s="65" customFormat="1">
      <c r="H7159" s="138"/>
      <c r="I7159" s="151"/>
    </row>
    <row r="7160" spans="1:9" s="65" customFormat="1">
      <c r="A7160" s="645"/>
      <c r="B7160" s="138"/>
      <c r="C7160" s="138"/>
      <c r="D7160" s="138"/>
      <c r="E7160" s="138"/>
      <c r="F7160" s="138"/>
      <c r="G7160" s="138"/>
      <c r="H7160" s="138"/>
      <c r="I7160" s="152"/>
    </row>
    <row r="7161" spans="1:9" s="65" customFormat="1">
      <c r="A7161" s="645"/>
      <c r="B7161" s="138"/>
      <c r="C7161" s="138"/>
      <c r="D7161" s="138"/>
      <c r="E7161" s="138"/>
      <c r="F7161" s="138"/>
      <c r="G7161" s="138"/>
    </row>
    <row r="7162" spans="1:9" s="65" customFormat="1">
      <c r="A7162" s="69"/>
      <c r="B7162" s="69"/>
      <c r="C7162" s="69"/>
      <c r="D7162" s="69"/>
      <c r="E7162" s="69"/>
    </row>
    <row r="7163" spans="1:9" s="65" customFormat="1">
      <c r="A7163" s="120"/>
      <c r="B7163" s="73"/>
      <c r="C7163" s="73"/>
      <c r="D7163" s="73"/>
      <c r="E7163" s="73"/>
      <c r="F7163" s="121"/>
      <c r="G7163" s="121"/>
      <c r="H7163" s="121"/>
    </row>
    <row r="7164" spans="1:9" s="65" customFormat="1">
      <c r="A7164" s="128"/>
      <c r="B7164" s="141"/>
      <c r="C7164" s="141"/>
      <c r="D7164" s="141"/>
      <c r="E7164" s="141"/>
      <c r="F7164" s="141"/>
      <c r="G7164" s="141"/>
      <c r="H7164" s="121"/>
    </row>
    <row r="7165" spans="1:9" s="65" customFormat="1">
      <c r="A7165" s="84"/>
      <c r="B7165" s="83"/>
      <c r="C7165" s="84"/>
      <c r="D7165" s="84"/>
      <c r="E7165" s="84"/>
      <c r="F7165" s="84"/>
      <c r="G7165" s="144"/>
      <c r="H7165" s="133"/>
    </row>
    <row r="7166" spans="1:9" s="65" customFormat="1">
      <c r="A7166" s="84"/>
      <c r="B7166" s="83"/>
      <c r="C7166" s="84"/>
      <c r="D7166" s="84"/>
      <c r="E7166" s="84"/>
      <c r="G7166" s="104"/>
      <c r="H7166" s="140"/>
    </row>
    <row r="7167" spans="1:9" s="65" customFormat="1">
      <c r="A7167" s="120"/>
      <c r="B7167" s="73"/>
      <c r="C7167" s="73"/>
      <c r="D7167" s="73"/>
      <c r="E7167" s="73"/>
      <c r="G7167" s="121"/>
      <c r="H7167" s="140"/>
    </row>
    <row r="7168" spans="1:9" s="65" customFormat="1">
      <c r="A7168" s="128"/>
      <c r="B7168" s="141"/>
      <c r="C7168" s="141"/>
      <c r="D7168" s="141"/>
      <c r="E7168" s="141"/>
      <c r="F7168" s="141"/>
      <c r="G7168" s="141"/>
      <c r="H7168" s="140"/>
    </row>
    <row r="7169" spans="1:8" s="65" customFormat="1">
      <c r="A7169" s="172"/>
      <c r="B7169" s="83"/>
      <c r="C7169" s="84"/>
      <c r="D7169" s="84"/>
      <c r="E7169" s="84"/>
      <c r="F7169" s="141"/>
      <c r="G7169" s="168"/>
      <c r="H7169" s="140"/>
    </row>
    <row r="7170" spans="1:8" s="65" customFormat="1">
      <c r="A7170" s="173"/>
      <c r="B7170" s="83"/>
      <c r="C7170" s="148"/>
      <c r="D7170" s="84"/>
      <c r="E7170" s="84"/>
      <c r="F7170" s="141"/>
      <c r="G7170" s="168"/>
      <c r="H7170" s="140"/>
    </row>
    <row r="7171" spans="1:8" s="65" customFormat="1">
      <c r="A7171" s="150"/>
      <c r="B7171" s="83"/>
      <c r="C7171" s="148"/>
      <c r="D7171" s="84"/>
      <c r="E7171" s="84"/>
      <c r="F7171" s="141"/>
      <c r="G7171" s="168"/>
      <c r="H7171" s="140"/>
    </row>
    <row r="7172" spans="1:8" s="65" customFormat="1">
      <c r="A7172" s="150"/>
      <c r="B7172" s="83"/>
      <c r="C7172" s="148"/>
      <c r="D7172" s="84"/>
      <c r="E7172" s="84"/>
      <c r="F7172" s="84"/>
      <c r="G7172" s="168"/>
      <c r="H7172" s="133"/>
    </row>
    <row r="7173" spans="1:8" s="65" customFormat="1">
      <c r="A7173" s="91"/>
      <c r="B7173" s="91"/>
      <c r="C7173" s="91"/>
      <c r="D7173" s="91"/>
      <c r="E7173" s="91"/>
      <c r="G7173" s="104"/>
      <c r="H7173" s="140"/>
    </row>
    <row r="7174" spans="1:8" s="65" customFormat="1">
      <c r="A7174" s="120"/>
      <c r="B7174" s="73"/>
      <c r="C7174" s="73"/>
      <c r="D7174" s="73"/>
      <c r="E7174" s="73"/>
      <c r="G7174" s="121"/>
      <c r="H7174" s="140"/>
    </row>
    <row r="7175" spans="1:8" s="65" customFormat="1">
      <c r="A7175" s="128"/>
      <c r="B7175" s="141"/>
      <c r="C7175" s="141"/>
      <c r="D7175" s="141"/>
      <c r="E7175" s="141"/>
      <c r="F7175" s="141"/>
      <c r="G7175" s="141"/>
      <c r="H7175" s="140"/>
    </row>
    <row r="7176" spans="1:8" s="65" customFormat="1">
      <c r="A7176" s="146"/>
      <c r="B7176" s="147"/>
      <c r="C7176" s="148"/>
      <c r="D7176" s="84"/>
      <c r="E7176" s="143"/>
      <c r="F7176" s="84"/>
      <c r="G7176" s="144"/>
      <c r="H7176" s="133"/>
    </row>
    <row r="7177" spans="1:8" s="65" customFormat="1">
      <c r="A7177" s="91"/>
      <c r="B7177" s="91"/>
      <c r="C7177" s="91"/>
      <c r="D7177" s="91"/>
      <c r="E7177" s="91"/>
      <c r="G7177" s="104"/>
      <c r="H7177" s="140"/>
    </row>
    <row r="7178" spans="1:8" s="65" customFormat="1">
      <c r="A7178" s="120"/>
      <c r="B7178" s="73"/>
      <c r="C7178" s="73"/>
      <c r="D7178" s="73"/>
      <c r="E7178" s="73"/>
      <c r="G7178" s="121"/>
      <c r="H7178" s="140"/>
    </row>
    <row r="7179" spans="1:8" s="65" customFormat="1">
      <c r="A7179" s="128"/>
      <c r="B7179" s="141"/>
      <c r="C7179" s="141"/>
      <c r="D7179" s="141"/>
      <c r="E7179" s="141"/>
      <c r="F7179" s="141"/>
      <c r="G7179" s="141"/>
      <c r="H7179" s="140"/>
    </row>
    <row r="7180" spans="1:8" s="65" customFormat="1">
      <c r="A7180" s="142"/>
      <c r="B7180" s="143"/>
      <c r="C7180" s="143"/>
      <c r="D7180" s="143"/>
      <c r="E7180" s="143"/>
      <c r="F7180" s="84"/>
      <c r="G7180" s="144"/>
      <c r="H7180" s="145"/>
    </row>
    <row r="7181" spans="1:8" s="65" customFormat="1">
      <c r="A7181" s="123"/>
      <c r="B7181" s="95"/>
      <c r="C7181" s="95"/>
      <c r="D7181" s="95"/>
      <c r="E7181" s="95"/>
      <c r="G7181" s="104"/>
      <c r="H7181" s="121"/>
    </row>
    <row r="7182" spans="1:8" s="65" customFormat="1">
      <c r="A7182" s="123"/>
      <c r="B7182" s="95"/>
      <c r="C7182" s="95"/>
      <c r="D7182" s="95"/>
      <c r="E7182" s="95"/>
      <c r="G7182" s="121"/>
      <c r="H7182" s="133"/>
    </row>
    <row r="7183" spans="1:8" s="65" customFormat="1">
      <c r="B7183" s="97"/>
      <c r="C7183" s="98"/>
      <c r="D7183" s="98"/>
      <c r="E7183" s="98"/>
      <c r="G7183" s="128"/>
    </row>
    <row r="7184" spans="1:8" s="65" customFormat="1">
      <c r="B7184" s="97"/>
      <c r="C7184" s="98"/>
      <c r="D7184" s="98"/>
      <c r="E7184" s="98"/>
      <c r="F7184" s="128"/>
      <c r="G7184" s="133"/>
      <c r="H7184" s="134"/>
    </row>
    <row r="7185" spans="1:9" s="65" customFormat="1">
      <c r="A7185" s="633"/>
      <c r="B7185" s="633"/>
      <c r="C7185" s="633"/>
      <c r="D7185" s="633"/>
      <c r="E7185" s="633"/>
      <c r="F7185" s="633"/>
      <c r="G7185" s="633"/>
    </row>
    <row r="7186" spans="1:9" s="65" customFormat="1">
      <c r="H7186" s="138"/>
      <c r="I7186" s="151"/>
    </row>
    <row r="7187" spans="1:9" s="65" customFormat="1">
      <c r="A7187" s="645"/>
      <c r="B7187" s="138"/>
      <c r="C7187" s="138"/>
      <c r="D7187" s="138"/>
      <c r="E7187" s="138"/>
      <c r="F7187" s="138"/>
      <c r="G7187" s="138"/>
      <c r="H7187" s="138"/>
      <c r="I7187" s="152"/>
    </row>
    <row r="7188" spans="1:9" s="65" customFormat="1">
      <c r="A7188" s="645"/>
      <c r="B7188" s="138"/>
      <c r="C7188" s="138"/>
      <c r="D7188" s="138"/>
      <c r="E7188" s="138"/>
      <c r="F7188" s="138"/>
      <c r="G7188" s="138"/>
    </row>
    <row r="7189" spans="1:9" s="65" customFormat="1">
      <c r="A7189" s="69"/>
      <c r="B7189" s="69"/>
      <c r="C7189" s="69"/>
      <c r="D7189" s="69"/>
      <c r="E7189" s="69"/>
    </row>
    <row r="7190" spans="1:9" s="65" customFormat="1">
      <c r="A7190" s="120"/>
      <c r="B7190" s="73"/>
      <c r="C7190" s="73"/>
      <c r="D7190" s="73"/>
      <c r="E7190" s="73"/>
      <c r="F7190" s="121"/>
      <c r="G7190" s="121"/>
      <c r="H7190" s="121"/>
    </row>
    <row r="7191" spans="1:9" s="65" customFormat="1">
      <c r="A7191" s="128"/>
      <c r="B7191" s="141"/>
      <c r="C7191" s="141"/>
      <c r="D7191" s="141"/>
      <c r="E7191" s="141"/>
      <c r="F7191" s="141"/>
      <c r="G7191" s="141"/>
      <c r="H7191" s="121"/>
    </row>
    <row r="7192" spans="1:9" s="65" customFormat="1">
      <c r="A7192" s="84"/>
      <c r="B7192" s="83"/>
      <c r="C7192" s="84"/>
      <c r="D7192" s="84"/>
      <c r="E7192" s="84"/>
      <c r="F7192" s="84"/>
      <c r="G7192" s="144"/>
      <c r="H7192" s="133"/>
    </row>
    <row r="7193" spans="1:9" s="65" customFormat="1">
      <c r="A7193" s="84"/>
      <c r="B7193" s="83"/>
      <c r="C7193" s="84"/>
      <c r="D7193" s="84"/>
      <c r="E7193" s="84"/>
      <c r="G7193" s="104"/>
      <c r="H7193" s="140"/>
    </row>
    <row r="7194" spans="1:9" s="65" customFormat="1">
      <c r="A7194" s="120"/>
      <c r="B7194" s="73"/>
      <c r="C7194" s="73"/>
      <c r="D7194" s="73"/>
      <c r="E7194" s="73"/>
      <c r="G7194" s="121"/>
      <c r="H7194" s="140"/>
    </row>
    <row r="7195" spans="1:9" s="65" customFormat="1">
      <c r="A7195" s="128"/>
      <c r="B7195" s="141"/>
      <c r="C7195" s="141"/>
      <c r="D7195" s="141"/>
      <c r="E7195" s="141"/>
      <c r="F7195" s="141"/>
      <c r="G7195" s="141"/>
      <c r="H7195" s="140"/>
    </row>
    <row r="7196" spans="1:9" s="65" customFormat="1">
      <c r="A7196" s="172"/>
      <c r="B7196" s="83"/>
      <c r="C7196" s="84"/>
      <c r="D7196" s="84"/>
      <c r="E7196" s="84"/>
      <c r="F7196" s="141"/>
      <c r="G7196" s="168"/>
      <c r="H7196" s="140"/>
    </row>
    <row r="7197" spans="1:9" s="65" customFormat="1">
      <c r="A7197" s="173"/>
      <c r="B7197" s="83"/>
      <c r="C7197" s="148"/>
      <c r="D7197" s="84"/>
      <c r="E7197" s="84"/>
      <c r="F7197" s="141"/>
      <c r="G7197" s="168"/>
      <c r="H7197" s="140"/>
    </row>
    <row r="7198" spans="1:9" s="65" customFormat="1">
      <c r="A7198" s="150"/>
      <c r="B7198" s="83"/>
      <c r="C7198" s="148"/>
      <c r="D7198" s="84"/>
      <c r="E7198" s="84"/>
      <c r="F7198" s="84"/>
      <c r="G7198" s="168"/>
      <c r="H7198" s="133"/>
    </row>
    <row r="7199" spans="1:9" s="65" customFormat="1">
      <c r="A7199" s="91"/>
      <c r="B7199" s="91"/>
      <c r="C7199" s="91"/>
      <c r="D7199" s="91"/>
      <c r="E7199" s="91"/>
      <c r="G7199" s="104"/>
      <c r="H7199" s="140"/>
    </row>
    <row r="7200" spans="1:9" s="65" customFormat="1">
      <c r="A7200" s="120"/>
      <c r="B7200" s="73"/>
      <c r="C7200" s="73"/>
      <c r="D7200" s="73"/>
      <c r="E7200" s="73"/>
      <c r="G7200" s="121"/>
      <c r="H7200" s="140"/>
    </row>
    <row r="7201" spans="1:9" s="65" customFormat="1">
      <c r="A7201" s="128"/>
      <c r="B7201" s="141"/>
      <c r="C7201" s="141"/>
      <c r="D7201" s="141"/>
      <c r="E7201" s="141"/>
      <c r="F7201" s="141"/>
      <c r="G7201" s="141"/>
      <c r="H7201" s="140"/>
    </row>
    <row r="7202" spans="1:9" s="65" customFormat="1">
      <c r="A7202" s="146"/>
      <c r="B7202" s="147"/>
      <c r="C7202" s="148"/>
      <c r="D7202" s="84"/>
      <c r="E7202" s="143"/>
      <c r="F7202" s="84"/>
      <c r="G7202" s="144"/>
      <c r="H7202" s="133"/>
    </row>
    <row r="7203" spans="1:9" s="65" customFormat="1">
      <c r="A7203" s="91"/>
      <c r="B7203" s="91"/>
      <c r="C7203" s="91"/>
      <c r="D7203" s="91"/>
      <c r="E7203" s="91"/>
      <c r="G7203" s="104"/>
      <c r="H7203" s="140"/>
    </row>
    <row r="7204" spans="1:9" s="65" customFormat="1">
      <c r="A7204" s="120"/>
      <c r="B7204" s="73"/>
      <c r="C7204" s="73"/>
      <c r="D7204" s="73"/>
      <c r="E7204" s="73"/>
      <c r="G7204" s="121"/>
      <c r="H7204" s="140"/>
    </row>
    <row r="7205" spans="1:9" s="65" customFormat="1">
      <c r="A7205" s="128"/>
      <c r="B7205" s="141"/>
      <c r="C7205" s="141"/>
      <c r="D7205" s="141"/>
      <c r="E7205" s="141"/>
      <c r="F7205" s="141"/>
      <c r="G7205" s="141"/>
      <c r="H7205" s="140"/>
    </row>
    <row r="7206" spans="1:9" s="65" customFormat="1">
      <c r="A7206" s="142"/>
      <c r="B7206" s="143"/>
      <c r="C7206" s="143"/>
      <c r="D7206" s="143"/>
      <c r="E7206" s="143"/>
      <c r="F7206" s="84"/>
      <c r="G7206" s="144"/>
      <c r="H7206" s="145"/>
    </row>
    <row r="7207" spans="1:9" s="65" customFormat="1">
      <c r="A7207" s="123"/>
      <c r="B7207" s="95"/>
      <c r="C7207" s="95"/>
      <c r="D7207" s="95"/>
      <c r="E7207" s="95"/>
      <c r="G7207" s="104"/>
      <c r="H7207" s="121"/>
    </row>
    <row r="7208" spans="1:9" s="65" customFormat="1">
      <c r="A7208" s="123"/>
      <c r="B7208" s="95"/>
      <c r="C7208" s="95"/>
      <c r="D7208" s="95"/>
      <c r="E7208" s="95"/>
      <c r="G7208" s="121"/>
      <c r="H7208" s="133"/>
    </row>
    <row r="7209" spans="1:9" s="65" customFormat="1">
      <c r="B7209" s="97"/>
      <c r="C7209" s="98"/>
      <c r="D7209" s="98"/>
      <c r="E7209" s="98"/>
      <c r="G7209" s="128"/>
    </row>
    <row r="7210" spans="1:9" s="65" customFormat="1">
      <c r="B7210" s="97"/>
      <c r="C7210" s="98"/>
      <c r="D7210" s="98"/>
      <c r="E7210" s="98"/>
      <c r="F7210" s="128"/>
      <c r="G7210" s="133"/>
      <c r="H7210" s="134"/>
    </row>
    <row r="7211" spans="1:9" s="65" customFormat="1">
      <c r="A7211" s="633"/>
      <c r="B7211" s="633"/>
      <c r="C7211" s="633"/>
      <c r="D7211" s="633"/>
      <c r="E7211" s="633"/>
      <c r="F7211" s="633"/>
      <c r="G7211" s="633"/>
    </row>
    <row r="7212" spans="1:9" s="65" customFormat="1">
      <c r="H7212" s="138"/>
      <c r="I7212" s="151"/>
    </row>
    <row r="7213" spans="1:9" s="65" customFormat="1">
      <c r="A7213" s="645"/>
      <c r="B7213" s="138"/>
      <c r="C7213" s="138"/>
      <c r="D7213" s="138"/>
      <c r="E7213" s="138"/>
      <c r="F7213" s="138"/>
      <c r="G7213" s="138"/>
      <c r="H7213" s="138"/>
      <c r="I7213" s="152"/>
    </row>
    <row r="7214" spans="1:9" s="65" customFormat="1">
      <c r="A7214" s="645"/>
      <c r="B7214" s="138"/>
      <c r="C7214" s="138"/>
      <c r="D7214" s="138"/>
      <c r="E7214" s="138"/>
      <c r="F7214" s="138"/>
      <c r="G7214" s="138"/>
    </row>
    <row r="7215" spans="1:9" s="65" customFormat="1">
      <c r="A7215" s="69"/>
      <c r="B7215" s="69"/>
      <c r="C7215" s="69"/>
      <c r="D7215" s="69"/>
      <c r="E7215" s="69"/>
    </row>
    <row r="7216" spans="1:9" s="65" customFormat="1">
      <c r="A7216" s="120"/>
      <c r="B7216" s="73"/>
      <c r="C7216" s="73"/>
      <c r="D7216" s="73"/>
      <c r="E7216" s="73"/>
      <c r="F7216" s="121"/>
      <c r="G7216" s="121"/>
      <c r="H7216" s="121"/>
    </row>
    <row r="7217" spans="1:8" s="65" customFormat="1">
      <c r="A7217" s="128"/>
      <c r="B7217" s="141"/>
      <c r="C7217" s="141"/>
      <c r="D7217" s="141"/>
      <c r="E7217" s="141"/>
      <c r="F7217" s="141"/>
      <c r="G7217" s="141"/>
      <c r="H7217" s="121"/>
    </row>
    <row r="7218" spans="1:8" s="65" customFormat="1">
      <c r="A7218" s="84"/>
      <c r="B7218" s="83"/>
      <c r="C7218" s="84"/>
      <c r="D7218" s="84"/>
      <c r="E7218" s="84"/>
      <c r="F7218" s="84"/>
      <c r="G7218" s="144"/>
      <c r="H7218" s="133"/>
    </row>
    <row r="7219" spans="1:8" s="65" customFormat="1">
      <c r="A7219" s="84"/>
      <c r="B7219" s="83"/>
      <c r="C7219" s="84"/>
      <c r="D7219" s="84"/>
      <c r="E7219" s="84"/>
      <c r="G7219" s="104"/>
      <c r="H7219" s="140"/>
    </row>
    <row r="7220" spans="1:8" s="65" customFormat="1">
      <c r="A7220" s="120"/>
      <c r="B7220" s="73"/>
      <c r="C7220" s="73"/>
      <c r="D7220" s="73"/>
      <c r="E7220" s="73"/>
      <c r="G7220" s="121"/>
      <c r="H7220" s="140"/>
    </row>
    <row r="7221" spans="1:8" s="65" customFormat="1">
      <c r="A7221" s="128"/>
      <c r="B7221" s="141"/>
      <c r="C7221" s="141"/>
      <c r="D7221" s="141"/>
      <c r="E7221" s="141"/>
      <c r="F7221" s="141"/>
      <c r="G7221" s="141"/>
      <c r="H7221" s="140"/>
    </row>
    <row r="7222" spans="1:8" s="65" customFormat="1">
      <c r="A7222" s="172"/>
      <c r="B7222" s="83"/>
      <c r="C7222" s="84"/>
      <c r="D7222" s="84"/>
      <c r="E7222" s="84"/>
      <c r="F7222" s="141"/>
      <c r="G7222" s="168"/>
      <c r="H7222" s="140"/>
    </row>
    <row r="7223" spans="1:8" s="65" customFormat="1">
      <c r="A7223" s="173"/>
      <c r="B7223" s="83"/>
      <c r="C7223" s="148"/>
      <c r="D7223" s="84"/>
      <c r="E7223" s="84"/>
      <c r="F7223" s="141"/>
      <c r="G7223" s="168"/>
      <c r="H7223" s="140"/>
    </row>
    <row r="7224" spans="1:8" s="65" customFormat="1">
      <c r="A7224" s="150"/>
      <c r="B7224" s="83"/>
      <c r="C7224" s="148"/>
      <c r="D7224" s="84"/>
      <c r="E7224" s="84"/>
      <c r="F7224" s="84"/>
      <c r="G7224" s="168"/>
      <c r="H7224" s="133"/>
    </row>
    <row r="7225" spans="1:8" s="65" customFormat="1">
      <c r="A7225" s="91"/>
      <c r="B7225" s="91"/>
      <c r="C7225" s="91"/>
      <c r="D7225" s="91"/>
      <c r="E7225" s="91"/>
      <c r="G7225" s="104"/>
      <c r="H7225" s="140"/>
    </row>
    <row r="7226" spans="1:8" s="65" customFormat="1">
      <c r="A7226" s="120"/>
      <c r="B7226" s="73"/>
      <c r="C7226" s="73"/>
      <c r="D7226" s="73"/>
      <c r="E7226" s="73"/>
      <c r="G7226" s="121"/>
      <c r="H7226" s="140"/>
    </row>
    <row r="7227" spans="1:8" s="65" customFormat="1">
      <c r="A7227" s="128"/>
      <c r="B7227" s="141"/>
      <c r="C7227" s="141"/>
      <c r="D7227" s="141"/>
      <c r="E7227" s="141"/>
      <c r="F7227" s="141"/>
      <c r="G7227" s="141"/>
      <c r="H7227" s="140"/>
    </row>
    <row r="7228" spans="1:8" s="65" customFormat="1">
      <c r="A7228" s="146"/>
      <c r="B7228" s="147"/>
      <c r="C7228" s="148"/>
      <c r="D7228" s="84"/>
      <c r="E7228" s="143"/>
      <c r="F7228" s="84"/>
      <c r="G7228" s="144"/>
      <c r="H7228" s="133"/>
    </row>
    <row r="7229" spans="1:8" s="65" customFormat="1">
      <c r="A7229" s="91"/>
      <c r="B7229" s="91"/>
      <c r="C7229" s="91"/>
      <c r="D7229" s="91"/>
      <c r="E7229" s="91"/>
      <c r="G7229" s="104"/>
      <c r="H7229" s="140"/>
    </row>
    <row r="7230" spans="1:8" s="65" customFormat="1">
      <c r="A7230" s="120"/>
      <c r="B7230" s="73"/>
      <c r="C7230" s="73"/>
      <c r="D7230" s="73"/>
      <c r="E7230" s="73"/>
      <c r="G7230" s="121"/>
      <c r="H7230" s="140"/>
    </row>
    <row r="7231" spans="1:8" s="65" customFormat="1">
      <c r="A7231" s="128"/>
      <c r="B7231" s="141"/>
      <c r="C7231" s="141"/>
      <c r="D7231" s="141"/>
      <c r="E7231" s="141"/>
      <c r="F7231" s="141"/>
      <c r="G7231" s="141"/>
      <c r="H7231" s="140"/>
    </row>
    <row r="7232" spans="1:8" s="65" customFormat="1">
      <c r="A7232" s="142"/>
      <c r="B7232" s="143"/>
      <c r="C7232" s="143"/>
      <c r="D7232" s="143"/>
      <c r="E7232" s="143"/>
      <c r="F7232" s="84"/>
      <c r="G7232" s="144"/>
      <c r="H7232" s="145"/>
    </row>
    <row r="7233" spans="1:9" s="65" customFormat="1">
      <c r="A7233" s="123"/>
      <c r="B7233" s="95"/>
      <c r="C7233" s="95"/>
      <c r="D7233" s="95"/>
      <c r="E7233" s="95"/>
      <c r="G7233" s="104"/>
      <c r="H7233" s="121"/>
    </row>
    <row r="7234" spans="1:9" s="65" customFormat="1">
      <c r="A7234" s="123"/>
      <c r="B7234" s="95"/>
      <c r="C7234" s="95"/>
      <c r="D7234" s="95"/>
      <c r="E7234" s="95"/>
      <c r="G7234" s="121"/>
      <c r="H7234" s="133"/>
    </row>
    <row r="7235" spans="1:9" s="65" customFormat="1">
      <c r="B7235" s="97"/>
      <c r="C7235" s="98"/>
      <c r="D7235" s="98"/>
      <c r="E7235" s="98"/>
      <c r="G7235" s="128"/>
    </row>
    <row r="7236" spans="1:9" s="65" customFormat="1">
      <c r="B7236" s="97"/>
      <c r="C7236" s="98"/>
      <c r="D7236" s="98"/>
      <c r="E7236" s="98"/>
      <c r="F7236" s="128"/>
      <c r="G7236" s="133"/>
      <c r="H7236" s="134"/>
    </row>
    <row r="7237" spans="1:9" s="65" customFormat="1">
      <c r="A7237" s="633"/>
      <c r="B7237" s="633"/>
      <c r="C7237" s="633"/>
      <c r="D7237" s="633"/>
      <c r="E7237" s="633"/>
      <c r="F7237" s="633"/>
      <c r="G7237" s="633"/>
    </row>
    <row r="7238" spans="1:9" s="65" customFormat="1">
      <c r="H7238" s="138"/>
      <c r="I7238" s="151"/>
    </row>
    <row r="7239" spans="1:9" s="65" customFormat="1">
      <c r="A7239" s="645"/>
      <c r="B7239" s="138"/>
      <c r="C7239" s="138"/>
      <c r="D7239" s="138"/>
      <c r="E7239" s="138"/>
      <c r="F7239" s="138"/>
      <c r="G7239" s="138"/>
      <c r="H7239" s="138"/>
      <c r="I7239" s="152"/>
    </row>
    <row r="7240" spans="1:9" s="65" customFormat="1">
      <c r="A7240" s="645"/>
      <c r="B7240" s="138"/>
      <c r="C7240" s="138"/>
      <c r="D7240" s="138"/>
      <c r="E7240" s="138"/>
      <c r="F7240" s="138"/>
      <c r="G7240" s="138"/>
    </row>
    <row r="7241" spans="1:9" s="65" customFormat="1">
      <c r="A7241" s="69"/>
      <c r="B7241" s="69"/>
      <c r="C7241" s="69"/>
      <c r="D7241" s="69"/>
      <c r="E7241" s="69"/>
    </row>
    <row r="7242" spans="1:9" s="65" customFormat="1">
      <c r="A7242" s="120"/>
      <c r="B7242" s="73"/>
      <c r="C7242" s="73"/>
      <c r="D7242" s="73"/>
      <c r="E7242" s="73"/>
      <c r="F7242" s="121"/>
      <c r="G7242" s="121"/>
      <c r="H7242" s="121"/>
    </row>
    <row r="7243" spans="1:9" s="65" customFormat="1">
      <c r="A7243" s="128"/>
      <c r="B7243" s="141"/>
      <c r="C7243" s="141"/>
      <c r="D7243" s="141"/>
      <c r="E7243" s="141"/>
      <c r="F7243" s="141"/>
      <c r="G7243" s="141"/>
      <c r="H7243" s="121"/>
    </row>
    <row r="7244" spans="1:9" s="65" customFormat="1">
      <c r="A7244" s="84"/>
      <c r="B7244" s="83"/>
      <c r="C7244" s="84"/>
      <c r="D7244" s="84"/>
      <c r="E7244" s="84"/>
      <c r="F7244" s="84"/>
      <c r="G7244" s="144"/>
      <c r="H7244" s="133"/>
    </row>
    <row r="7245" spans="1:9" s="65" customFormat="1">
      <c r="A7245" s="84"/>
      <c r="B7245" s="83"/>
      <c r="C7245" s="84"/>
      <c r="D7245" s="84"/>
      <c r="E7245" s="84"/>
      <c r="G7245" s="104"/>
      <c r="H7245" s="140"/>
    </row>
    <row r="7246" spans="1:9" s="65" customFormat="1">
      <c r="A7246" s="120"/>
      <c r="B7246" s="73"/>
      <c r="C7246" s="73"/>
      <c r="D7246" s="73"/>
      <c r="E7246" s="73"/>
      <c r="G7246" s="121"/>
      <c r="H7246" s="140"/>
    </row>
    <row r="7247" spans="1:9" s="65" customFormat="1">
      <c r="A7247" s="128"/>
      <c r="B7247" s="141"/>
      <c r="C7247" s="141"/>
      <c r="D7247" s="141"/>
      <c r="E7247" s="141"/>
      <c r="F7247" s="141"/>
      <c r="G7247" s="141"/>
      <c r="H7247" s="140"/>
    </row>
    <row r="7248" spans="1:9" s="65" customFormat="1">
      <c r="A7248" s="172"/>
      <c r="B7248" s="83"/>
      <c r="C7248" s="84"/>
      <c r="D7248" s="84"/>
      <c r="E7248" s="84"/>
      <c r="F7248" s="141"/>
      <c r="G7248" s="168"/>
      <c r="H7248" s="140"/>
    </row>
    <row r="7249" spans="1:9" s="65" customFormat="1">
      <c r="A7249" s="173"/>
      <c r="B7249" s="83"/>
      <c r="C7249" s="148"/>
      <c r="D7249" s="84"/>
      <c r="E7249" s="84"/>
      <c r="F7249" s="141"/>
      <c r="G7249" s="168"/>
      <c r="H7249" s="140"/>
    </row>
    <row r="7250" spans="1:9" s="65" customFormat="1">
      <c r="A7250" s="150"/>
      <c r="B7250" s="83"/>
      <c r="C7250" s="148"/>
      <c r="D7250" s="84"/>
      <c r="E7250" s="84"/>
      <c r="F7250" s="84"/>
      <c r="G7250" s="168"/>
      <c r="H7250" s="133"/>
    </row>
    <row r="7251" spans="1:9" s="65" customFormat="1">
      <c r="A7251" s="91"/>
      <c r="B7251" s="91"/>
      <c r="C7251" s="91"/>
      <c r="D7251" s="91"/>
      <c r="E7251" s="91"/>
      <c r="G7251" s="104"/>
      <c r="H7251" s="140"/>
    </row>
    <row r="7252" spans="1:9" s="65" customFormat="1">
      <c r="A7252" s="120"/>
      <c r="B7252" s="73"/>
      <c r="C7252" s="73"/>
      <c r="D7252" s="73"/>
      <c r="E7252" s="73"/>
      <c r="G7252" s="121"/>
      <c r="H7252" s="140"/>
    </row>
    <row r="7253" spans="1:9" s="65" customFormat="1">
      <c r="A7253" s="128"/>
      <c r="B7253" s="141"/>
      <c r="C7253" s="141"/>
      <c r="D7253" s="141"/>
      <c r="E7253" s="141"/>
      <c r="F7253" s="141"/>
      <c r="G7253" s="141"/>
      <c r="H7253" s="140"/>
    </row>
    <row r="7254" spans="1:9" s="65" customFormat="1">
      <c r="A7254" s="146"/>
      <c r="B7254" s="147"/>
      <c r="C7254" s="148"/>
      <c r="D7254" s="84"/>
      <c r="E7254" s="143"/>
      <c r="F7254" s="84"/>
      <c r="G7254" s="144"/>
      <c r="H7254" s="133"/>
    </row>
    <row r="7255" spans="1:9" s="65" customFormat="1">
      <c r="A7255" s="91"/>
      <c r="B7255" s="91"/>
      <c r="C7255" s="91"/>
      <c r="D7255" s="91"/>
      <c r="E7255" s="91"/>
      <c r="G7255" s="104"/>
      <c r="H7255" s="140"/>
    </row>
    <row r="7256" spans="1:9" s="65" customFormat="1">
      <c r="A7256" s="120"/>
      <c r="B7256" s="73"/>
      <c r="C7256" s="73"/>
      <c r="D7256" s="73"/>
      <c r="E7256" s="73"/>
      <c r="G7256" s="121"/>
      <c r="H7256" s="140"/>
    </row>
    <row r="7257" spans="1:9" s="65" customFormat="1">
      <c r="A7257" s="128"/>
      <c r="B7257" s="141"/>
      <c r="C7257" s="141"/>
      <c r="D7257" s="141"/>
      <c r="E7257" s="141"/>
      <c r="F7257" s="141"/>
      <c r="G7257" s="141"/>
      <c r="H7257" s="140"/>
    </row>
    <row r="7258" spans="1:9" s="65" customFormat="1">
      <c r="A7258" s="142"/>
      <c r="B7258" s="143"/>
      <c r="C7258" s="143"/>
      <c r="D7258" s="143"/>
      <c r="E7258" s="143"/>
      <c r="F7258" s="84"/>
      <c r="G7258" s="144"/>
      <c r="H7258" s="145"/>
    </row>
    <row r="7259" spans="1:9" s="65" customFormat="1">
      <c r="A7259" s="123"/>
      <c r="B7259" s="95"/>
      <c r="C7259" s="95"/>
      <c r="D7259" s="95"/>
      <c r="E7259" s="95"/>
      <c r="G7259" s="104"/>
      <c r="H7259" s="121"/>
    </row>
    <row r="7260" spans="1:9" s="65" customFormat="1">
      <c r="A7260" s="123"/>
      <c r="B7260" s="95"/>
      <c r="C7260" s="95"/>
      <c r="D7260" s="95"/>
      <c r="E7260" s="95"/>
      <c r="G7260" s="121"/>
      <c r="H7260" s="133"/>
    </row>
    <row r="7261" spans="1:9" s="65" customFormat="1">
      <c r="B7261" s="97"/>
      <c r="C7261" s="98"/>
      <c r="D7261" s="98"/>
      <c r="E7261" s="98"/>
      <c r="G7261" s="128"/>
    </row>
    <row r="7262" spans="1:9" s="65" customFormat="1">
      <c r="B7262" s="97"/>
      <c r="C7262" s="98"/>
      <c r="D7262" s="98"/>
      <c r="E7262" s="98"/>
      <c r="F7262" s="128"/>
      <c r="G7262" s="133"/>
      <c r="H7262" s="134"/>
    </row>
    <row r="7263" spans="1:9" s="65" customFormat="1">
      <c r="A7263" s="633"/>
      <c r="B7263" s="633"/>
      <c r="C7263" s="633"/>
      <c r="D7263" s="633"/>
      <c r="E7263" s="633"/>
      <c r="F7263" s="633"/>
      <c r="G7263" s="633"/>
    </row>
    <row r="7264" spans="1:9" s="65" customFormat="1">
      <c r="H7264" s="138"/>
      <c r="I7264" s="151"/>
    </row>
    <row r="7265" spans="1:9" s="65" customFormat="1">
      <c r="A7265" s="645"/>
      <c r="B7265" s="138"/>
      <c r="C7265" s="138"/>
      <c r="D7265" s="138"/>
      <c r="E7265" s="138"/>
      <c r="F7265" s="138"/>
      <c r="G7265" s="138"/>
      <c r="H7265" s="138"/>
      <c r="I7265" s="152"/>
    </row>
    <row r="7266" spans="1:9" s="65" customFormat="1">
      <c r="A7266" s="645"/>
      <c r="B7266" s="138"/>
      <c r="C7266" s="138"/>
      <c r="D7266" s="138"/>
      <c r="E7266" s="138"/>
      <c r="F7266" s="138"/>
      <c r="G7266" s="138"/>
    </row>
    <row r="7267" spans="1:9" s="65" customFormat="1">
      <c r="A7267" s="69"/>
      <c r="B7267" s="69"/>
      <c r="C7267" s="69"/>
      <c r="D7267" s="69"/>
      <c r="E7267" s="69"/>
    </row>
    <row r="7268" spans="1:9" s="65" customFormat="1">
      <c r="A7268" s="120"/>
      <c r="B7268" s="73"/>
      <c r="C7268" s="73"/>
      <c r="D7268" s="73"/>
      <c r="E7268" s="73"/>
      <c r="F7268" s="121"/>
      <c r="G7268" s="121"/>
      <c r="H7268" s="121"/>
    </row>
    <row r="7269" spans="1:9" s="65" customFormat="1">
      <c r="A7269" s="128"/>
      <c r="B7269" s="141"/>
      <c r="C7269" s="141"/>
      <c r="D7269" s="141"/>
      <c r="E7269" s="141"/>
      <c r="F7269" s="141"/>
      <c r="G7269" s="141"/>
      <c r="H7269" s="121"/>
    </row>
    <row r="7270" spans="1:9" s="65" customFormat="1">
      <c r="A7270" s="84"/>
      <c r="B7270" s="83"/>
      <c r="C7270" s="84"/>
      <c r="D7270" s="84"/>
      <c r="E7270" s="84"/>
      <c r="F7270" s="84"/>
      <c r="G7270" s="144"/>
      <c r="H7270" s="133"/>
    </row>
    <row r="7271" spans="1:9" s="65" customFormat="1">
      <c r="A7271" s="84"/>
      <c r="B7271" s="83"/>
      <c r="C7271" s="84"/>
      <c r="D7271" s="84"/>
      <c r="E7271" s="84"/>
      <c r="G7271" s="104"/>
      <c r="H7271" s="140"/>
    </row>
    <row r="7272" spans="1:9" s="65" customFormat="1">
      <c r="A7272" s="120"/>
      <c r="B7272" s="73"/>
      <c r="C7272" s="73"/>
      <c r="D7272" s="73"/>
      <c r="E7272" s="73"/>
      <c r="G7272" s="121"/>
      <c r="H7272" s="140"/>
    </row>
    <row r="7273" spans="1:9" s="65" customFormat="1">
      <c r="A7273" s="128"/>
      <c r="B7273" s="141"/>
      <c r="C7273" s="141"/>
      <c r="D7273" s="141"/>
      <c r="E7273" s="141"/>
      <c r="F7273" s="141"/>
      <c r="G7273" s="141"/>
      <c r="H7273" s="140"/>
    </row>
    <row r="7274" spans="1:9" s="65" customFormat="1">
      <c r="A7274" s="172"/>
      <c r="B7274" s="83"/>
      <c r="C7274" s="84"/>
      <c r="D7274" s="84"/>
      <c r="E7274" s="168"/>
      <c r="F7274" s="141"/>
      <c r="G7274" s="168"/>
      <c r="H7274" s="140"/>
    </row>
    <row r="7275" spans="1:9" s="65" customFormat="1">
      <c r="A7275" s="173"/>
      <c r="B7275" s="83"/>
      <c r="C7275" s="84"/>
      <c r="D7275" s="84"/>
      <c r="E7275" s="168"/>
      <c r="F7275" s="141"/>
      <c r="G7275" s="168"/>
      <c r="H7275" s="140"/>
    </row>
    <row r="7276" spans="1:9" s="65" customFormat="1">
      <c r="A7276" s="173"/>
      <c r="B7276" s="83"/>
      <c r="C7276" s="84"/>
      <c r="D7276" s="84"/>
      <c r="E7276" s="168"/>
      <c r="F7276" s="141"/>
      <c r="G7276" s="168"/>
      <c r="H7276" s="140"/>
    </row>
    <row r="7277" spans="1:9" s="65" customFormat="1">
      <c r="A7277" s="150"/>
      <c r="B7277" s="83"/>
      <c r="C7277" s="148"/>
      <c r="D7277" s="84"/>
      <c r="E7277" s="168"/>
      <c r="F7277" s="84"/>
      <c r="G7277" s="168"/>
      <c r="H7277" s="133"/>
    </row>
    <row r="7278" spans="1:9" s="65" customFormat="1">
      <c r="A7278" s="91"/>
      <c r="B7278" s="91"/>
      <c r="C7278" s="91"/>
      <c r="D7278" s="91"/>
      <c r="E7278" s="91"/>
      <c r="G7278" s="104"/>
      <c r="H7278" s="140"/>
    </row>
    <row r="7279" spans="1:9" s="65" customFormat="1">
      <c r="A7279" s="120"/>
      <c r="B7279" s="73"/>
      <c r="C7279" s="73"/>
      <c r="D7279" s="73"/>
      <c r="E7279" s="73"/>
      <c r="G7279" s="121"/>
      <c r="H7279" s="140"/>
    </row>
    <row r="7280" spans="1:9" s="65" customFormat="1">
      <c r="A7280" s="128"/>
      <c r="B7280" s="141"/>
      <c r="C7280" s="141"/>
      <c r="D7280" s="141"/>
      <c r="E7280" s="141"/>
      <c r="F7280" s="141"/>
      <c r="G7280" s="141"/>
      <c r="H7280" s="140"/>
    </row>
    <row r="7281" spans="1:9" s="65" customFormat="1">
      <c r="A7281" s="128"/>
      <c r="B7281" s="83"/>
      <c r="C7281" s="148"/>
      <c r="D7281" s="84"/>
      <c r="E7281" s="84"/>
      <c r="F7281" s="141"/>
      <c r="G7281" s="84"/>
      <c r="H7281" s="140"/>
    </row>
    <row r="7282" spans="1:9" s="65" customFormat="1">
      <c r="A7282" s="146"/>
      <c r="B7282" s="147"/>
      <c r="C7282" s="148"/>
      <c r="D7282" s="84"/>
      <c r="E7282" s="143"/>
      <c r="F7282" s="84"/>
      <c r="G7282" s="144"/>
      <c r="H7282" s="133"/>
    </row>
    <row r="7283" spans="1:9" s="65" customFormat="1">
      <c r="A7283" s="91"/>
      <c r="B7283" s="91"/>
      <c r="C7283" s="91"/>
      <c r="D7283" s="91"/>
      <c r="E7283" s="91"/>
      <c r="G7283" s="104"/>
      <c r="H7283" s="140"/>
    </row>
    <row r="7284" spans="1:9" s="65" customFormat="1">
      <c r="A7284" s="120"/>
      <c r="B7284" s="73"/>
      <c r="C7284" s="73"/>
      <c r="D7284" s="73"/>
      <c r="E7284" s="73"/>
      <c r="G7284" s="121"/>
      <c r="H7284" s="140"/>
    </row>
    <row r="7285" spans="1:9" s="65" customFormat="1">
      <c r="A7285" s="128"/>
      <c r="B7285" s="141"/>
      <c r="C7285" s="141"/>
      <c r="D7285" s="141"/>
      <c r="E7285" s="141"/>
      <c r="F7285" s="141"/>
      <c r="G7285" s="141"/>
      <c r="H7285" s="140"/>
    </row>
    <row r="7286" spans="1:9" s="65" customFormat="1">
      <c r="A7286" s="142"/>
      <c r="B7286" s="143"/>
      <c r="C7286" s="143"/>
      <c r="D7286" s="143"/>
      <c r="E7286" s="143"/>
      <c r="F7286" s="84"/>
      <c r="G7286" s="144"/>
      <c r="H7286" s="145"/>
    </row>
    <row r="7287" spans="1:9" s="65" customFormat="1">
      <c r="A7287" s="123"/>
      <c r="B7287" s="95"/>
      <c r="C7287" s="95"/>
      <c r="D7287" s="95"/>
      <c r="E7287" s="95"/>
      <c r="G7287" s="104"/>
      <c r="H7287" s="121"/>
    </row>
    <row r="7288" spans="1:9" s="65" customFormat="1">
      <c r="A7288" s="123"/>
      <c r="B7288" s="95"/>
      <c r="C7288" s="95"/>
      <c r="D7288" s="95"/>
      <c r="E7288" s="95"/>
      <c r="G7288" s="121"/>
      <c r="H7288" s="133"/>
    </row>
    <row r="7289" spans="1:9" s="65" customFormat="1">
      <c r="B7289" s="97"/>
      <c r="C7289" s="98"/>
      <c r="D7289" s="98"/>
      <c r="E7289" s="98"/>
      <c r="G7289" s="128"/>
    </row>
    <row r="7290" spans="1:9" s="65" customFormat="1">
      <c r="B7290" s="97"/>
      <c r="C7290" s="98"/>
      <c r="D7290" s="98"/>
      <c r="E7290" s="98"/>
      <c r="F7290" s="128"/>
      <c r="G7290" s="133"/>
      <c r="H7290" s="134"/>
    </row>
    <row r="7291" spans="1:9" s="65" customFormat="1">
      <c r="A7291" s="633"/>
      <c r="B7291" s="633"/>
      <c r="C7291" s="633"/>
      <c r="D7291" s="633"/>
      <c r="E7291" s="633"/>
      <c r="F7291" s="633"/>
      <c r="G7291" s="633"/>
    </row>
    <row r="7292" spans="1:9" s="65" customFormat="1">
      <c r="H7292" s="138"/>
      <c r="I7292" s="151"/>
    </row>
    <row r="7293" spans="1:9" s="65" customFormat="1">
      <c r="A7293" s="645"/>
      <c r="B7293" s="138"/>
      <c r="C7293" s="138"/>
      <c r="D7293" s="138"/>
      <c r="E7293" s="138"/>
      <c r="F7293" s="138"/>
      <c r="G7293" s="138"/>
      <c r="H7293" s="138"/>
      <c r="I7293" s="152"/>
    </row>
    <row r="7294" spans="1:9" s="65" customFormat="1">
      <c r="A7294" s="645"/>
      <c r="B7294" s="138"/>
      <c r="C7294" s="138"/>
      <c r="D7294" s="138"/>
      <c r="E7294" s="138"/>
      <c r="F7294" s="138"/>
      <c r="G7294" s="138"/>
    </row>
    <row r="7295" spans="1:9" s="65" customFormat="1">
      <c r="A7295" s="69"/>
      <c r="B7295" s="69"/>
      <c r="C7295" s="69"/>
      <c r="D7295" s="69"/>
      <c r="E7295" s="69"/>
    </row>
    <row r="7296" spans="1:9" s="65" customFormat="1">
      <c r="A7296" s="120"/>
      <c r="B7296" s="73"/>
      <c r="C7296" s="73"/>
      <c r="D7296" s="73"/>
      <c r="E7296" s="73"/>
      <c r="F7296" s="121"/>
      <c r="G7296" s="121"/>
      <c r="H7296" s="121"/>
    </row>
    <row r="7297" spans="1:8" s="65" customFormat="1">
      <c r="A7297" s="128"/>
      <c r="B7297" s="141"/>
      <c r="C7297" s="141"/>
      <c r="D7297" s="141"/>
      <c r="E7297" s="141"/>
      <c r="F7297" s="141"/>
      <c r="G7297" s="141"/>
      <c r="H7297" s="121"/>
    </row>
    <row r="7298" spans="1:8" s="65" customFormat="1">
      <c r="A7298" s="84"/>
      <c r="B7298" s="83"/>
      <c r="C7298" s="84"/>
      <c r="D7298" s="84"/>
      <c r="E7298" s="84"/>
      <c r="F7298" s="84"/>
      <c r="G7298" s="144"/>
      <c r="H7298" s="133"/>
    </row>
    <row r="7299" spans="1:8" s="65" customFormat="1">
      <c r="A7299" s="84"/>
      <c r="B7299" s="83"/>
      <c r="C7299" s="84"/>
      <c r="D7299" s="84"/>
      <c r="E7299" s="84"/>
      <c r="G7299" s="104"/>
      <c r="H7299" s="140"/>
    </row>
    <row r="7300" spans="1:8" s="65" customFormat="1">
      <c r="A7300" s="120"/>
      <c r="B7300" s="73"/>
      <c r="C7300" s="73"/>
      <c r="D7300" s="73"/>
      <c r="E7300" s="73"/>
      <c r="G7300" s="121"/>
      <c r="H7300" s="140"/>
    </row>
    <row r="7301" spans="1:8" s="65" customFormat="1">
      <c r="A7301" s="128"/>
      <c r="B7301" s="141"/>
      <c r="C7301" s="141"/>
      <c r="D7301" s="141"/>
      <c r="E7301" s="141"/>
      <c r="F7301" s="141"/>
      <c r="G7301" s="141"/>
      <c r="H7301" s="140"/>
    </row>
    <row r="7302" spans="1:8" s="65" customFormat="1">
      <c r="A7302" s="172"/>
      <c r="B7302" s="83"/>
      <c r="C7302" s="84"/>
      <c r="D7302" s="84"/>
      <c r="E7302" s="168"/>
      <c r="F7302" s="141"/>
      <c r="G7302" s="168"/>
      <c r="H7302" s="140"/>
    </row>
    <row r="7303" spans="1:8" s="65" customFormat="1">
      <c r="A7303" s="173"/>
      <c r="B7303" s="83"/>
      <c r="C7303" s="84"/>
      <c r="D7303" s="84"/>
      <c r="E7303" s="84"/>
      <c r="F7303" s="141"/>
      <c r="G7303" s="168"/>
      <c r="H7303" s="140"/>
    </row>
    <row r="7304" spans="1:8" s="65" customFormat="1">
      <c r="A7304" s="173"/>
      <c r="B7304" s="83"/>
      <c r="C7304" s="84"/>
      <c r="D7304" s="84"/>
      <c r="E7304" s="84"/>
      <c r="F7304" s="141"/>
      <c r="G7304" s="168"/>
      <c r="H7304" s="140"/>
    </row>
    <row r="7305" spans="1:8" s="65" customFormat="1">
      <c r="A7305" s="150"/>
      <c r="B7305" s="83"/>
      <c r="C7305" s="148"/>
      <c r="D7305" s="84"/>
      <c r="E7305" s="84"/>
      <c r="F7305" s="84"/>
      <c r="G7305" s="168"/>
      <c r="H7305" s="133"/>
    </row>
    <row r="7306" spans="1:8" s="65" customFormat="1">
      <c r="A7306" s="91"/>
      <c r="B7306" s="91"/>
      <c r="C7306" s="91"/>
      <c r="D7306" s="91"/>
      <c r="E7306" s="91"/>
      <c r="G7306" s="104"/>
      <c r="H7306" s="140"/>
    </row>
    <row r="7307" spans="1:8" s="65" customFormat="1">
      <c r="A7307" s="120"/>
      <c r="B7307" s="73"/>
      <c r="C7307" s="73"/>
      <c r="D7307" s="73"/>
      <c r="E7307" s="73"/>
      <c r="G7307" s="121"/>
      <c r="H7307" s="140"/>
    </row>
    <row r="7308" spans="1:8" s="65" customFormat="1">
      <c r="A7308" s="128"/>
      <c r="B7308" s="141"/>
      <c r="C7308" s="141"/>
      <c r="D7308" s="141"/>
      <c r="E7308" s="141"/>
      <c r="F7308" s="141"/>
      <c r="G7308" s="141"/>
      <c r="H7308" s="140"/>
    </row>
    <row r="7309" spans="1:8" s="65" customFormat="1">
      <c r="A7309" s="128"/>
      <c r="B7309" s="83"/>
      <c r="C7309" s="148"/>
      <c r="D7309" s="84"/>
      <c r="E7309" s="84"/>
      <c r="F7309" s="141"/>
      <c r="G7309" s="84"/>
      <c r="H7309" s="140"/>
    </row>
    <row r="7310" spans="1:8" s="65" customFormat="1">
      <c r="A7310" s="146"/>
      <c r="B7310" s="147"/>
      <c r="C7310" s="148"/>
      <c r="D7310" s="84"/>
      <c r="E7310" s="143"/>
      <c r="F7310" s="84"/>
      <c r="G7310" s="144"/>
      <c r="H7310" s="133"/>
    </row>
    <row r="7311" spans="1:8" s="65" customFormat="1">
      <c r="A7311" s="91"/>
      <c r="B7311" s="91"/>
      <c r="C7311" s="91"/>
      <c r="D7311" s="91"/>
      <c r="E7311" s="91"/>
      <c r="G7311" s="104"/>
      <c r="H7311" s="140"/>
    </row>
    <row r="7312" spans="1:8" s="65" customFormat="1">
      <c r="A7312" s="120"/>
      <c r="B7312" s="73"/>
      <c r="C7312" s="73"/>
      <c r="D7312" s="73"/>
      <c r="E7312" s="73"/>
      <c r="G7312" s="121"/>
      <c r="H7312" s="140"/>
    </row>
    <row r="7313" spans="1:9" s="65" customFormat="1">
      <c r="A7313" s="128"/>
      <c r="B7313" s="141"/>
      <c r="C7313" s="141"/>
      <c r="D7313" s="141"/>
      <c r="E7313" s="141"/>
      <c r="F7313" s="141"/>
      <c r="G7313" s="141"/>
      <c r="H7313" s="140"/>
    </row>
    <row r="7314" spans="1:9" s="65" customFormat="1">
      <c r="A7314" s="142"/>
      <c r="B7314" s="143"/>
      <c r="C7314" s="143"/>
      <c r="D7314" s="143"/>
      <c r="E7314" s="143"/>
      <c r="F7314" s="84"/>
      <c r="G7314" s="144"/>
      <c r="H7314" s="145"/>
    </row>
    <row r="7315" spans="1:9" s="65" customFormat="1">
      <c r="A7315" s="123"/>
      <c r="B7315" s="95"/>
      <c r="C7315" s="95"/>
      <c r="D7315" s="95"/>
      <c r="E7315" s="95"/>
      <c r="G7315" s="104"/>
      <c r="H7315" s="121"/>
    </row>
    <row r="7316" spans="1:9" s="65" customFormat="1">
      <c r="A7316" s="123"/>
      <c r="B7316" s="95"/>
      <c r="C7316" s="95"/>
      <c r="D7316" s="95"/>
      <c r="E7316" s="95"/>
      <c r="G7316" s="121"/>
      <c r="H7316" s="133"/>
    </row>
    <row r="7317" spans="1:9" s="65" customFormat="1">
      <c r="B7317" s="97"/>
      <c r="C7317" s="98"/>
      <c r="D7317" s="98"/>
      <c r="E7317" s="98"/>
      <c r="G7317" s="128"/>
    </row>
    <row r="7318" spans="1:9" s="65" customFormat="1">
      <c r="B7318" s="97"/>
      <c r="C7318" s="98"/>
      <c r="D7318" s="98"/>
      <c r="E7318" s="98"/>
      <c r="F7318" s="128"/>
      <c r="G7318" s="133"/>
      <c r="H7318" s="134"/>
    </row>
    <row r="7319" spans="1:9" s="65" customFormat="1">
      <c r="A7319" s="633"/>
      <c r="B7319" s="633"/>
      <c r="C7319" s="633"/>
      <c r="D7319" s="633"/>
      <c r="E7319" s="633"/>
      <c r="F7319" s="633"/>
      <c r="G7319" s="633"/>
    </row>
    <row r="7320" spans="1:9" s="65" customFormat="1">
      <c r="H7320" s="138"/>
      <c r="I7320" s="151"/>
    </row>
    <row r="7321" spans="1:9" s="65" customFormat="1">
      <c r="A7321" s="645"/>
      <c r="B7321" s="138"/>
      <c r="C7321" s="138"/>
      <c r="D7321" s="138"/>
      <c r="E7321" s="138"/>
      <c r="F7321" s="138"/>
      <c r="G7321" s="138"/>
      <c r="H7321" s="138"/>
      <c r="I7321" s="152"/>
    </row>
    <row r="7322" spans="1:9" s="65" customFormat="1">
      <c r="A7322" s="645"/>
      <c r="B7322" s="138"/>
      <c r="C7322" s="138"/>
      <c r="D7322" s="138"/>
      <c r="E7322" s="138"/>
      <c r="F7322" s="138"/>
      <c r="G7322" s="138"/>
    </row>
    <row r="7323" spans="1:9" s="65" customFormat="1">
      <c r="A7323" s="69"/>
      <c r="B7323" s="69"/>
      <c r="C7323" s="69"/>
      <c r="D7323" s="69"/>
      <c r="E7323" s="69"/>
    </row>
    <row r="7324" spans="1:9" s="65" customFormat="1">
      <c r="A7324" s="120"/>
      <c r="B7324" s="73"/>
      <c r="C7324" s="73"/>
      <c r="D7324" s="73"/>
      <c r="E7324" s="73"/>
      <c r="F7324" s="121"/>
      <c r="G7324" s="121"/>
      <c r="H7324" s="121"/>
    </row>
    <row r="7325" spans="1:9" s="65" customFormat="1">
      <c r="A7325" s="128"/>
      <c r="B7325" s="141"/>
      <c r="C7325" s="141"/>
      <c r="D7325" s="141"/>
      <c r="E7325" s="141"/>
      <c r="F7325" s="141"/>
      <c r="G7325" s="141"/>
      <c r="H7325" s="121"/>
    </row>
    <row r="7326" spans="1:9" s="65" customFormat="1">
      <c r="A7326" s="84"/>
      <c r="B7326" s="83"/>
      <c r="C7326" s="84"/>
      <c r="D7326" s="84"/>
      <c r="E7326" s="84"/>
      <c r="F7326" s="84"/>
      <c r="G7326" s="144"/>
      <c r="H7326" s="133"/>
    </row>
    <row r="7327" spans="1:9" s="65" customFormat="1">
      <c r="A7327" s="84"/>
      <c r="B7327" s="83"/>
      <c r="C7327" s="84"/>
      <c r="D7327" s="84"/>
      <c r="E7327" s="84"/>
      <c r="G7327" s="104"/>
      <c r="H7327" s="140"/>
    </row>
    <row r="7328" spans="1:9" s="65" customFormat="1">
      <c r="A7328" s="120"/>
      <c r="B7328" s="73"/>
      <c r="C7328" s="73"/>
      <c r="D7328" s="73"/>
      <c r="E7328" s="73"/>
      <c r="G7328" s="121"/>
      <c r="H7328" s="140"/>
    </row>
    <row r="7329" spans="1:8" s="65" customFormat="1">
      <c r="A7329" s="128"/>
      <c r="B7329" s="141"/>
      <c r="C7329" s="141"/>
      <c r="D7329" s="141"/>
      <c r="E7329" s="141"/>
      <c r="F7329" s="141"/>
      <c r="G7329" s="141"/>
      <c r="H7329" s="140"/>
    </row>
    <row r="7330" spans="1:8" s="65" customFormat="1">
      <c r="A7330" s="172"/>
      <c r="B7330" s="83"/>
      <c r="C7330" s="84"/>
      <c r="D7330" s="84"/>
      <c r="E7330" s="168"/>
      <c r="F7330" s="141"/>
      <c r="G7330" s="168"/>
      <c r="H7330" s="140"/>
    </row>
    <row r="7331" spans="1:8" s="65" customFormat="1">
      <c r="A7331" s="173"/>
      <c r="B7331" s="83"/>
      <c r="C7331" s="84"/>
      <c r="D7331" s="84"/>
      <c r="E7331" s="84"/>
      <c r="F7331" s="141"/>
      <c r="G7331" s="168"/>
      <c r="H7331" s="133"/>
    </row>
    <row r="7332" spans="1:8" s="65" customFormat="1">
      <c r="A7332" s="91"/>
      <c r="B7332" s="91"/>
      <c r="C7332" s="91"/>
      <c r="D7332" s="91"/>
      <c r="E7332" s="91"/>
      <c r="G7332" s="104"/>
      <c r="H7332" s="140"/>
    </row>
    <row r="7333" spans="1:8" s="65" customFormat="1">
      <c r="A7333" s="120"/>
      <c r="B7333" s="73"/>
      <c r="C7333" s="73"/>
      <c r="D7333" s="73"/>
      <c r="E7333" s="73"/>
      <c r="G7333" s="121"/>
      <c r="H7333" s="140"/>
    </row>
    <row r="7334" spans="1:8" s="65" customFormat="1">
      <c r="A7334" s="128"/>
      <c r="B7334" s="141"/>
      <c r="C7334" s="141"/>
      <c r="D7334" s="141"/>
      <c r="E7334" s="141"/>
      <c r="F7334" s="141"/>
      <c r="G7334" s="141"/>
      <c r="H7334" s="140"/>
    </row>
    <row r="7335" spans="1:8" s="65" customFormat="1">
      <c r="A7335" s="146"/>
      <c r="B7335" s="147"/>
      <c r="C7335" s="148"/>
      <c r="D7335" s="84"/>
      <c r="E7335" s="143"/>
      <c r="F7335" s="84"/>
      <c r="G7335" s="144"/>
      <c r="H7335" s="133"/>
    </row>
    <row r="7336" spans="1:8" s="65" customFormat="1">
      <c r="A7336" s="91"/>
      <c r="B7336" s="91"/>
      <c r="C7336" s="91"/>
      <c r="D7336" s="91"/>
      <c r="E7336" s="91"/>
      <c r="G7336" s="104"/>
      <c r="H7336" s="140"/>
    </row>
    <row r="7337" spans="1:8" s="65" customFormat="1">
      <c r="A7337" s="120"/>
      <c r="B7337" s="73"/>
      <c r="C7337" s="73"/>
      <c r="D7337" s="73"/>
      <c r="E7337" s="73"/>
      <c r="G7337" s="121"/>
      <c r="H7337" s="140"/>
    </row>
    <row r="7338" spans="1:8" s="65" customFormat="1">
      <c r="A7338" s="128"/>
      <c r="B7338" s="141"/>
      <c r="C7338" s="141"/>
      <c r="D7338" s="141"/>
      <c r="E7338" s="141"/>
      <c r="F7338" s="141"/>
      <c r="G7338" s="141"/>
      <c r="H7338" s="140"/>
    </row>
    <row r="7339" spans="1:8" s="65" customFormat="1">
      <c r="A7339" s="142"/>
      <c r="B7339" s="143"/>
      <c r="C7339" s="143"/>
      <c r="D7339" s="143"/>
      <c r="E7339" s="143"/>
      <c r="F7339" s="84"/>
      <c r="G7339" s="144"/>
      <c r="H7339" s="133"/>
    </row>
    <row r="7340" spans="1:8" s="65" customFormat="1">
      <c r="A7340" s="123"/>
      <c r="B7340" s="95"/>
      <c r="C7340" s="95"/>
      <c r="D7340" s="95"/>
      <c r="E7340" s="95"/>
      <c r="G7340" s="104"/>
      <c r="H7340" s="121"/>
    </row>
    <row r="7341" spans="1:8" s="65" customFormat="1">
      <c r="A7341" s="123"/>
      <c r="B7341" s="95"/>
      <c r="C7341" s="95"/>
      <c r="D7341" s="95"/>
      <c r="E7341" s="95"/>
      <c r="G7341" s="121"/>
      <c r="H7341" s="133"/>
    </row>
    <row r="7342" spans="1:8" s="65" customFormat="1">
      <c r="B7342" s="97"/>
      <c r="C7342" s="98"/>
      <c r="D7342" s="98"/>
      <c r="E7342" s="98"/>
      <c r="G7342" s="128"/>
    </row>
    <row r="7343" spans="1:8" s="65" customFormat="1">
      <c r="B7343" s="97"/>
      <c r="C7343" s="98"/>
      <c r="D7343" s="98"/>
      <c r="E7343" s="98"/>
      <c r="F7343" s="128"/>
      <c r="G7343" s="133"/>
      <c r="H7343" s="134"/>
    </row>
    <row r="7344" spans="1:8" s="65" customFormat="1">
      <c r="A7344" s="633"/>
      <c r="B7344" s="633"/>
      <c r="C7344" s="633"/>
      <c r="D7344" s="633"/>
      <c r="E7344" s="633"/>
      <c r="F7344" s="633"/>
      <c r="G7344" s="633"/>
    </row>
    <row r="7345" spans="1:9" s="65" customFormat="1">
      <c r="H7345" s="138"/>
      <c r="I7345" s="151"/>
    </row>
    <row r="7346" spans="1:9" s="65" customFormat="1">
      <c r="A7346" s="655"/>
      <c r="B7346" s="138"/>
      <c r="C7346" s="138"/>
      <c r="D7346" s="138"/>
      <c r="E7346" s="138"/>
      <c r="F7346" s="138"/>
      <c r="G7346" s="138"/>
      <c r="H7346" s="138"/>
      <c r="I7346" s="152"/>
    </row>
    <row r="7347" spans="1:9" s="65" customFormat="1">
      <c r="A7347" s="645"/>
      <c r="B7347" s="138"/>
      <c r="C7347" s="138"/>
      <c r="D7347" s="138"/>
      <c r="E7347" s="138"/>
      <c r="F7347" s="138"/>
      <c r="G7347" s="138"/>
    </row>
    <row r="7348" spans="1:9" s="65" customFormat="1">
      <c r="A7348" s="69"/>
      <c r="B7348" s="69"/>
      <c r="C7348" s="69"/>
      <c r="D7348" s="69"/>
      <c r="E7348" s="69"/>
    </row>
    <row r="7349" spans="1:9" s="65" customFormat="1">
      <c r="A7349" s="120"/>
      <c r="B7349" s="73"/>
      <c r="C7349" s="73"/>
      <c r="D7349" s="73"/>
      <c r="E7349" s="73"/>
      <c r="F7349" s="121"/>
      <c r="G7349" s="121"/>
      <c r="H7349" s="121"/>
    </row>
    <row r="7350" spans="1:9" s="65" customFormat="1">
      <c r="A7350" s="128"/>
      <c r="B7350" s="141"/>
      <c r="C7350" s="141"/>
      <c r="D7350" s="141"/>
      <c r="E7350" s="141"/>
      <c r="F7350" s="141"/>
      <c r="G7350" s="141"/>
      <c r="H7350" s="121"/>
    </row>
    <row r="7351" spans="1:9" s="65" customFormat="1">
      <c r="A7351" s="84"/>
      <c r="B7351" s="83"/>
      <c r="C7351" s="84"/>
      <c r="D7351" s="84"/>
      <c r="E7351" s="84"/>
      <c r="F7351" s="84"/>
      <c r="G7351" s="144"/>
      <c r="H7351" s="133"/>
    </row>
    <row r="7352" spans="1:9" s="65" customFormat="1">
      <c r="A7352" s="84"/>
      <c r="B7352" s="83"/>
      <c r="C7352" s="84"/>
      <c r="D7352" s="84"/>
      <c r="E7352" s="84"/>
      <c r="G7352" s="104"/>
      <c r="H7352" s="140"/>
    </row>
    <row r="7353" spans="1:9" s="65" customFormat="1">
      <c r="A7353" s="120"/>
      <c r="B7353" s="73"/>
      <c r="C7353" s="73"/>
      <c r="D7353" s="73"/>
      <c r="E7353" s="73"/>
      <c r="G7353" s="121"/>
      <c r="H7353" s="140"/>
    </row>
    <row r="7354" spans="1:9" s="65" customFormat="1">
      <c r="A7354" s="128"/>
      <c r="B7354" s="141"/>
      <c r="C7354" s="141"/>
      <c r="D7354" s="141"/>
      <c r="E7354" s="141"/>
      <c r="F7354" s="141"/>
      <c r="G7354" s="141"/>
      <c r="H7354" s="140"/>
    </row>
    <row r="7355" spans="1:9" s="65" customFormat="1">
      <c r="A7355" s="172"/>
      <c r="B7355" s="83"/>
      <c r="C7355" s="84"/>
      <c r="D7355" s="84"/>
      <c r="E7355" s="168"/>
      <c r="F7355" s="141"/>
      <c r="G7355" s="168"/>
      <c r="H7355" s="133"/>
    </row>
    <row r="7356" spans="1:9" s="65" customFormat="1">
      <c r="A7356" s="91"/>
      <c r="B7356" s="91"/>
      <c r="C7356" s="91"/>
      <c r="D7356" s="91"/>
      <c r="E7356" s="91"/>
      <c r="G7356" s="104"/>
      <c r="H7356" s="140"/>
    </row>
    <row r="7357" spans="1:9" s="65" customFormat="1">
      <c r="A7357" s="120"/>
      <c r="B7357" s="73"/>
      <c r="C7357" s="73"/>
      <c r="D7357" s="73"/>
      <c r="E7357" s="73"/>
      <c r="G7357" s="121"/>
      <c r="H7357" s="140"/>
    </row>
    <row r="7358" spans="1:9" s="65" customFormat="1">
      <c r="A7358" s="128"/>
      <c r="B7358" s="141"/>
      <c r="C7358" s="141"/>
      <c r="D7358" s="141"/>
      <c r="E7358" s="141"/>
      <c r="F7358" s="141"/>
      <c r="G7358" s="141"/>
      <c r="H7358" s="140"/>
    </row>
    <row r="7359" spans="1:9" s="65" customFormat="1">
      <c r="A7359" s="146"/>
      <c r="B7359" s="147"/>
      <c r="C7359" s="148"/>
      <c r="D7359" s="84"/>
      <c r="E7359" s="143"/>
      <c r="F7359" s="84"/>
      <c r="G7359" s="144"/>
      <c r="H7359" s="133"/>
    </row>
    <row r="7360" spans="1:9" s="65" customFormat="1">
      <c r="A7360" s="91"/>
      <c r="B7360" s="91"/>
      <c r="C7360" s="91"/>
      <c r="D7360" s="91"/>
      <c r="E7360" s="91"/>
      <c r="G7360" s="104"/>
      <c r="H7360" s="140"/>
    </row>
    <row r="7361" spans="1:9" s="65" customFormat="1">
      <c r="A7361" s="120"/>
      <c r="B7361" s="73"/>
      <c r="C7361" s="73"/>
      <c r="D7361" s="73"/>
      <c r="E7361" s="73"/>
      <c r="G7361" s="121"/>
      <c r="H7361" s="140"/>
    </row>
    <row r="7362" spans="1:9" s="65" customFormat="1">
      <c r="A7362" s="128"/>
      <c r="B7362" s="141"/>
      <c r="C7362" s="141"/>
      <c r="D7362" s="141"/>
      <c r="E7362" s="141"/>
      <c r="F7362" s="141"/>
      <c r="G7362" s="141"/>
      <c r="H7362" s="140"/>
    </row>
    <row r="7363" spans="1:9" s="65" customFormat="1">
      <c r="A7363" s="142"/>
      <c r="B7363" s="143"/>
      <c r="C7363" s="143"/>
      <c r="D7363" s="143"/>
      <c r="E7363" s="143"/>
      <c r="F7363" s="84"/>
      <c r="G7363" s="144"/>
      <c r="H7363" s="133"/>
    </row>
    <row r="7364" spans="1:9" s="65" customFormat="1">
      <c r="A7364" s="123"/>
      <c r="B7364" s="95"/>
      <c r="C7364" s="95"/>
      <c r="D7364" s="95"/>
      <c r="E7364" s="95"/>
      <c r="G7364" s="104"/>
      <c r="H7364" s="121"/>
    </row>
    <row r="7365" spans="1:9" s="65" customFormat="1">
      <c r="A7365" s="123"/>
      <c r="B7365" s="95"/>
      <c r="C7365" s="95"/>
      <c r="D7365" s="95"/>
      <c r="E7365" s="95"/>
      <c r="G7365" s="121"/>
      <c r="H7365" s="133"/>
    </row>
    <row r="7366" spans="1:9" s="65" customFormat="1">
      <c r="B7366" s="97"/>
      <c r="C7366" s="98"/>
      <c r="D7366" s="98"/>
      <c r="E7366" s="98"/>
      <c r="G7366" s="128"/>
    </row>
    <row r="7367" spans="1:9" s="65" customFormat="1">
      <c r="B7367" s="97"/>
      <c r="C7367" s="98"/>
      <c r="D7367" s="98"/>
      <c r="E7367" s="98"/>
      <c r="F7367" s="128"/>
      <c r="G7367" s="133"/>
      <c r="H7367" s="134"/>
    </row>
    <row r="7368" spans="1:9" s="65" customFormat="1">
      <c r="A7368" s="633"/>
      <c r="B7368" s="633"/>
      <c r="C7368" s="633"/>
      <c r="D7368" s="633"/>
      <c r="E7368" s="633"/>
      <c r="F7368" s="633"/>
      <c r="G7368" s="633"/>
    </row>
    <row r="7369" spans="1:9" s="65" customFormat="1">
      <c r="H7369" s="138"/>
      <c r="I7369" s="151"/>
    </row>
    <row r="7370" spans="1:9" s="65" customFormat="1">
      <c r="A7370" s="655"/>
      <c r="B7370" s="138"/>
      <c r="C7370" s="138"/>
      <c r="D7370" s="138"/>
      <c r="E7370" s="138"/>
      <c r="F7370" s="138"/>
      <c r="G7370" s="138"/>
      <c r="H7370" s="138"/>
      <c r="I7370" s="152"/>
    </row>
    <row r="7371" spans="1:9" s="65" customFormat="1">
      <c r="A7371" s="645"/>
      <c r="B7371" s="138"/>
      <c r="C7371" s="138"/>
      <c r="D7371" s="138"/>
      <c r="E7371" s="138"/>
      <c r="F7371" s="138"/>
      <c r="G7371" s="138"/>
    </row>
    <row r="7372" spans="1:9" s="65" customFormat="1">
      <c r="A7372" s="69"/>
      <c r="B7372" s="69"/>
      <c r="C7372" s="69"/>
      <c r="D7372" s="69"/>
      <c r="E7372" s="69"/>
    </row>
    <row r="7373" spans="1:9" s="65" customFormat="1">
      <c r="A7373" s="120"/>
      <c r="B7373" s="73"/>
      <c r="C7373" s="73"/>
      <c r="D7373" s="73"/>
      <c r="E7373" s="73"/>
      <c r="F7373" s="121"/>
      <c r="G7373" s="121"/>
      <c r="H7373" s="121"/>
    </row>
    <row r="7374" spans="1:9" s="65" customFormat="1">
      <c r="A7374" s="128"/>
      <c r="B7374" s="141"/>
      <c r="C7374" s="141"/>
      <c r="D7374" s="141"/>
      <c r="E7374" s="141"/>
      <c r="F7374" s="141"/>
      <c r="G7374" s="141"/>
      <c r="H7374" s="121"/>
    </row>
    <row r="7375" spans="1:9" s="65" customFormat="1">
      <c r="A7375" s="174"/>
      <c r="B7375" s="83"/>
      <c r="C7375" s="84"/>
      <c r="D7375" s="84"/>
      <c r="E7375" s="84"/>
      <c r="F7375" s="84"/>
      <c r="G7375" s="84"/>
      <c r="H7375" s="121"/>
    </row>
    <row r="7376" spans="1:9" s="65" customFormat="1">
      <c r="A7376" s="174"/>
      <c r="B7376" s="83"/>
      <c r="C7376" s="84"/>
      <c r="D7376" s="84"/>
      <c r="E7376" s="84"/>
      <c r="F7376" s="84"/>
      <c r="G7376" s="84"/>
      <c r="H7376" s="121"/>
    </row>
    <row r="7377" spans="1:8" s="65" customFormat="1">
      <c r="A7377" s="174"/>
      <c r="B7377" s="83"/>
      <c r="C7377" s="84"/>
      <c r="D7377" s="84"/>
      <c r="E7377" s="84"/>
      <c r="F7377" s="84"/>
      <c r="G7377" s="84"/>
      <c r="H7377" s="121"/>
    </row>
    <row r="7378" spans="1:8" s="65" customFormat="1">
      <c r="A7378" s="84"/>
      <c r="B7378" s="83"/>
      <c r="C7378" s="84"/>
      <c r="D7378" s="84"/>
      <c r="E7378" s="84"/>
      <c r="F7378" s="84"/>
      <c r="G7378" s="144"/>
      <c r="H7378" s="133"/>
    </row>
    <row r="7379" spans="1:8" s="65" customFormat="1">
      <c r="A7379" s="84"/>
      <c r="B7379" s="83"/>
      <c r="C7379" s="84"/>
      <c r="D7379" s="84"/>
      <c r="E7379" s="84"/>
      <c r="G7379" s="104"/>
      <c r="H7379" s="140"/>
    </row>
    <row r="7380" spans="1:8" s="65" customFormat="1">
      <c r="A7380" s="120"/>
      <c r="B7380" s="73"/>
      <c r="C7380" s="73"/>
      <c r="D7380" s="73"/>
      <c r="E7380" s="73"/>
      <c r="G7380" s="121"/>
      <c r="H7380" s="140"/>
    </row>
    <row r="7381" spans="1:8" s="65" customFormat="1">
      <c r="A7381" s="128"/>
      <c r="B7381" s="141"/>
      <c r="C7381" s="141"/>
      <c r="D7381" s="141"/>
      <c r="E7381" s="141"/>
      <c r="F7381" s="141"/>
      <c r="G7381" s="141"/>
      <c r="H7381" s="140"/>
    </row>
    <row r="7382" spans="1:8" s="65" customFormat="1">
      <c r="A7382" s="175"/>
      <c r="B7382" s="83"/>
      <c r="C7382" s="84"/>
      <c r="D7382" s="84"/>
      <c r="E7382" s="84"/>
      <c r="F7382" s="84"/>
      <c r="G7382" s="84"/>
      <c r="H7382" s="140"/>
    </row>
    <row r="7383" spans="1:8" s="65" customFormat="1">
      <c r="A7383" s="175"/>
      <c r="B7383" s="83"/>
      <c r="C7383" s="84"/>
      <c r="D7383" s="84"/>
      <c r="E7383" s="84"/>
      <c r="F7383" s="84"/>
      <c r="G7383" s="84"/>
      <c r="H7383" s="140"/>
    </row>
    <row r="7384" spans="1:8" s="65" customFormat="1">
      <c r="A7384" s="175"/>
      <c r="B7384" s="83"/>
      <c r="C7384" s="84"/>
      <c r="D7384" s="84"/>
      <c r="E7384" s="84"/>
      <c r="F7384" s="84"/>
      <c r="G7384" s="84"/>
      <c r="H7384" s="133"/>
    </row>
    <row r="7385" spans="1:8" s="65" customFormat="1">
      <c r="A7385" s="175"/>
      <c r="B7385" s="83"/>
      <c r="C7385" s="84"/>
      <c r="D7385" s="84"/>
      <c r="E7385" s="84"/>
      <c r="F7385" s="84"/>
      <c r="G7385" s="84"/>
      <c r="H7385" s="140"/>
    </row>
    <row r="7386" spans="1:8" s="65" customFormat="1">
      <c r="A7386" s="120"/>
      <c r="B7386" s="73"/>
      <c r="C7386" s="73"/>
      <c r="D7386" s="73"/>
      <c r="E7386" s="73"/>
      <c r="G7386" s="121"/>
      <c r="H7386" s="140"/>
    </row>
    <row r="7387" spans="1:8" s="65" customFormat="1">
      <c r="A7387" s="128"/>
      <c r="B7387" s="141"/>
      <c r="C7387" s="141"/>
      <c r="D7387" s="141"/>
      <c r="E7387" s="141"/>
      <c r="F7387" s="141"/>
      <c r="G7387" s="141"/>
      <c r="H7387" s="140"/>
    </row>
    <row r="7388" spans="1:8" s="65" customFormat="1">
      <c r="A7388" s="174"/>
      <c r="B7388" s="83"/>
      <c r="C7388" s="84"/>
      <c r="D7388" s="84"/>
      <c r="E7388" s="84"/>
      <c r="F7388" s="141"/>
      <c r="G7388" s="84"/>
      <c r="H7388" s="140"/>
    </row>
    <row r="7389" spans="1:8" s="65" customFormat="1">
      <c r="A7389" s="174"/>
      <c r="B7389" s="83"/>
      <c r="C7389" s="84"/>
      <c r="D7389" s="84"/>
      <c r="E7389" s="84"/>
      <c r="F7389" s="141"/>
      <c r="G7389" s="84"/>
      <c r="H7389" s="140"/>
    </row>
    <row r="7390" spans="1:8" s="65" customFormat="1">
      <c r="A7390" s="146"/>
      <c r="B7390" s="176"/>
      <c r="C7390" s="148"/>
      <c r="D7390" s="84"/>
      <c r="E7390" s="84"/>
      <c r="F7390" s="84"/>
      <c r="G7390" s="144"/>
      <c r="H7390" s="133"/>
    </row>
    <row r="7391" spans="1:8" s="65" customFormat="1">
      <c r="A7391" s="91"/>
      <c r="B7391" s="91"/>
      <c r="C7391" s="91"/>
      <c r="D7391" s="91"/>
      <c r="E7391" s="91"/>
      <c r="G7391" s="104"/>
      <c r="H7391" s="140"/>
    </row>
    <row r="7392" spans="1:8" s="65" customFormat="1">
      <c r="A7392" s="120"/>
      <c r="B7392" s="73"/>
      <c r="C7392" s="73"/>
      <c r="D7392" s="73"/>
      <c r="E7392" s="73"/>
      <c r="G7392" s="121"/>
      <c r="H7392" s="140"/>
    </row>
    <row r="7393" spans="1:9" s="65" customFormat="1">
      <c r="A7393" s="128"/>
      <c r="B7393" s="141"/>
      <c r="C7393" s="141"/>
      <c r="D7393" s="141"/>
      <c r="E7393" s="141"/>
      <c r="F7393" s="141"/>
      <c r="G7393" s="141"/>
      <c r="H7393" s="140"/>
    </row>
    <row r="7394" spans="1:9" s="65" customFormat="1">
      <c r="A7394" s="142"/>
      <c r="B7394" s="143"/>
      <c r="C7394" s="143"/>
      <c r="D7394" s="143"/>
      <c r="E7394" s="143"/>
      <c r="F7394" s="84"/>
      <c r="G7394" s="144"/>
      <c r="H7394" s="133"/>
    </row>
    <row r="7395" spans="1:9" s="65" customFormat="1">
      <c r="A7395" s="123"/>
      <c r="B7395" s="95"/>
      <c r="C7395" s="95"/>
      <c r="D7395" s="95"/>
      <c r="E7395" s="95"/>
      <c r="G7395" s="104"/>
      <c r="H7395" s="121"/>
    </row>
    <row r="7396" spans="1:9" s="65" customFormat="1">
      <c r="A7396" s="123"/>
      <c r="B7396" s="95"/>
      <c r="C7396" s="95"/>
      <c r="D7396" s="95"/>
      <c r="E7396" s="95"/>
      <c r="G7396" s="121"/>
      <c r="H7396" s="133"/>
    </row>
    <row r="7397" spans="1:9" s="65" customFormat="1">
      <c r="B7397" s="97"/>
      <c r="C7397" s="98"/>
      <c r="D7397" s="98"/>
      <c r="E7397" s="98"/>
      <c r="G7397" s="128"/>
    </row>
    <row r="7398" spans="1:9" s="65" customFormat="1">
      <c r="B7398" s="97"/>
      <c r="C7398" s="98"/>
      <c r="D7398" s="98"/>
      <c r="E7398" s="98"/>
      <c r="F7398" s="128"/>
      <c r="G7398" s="133"/>
      <c r="H7398" s="134"/>
    </row>
    <row r="7399" spans="1:9" s="65" customFormat="1">
      <c r="A7399" s="633"/>
      <c r="B7399" s="633"/>
      <c r="C7399" s="633"/>
      <c r="D7399" s="633"/>
      <c r="E7399" s="633"/>
      <c r="F7399" s="633"/>
      <c r="G7399" s="633"/>
    </row>
    <row r="7400" spans="1:9" s="65" customFormat="1">
      <c r="H7400" s="177"/>
      <c r="I7400" s="178"/>
    </row>
    <row r="7401" spans="1:9" s="65" customFormat="1">
      <c r="A7401" s="654"/>
      <c r="B7401" s="177"/>
      <c r="C7401" s="177"/>
      <c r="D7401" s="177"/>
      <c r="E7401" s="177"/>
      <c r="F7401" s="177"/>
      <c r="G7401" s="177"/>
      <c r="H7401" s="177"/>
      <c r="I7401" s="179"/>
    </row>
    <row r="7402" spans="1:9" s="65" customFormat="1">
      <c r="A7402" s="654"/>
      <c r="B7402" s="177"/>
      <c r="C7402" s="177"/>
      <c r="D7402" s="177"/>
      <c r="E7402" s="177"/>
      <c r="F7402" s="177"/>
      <c r="G7402" s="177"/>
      <c r="H7402" s="180"/>
    </row>
    <row r="7403" spans="1:9" s="65" customFormat="1">
      <c r="A7403" s="69"/>
      <c r="B7403" s="69"/>
      <c r="C7403" s="69"/>
      <c r="D7403" s="69"/>
      <c r="E7403" s="69"/>
      <c r="G7403" s="180"/>
      <c r="H7403" s="180"/>
    </row>
    <row r="7404" spans="1:9" s="65" customFormat="1">
      <c r="A7404" s="120"/>
      <c r="B7404" s="73"/>
      <c r="C7404" s="73"/>
      <c r="D7404" s="73"/>
      <c r="E7404" s="73"/>
      <c r="F7404" s="181"/>
      <c r="G7404" s="182"/>
      <c r="H7404" s="182"/>
    </row>
    <row r="7405" spans="1:9" s="65" customFormat="1">
      <c r="A7405" s="183"/>
      <c r="B7405" s="141"/>
      <c r="C7405" s="141"/>
      <c r="D7405" s="141"/>
      <c r="E7405" s="141"/>
      <c r="F7405" s="141"/>
      <c r="G7405" s="184"/>
      <c r="H7405" s="182"/>
    </row>
    <row r="7406" spans="1:9" s="65" customFormat="1">
      <c r="A7406" s="150"/>
      <c r="B7406" s="83"/>
      <c r="C7406" s="148"/>
      <c r="D7406" s="84"/>
      <c r="E7406" s="84"/>
      <c r="F7406" s="84"/>
      <c r="G7406" s="185"/>
      <c r="H7406" s="145"/>
    </row>
    <row r="7407" spans="1:9" s="65" customFormat="1">
      <c r="A7407" s="84"/>
      <c r="B7407" s="83"/>
      <c r="C7407" s="84"/>
      <c r="D7407" s="84"/>
      <c r="E7407" s="84"/>
      <c r="G7407" s="186"/>
      <c r="H7407" s="187"/>
    </row>
    <row r="7408" spans="1:9" s="65" customFormat="1">
      <c r="A7408" s="120"/>
      <c r="B7408" s="73"/>
      <c r="C7408" s="73"/>
      <c r="D7408" s="73"/>
      <c r="E7408" s="73"/>
      <c r="G7408" s="188"/>
      <c r="H7408" s="187"/>
    </row>
    <row r="7409" spans="1:9" s="65" customFormat="1">
      <c r="A7409" s="183"/>
      <c r="B7409" s="141"/>
      <c r="C7409" s="141"/>
      <c r="D7409" s="141"/>
      <c r="E7409" s="141"/>
      <c r="F7409" s="141"/>
      <c r="G7409" s="184"/>
      <c r="H7409" s="187"/>
      <c r="I7409" s="189"/>
    </row>
    <row r="7410" spans="1:9" s="65" customFormat="1">
      <c r="A7410" s="190"/>
      <c r="B7410" s="191"/>
      <c r="C7410" s="148"/>
      <c r="D7410" s="190"/>
      <c r="E7410" s="84"/>
      <c r="F7410" s="84"/>
      <c r="G7410" s="185"/>
      <c r="H7410" s="187"/>
      <c r="I7410" s="189"/>
    </row>
    <row r="7411" spans="1:9" s="65" customFormat="1">
      <c r="A7411" s="150"/>
      <c r="B7411" s="191"/>
      <c r="C7411" s="148"/>
      <c r="D7411" s="84"/>
      <c r="E7411" s="84"/>
      <c r="F7411" s="84"/>
      <c r="G7411" s="185"/>
      <c r="H7411" s="187"/>
    </row>
    <row r="7412" spans="1:9" s="65" customFormat="1">
      <c r="A7412" s="150"/>
      <c r="B7412" s="191"/>
      <c r="C7412" s="148"/>
      <c r="D7412" s="84"/>
      <c r="E7412" s="84"/>
      <c r="F7412" s="84"/>
      <c r="G7412" s="185"/>
      <c r="H7412" s="187"/>
    </row>
    <row r="7413" spans="1:9" s="65" customFormat="1">
      <c r="A7413" s="150"/>
      <c r="B7413" s="191"/>
      <c r="C7413" s="148"/>
      <c r="D7413" s="84"/>
      <c r="E7413" s="84"/>
      <c r="F7413" s="84"/>
      <c r="G7413" s="185"/>
      <c r="H7413" s="145"/>
    </row>
    <row r="7414" spans="1:9" s="65" customFormat="1">
      <c r="A7414" s="91"/>
      <c r="B7414" s="91"/>
      <c r="C7414" s="91"/>
      <c r="D7414" s="91"/>
      <c r="E7414" s="91"/>
      <c r="G7414" s="186"/>
      <c r="H7414" s="187"/>
    </row>
    <row r="7415" spans="1:9" s="65" customFormat="1">
      <c r="A7415" s="120"/>
      <c r="B7415" s="73"/>
      <c r="C7415" s="73"/>
      <c r="D7415" s="73"/>
      <c r="E7415" s="73"/>
      <c r="G7415" s="188"/>
      <c r="H7415" s="187"/>
    </row>
    <row r="7416" spans="1:9" s="65" customFormat="1">
      <c r="A7416" s="183"/>
      <c r="B7416" s="141"/>
      <c r="C7416" s="141"/>
      <c r="D7416" s="141"/>
      <c r="E7416" s="141"/>
      <c r="F7416" s="141"/>
      <c r="G7416" s="184"/>
      <c r="H7416" s="187"/>
    </row>
    <row r="7417" spans="1:9" s="65" customFormat="1">
      <c r="A7417" s="146"/>
      <c r="B7417" s="83"/>
      <c r="C7417" s="148"/>
      <c r="D7417" s="84"/>
      <c r="E7417" s="84"/>
      <c r="F7417" s="84"/>
      <c r="G7417" s="185"/>
      <c r="H7417" s="145"/>
    </row>
    <row r="7418" spans="1:9" s="65" customFormat="1">
      <c r="A7418" s="91"/>
      <c r="B7418" s="91"/>
      <c r="C7418" s="91"/>
      <c r="D7418" s="91"/>
      <c r="E7418" s="91"/>
      <c r="G7418" s="186"/>
      <c r="H7418" s="187"/>
    </row>
    <row r="7419" spans="1:9" s="65" customFormat="1">
      <c r="A7419" s="120"/>
      <c r="B7419" s="73"/>
      <c r="C7419" s="73"/>
      <c r="D7419" s="73"/>
      <c r="E7419" s="73"/>
      <c r="G7419" s="188"/>
      <c r="H7419" s="187"/>
    </row>
    <row r="7420" spans="1:9" s="65" customFormat="1">
      <c r="A7420" s="183"/>
      <c r="B7420" s="141"/>
      <c r="C7420" s="141"/>
      <c r="D7420" s="141"/>
      <c r="E7420" s="141"/>
      <c r="F7420" s="141"/>
      <c r="G7420" s="184"/>
      <c r="H7420" s="187"/>
    </row>
    <row r="7421" spans="1:9" s="65" customFormat="1">
      <c r="A7421" s="142"/>
      <c r="B7421" s="143"/>
      <c r="C7421" s="143"/>
      <c r="D7421" s="143"/>
      <c r="E7421" s="143"/>
      <c r="F7421" s="84"/>
      <c r="G7421" s="185"/>
      <c r="H7421" s="145"/>
    </row>
    <row r="7422" spans="1:9" s="65" customFormat="1">
      <c r="A7422" s="123"/>
      <c r="B7422" s="95"/>
      <c r="C7422" s="95"/>
      <c r="D7422" s="95"/>
      <c r="E7422" s="95"/>
      <c r="G7422" s="186"/>
      <c r="H7422" s="182"/>
    </row>
    <row r="7423" spans="1:9" s="65" customFormat="1">
      <c r="A7423" s="123"/>
      <c r="B7423" s="95"/>
      <c r="C7423" s="95"/>
      <c r="D7423" s="95"/>
      <c r="E7423" s="95"/>
      <c r="G7423" s="188"/>
      <c r="H7423" s="133"/>
    </row>
    <row r="7424" spans="1:9" s="65" customFormat="1">
      <c r="B7424" s="97"/>
      <c r="C7424" s="98"/>
      <c r="D7424" s="98"/>
      <c r="E7424" s="98"/>
      <c r="G7424" s="192"/>
      <c r="H7424" s="180"/>
    </row>
    <row r="7425" spans="1:9" s="65" customFormat="1">
      <c r="B7425" s="97"/>
      <c r="C7425" s="98"/>
      <c r="D7425" s="98"/>
      <c r="E7425" s="98"/>
      <c r="F7425" s="183"/>
      <c r="G7425" s="193"/>
      <c r="H7425" s="177"/>
      <c r="I7425" s="178"/>
    </row>
    <row r="7426" spans="1:9" s="65" customFormat="1">
      <c r="A7426" s="654"/>
      <c r="B7426" s="177"/>
      <c r="C7426" s="177"/>
      <c r="D7426" s="177"/>
      <c r="E7426" s="177"/>
      <c r="F7426" s="177"/>
      <c r="G7426" s="177"/>
      <c r="H7426" s="177"/>
      <c r="I7426" s="179"/>
    </row>
    <row r="7427" spans="1:9" s="65" customFormat="1">
      <c r="A7427" s="654"/>
      <c r="B7427" s="177"/>
      <c r="C7427" s="177"/>
      <c r="D7427" s="177"/>
      <c r="E7427" s="177"/>
      <c r="F7427" s="177"/>
      <c r="G7427" s="177"/>
      <c r="H7427" s="180"/>
    </row>
    <row r="7428" spans="1:9" s="65" customFormat="1">
      <c r="A7428" s="69"/>
      <c r="B7428" s="69"/>
      <c r="C7428" s="69"/>
      <c r="D7428" s="69"/>
      <c r="E7428" s="69"/>
      <c r="G7428" s="180"/>
      <c r="H7428" s="180"/>
    </row>
    <row r="7429" spans="1:9" s="65" customFormat="1">
      <c r="A7429" s="120"/>
      <c r="B7429" s="73"/>
      <c r="C7429" s="73"/>
      <c r="D7429" s="73"/>
      <c r="E7429" s="73"/>
      <c r="F7429" s="181"/>
      <c r="G7429" s="182"/>
      <c r="H7429" s="182"/>
    </row>
    <row r="7430" spans="1:9" s="65" customFormat="1">
      <c r="A7430" s="183"/>
      <c r="B7430" s="141"/>
      <c r="C7430" s="141"/>
      <c r="D7430" s="141"/>
      <c r="E7430" s="141"/>
      <c r="F7430" s="141"/>
      <c r="G7430" s="194"/>
      <c r="H7430" s="182"/>
    </row>
    <row r="7431" spans="1:9" s="65" customFormat="1">
      <c r="A7431" s="150"/>
      <c r="B7431" s="83"/>
      <c r="C7431" s="148"/>
      <c r="D7431" s="84"/>
      <c r="E7431" s="84"/>
      <c r="F7431" s="84"/>
      <c r="G7431" s="195"/>
      <c r="H7431" s="187"/>
    </row>
    <row r="7432" spans="1:9" s="65" customFormat="1">
      <c r="A7432" s="84"/>
      <c r="B7432" s="83"/>
      <c r="C7432" s="84"/>
      <c r="D7432" s="84"/>
      <c r="E7432" s="84"/>
      <c r="G7432" s="196"/>
      <c r="H7432" s="187"/>
    </row>
    <row r="7433" spans="1:9" s="65" customFormat="1">
      <c r="A7433" s="120"/>
      <c r="B7433" s="73"/>
      <c r="C7433" s="73"/>
      <c r="D7433" s="73"/>
      <c r="E7433" s="73"/>
      <c r="G7433" s="182"/>
      <c r="H7433" s="187"/>
    </row>
    <row r="7434" spans="1:9" s="65" customFormat="1">
      <c r="A7434" s="183"/>
      <c r="B7434" s="141"/>
      <c r="C7434" s="141"/>
      <c r="D7434" s="141"/>
      <c r="E7434" s="141"/>
      <c r="F7434" s="141"/>
      <c r="G7434" s="194"/>
      <c r="H7434" s="187"/>
      <c r="I7434" s="189"/>
    </row>
    <row r="7435" spans="1:9" s="65" customFormat="1">
      <c r="A7435" s="197"/>
      <c r="B7435" s="83"/>
      <c r="C7435" s="148"/>
      <c r="D7435" s="190"/>
      <c r="E7435" s="84"/>
      <c r="F7435" s="84"/>
      <c r="G7435" s="195"/>
      <c r="H7435" s="187"/>
    </row>
    <row r="7436" spans="1:9" s="65" customFormat="1">
      <c r="A7436" s="91"/>
      <c r="B7436" s="91"/>
      <c r="C7436" s="91"/>
      <c r="D7436" s="91"/>
      <c r="E7436" s="91"/>
      <c r="G7436" s="196"/>
      <c r="H7436" s="187"/>
    </row>
    <row r="7437" spans="1:9" s="65" customFormat="1">
      <c r="A7437" s="120"/>
      <c r="B7437" s="73"/>
      <c r="C7437" s="73"/>
      <c r="D7437" s="73"/>
      <c r="E7437" s="73"/>
      <c r="G7437" s="182"/>
      <c r="H7437" s="187"/>
    </row>
    <row r="7438" spans="1:9" s="65" customFormat="1">
      <c r="A7438" s="183"/>
      <c r="B7438" s="141"/>
      <c r="C7438" s="141"/>
      <c r="D7438" s="141"/>
      <c r="E7438" s="141"/>
      <c r="F7438" s="141"/>
      <c r="G7438" s="194"/>
      <c r="H7438" s="187"/>
    </row>
    <row r="7439" spans="1:9" s="65" customFormat="1">
      <c r="A7439" s="146"/>
      <c r="B7439" s="83"/>
      <c r="C7439" s="148"/>
      <c r="D7439" s="84"/>
      <c r="E7439" s="84"/>
      <c r="F7439" s="84"/>
      <c r="G7439" s="195"/>
      <c r="H7439" s="187"/>
    </row>
    <row r="7440" spans="1:9" s="65" customFormat="1">
      <c r="A7440" s="91"/>
      <c r="B7440" s="91"/>
      <c r="C7440" s="91"/>
      <c r="D7440" s="91"/>
      <c r="E7440" s="91"/>
      <c r="G7440" s="196"/>
      <c r="H7440" s="187"/>
    </row>
    <row r="7441" spans="1:9" s="65" customFormat="1">
      <c r="A7441" s="120"/>
      <c r="B7441" s="73"/>
      <c r="C7441" s="73"/>
      <c r="D7441" s="73"/>
      <c r="E7441" s="73"/>
      <c r="G7441" s="182"/>
      <c r="H7441" s="187"/>
    </row>
    <row r="7442" spans="1:9" s="65" customFormat="1">
      <c r="A7442" s="183"/>
      <c r="B7442" s="141"/>
      <c r="C7442" s="141"/>
      <c r="D7442" s="141"/>
      <c r="E7442" s="141"/>
      <c r="F7442" s="141"/>
      <c r="G7442" s="194"/>
      <c r="H7442" s="187"/>
    </row>
    <row r="7443" spans="1:9" s="65" customFormat="1">
      <c r="A7443" s="142"/>
      <c r="B7443" s="143"/>
      <c r="C7443" s="143"/>
      <c r="D7443" s="143"/>
      <c r="E7443" s="143"/>
      <c r="F7443" s="84"/>
      <c r="G7443" s="195"/>
      <c r="H7443" s="187"/>
    </row>
    <row r="7444" spans="1:9" s="65" customFormat="1">
      <c r="A7444" s="123"/>
      <c r="B7444" s="95"/>
      <c r="C7444" s="95"/>
      <c r="D7444" s="95"/>
      <c r="E7444" s="95"/>
      <c r="G7444" s="196"/>
      <c r="H7444" s="182"/>
    </row>
    <row r="7445" spans="1:9" s="65" customFormat="1">
      <c r="A7445" s="123"/>
      <c r="B7445" s="95"/>
      <c r="C7445" s="95"/>
      <c r="D7445" s="95"/>
      <c r="E7445" s="95"/>
      <c r="G7445" s="182"/>
      <c r="H7445" s="193"/>
    </row>
    <row r="7446" spans="1:9" s="65" customFormat="1">
      <c r="B7446" s="97"/>
      <c r="C7446" s="98"/>
      <c r="D7446" s="98"/>
      <c r="E7446" s="98"/>
      <c r="G7446" s="192"/>
      <c r="H7446" s="193"/>
    </row>
    <row r="7447" spans="1:9" s="65" customFormat="1">
      <c r="B7447" s="97"/>
      <c r="C7447" s="98"/>
      <c r="D7447" s="98"/>
      <c r="E7447" s="98"/>
      <c r="G7447" s="192"/>
      <c r="H7447" s="177"/>
      <c r="I7447" s="178"/>
    </row>
    <row r="7448" spans="1:9" s="65" customFormat="1">
      <c r="A7448" s="654"/>
      <c r="B7448" s="177"/>
      <c r="C7448" s="177"/>
      <c r="D7448" s="177"/>
      <c r="E7448" s="177"/>
      <c r="F7448" s="177"/>
      <c r="G7448" s="177"/>
      <c r="H7448" s="177"/>
      <c r="I7448" s="179"/>
    </row>
    <row r="7449" spans="1:9" s="65" customFormat="1">
      <c r="A7449" s="654"/>
      <c r="B7449" s="177"/>
      <c r="C7449" s="177"/>
      <c r="D7449" s="177"/>
      <c r="E7449" s="177"/>
      <c r="F7449" s="177"/>
      <c r="G7449" s="177"/>
      <c r="H7449" s="180"/>
    </row>
    <row r="7450" spans="1:9" s="65" customFormat="1">
      <c r="A7450" s="69"/>
      <c r="B7450" s="69"/>
      <c r="C7450" s="69"/>
      <c r="D7450" s="69"/>
      <c r="E7450" s="69"/>
      <c r="G7450" s="180"/>
      <c r="H7450" s="180"/>
    </row>
    <row r="7451" spans="1:9" s="65" customFormat="1">
      <c r="A7451" s="120"/>
      <c r="B7451" s="73"/>
      <c r="C7451" s="73"/>
      <c r="D7451" s="73"/>
      <c r="E7451" s="73"/>
      <c r="F7451" s="181"/>
      <c r="G7451" s="182"/>
      <c r="H7451" s="182"/>
    </row>
    <row r="7452" spans="1:9" s="65" customFormat="1">
      <c r="A7452" s="183"/>
      <c r="B7452" s="141"/>
      <c r="C7452" s="141"/>
      <c r="D7452" s="141"/>
      <c r="E7452" s="141"/>
      <c r="F7452" s="141"/>
      <c r="G7452" s="194"/>
      <c r="H7452" s="182"/>
    </row>
    <row r="7453" spans="1:9" s="65" customFormat="1">
      <c r="A7453" s="150"/>
      <c r="B7453" s="83"/>
      <c r="C7453" s="148"/>
      <c r="D7453" s="84"/>
      <c r="E7453" s="84"/>
      <c r="F7453" s="84"/>
      <c r="G7453" s="195"/>
      <c r="H7453" s="187"/>
    </row>
    <row r="7454" spans="1:9" s="65" customFormat="1">
      <c r="A7454" s="84"/>
      <c r="B7454" s="83"/>
      <c r="C7454" s="84"/>
      <c r="D7454" s="84"/>
      <c r="E7454" s="84"/>
      <c r="G7454" s="196"/>
      <c r="H7454" s="187"/>
    </row>
    <row r="7455" spans="1:9" s="65" customFormat="1">
      <c r="A7455" s="120"/>
      <c r="B7455" s="73"/>
      <c r="C7455" s="73"/>
      <c r="D7455" s="73"/>
      <c r="E7455" s="73"/>
      <c r="G7455" s="182"/>
      <c r="H7455" s="187"/>
    </row>
    <row r="7456" spans="1:9" s="65" customFormat="1">
      <c r="A7456" s="183"/>
      <c r="B7456" s="141"/>
      <c r="C7456" s="141"/>
      <c r="D7456" s="141"/>
      <c r="E7456" s="141"/>
      <c r="F7456" s="141"/>
      <c r="G7456" s="194"/>
      <c r="H7456" s="187"/>
      <c r="I7456" s="189"/>
    </row>
    <row r="7457" spans="1:9" s="65" customFormat="1">
      <c r="A7457" s="197"/>
      <c r="B7457" s="83"/>
      <c r="C7457" s="148"/>
      <c r="D7457" s="190"/>
      <c r="E7457" s="84"/>
      <c r="F7457" s="84"/>
      <c r="G7457" s="195"/>
      <c r="H7457" s="187"/>
    </row>
    <row r="7458" spans="1:9" s="65" customFormat="1">
      <c r="A7458" s="150"/>
      <c r="B7458" s="83"/>
      <c r="C7458" s="148"/>
      <c r="D7458" s="84"/>
      <c r="E7458" s="84"/>
      <c r="F7458" s="84"/>
      <c r="G7458" s="195"/>
      <c r="H7458" s="187"/>
    </row>
    <row r="7459" spans="1:9" s="65" customFormat="1">
      <c r="A7459" s="91"/>
      <c r="B7459" s="91"/>
      <c r="C7459" s="91"/>
      <c r="D7459" s="91"/>
      <c r="E7459" s="91"/>
      <c r="G7459" s="196"/>
      <c r="H7459" s="187"/>
    </row>
    <row r="7460" spans="1:9" s="65" customFormat="1">
      <c r="A7460" s="120"/>
      <c r="B7460" s="73"/>
      <c r="C7460" s="73"/>
      <c r="D7460" s="73"/>
      <c r="E7460" s="73"/>
      <c r="G7460" s="182"/>
      <c r="H7460" s="187"/>
    </row>
    <row r="7461" spans="1:9" s="65" customFormat="1">
      <c r="A7461" s="183"/>
      <c r="B7461" s="141"/>
      <c r="C7461" s="141"/>
      <c r="D7461" s="141"/>
      <c r="E7461" s="141"/>
      <c r="F7461" s="141"/>
      <c r="G7461" s="194"/>
      <c r="H7461" s="187"/>
    </row>
    <row r="7462" spans="1:9" s="65" customFormat="1">
      <c r="A7462" s="146"/>
      <c r="B7462" s="83"/>
      <c r="C7462" s="148"/>
      <c r="D7462" s="84"/>
      <c r="E7462" s="84"/>
      <c r="F7462" s="84"/>
      <c r="G7462" s="195"/>
      <c r="H7462" s="187"/>
    </row>
    <row r="7463" spans="1:9" s="65" customFormat="1">
      <c r="A7463" s="91"/>
      <c r="B7463" s="91"/>
      <c r="C7463" s="91"/>
      <c r="D7463" s="91"/>
      <c r="E7463" s="91"/>
      <c r="G7463" s="196"/>
      <c r="H7463" s="187"/>
    </row>
    <row r="7464" spans="1:9" s="65" customFormat="1">
      <c r="A7464" s="120"/>
      <c r="B7464" s="73"/>
      <c r="C7464" s="73"/>
      <c r="D7464" s="73"/>
      <c r="E7464" s="73"/>
      <c r="G7464" s="182"/>
      <c r="H7464" s="187"/>
    </row>
    <row r="7465" spans="1:9" s="65" customFormat="1">
      <c r="A7465" s="183"/>
      <c r="B7465" s="141"/>
      <c r="C7465" s="141"/>
      <c r="D7465" s="141"/>
      <c r="E7465" s="141"/>
      <c r="F7465" s="141"/>
      <c r="G7465" s="194"/>
      <c r="H7465" s="187"/>
    </row>
    <row r="7466" spans="1:9" s="65" customFormat="1">
      <c r="A7466" s="142"/>
      <c r="B7466" s="143"/>
      <c r="C7466" s="143"/>
      <c r="D7466" s="143"/>
      <c r="E7466" s="143"/>
      <c r="F7466" s="84"/>
      <c r="G7466" s="195"/>
      <c r="H7466" s="187"/>
    </row>
    <row r="7467" spans="1:9" s="65" customFormat="1">
      <c r="A7467" s="123"/>
      <c r="B7467" s="95"/>
      <c r="C7467" s="95"/>
      <c r="D7467" s="95"/>
      <c r="E7467" s="95"/>
      <c r="G7467" s="196"/>
      <c r="H7467" s="182"/>
    </row>
    <row r="7468" spans="1:9" s="65" customFormat="1">
      <c r="A7468" s="123"/>
      <c r="B7468" s="95"/>
      <c r="C7468" s="95"/>
      <c r="D7468" s="95"/>
      <c r="E7468" s="95"/>
      <c r="G7468" s="182"/>
      <c r="H7468" s="193"/>
    </row>
    <row r="7469" spans="1:9" s="65" customFormat="1">
      <c r="B7469" s="97"/>
      <c r="C7469" s="98"/>
      <c r="D7469" s="98"/>
      <c r="E7469" s="98"/>
      <c r="G7469" s="192"/>
      <c r="H7469" s="193"/>
    </row>
    <row r="7470" spans="1:9" s="65" customFormat="1">
      <c r="B7470" s="97"/>
      <c r="C7470" s="98"/>
      <c r="D7470" s="98"/>
      <c r="E7470" s="98"/>
      <c r="G7470" s="192"/>
      <c r="H7470" s="177"/>
      <c r="I7470" s="178"/>
    </row>
    <row r="7471" spans="1:9" s="65" customFormat="1">
      <c r="A7471" s="654"/>
      <c r="B7471" s="177"/>
      <c r="C7471" s="177"/>
      <c r="D7471" s="177"/>
      <c r="E7471" s="177"/>
      <c r="F7471" s="177"/>
      <c r="G7471" s="177"/>
      <c r="H7471" s="177"/>
      <c r="I7471" s="179"/>
    </row>
    <row r="7472" spans="1:9" s="65" customFormat="1">
      <c r="A7472" s="654"/>
      <c r="B7472" s="177"/>
      <c r="C7472" s="177"/>
      <c r="D7472" s="177"/>
      <c r="E7472" s="177"/>
      <c r="F7472" s="177"/>
      <c r="G7472" s="177"/>
      <c r="H7472" s="180"/>
    </row>
    <row r="7473" spans="1:9" s="65" customFormat="1">
      <c r="A7473" s="69"/>
      <c r="B7473" s="69"/>
      <c r="C7473" s="69"/>
      <c r="D7473" s="69"/>
      <c r="E7473" s="69"/>
      <c r="G7473" s="180"/>
      <c r="H7473" s="180"/>
    </row>
    <row r="7474" spans="1:9" s="65" customFormat="1">
      <c r="A7474" s="120"/>
      <c r="B7474" s="73"/>
      <c r="C7474" s="73"/>
      <c r="D7474" s="73"/>
      <c r="E7474" s="73"/>
      <c r="F7474" s="181"/>
      <c r="G7474" s="182"/>
      <c r="H7474" s="182"/>
    </row>
    <row r="7475" spans="1:9" s="65" customFormat="1">
      <c r="A7475" s="183"/>
      <c r="B7475" s="141"/>
      <c r="C7475" s="141"/>
      <c r="D7475" s="141"/>
      <c r="E7475" s="141"/>
      <c r="F7475" s="141"/>
      <c r="G7475" s="194"/>
      <c r="H7475" s="182"/>
    </row>
    <row r="7476" spans="1:9" s="65" customFormat="1">
      <c r="A7476" s="150"/>
      <c r="B7476" s="83"/>
      <c r="C7476" s="148"/>
      <c r="D7476" s="84"/>
      <c r="E7476" s="84"/>
      <c r="F7476" s="84"/>
      <c r="G7476" s="195"/>
      <c r="H7476" s="187"/>
    </row>
    <row r="7477" spans="1:9" s="65" customFormat="1">
      <c r="A7477" s="84"/>
      <c r="B7477" s="83"/>
      <c r="C7477" s="84"/>
      <c r="D7477" s="84"/>
      <c r="E7477" s="84"/>
      <c r="G7477" s="196"/>
      <c r="H7477" s="187"/>
    </row>
    <row r="7478" spans="1:9" s="65" customFormat="1">
      <c r="A7478" s="120"/>
      <c r="B7478" s="73"/>
      <c r="C7478" s="73"/>
      <c r="D7478" s="73"/>
      <c r="E7478" s="73"/>
      <c r="G7478" s="182"/>
      <c r="H7478" s="187"/>
    </row>
    <row r="7479" spans="1:9" s="65" customFormat="1">
      <c r="A7479" s="183"/>
      <c r="B7479" s="141"/>
      <c r="C7479" s="141"/>
      <c r="D7479" s="141"/>
      <c r="E7479" s="141"/>
      <c r="F7479" s="141"/>
      <c r="G7479" s="194"/>
      <c r="H7479" s="187"/>
      <c r="I7479" s="189"/>
    </row>
    <row r="7480" spans="1:9" s="65" customFormat="1">
      <c r="A7480" s="197"/>
      <c r="B7480" s="83"/>
      <c r="C7480" s="148"/>
      <c r="D7480" s="190"/>
      <c r="E7480" s="84"/>
      <c r="F7480" s="84"/>
      <c r="G7480" s="195"/>
      <c r="H7480" s="187"/>
    </row>
    <row r="7481" spans="1:9" s="65" customFormat="1">
      <c r="A7481" s="150"/>
      <c r="B7481" s="83"/>
      <c r="C7481" s="148"/>
      <c r="D7481" s="84"/>
      <c r="E7481" s="84"/>
      <c r="F7481" s="84"/>
      <c r="G7481" s="195"/>
      <c r="H7481" s="187"/>
    </row>
    <row r="7482" spans="1:9" s="65" customFormat="1">
      <c r="A7482" s="150"/>
      <c r="B7482" s="83"/>
      <c r="C7482" s="148"/>
      <c r="D7482" s="84"/>
      <c r="E7482" s="84"/>
      <c r="F7482" s="84"/>
      <c r="G7482" s="195"/>
      <c r="H7482" s="187"/>
    </row>
    <row r="7483" spans="1:9" s="65" customFormat="1">
      <c r="A7483" s="91"/>
      <c r="B7483" s="91"/>
      <c r="C7483" s="91"/>
      <c r="D7483" s="91"/>
      <c r="E7483" s="91"/>
      <c r="G7483" s="196"/>
      <c r="H7483" s="187"/>
    </row>
    <row r="7484" spans="1:9" s="65" customFormat="1">
      <c r="A7484" s="120"/>
      <c r="B7484" s="73"/>
      <c r="C7484" s="73"/>
      <c r="D7484" s="73"/>
      <c r="E7484" s="73"/>
      <c r="G7484" s="182"/>
      <c r="H7484" s="187"/>
    </row>
    <row r="7485" spans="1:9" s="65" customFormat="1">
      <c r="A7485" s="183"/>
      <c r="B7485" s="141"/>
      <c r="C7485" s="141"/>
      <c r="D7485" s="141"/>
      <c r="E7485" s="141"/>
      <c r="F7485" s="141"/>
      <c r="G7485" s="194"/>
      <c r="H7485" s="187"/>
    </row>
    <row r="7486" spans="1:9" s="65" customFormat="1">
      <c r="A7486" s="146"/>
      <c r="B7486" s="83"/>
      <c r="C7486" s="148"/>
      <c r="D7486" s="84"/>
      <c r="E7486" s="84"/>
      <c r="F7486" s="84"/>
      <c r="G7486" s="195"/>
      <c r="H7486" s="187"/>
    </row>
    <row r="7487" spans="1:9" s="65" customFormat="1">
      <c r="A7487" s="91"/>
      <c r="B7487" s="91"/>
      <c r="C7487" s="91"/>
      <c r="D7487" s="91"/>
      <c r="E7487" s="91"/>
      <c r="G7487" s="196"/>
      <c r="H7487" s="187"/>
    </row>
    <row r="7488" spans="1:9" s="65" customFormat="1">
      <c r="A7488" s="120"/>
      <c r="B7488" s="73"/>
      <c r="C7488" s="73"/>
      <c r="D7488" s="73"/>
      <c r="E7488" s="73"/>
      <c r="G7488" s="182"/>
      <c r="H7488" s="187"/>
    </row>
    <row r="7489" spans="1:9" s="65" customFormat="1">
      <c r="A7489" s="183"/>
      <c r="B7489" s="141"/>
      <c r="C7489" s="141"/>
      <c r="D7489" s="141"/>
      <c r="E7489" s="141"/>
      <c r="F7489" s="141"/>
      <c r="G7489" s="194"/>
      <c r="H7489" s="187"/>
    </row>
    <row r="7490" spans="1:9" s="65" customFormat="1">
      <c r="A7490" s="142"/>
      <c r="B7490" s="143"/>
      <c r="C7490" s="143"/>
      <c r="D7490" s="143"/>
      <c r="E7490" s="143"/>
      <c r="F7490" s="84"/>
      <c r="G7490" s="195"/>
      <c r="H7490" s="187"/>
    </row>
    <row r="7491" spans="1:9" s="65" customFormat="1">
      <c r="A7491" s="123"/>
      <c r="B7491" s="95"/>
      <c r="C7491" s="95"/>
      <c r="D7491" s="95"/>
      <c r="E7491" s="95"/>
      <c r="G7491" s="196"/>
      <c r="H7491" s="182"/>
    </row>
    <row r="7492" spans="1:9" s="65" customFormat="1">
      <c r="A7492" s="123"/>
      <c r="B7492" s="95"/>
      <c r="C7492" s="95"/>
      <c r="D7492" s="95"/>
      <c r="E7492" s="95"/>
      <c r="G7492" s="182"/>
      <c r="H7492" s="193"/>
    </row>
    <row r="7493" spans="1:9" s="65" customFormat="1">
      <c r="B7493" s="97"/>
      <c r="C7493" s="98"/>
      <c r="D7493" s="98"/>
      <c r="E7493" s="98"/>
      <c r="G7493" s="192"/>
      <c r="H7493" s="193"/>
    </row>
    <row r="7494" spans="1:9" s="65" customFormat="1">
      <c r="B7494" s="97"/>
      <c r="C7494" s="98"/>
      <c r="D7494" s="98"/>
      <c r="E7494" s="98"/>
      <c r="G7494" s="192"/>
      <c r="H7494" s="177"/>
      <c r="I7494" s="178"/>
    </row>
    <row r="7495" spans="1:9" s="65" customFormat="1">
      <c r="A7495" s="654"/>
      <c r="B7495" s="177"/>
      <c r="C7495" s="177"/>
      <c r="D7495" s="177"/>
      <c r="E7495" s="177"/>
      <c r="F7495" s="177"/>
      <c r="G7495" s="177"/>
      <c r="H7495" s="177"/>
      <c r="I7495" s="179"/>
    </row>
    <row r="7496" spans="1:9" s="65" customFormat="1">
      <c r="A7496" s="654"/>
      <c r="B7496" s="177"/>
      <c r="C7496" s="177"/>
      <c r="D7496" s="177"/>
      <c r="E7496" s="177"/>
      <c r="F7496" s="177"/>
      <c r="G7496" s="177"/>
      <c r="H7496" s="180"/>
    </row>
    <row r="7497" spans="1:9" s="65" customFormat="1">
      <c r="A7497" s="69"/>
      <c r="B7497" s="69"/>
      <c r="C7497" s="69"/>
      <c r="D7497" s="69"/>
      <c r="E7497" s="69"/>
      <c r="G7497" s="180"/>
      <c r="H7497" s="180"/>
    </row>
    <row r="7498" spans="1:9" s="65" customFormat="1">
      <c r="A7498" s="120"/>
      <c r="B7498" s="73"/>
      <c r="C7498" s="73"/>
      <c r="D7498" s="73"/>
      <c r="E7498" s="73"/>
      <c r="F7498" s="181"/>
      <c r="G7498" s="182"/>
      <c r="H7498" s="182"/>
    </row>
    <row r="7499" spans="1:9" s="65" customFormat="1">
      <c r="A7499" s="183"/>
      <c r="B7499" s="141"/>
      <c r="C7499" s="141"/>
      <c r="D7499" s="141"/>
      <c r="E7499" s="141"/>
      <c r="F7499" s="141"/>
      <c r="G7499" s="194"/>
      <c r="H7499" s="182"/>
    </row>
    <row r="7500" spans="1:9" s="65" customFormat="1">
      <c r="A7500" s="150"/>
      <c r="B7500" s="83"/>
      <c r="C7500" s="148"/>
      <c r="D7500" s="84"/>
      <c r="E7500" s="84"/>
      <c r="F7500" s="84"/>
      <c r="G7500" s="195"/>
      <c r="H7500" s="187"/>
    </row>
    <row r="7501" spans="1:9" s="65" customFormat="1">
      <c r="A7501" s="84"/>
      <c r="B7501" s="83"/>
      <c r="C7501" s="84"/>
      <c r="D7501" s="84"/>
      <c r="E7501" s="84"/>
      <c r="G7501" s="196"/>
      <c r="H7501" s="187"/>
    </row>
    <row r="7502" spans="1:9" s="65" customFormat="1">
      <c r="A7502" s="120"/>
      <c r="B7502" s="73"/>
      <c r="C7502" s="73"/>
      <c r="D7502" s="73"/>
      <c r="E7502" s="73"/>
      <c r="G7502" s="182"/>
      <c r="H7502" s="187"/>
    </row>
    <row r="7503" spans="1:9" s="65" customFormat="1">
      <c r="A7503" s="183"/>
      <c r="B7503" s="141"/>
      <c r="C7503" s="141"/>
      <c r="D7503" s="141"/>
      <c r="E7503" s="141"/>
      <c r="F7503" s="141"/>
      <c r="G7503" s="194"/>
      <c r="H7503" s="187"/>
      <c r="I7503" s="189"/>
    </row>
    <row r="7504" spans="1:9" s="65" customFormat="1">
      <c r="A7504" s="197"/>
      <c r="B7504" s="83"/>
      <c r="C7504" s="148"/>
      <c r="D7504" s="190"/>
      <c r="E7504" s="84"/>
      <c r="F7504" s="84"/>
      <c r="G7504" s="195"/>
      <c r="H7504" s="187"/>
    </row>
    <row r="7505" spans="1:9" s="65" customFormat="1">
      <c r="A7505" s="91"/>
      <c r="B7505" s="91"/>
      <c r="C7505" s="91"/>
      <c r="D7505" s="91"/>
      <c r="E7505" s="91"/>
      <c r="G7505" s="196"/>
      <c r="H7505" s="187"/>
    </row>
    <row r="7506" spans="1:9" s="65" customFormat="1">
      <c r="A7506" s="120"/>
      <c r="B7506" s="73"/>
      <c r="C7506" s="73"/>
      <c r="D7506" s="73"/>
      <c r="E7506" s="73"/>
      <c r="G7506" s="182"/>
      <c r="H7506" s="187"/>
    </row>
    <row r="7507" spans="1:9" s="65" customFormat="1">
      <c r="A7507" s="183"/>
      <c r="B7507" s="141"/>
      <c r="C7507" s="141"/>
      <c r="D7507" s="141"/>
      <c r="E7507" s="141"/>
      <c r="F7507" s="141"/>
      <c r="G7507" s="194"/>
      <c r="H7507" s="187"/>
    </row>
    <row r="7508" spans="1:9" s="65" customFormat="1">
      <c r="A7508" s="146"/>
      <c r="B7508" s="83"/>
      <c r="C7508" s="148"/>
      <c r="D7508" s="84"/>
      <c r="E7508" s="84"/>
      <c r="F7508" s="84"/>
      <c r="G7508" s="195"/>
      <c r="H7508" s="187"/>
    </row>
    <row r="7509" spans="1:9" s="65" customFormat="1">
      <c r="A7509" s="91"/>
      <c r="B7509" s="91"/>
      <c r="C7509" s="91"/>
      <c r="D7509" s="91"/>
      <c r="E7509" s="91"/>
      <c r="G7509" s="196"/>
      <c r="H7509" s="187"/>
    </row>
    <row r="7510" spans="1:9" s="65" customFormat="1">
      <c r="A7510" s="120"/>
      <c r="B7510" s="73"/>
      <c r="C7510" s="73"/>
      <c r="D7510" s="73"/>
      <c r="E7510" s="73"/>
      <c r="G7510" s="182"/>
      <c r="H7510" s="187"/>
    </row>
    <row r="7511" spans="1:9" s="65" customFormat="1">
      <c r="A7511" s="183"/>
      <c r="B7511" s="141"/>
      <c r="C7511" s="141"/>
      <c r="D7511" s="141"/>
      <c r="E7511" s="141"/>
      <c r="F7511" s="141"/>
      <c r="G7511" s="194"/>
      <c r="H7511" s="187"/>
    </row>
    <row r="7512" spans="1:9" s="65" customFormat="1">
      <c r="A7512" s="142"/>
      <c r="B7512" s="143"/>
      <c r="C7512" s="143"/>
      <c r="D7512" s="143"/>
      <c r="E7512" s="143"/>
      <c r="F7512" s="84"/>
      <c r="G7512" s="195"/>
      <c r="H7512" s="187"/>
    </row>
    <row r="7513" spans="1:9" s="65" customFormat="1">
      <c r="A7513" s="123"/>
      <c r="B7513" s="95"/>
      <c r="C7513" s="95"/>
      <c r="D7513" s="95"/>
      <c r="E7513" s="95"/>
      <c r="G7513" s="196"/>
      <c r="H7513" s="182"/>
    </row>
    <row r="7514" spans="1:9" s="65" customFormat="1">
      <c r="A7514" s="123"/>
      <c r="B7514" s="95"/>
      <c r="C7514" s="95"/>
      <c r="D7514" s="95"/>
      <c r="E7514" s="95"/>
      <c r="G7514" s="182"/>
      <c r="H7514" s="193"/>
    </row>
    <row r="7515" spans="1:9" s="65" customFormat="1">
      <c r="B7515" s="97"/>
      <c r="C7515" s="98"/>
      <c r="D7515" s="98"/>
      <c r="E7515" s="98"/>
      <c r="G7515" s="192"/>
      <c r="H7515" s="193"/>
    </row>
    <row r="7516" spans="1:9" s="65" customFormat="1">
      <c r="B7516" s="97"/>
      <c r="C7516" s="98"/>
      <c r="D7516" s="98"/>
      <c r="E7516" s="98"/>
      <c r="G7516" s="192"/>
      <c r="H7516" s="177"/>
      <c r="I7516" s="178"/>
    </row>
    <row r="7517" spans="1:9" s="65" customFormat="1">
      <c r="A7517" s="654"/>
      <c r="B7517" s="177"/>
      <c r="C7517" s="177"/>
      <c r="D7517" s="177"/>
      <c r="E7517" s="177"/>
      <c r="F7517" s="177"/>
      <c r="G7517" s="177"/>
      <c r="H7517" s="177"/>
      <c r="I7517" s="179"/>
    </row>
    <row r="7518" spans="1:9" s="65" customFormat="1">
      <c r="A7518" s="654"/>
      <c r="B7518" s="177"/>
      <c r="C7518" s="177"/>
      <c r="D7518" s="177"/>
      <c r="E7518" s="177"/>
      <c r="F7518" s="177"/>
      <c r="G7518" s="177"/>
      <c r="H7518" s="180"/>
    </row>
    <row r="7519" spans="1:9" s="65" customFormat="1">
      <c r="A7519" s="69"/>
      <c r="B7519" s="69"/>
      <c r="C7519" s="69"/>
      <c r="D7519" s="69"/>
      <c r="E7519" s="69"/>
      <c r="G7519" s="180"/>
      <c r="H7519" s="180"/>
    </row>
    <row r="7520" spans="1:9" s="65" customFormat="1">
      <c r="A7520" s="120"/>
      <c r="B7520" s="73"/>
      <c r="C7520" s="73"/>
      <c r="D7520" s="73"/>
      <c r="E7520" s="73"/>
      <c r="F7520" s="181"/>
      <c r="G7520" s="182"/>
      <c r="H7520" s="182"/>
    </row>
    <row r="7521" spans="1:9" s="65" customFormat="1">
      <c r="A7521" s="183"/>
      <c r="B7521" s="141"/>
      <c r="C7521" s="141"/>
      <c r="D7521" s="141"/>
      <c r="E7521" s="141"/>
      <c r="F7521" s="141"/>
      <c r="G7521" s="194"/>
      <c r="H7521" s="182"/>
    </row>
    <row r="7522" spans="1:9" s="65" customFormat="1">
      <c r="A7522" s="150"/>
      <c r="B7522" s="83"/>
      <c r="C7522" s="148"/>
      <c r="D7522" s="84"/>
      <c r="E7522" s="84"/>
      <c r="F7522" s="84"/>
      <c r="G7522" s="195"/>
      <c r="H7522" s="187"/>
    </row>
    <row r="7523" spans="1:9" s="65" customFormat="1">
      <c r="A7523" s="84"/>
      <c r="B7523" s="83"/>
      <c r="C7523" s="84"/>
      <c r="D7523" s="84"/>
      <c r="E7523" s="84"/>
      <c r="G7523" s="196"/>
      <c r="H7523" s="187"/>
    </row>
    <row r="7524" spans="1:9" s="65" customFormat="1">
      <c r="A7524" s="120"/>
      <c r="B7524" s="73"/>
      <c r="C7524" s="73"/>
      <c r="D7524" s="73"/>
      <c r="E7524" s="73"/>
      <c r="G7524" s="182"/>
      <c r="H7524" s="187"/>
    </row>
    <row r="7525" spans="1:9" s="65" customFormat="1">
      <c r="A7525" s="183"/>
      <c r="B7525" s="141"/>
      <c r="C7525" s="141"/>
      <c r="D7525" s="141"/>
      <c r="E7525" s="141"/>
      <c r="F7525" s="141"/>
      <c r="G7525" s="194"/>
      <c r="H7525" s="187"/>
      <c r="I7525" s="189"/>
    </row>
    <row r="7526" spans="1:9" s="65" customFormat="1">
      <c r="A7526" s="197"/>
      <c r="B7526" s="83"/>
      <c r="C7526" s="148"/>
      <c r="D7526" s="190"/>
      <c r="E7526" s="84"/>
      <c r="F7526" s="84"/>
      <c r="G7526" s="195"/>
      <c r="H7526" s="187"/>
    </row>
    <row r="7527" spans="1:9" s="65" customFormat="1">
      <c r="A7527" s="91"/>
      <c r="B7527" s="91"/>
      <c r="C7527" s="91"/>
      <c r="D7527" s="91"/>
      <c r="E7527" s="91"/>
      <c r="G7527" s="196"/>
      <c r="H7527" s="187"/>
    </row>
    <row r="7528" spans="1:9" s="65" customFormat="1">
      <c r="A7528" s="120"/>
      <c r="B7528" s="73"/>
      <c r="C7528" s="73"/>
      <c r="D7528" s="73"/>
      <c r="E7528" s="73"/>
      <c r="G7528" s="182"/>
      <c r="H7528" s="187"/>
    </row>
    <row r="7529" spans="1:9" s="65" customFormat="1">
      <c r="A7529" s="183"/>
      <c r="B7529" s="141"/>
      <c r="C7529" s="141"/>
      <c r="D7529" s="141"/>
      <c r="E7529" s="141"/>
      <c r="F7529" s="141"/>
      <c r="G7529" s="194"/>
      <c r="H7529" s="187"/>
    </row>
    <row r="7530" spans="1:9" s="65" customFormat="1">
      <c r="A7530" s="146"/>
      <c r="B7530" s="83"/>
      <c r="C7530" s="148"/>
      <c r="D7530" s="84"/>
      <c r="E7530" s="84"/>
      <c r="F7530" s="84"/>
      <c r="G7530" s="195"/>
      <c r="H7530" s="187"/>
    </row>
    <row r="7531" spans="1:9" s="65" customFormat="1">
      <c r="A7531" s="91"/>
      <c r="B7531" s="91"/>
      <c r="C7531" s="91"/>
      <c r="D7531" s="91"/>
      <c r="E7531" s="91"/>
      <c r="G7531" s="196"/>
      <c r="H7531" s="187"/>
    </row>
    <row r="7532" spans="1:9" s="65" customFormat="1">
      <c r="A7532" s="120"/>
      <c r="B7532" s="73"/>
      <c r="C7532" s="73"/>
      <c r="D7532" s="73"/>
      <c r="E7532" s="73"/>
      <c r="G7532" s="182"/>
      <c r="H7532" s="187"/>
    </row>
    <row r="7533" spans="1:9" s="65" customFormat="1">
      <c r="A7533" s="183"/>
      <c r="B7533" s="141"/>
      <c r="C7533" s="141"/>
      <c r="D7533" s="141"/>
      <c r="E7533" s="141"/>
      <c r="F7533" s="141"/>
      <c r="G7533" s="194"/>
      <c r="H7533" s="187"/>
    </row>
    <row r="7534" spans="1:9" s="65" customFormat="1">
      <c r="A7534" s="142"/>
      <c r="B7534" s="143"/>
      <c r="C7534" s="143"/>
      <c r="D7534" s="143"/>
      <c r="E7534" s="143"/>
      <c r="F7534" s="84"/>
      <c r="G7534" s="195"/>
      <c r="H7534" s="187"/>
    </row>
    <row r="7535" spans="1:9" s="65" customFormat="1">
      <c r="A7535" s="123"/>
      <c r="B7535" s="95"/>
      <c r="C7535" s="95"/>
      <c r="D7535" s="95"/>
      <c r="E7535" s="95"/>
      <c r="G7535" s="196"/>
      <c r="H7535" s="182"/>
    </row>
    <row r="7536" spans="1:9" s="65" customFormat="1">
      <c r="A7536" s="123"/>
      <c r="B7536" s="95"/>
      <c r="C7536" s="95"/>
      <c r="D7536" s="95"/>
      <c r="E7536" s="95"/>
      <c r="G7536" s="182"/>
      <c r="H7536" s="193"/>
    </row>
    <row r="7537" spans="1:9" s="65" customFormat="1">
      <c r="B7537" s="97"/>
      <c r="C7537" s="98"/>
      <c r="D7537" s="98"/>
      <c r="E7537" s="98"/>
      <c r="G7537" s="192"/>
      <c r="H7537" s="193"/>
    </row>
    <row r="7538" spans="1:9" s="65" customFormat="1">
      <c r="B7538" s="97"/>
      <c r="C7538" s="98"/>
      <c r="D7538" s="98"/>
      <c r="E7538" s="98"/>
      <c r="G7538" s="192"/>
      <c r="H7538" s="177"/>
      <c r="I7538" s="178"/>
    </row>
    <row r="7539" spans="1:9" s="65" customFormat="1">
      <c r="A7539" s="654"/>
      <c r="B7539" s="177"/>
      <c r="C7539" s="177"/>
      <c r="D7539" s="177"/>
      <c r="E7539" s="177"/>
      <c r="F7539" s="177"/>
      <c r="G7539" s="177"/>
      <c r="H7539" s="177"/>
      <c r="I7539" s="179"/>
    </row>
    <row r="7540" spans="1:9" s="65" customFormat="1">
      <c r="A7540" s="654"/>
      <c r="B7540" s="177"/>
      <c r="C7540" s="177"/>
      <c r="D7540" s="177"/>
      <c r="E7540" s="177"/>
      <c r="F7540" s="177"/>
      <c r="G7540" s="177"/>
      <c r="H7540" s="180"/>
    </row>
    <row r="7541" spans="1:9" s="65" customFormat="1">
      <c r="A7541" s="69"/>
      <c r="B7541" s="69"/>
      <c r="C7541" s="69"/>
      <c r="D7541" s="69"/>
      <c r="E7541" s="69"/>
      <c r="G7541" s="180"/>
      <c r="H7541" s="180"/>
    </row>
    <row r="7542" spans="1:9" s="65" customFormat="1">
      <c r="A7542" s="120"/>
      <c r="B7542" s="73"/>
      <c r="C7542" s="73"/>
      <c r="D7542" s="73"/>
      <c r="E7542" s="73"/>
      <c r="F7542" s="181"/>
      <c r="G7542" s="182"/>
      <c r="H7542" s="182"/>
    </row>
    <row r="7543" spans="1:9" s="65" customFormat="1">
      <c r="A7543" s="183"/>
      <c r="B7543" s="141"/>
      <c r="C7543" s="141"/>
      <c r="D7543" s="141"/>
      <c r="E7543" s="141"/>
      <c r="F7543" s="141"/>
      <c r="G7543" s="194"/>
      <c r="H7543" s="182"/>
    </row>
    <row r="7544" spans="1:9" s="65" customFormat="1">
      <c r="A7544" s="150"/>
      <c r="B7544" s="83"/>
      <c r="C7544" s="148"/>
      <c r="D7544" s="84"/>
      <c r="E7544" s="84"/>
      <c r="F7544" s="84"/>
      <c r="G7544" s="195"/>
      <c r="H7544" s="187"/>
    </row>
    <row r="7545" spans="1:9" s="65" customFormat="1">
      <c r="A7545" s="84"/>
      <c r="B7545" s="83"/>
      <c r="C7545" s="84"/>
      <c r="D7545" s="84"/>
      <c r="E7545" s="84"/>
      <c r="G7545" s="196"/>
      <c r="H7545" s="187"/>
    </row>
    <row r="7546" spans="1:9" s="65" customFormat="1">
      <c r="A7546" s="120"/>
      <c r="B7546" s="73"/>
      <c r="C7546" s="73"/>
      <c r="D7546" s="73"/>
      <c r="E7546" s="73"/>
      <c r="G7546" s="182"/>
      <c r="H7546" s="187"/>
    </row>
    <row r="7547" spans="1:9" s="65" customFormat="1">
      <c r="A7547" s="183"/>
      <c r="B7547" s="141"/>
      <c r="C7547" s="141"/>
      <c r="D7547" s="141"/>
      <c r="E7547" s="141"/>
      <c r="F7547" s="141"/>
      <c r="G7547" s="194"/>
      <c r="H7547" s="187"/>
      <c r="I7547" s="189"/>
    </row>
    <row r="7548" spans="1:9" s="65" customFormat="1">
      <c r="A7548" s="197"/>
      <c r="B7548" s="83"/>
      <c r="C7548" s="148"/>
      <c r="D7548" s="190"/>
      <c r="E7548" s="84"/>
      <c r="F7548" s="84"/>
      <c r="G7548" s="195"/>
      <c r="H7548" s="187"/>
    </row>
    <row r="7549" spans="1:9" s="65" customFormat="1">
      <c r="A7549" s="91"/>
      <c r="B7549" s="91"/>
      <c r="C7549" s="91"/>
      <c r="D7549" s="91"/>
      <c r="E7549" s="91"/>
      <c r="G7549" s="196"/>
      <c r="H7549" s="187"/>
    </row>
    <row r="7550" spans="1:9" s="65" customFormat="1">
      <c r="A7550" s="120"/>
      <c r="B7550" s="73"/>
      <c r="C7550" s="73"/>
      <c r="D7550" s="73"/>
      <c r="E7550" s="73"/>
      <c r="G7550" s="182"/>
      <c r="H7550" s="187"/>
    </row>
    <row r="7551" spans="1:9" s="65" customFormat="1">
      <c r="A7551" s="183"/>
      <c r="B7551" s="141"/>
      <c r="C7551" s="141"/>
      <c r="D7551" s="141"/>
      <c r="E7551" s="141"/>
      <c r="F7551" s="141"/>
      <c r="G7551" s="194"/>
      <c r="H7551" s="187"/>
    </row>
    <row r="7552" spans="1:9" s="65" customFormat="1">
      <c r="A7552" s="146"/>
      <c r="B7552" s="83"/>
      <c r="C7552" s="148"/>
      <c r="D7552" s="84"/>
      <c r="E7552" s="84"/>
      <c r="F7552" s="84"/>
      <c r="G7552" s="195"/>
      <c r="H7552" s="187"/>
    </row>
    <row r="7553" spans="1:9" s="65" customFormat="1">
      <c r="A7553" s="91"/>
      <c r="B7553" s="91"/>
      <c r="C7553" s="91"/>
      <c r="D7553" s="91"/>
      <c r="E7553" s="91"/>
      <c r="G7553" s="196"/>
      <c r="H7553" s="187"/>
    </row>
    <row r="7554" spans="1:9" s="65" customFormat="1">
      <c r="A7554" s="120"/>
      <c r="B7554" s="73"/>
      <c r="C7554" s="73"/>
      <c r="D7554" s="73"/>
      <c r="E7554" s="73"/>
      <c r="G7554" s="182"/>
      <c r="H7554" s="187"/>
    </row>
    <row r="7555" spans="1:9" s="65" customFormat="1">
      <c r="A7555" s="183"/>
      <c r="B7555" s="141"/>
      <c r="C7555" s="141"/>
      <c r="D7555" s="141"/>
      <c r="E7555" s="141"/>
      <c r="F7555" s="141"/>
      <c r="G7555" s="194"/>
      <c r="H7555" s="187"/>
    </row>
    <row r="7556" spans="1:9" s="65" customFormat="1">
      <c r="A7556" s="142"/>
      <c r="B7556" s="143"/>
      <c r="C7556" s="143"/>
      <c r="D7556" s="143"/>
      <c r="E7556" s="143"/>
      <c r="F7556" s="84"/>
      <c r="G7556" s="195"/>
      <c r="H7556" s="187"/>
    </row>
    <row r="7557" spans="1:9" s="65" customFormat="1">
      <c r="A7557" s="123"/>
      <c r="B7557" s="95"/>
      <c r="C7557" s="95"/>
      <c r="D7557" s="95"/>
      <c r="E7557" s="95"/>
      <c r="G7557" s="196"/>
      <c r="H7557" s="182"/>
    </row>
    <row r="7558" spans="1:9" s="65" customFormat="1">
      <c r="A7558" s="123"/>
      <c r="B7558" s="95"/>
      <c r="C7558" s="95"/>
      <c r="D7558" s="95"/>
      <c r="E7558" s="95"/>
      <c r="G7558" s="182"/>
      <c r="H7558" s="193"/>
    </row>
    <row r="7559" spans="1:9" s="65" customFormat="1">
      <c r="B7559" s="97"/>
      <c r="C7559" s="98"/>
      <c r="D7559" s="98"/>
      <c r="E7559" s="98"/>
      <c r="G7559" s="192"/>
      <c r="H7559" s="193"/>
    </row>
    <row r="7560" spans="1:9" s="65" customFormat="1">
      <c r="B7560" s="97"/>
      <c r="C7560" s="98"/>
      <c r="D7560" s="98"/>
      <c r="E7560" s="98"/>
      <c r="G7560" s="192"/>
      <c r="H7560" s="177"/>
      <c r="I7560" s="178"/>
    </row>
    <row r="7561" spans="1:9" s="65" customFormat="1">
      <c r="A7561" s="654"/>
      <c r="B7561" s="177"/>
      <c r="C7561" s="177"/>
      <c r="D7561" s="177"/>
      <c r="E7561" s="177"/>
      <c r="F7561" s="177"/>
      <c r="G7561" s="177"/>
      <c r="H7561" s="177"/>
      <c r="I7561" s="179"/>
    </row>
    <row r="7562" spans="1:9" s="65" customFormat="1">
      <c r="A7562" s="654"/>
      <c r="B7562" s="177"/>
      <c r="C7562" s="177"/>
      <c r="D7562" s="177"/>
      <c r="E7562" s="177"/>
      <c r="F7562" s="177"/>
      <c r="G7562" s="177"/>
      <c r="H7562" s="180"/>
    </row>
    <row r="7563" spans="1:9" s="65" customFormat="1">
      <c r="A7563" s="69"/>
      <c r="B7563" s="69"/>
      <c r="C7563" s="69"/>
      <c r="D7563" s="69"/>
      <c r="E7563" s="69"/>
      <c r="G7563" s="180"/>
      <c r="H7563" s="180"/>
    </row>
    <row r="7564" spans="1:9" s="65" customFormat="1">
      <c r="A7564" s="120"/>
      <c r="B7564" s="73"/>
      <c r="C7564" s="73"/>
      <c r="D7564" s="73"/>
      <c r="E7564" s="73"/>
      <c r="F7564" s="181"/>
      <c r="G7564" s="182"/>
      <c r="H7564" s="182"/>
    </row>
    <row r="7565" spans="1:9" s="65" customFormat="1">
      <c r="A7565" s="183"/>
      <c r="B7565" s="141"/>
      <c r="C7565" s="141"/>
      <c r="D7565" s="141"/>
      <c r="E7565" s="141"/>
      <c r="F7565" s="141"/>
      <c r="G7565" s="194"/>
      <c r="H7565" s="182"/>
    </row>
    <row r="7566" spans="1:9" s="65" customFormat="1">
      <c r="A7566" s="150"/>
      <c r="B7566" s="83"/>
      <c r="C7566" s="148"/>
      <c r="D7566" s="84"/>
      <c r="E7566" s="84"/>
      <c r="F7566" s="84"/>
      <c r="G7566" s="195"/>
      <c r="H7566" s="187"/>
    </row>
    <row r="7567" spans="1:9" s="65" customFormat="1">
      <c r="A7567" s="84"/>
      <c r="B7567" s="83"/>
      <c r="C7567" s="84"/>
      <c r="D7567" s="84"/>
      <c r="E7567" s="84"/>
      <c r="G7567" s="196"/>
      <c r="H7567" s="187"/>
    </row>
    <row r="7568" spans="1:9" s="65" customFormat="1">
      <c r="A7568" s="120"/>
      <c r="B7568" s="73"/>
      <c r="C7568" s="73"/>
      <c r="D7568" s="73"/>
      <c r="E7568" s="73"/>
      <c r="G7568" s="182"/>
      <c r="H7568" s="187"/>
    </row>
    <row r="7569" spans="1:9" s="65" customFormat="1">
      <c r="A7569" s="183"/>
      <c r="B7569" s="141"/>
      <c r="C7569" s="141"/>
      <c r="D7569" s="141"/>
      <c r="E7569" s="141"/>
      <c r="F7569" s="141"/>
      <c r="G7569" s="194"/>
      <c r="H7569" s="187"/>
      <c r="I7569" s="189"/>
    </row>
    <row r="7570" spans="1:9" s="65" customFormat="1">
      <c r="A7570" s="197"/>
      <c r="B7570" s="83"/>
      <c r="C7570" s="148"/>
      <c r="D7570" s="190"/>
      <c r="E7570" s="84"/>
      <c r="F7570" s="84"/>
      <c r="G7570" s="195"/>
      <c r="H7570" s="187"/>
      <c r="I7570" s="189"/>
    </row>
    <row r="7571" spans="1:9" s="65" customFormat="1">
      <c r="A7571" s="197"/>
      <c r="B7571" s="83"/>
      <c r="C7571" s="148"/>
      <c r="D7571" s="190"/>
      <c r="E7571" s="84"/>
      <c r="F7571" s="84"/>
      <c r="G7571" s="195"/>
      <c r="H7571" s="187"/>
      <c r="I7571" s="189"/>
    </row>
    <row r="7572" spans="1:9" s="65" customFormat="1">
      <c r="A7572" s="197"/>
      <c r="B7572" s="198"/>
      <c r="C7572" s="148"/>
      <c r="D7572" s="190"/>
      <c r="E7572" s="84"/>
      <c r="F7572" s="84"/>
      <c r="G7572" s="195"/>
      <c r="H7572" s="187"/>
    </row>
    <row r="7573" spans="1:9" s="65" customFormat="1">
      <c r="A7573" s="91"/>
      <c r="B7573" s="91"/>
      <c r="C7573" s="91"/>
      <c r="D7573" s="91"/>
      <c r="E7573" s="91"/>
      <c r="G7573" s="196"/>
      <c r="H7573" s="187"/>
    </row>
    <row r="7574" spans="1:9" s="65" customFormat="1">
      <c r="A7574" s="120"/>
      <c r="B7574" s="73"/>
      <c r="C7574" s="73"/>
      <c r="D7574" s="73"/>
      <c r="E7574" s="73"/>
      <c r="G7574" s="182"/>
      <c r="H7574" s="187"/>
    </row>
    <row r="7575" spans="1:9" s="65" customFormat="1">
      <c r="A7575" s="183"/>
      <c r="B7575" s="141"/>
      <c r="C7575" s="141"/>
      <c r="D7575" s="141"/>
      <c r="E7575" s="141"/>
      <c r="F7575" s="141"/>
      <c r="G7575" s="194"/>
      <c r="H7575" s="187"/>
    </row>
    <row r="7576" spans="1:9" s="65" customFormat="1">
      <c r="A7576" s="146"/>
      <c r="B7576" s="83"/>
      <c r="C7576" s="148"/>
      <c r="D7576" s="84"/>
      <c r="E7576" s="84"/>
      <c r="F7576" s="84"/>
      <c r="G7576" s="195"/>
      <c r="H7576" s="187"/>
    </row>
    <row r="7577" spans="1:9" s="65" customFormat="1">
      <c r="A7577" s="91"/>
      <c r="B7577" s="91"/>
      <c r="C7577" s="91"/>
      <c r="D7577" s="91"/>
      <c r="E7577" s="91"/>
      <c r="G7577" s="196"/>
      <c r="H7577" s="187"/>
    </row>
    <row r="7578" spans="1:9" s="65" customFormat="1">
      <c r="A7578" s="120"/>
      <c r="B7578" s="73"/>
      <c r="C7578" s="73"/>
      <c r="D7578" s="73"/>
      <c r="E7578" s="73"/>
      <c r="G7578" s="182"/>
      <c r="H7578" s="187"/>
    </row>
    <row r="7579" spans="1:9" s="65" customFormat="1">
      <c r="A7579" s="183"/>
      <c r="B7579" s="141"/>
      <c r="C7579" s="141"/>
      <c r="D7579" s="141"/>
      <c r="E7579" s="141"/>
      <c r="F7579" s="141"/>
      <c r="G7579" s="194"/>
      <c r="H7579" s="187"/>
    </row>
    <row r="7580" spans="1:9" s="65" customFormat="1">
      <c r="A7580" s="142"/>
      <c r="B7580" s="143"/>
      <c r="C7580" s="143"/>
      <c r="D7580" s="143"/>
      <c r="E7580" s="143"/>
      <c r="F7580" s="84"/>
      <c r="G7580" s="195"/>
      <c r="H7580" s="187"/>
    </row>
    <row r="7581" spans="1:9" s="65" customFormat="1">
      <c r="A7581" s="123"/>
      <c r="B7581" s="95"/>
      <c r="C7581" s="95"/>
      <c r="D7581" s="95"/>
      <c r="E7581" s="95"/>
      <c r="G7581" s="196"/>
      <c r="H7581" s="182"/>
    </row>
    <row r="7582" spans="1:9" s="65" customFormat="1">
      <c r="A7582" s="123"/>
      <c r="B7582" s="95"/>
      <c r="C7582" s="95"/>
      <c r="D7582" s="95"/>
      <c r="E7582" s="95"/>
      <c r="G7582" s="182"/>
      <c r="H7582" s="193"/>
    </row>
    <row r="7583" spans="1:9" s="65" customFormat="1">
      <c r="B7583" s="97"/>
      <c r="C7583" s="98"/>
      <c r="D7583" s="98"/>
      <c r="E7583" s="98"/>
      <c r="G7583" s="192"/>
      <c r="H7583" s="180"/>
    </row>
    <row r="7584" spans="1:9" s="65" customFormat="1">
      <c r="A7584" s="69"/>
      <c r="B7584" s="69"/>
      <c r="C7584" s="69"/>
      <c r="D7584" s="69"/>
      <c r="E7584" s="69"/>
      <c r="G7584" s="180"/>
      <c r="H7584" s="177"/>
      <c r="I7584" s="178"/>
    </row>
    <row r="7585" spans="1:9" s="65" customFormat="1">
      <c r="A7585" s="654"/>
      <c r="B7585" s="177"/>
      <c r="C7585" s="177"/>
      <c r="D7585" s="177"/>
      <c r="E7585" s="177"/>
      <c r="F7585" s="177"/>
      <c r="G7585" s="177"/>
      <c r="H7585" s="177"/>
      <c r="I7585" s="179"/>
    </row>
    <row r="7586" spans="1:9" s="65" customFormat="1">
      <c r="A7586" s="654"/>
      <c r="B7586" s="177"/>
      <c r="C7586" s="177"/>
      <c r="D7586" s="177"/>
      <c r="E7586" s="177"/>
      <c r="F7586" s="177"/>
      <c r="G7586" s="177"/>
      <c r="H7586" s="180"/>
    </row>
    <row r="7587" spans="1:9" s="65" customFormat="1">
      <c r="A7587" s="69"/>
      <c r="B7587" s="69"/>
      <c r="C7587" s="69"/>
      <c r="D7587" s="69"/>
      <c r="E7587" s="69"/>
      <c r="G7587" s="180"/>
      <c r="H7587" s="180"/>
    </row>
    <row r="7588" spans="1:9" s="65" customFormat="1">
      <c r="A7588" s="120"/>
      <c r="B7588" s="73"/>
      <c r="C7588" s="73"/>
      <c r="D7588" s="73"/>
      <c r="E7588" s="73"/>
      <c r="F7588" s="181"/>
      <c r="G7588" s="182"/>
      <c r="H7588" s="182"/>
    </row>
    <row r="7589" spans="1:9" s="65" customFormat="1">
      <c r="A7589" s="183"/>
      <c r="B7589" s="141"/>
      <c r="C7589" s="141"/>
      <c r="D7589" s="141"/>
      <c r="E7589" s="141"/>
      <c r="F7589" s="141"/>
      <c r="G7589" s="194"/>
      <c r="H7589" s="182"/>
    </row>
    <row r="7590" spans="1:9" s="65" customFormat="1">
      <c r="A7590" s="150"/>
      <c r="B7590" s="83"/>
      <c r="C7590" s="148"/>
      <c r="D7590" s="84"/>
      <c r="E7590" s="84"/>
      <c r="F7590" s="84"/>
      <c r="G7590" s="195"/>
      <c r="H7590" s="187"/>
    </row>
    <row r="7591" spans="1:9" s="65" customFormat="1">
      <c r="A7591" s="84"/>
      <c r="B7591" s="83"/>
      <c r="C7591" s="84"/>
      <c r="D7591" s="84"/>
      <c r="E7591" s="84"/>
      <c r="G7591" s="196"/>
      <c r="H7591" s="187"/>
    </row>
    <row r="7592" spans="1:9" s="65" customFormat="1">
      <c r="A7592" s="120"/>
      <c r="B7592" s="73"/>
      <c r="C7592" s="73"/>
      <c r="D7592" s="73"/>
      <c r="E7592" s="73"/>
      <c r="G7592" s="182"/>
      <c r="H7592" s="187"/>
    </row>
    <row r="7593" spans="1:9" s="65" customFormat="1">
      <c r="A7593" s="183"/>
      <c r="B7593" s="141"/>
      <c r="C7593" s="141"/>
      <c r="D7593" s="141"/>
      <c r="E7593" s="141"/>
      <c r="F7593" s="141"/>
      <c r="G7593" s="194"/>
      <c r="H7593" s="187"/>
      <c r="I7593" s="189"/>
    </row>
    <row r="7594" spans="1:9" s="65" customFormat="1">
      <c r="A7594" s="197"/>
      <c r="B7594" s="83"/>
      <c r="C7594" s="148"/>
      <c r="D7594" s="190"/>
      <c r="E7594" s="84"/>
      <c r="F7594" s="84"/>
      <c r="G7594" s="195"/>
      <c r="H7594" s="187"/>
    </row>
    <row r="7595" spans="1:9" s="65" customFormat="1">
      <c r="A7595" s="91"/>
      <c r="B7595" s="91"/>
      <c r="C7595" s="91"/>
      <c r="D7595" s="91"/>
      <c r="E7595" s="91"/>
      <c r="G7595" s="196"/>
      <c r="H7595" s="187"/>
    </row>
    <row r="7596" spans="1:9" s="65" customFormat="1">
      <c r="A7596" s="120"/>
      <c r="B7596" s="73"/>
      <c r="C7596" s="73"/>
      <c r="D7596" s="73"/>
      <c r="E7596" s="73"/>
      <c r="G7596" s="182"/>
      <c r="H7596" s="187"/>
    </row>
    <row r="7597" spans="1:9" s="65" customFormat="1">
      <c r="A7597" s="183"/>
      <c r="B7597" s="141"/>
      <c r="C7597" s="141"/>
      <c r="D7597" s="141"/>
      <c r="E7597" s="141"/>
      <c r="F7597" s="141"/>
      <c r="G7597" s="194"/>
      <c r="H7597" s="187"/>
    </row>
    <row r="7598" spans="1:9" s="65" customFormat="1">
      <c r="A7598" s="146"/>
      <c r="B7598" s="83"/>
      <c r="C7598" s="148"/>
      <c r="D7598" s="84"/>
      <c r="E7598" s="84"/>
      <c r="F7598" s="84"/>
      <c r="G7598" s="195"/>
      <c r="H7598" s="187"/>
    </row>
    <row r="7599" spans="1:9" s="65" customFormat="1">
      <c r="A7599" s="91"/>
      <c r="B7599" s="91"/>
      <c r="C7599" s="91"/>
      <c r="D7599" s="91"/>
      <c r="E7599" s="91"/>
      <c r="G7599" s="196"/>
      <c r="H7599" s="187"/>
    </row>
    <row r="7600" spans="1:9" s="65" customFormat="1">
      <c r="A7600" s="120"/>
      <c r="B7600" s="73"/>
      <c r="C7600" s="73"/>
      <c r="D7600" s="73"/>
      <c r="E7600" s="73"/>
      <c r="G7600" s="182"/>
      <c r="H7600" s="187"/>
    </row>
    <row r="7601" spans="1:9" s="65" customFormat="1">
      <c r="A7601" s="183"/>
      <c r="B7601" s="141"/>
      <c r="C7601" s="141"/>
      <c r="D7601" s="141"/>
      <c r="E7601" s="141"/>
      <c r="F7601" s="141"/>
      <c r="G7601" s="194"/>
      <c r="H7601" s="187"/>
    </row>
    <row r="7602" spans="1:9" s="65" customFormat="1">
      <c r="A7602" s="142"/>
      <c r="B7602" s="143"/>
      <c r="C7602" s="143"/>
      <c r="D7602" s="143"/>
      <c r="E7602" s="143"/>
      <c r="F7602" s="84"/>
      <c r="G7602" s="195"/>
      <c r="H7602" s="187"/>
    </row>
    <row r="7603" spans="1:9" s="65" customFormat="1">
      <c r="A7603" s="123"/>
      <c r="B7603" s="95"/>
      <c r="C7603" s="95"/>
      <c r="D7603" s="95"/>
      <c r="E7603" s="95"/>
      <c r="G7603" s="196"/>
      <c r="H7603" s="182"/>
    </row>
    <row r="7604" spans="1:9" s="65" customFormat="1">
      <c r="A7604" s="123"/>
      <c r="B7604" s="95"/>
      <c r="C7604" s="95"/>
      <c r="D7604" s="95"/>
      <c r="E7604" s="95"/>
      <c r="G7604" s="182"/>
      <c r="H7604" s="193"/>
    </row>
    <row r="7605" spans="1:9" s="65" customFormat="1">
      <c r="B7605" s="97"/>
      <c r="C7605" s="98"/>
      <c r="D7605" s="98"/>
      <c r="E7605" s="98"/>
      <c r="G7605" s="192"/>
      <c r="H7605" s="180"/>
    </row>
    <row r="7606" spans="1:9" s="65" customFormat="1">
      <c r="A7606" s="69"/>
      <c r="B7606" s="69"/>
      <c r="C7606" s="69"/>
      <c r="D7606" s="69"/>
      <c r="E7606" s="69"/>
      <c r="G7606" s="180"/>
      <c r="H7606" s="177"/>
      <c r="I7606" s="178"/>
    </row>
    <row r="7607" spans="1:9" s="65" customFormat="1">
      <c r="A7607" s="654"/>
      <c r="B7607" s="177"/>
      <c r="C7607" s="177"/>
      <c r="D7607" s="177"/>
      <c r="E7607" s="177"/>
      <c r="F7607" s="177"/>
      <c r="G7607" s="177"/>
      <c r="H7607" s="177"/>
      <c r="I7607" s="179"/>
    </row>
    <row r="7608" spans="1:9" s="65" customFormat="1">
      <c r="A7608" s="654"/>
      <c r="B7608" s="177"/>
      <c r="C7608" s="177"/>
      <c r="D7608" s="177"/>
      <c r="E7608" s="177"/>
      <c r="F7608" s="177"/>
      <c r="G7608" s="177"/>
      <c r="H7608" s="180"/>
    </row>
    <row r="7609" spans="1:9" s="65" customFormat="1">
      <c r="A7609" s="69"/>
      <c r="B7609" s="69"/>
      <c r="C7609" s="69"/>
      <c r="D7609" s="69"/>
      <c r="E7609" s="69"/>
      <c r="G7609" s="180"/>
      <c r="H7609" s="180"/>
    </row>
    <row r="7610" spans="1:9" s="65" customFormat="1">
      <c r="A7610" s="120"/>
      <c r="B7610" s="73"/>
      <c r="C7610" s="73"/>
      <c r="D7610" s="73"/>
      <c r="E7610" s="73"/>
      <c r="F7610" s="181"/>
      <c r="G7610" s="182"/>
      <c r="H7610" s="182"/>
    </row>
    <row r="7611" spans="1:9" s="65" customFormat="1">
      <c r="A7611" s="183"/>
      <c r="B7611" s="141"/>
      <c r="C7611" s="141"/>
      <c r="D7611" s="141"/>
      <c r="E7611" s="141"/>
      <c r="F7611" s="141"/>
      <c r="G7611" s="194"/>
      <c r="H7611" s="182"/>
    </row>
    <row r="7612" spans="1:9" s="65" customFormat="1">
      <c r="A7612" s="150"/>
      <c r="B7612" s="83"/>
      <c r="C7612" s="148"/>
      <c r="D7612" s="84"/>
      <c r="E7612" s="84"/>
      <c r="F7612" s="84"/>
      <c r="G7612" s="195"/>
      <c r="H7612" s="187"/>
    </row>
    <row r="7613" spans="1:9" s="65" customFormat="1">
      <c r="A7613" s="84"/>
      <c r="B7613" s="83"/>
      <c r="C7613" s="84"/>
      <c r="D7613" s="84"/>
      <c r="E7613" s="84"/>
      <c r="G7613" s="196"/>
      <c r="H7613" s="187"/>
    </row>
    <row r="7614" spans="1:9" s="65" customFormat="1">
      <c r="A7614" s="120"/>
      <c r="B7614" s="73"/>
      <c r="C7614" s="73"/>
      <c r="D7614" s="73"/>
      <c r="E7614" s="73"/>
      <c r="G7614" s="182"/>
      <c r="H7614" s="187"/>
    </row>
    <row r="7615" spans="1:9" s="65" customFormat="1">
      <c r="A7615" s="183"/>
      <c r="B7615" s="141"/>
      <c r="C7615" s="141"/>
      <c r="D7615" s="141"/>
      <c r="E7615" s="141"/>
      <c r="F7615" s="141"/>
      <c r="G7615" s="194"/>
      <c r="H7615" s="187"/>
      <c r="I7615" s="189"/>
    </row>
    <row r="7616" spans="1:9" s="65" customFormat="1">
      <c r="A7616" s="197"/>
      <c r="B7616" s="83"/>
      <c r="C7616" s="148"/>
      <c r="D7616" s="190"/>
      <c r="E7616" s="84"/>
      <c r="F7616" s="84"/>
      <c r="G7616" s="195"/>
      <c r="H7616" s="187"/>
    </row>
    <row r="7617" spans="1:9" s="65" customFormat="1">
      <c r="A7617" s="91"/>
      <c r="B7617" s="91"/>
      <c r="C7617" s="91"/>
      <c r="D7617" s="91"/>
      <c r="E7617" s="91"/>
      <c r="G7617" s="196"/>
      <c r="H7617" s="187"/>
    </row>
    <row r="7618" spans="1:9" s="65" customFormat="1">
      <c r="A7618" s="120"/>
      <c r="B7618" s="73"/>
      <c r="C7618" s="73"/>
      <c r="D7618" s="73"/>
      <c r="E7618" s="73"/>
      <c r="G7618" s="182"/>
      <c r="H7618" s="187"/>
    </row>
    <row r="7619" spans="1:9" s="65" customFormat="1">
      <c r="A7619" s="183"/>
      <c r="B7619" s="141"/>
      <c r="C7619" s="141"/>
      <c r="D7619" s="141"/>
      <c r="E7619" s="141"/>
      <c r="F7619" s="141"/>
      <c r="G7619" s="194"/>
      <c r="H7619" s="187"/>
    </row>
    <row r="7620" spans="1:9" s="65" customFormat="1">
      <c r="A7620" s="146"/>
      <c r="B7620" s="83"/>
      <c r="C7620" s="148"/>
      <c r="D7620" s="84"/>
      <c r="E7620" s="84"/>
      <c r="F7620" s="84"/>
      <c r="G7620" s="195"/>
      <c r="H7620" s="187"/>
    </row>
    <row r="7621" spans="1:9" s="65" customFormat="1">
      <c r="A7621" s="91"/>
      <c r="B7621" s="91"/>
      <c r="C7621" s="91"/>
      <c r="D7621" s="91"/>
      <c r="E7621" s="91"/>
      <c r="G7621" s="196"/>
      <c r="H7621" s="187"/>
    </row>
    <row r="7622" spans="1:9" s="65" customFormat="1">
      <c r="A7622" s="120"/>
      <c r="B7622" s="73"/>
      <c r="C7622" s="73"/>
      <c r="D7622" s="73"/>
      <c r="E7622" s="73"/>
      <c r="G7622" s="182"/>
      <c r="H7622" s="187"/>
    </row>
    <row r="7623" spans="1:9" s="65" customFormat="1">
      <c r="A7623" s="183"/>
      <c r="B7623" s="141"/>
      <c r="C7623" s="141"/>
      <c r="D7623" s="141"/>
      <c r="E7623" s="141"/>
      <c r="F7623" s="141"/>
      <c r="G7623" s="194"/>
      <c r="H7623" s="187"/>
    </row>
    <row r="7624" spans="1:9" s="65" customFormat="1">
      <c r="A7624" s="142"/>
      <c r="B7624" s="143"/>
      <c r="C7624" s="143"/>
      <c r="D7624" s="143"/>
      <c r="E7624" s="143"/>
      <c r="F7624" s="84"/>
      <c r="G7624" s="195"/>
      <c r="H7624" s="187"/>
    </row>
    <row r="7625" spans="1:9" s="65" customFormat="1">
      <c r="A7625" s="123"/>
      <c r="B7625" s="95"/>
      <c r="C7625" s="95"/>
      <c r="D7625" s="95"/>
      <c r="E7625" s="95"/>
      <c r="G7625" s="196"/>
      <c r="H7625" s="182"/>
    </row>
    <row r="7626" spans="1:9" s="65" customFormat="1">
      <c r="A7626" s="123"/>
      <c r="B7626" s="95"/>
      <c r="C7626" s="95"/>
      <c r="D7626" s="95"/>
      <c r="E7626" s="95"/>
      <c r="G7626" s="182"/>
      <c r="H7626" s="193"/>
    </row>
    <row r="7627" spans="1:9" s="65" customFormat="1">
      <c r="B7627" s="97"/>
      <c r="C7627" s="98"/>
      <c r="D7627" s="98"/>
      <c r="E7627" s="98"/>
      <c r="G7627" s="192"/>
      <c r="H7627" s="193"/>
    </row>
    <row r="7628" spans="1:9" s="65" customFormat="1">
      <c r="B7628" s="97"/>
      <c r="C7628" s="98"/>
      <c r="D7628" s="98"/>
      <c r="E7628" s="98"/>
      <c r="G7628" s="192"/>
      <c r="H7628" s="177"/>
      <c r="I7628" s="178"/>
    </row>
    <row r="7629" spans="1:9" s="65" customFormat="1">
      <c r="A7629" s="654"/>
      <c r="B7629" s="177"/>
      <c r="C7629" s="177"/>
      <c r="D7629" s="177"/>
      <c r="E7629" s="177"/>
      <c r="F7629" s="177"/>
      <c r="G7629" s="177"/>
      <c r="H7629" s="177"/>
      <c r="I7629" s="179"/>
    </row>
    <row r="7630" spans="1:9" s="65" customFormat="1">
      <c r="A7630" s="654"/>
      <c r="B7630" s="177"/>
      <c r="C7630" s="177"/>
      <c r="D7630" s="177"/>
      <c r="E7630" s="177"/>
      <c r="F7630" s="177"/>
      <c r="G7630" s="177"/>
      <c r="H7630" s="180"/>
    </row>
    <row r="7631" spans="1:9" s="65" customFormat="1">
      <c r="A7631" s="69"/>
      <c r="B7631" s="69"/>
      <c r="C7631" s="69"/>
      <c r="D7631" s="69"/>
      <c r="E7631" s="69"/>
      <c r="G7631" s="180"/>
      <c r="H7631" s="180"/>
    </row>
    <row r="7632" spans="1:9" s="65" customFormat="1">
      <c r="A7632" s="120"/>
      <c r="B7632" s="73"/>
      <c r="C7632" s="73"/>
      <c r="D7632" s="73"/>
      <c r="E7632" s="73"/>
      <c r="F7632" s="181"/>
      <c r="G7632" s="182"/>
      <c r="H7632" s="182"/>
    </row>
    <row r="7633" spans="1:9" s="65" customFormat="1">
      <c r="A7633" s="183"/>
      <c r="B7633" s="141"/>
      <c r="C7633" s="141"/>
      <c r="D7633" s="141"/>
      <c r="E7633" s="141"/>
      <c r="F7633" s="141"/>
      <c r="G7633" s="194"/>
      <c r="H7633" s="182"/>
    </row>
    <row r="7634" spans="1:9" s="65" customFormat="1">
      <c r="A7634" s="150"/>
      <c r="B7634" s="83"/>
      <c r="C7634" s="148"/>
      <c r="D7634" s="84"/>
      <c r="E7634" s="84"/>
      <c r="F7634" s="84"/>
      <c r="G7634" s="195"/>
      <c r="H7634" s="187"/>
    </row>
    <row r="7635" spans="1:9" s="65" customFormat="1">
      <c r="A7635" s="84"/>
      <c r="B7635" s="83"/>
      <c r="C7635" s="84"/>
      <c r="D7635" s="84"/>
      <c r="E7635" s="84"/>
      <c r="G7635" s="196"/>
      <c r="H7635" s="187"/>
    </row>
    <row r="7636" spans="1:9" s="65" customFormat="1">
      <c r="A7636" s="120"/>
      <c r="B7636" s="73"/>
      <c r="C7636" s="73"/>
      <c r="D7636" s="73"/>
      <c r="E7636" s="73"/>
      <c r="G7636" s="182"/>
      <c r="H7636" s="187"/>
    </row>
    <row r="7637" spans="1:9" s="65" customFormat="1">
      <c r="A7637" s="183"/>
      <c r="B7637" s="141"/>
      <c r="C7637" s="141"/>
      <c r="D7637" s="141"/>
      <c r="E7637" s="141"/>
      <c r="F7637" s="141"/>
      <c r="G7637" s="194"/>
      <c r="H7637" s="187"/>
      <c r="I7637" s="189"/>
    </row>
    <row r="7638" spans="1:9" s="65" customFormat="1">
      <c r="A7638" s="197"/>
      <c r="B7638" s="83"/>
      <c r="C7638" s="148"/>
      <c r="D7638" s="190"/>
      <c r="E7638" s="84"/>
      <c r="F7638" s="84"/>
      <c r="G7638" s="195"/>
      <c r="H7638" s="187"/>
      <c r="I7638" s="189"/>
    </row>
    <row r="7639" spans="1:9" s="65" customFormat="1">
      <c r="A7639" s="150"/>
      <c r="B7639" s="83"/>
      <c r="C7639" s="148"/>
      <c r="D7639" s="84"/>
      <c r="E7639" s="84"/>
      <c r="F7639" s="84"/>
      <c r="G7639" s="195"/>
      <c r="H7639" s="187"/>
    </row>
    <row r="7640" spans="1:9" s="65" customFormat="1">
      <c r="A7640" s="150"/>
      <c r="B7640" s="83"/>
      <c r="C7640" s="148"/>
      <c r="D7640" s="84"/>
      <c r="E7640" s="84"/>
      <c r="F7640" s="84"/>
      <c r="G7640" s="195"/>
      <c r="H7640" s="187"/>
    </row>
    <row r="7641" spans="1:9" s="65" customFormat="1">
      <c r="A7641" s="150"/>
      <c r="B7641" s="83"/>
      <c r="C7641" s="148"/>
      <c r="D7641" s="84"/>
      <c r="E7641" s="84"/>
      <c r="F7641" s="84"/>
      <c r="G7641" s="195"/>
      <c r="H7641" s="187"/>
    </row>
    <row r="7642" spans="1:9" s="65" customFormat="1">
      <c r="A7642" s="91"/>
      <c r="B7642" s="91"/>
      <c r="C7642" s="91"/>
      <c r="D7642" s="91"/>
      <c r="E7642" s="91"/>
      <c r="G7642" s="196"/>
      <c r="H7642" s="187"/>
    </row>
    <row r="7643" spans="1:9" s="65" customFormat="1">
      <c r="A7643" s="120"/>
      <c r="B7643" s="73"/>
      <c r="C7643" s="73"/>
      <c r="D7643" s="73"/>
      <c r="E7643" s="73"/>
      <c r="G7643" s="182"/>
      <c r="H7643" s="187"/>
    </row>
    <row r="7644" spans="1:9" s="65" customFormat="1">
      <c r="A7644" s="183"/>
      <c r="B7644" s="141"/>
      <c r="C7644" s="141"/>
      <c r="D7644" s="141"/>
      <c r="E7644" s="141"/>
      <c r="F7644" s="141"/>
      <c r="G7644" s="194"/>
      <c r="H7644" s="187"/>
    </row>
    <row r="7645" spans="1:9" s="65" customFormat="1">
      <c r="A7645" s="146"/>
      <c r="B7645" s="83"/>
      <c r="C7645" s="148"/>
      <c r="D7645" s="84"/>
      <c r="E7645" s="84"/>
      <c r="F7645" s="84"/>
      <c r="G7645" s="195"/>
      <c r="H7645" s="187"/>
    </row>
    <row r="7646" spans="1:9" s="65" customFormat="1">
      <c r="A7646" s="91"/>
      <c r="B7646" s="91"/>
      <c r="C7646" s="91"/>
      <c r="D7646" s="91"/>
      <c r="E7646" s="91"/>
      <c r="G7646" s="196"/>
      <c r="H7646" s="187"/>
    </row>
    <row r="7647" spans="1:9" s="65" customFormat="1">
      <c r="A7647" s="120"/>
      <c r="B7647" s="73"/>
      <c r="C7647" s="73"/>
      <c r="D7647" s="73"/>
      <c r="E7647" s="73"/>
      <c r="G7647" s="182"/>
      <c r="H7647" s="187"/>
    </row>
    <row r="7648" spans="1:9" s="65" customFormat="1">
      <c r="A7648" s="183"/>
      <c r="B7648" s="141"/>
      <c r="C7648" s="141"/>
      <c r="D7648" s="141"/>
      <c r="E7648" s="141"/>
      <c r="F7648" s="141"/>
      <c r="G7648" s="194"/>
      <c r="H7648" s="187"/>
    </row>
    <row r="7649" spans="1:9" s="65" customFormat="1">
      <c r="A7649" s="142"/>
      <c r="B7649" s="143"/>
      <c r="C7649" s="143"/>
      <c r="D7649" s="143"/>
      <c r="E7649" s="143"/>
      <c r="F7649" s="84"/>
      <c r="G7649" s="195"/>
      <c r="H7649" s="187"/>
    </row>
    <row r="7650" spans="1:9" s="65" customFormat="1">
      <c r="A7650" s="123"/>
      <c r="B7650" s="95"/>
      <c r="C7650" s="95"/>
      <c r="D7650" s="95"/>
      <c r="E7650" s="95"/>
      <c r="G7650" s="196"/>
      <c r="H7650" s="182"/>
    </row>
    <row r="7651" spans="1:9" s="65" customFormat="1">
      <c r="A7651" s="123"/>
      <c r="B7651" s="95"/>
      <c r="C7651" s="95"/>
      <c r="D7651" s="95"/>
      <c r="E7651" s="95"/>
      <c r="G7651" s="182"/>
      <c r="H7651" s="193"/>
    </row>
    <row r="7652" spans="1:9" s="65" customFormat="1">
      <c r="B7652" s="97"/>
      <c r="C7652" s="98"/>
      <c r="D7652" s="98"/>
      <c r="E7652" s="98"/>
      <c r="G7652" s="192"/>
      <c r="H7652" s="193"/>
    </row>
    <row r="7653" spans="1:9" s="65" customFormat="1">
      <c r="B7653" s="97"/>
      <c r="C7653" s="98"/>
      <c r="D7653" s="98"/>
      <c r="E7653" s="98"/>
      <c r="G7653" s="192"/>
      <c r="H7653" s="177"/>
      <c r="I7653" s="178"/>
    </row>
    <row r="7654" spans="1:9" s="65" customFormat="1">
      <c r="A7654" s="654"/>
      <c r="B7654" s="177"/>
      <c r="C7654" s="177"/>
      <c r="D7654" s="177"/>
      <c r="E7654" s="177"/>
      <c r="F7654" s="177"/>
      <c r="G7654" s="177"/>
      <c r="H7654" s="177"/>
      <c r="I7654" s="179"/>
    </row>
    <row r="7655" spans="1:9" s="65" customFormat="1">
      <c r="A7655" s="654"/>
      <c r="B7655" s="177"/>
      <c r="C7655" s="177"/>
      <c r="D7655" s="177"/>
      <c r="E7655" s="177"/>
      <c r="F7655" s="177"/>
      <c r="G7655" s="177"/>
      <c r="H7655" s="180"/>
    </row>
    <row r="7656" spans="1:9" s="65" customFormat="1">
      <c r="A7656" s="69"/>
      <c r="B7656" s="69"/>
      <c r="C7656" s="69"/>
      <c r="D7656" s="69"/>
      <c r="E7656" s="69"/>
      <c r="G7656" s="180"/>
      <c r="H7656" s="180"/>
    </row>
    <row r="7657" spans="1:9" s="65" customFormat="1">
      <c r="A7657" s="120"/>
      <c r="B7657" s="73"/>
      <c r="C7657" s="73"/>
      <c r="D7657" s="73"/>
      <c r="E7657" s="73"/>
      <c r="F7657" s="181"/>
      <c r="G7657" s="182"/>
      <c r="H7657" s="182"/>
    </row>
    <row r="7658" spans="1:9" s="65" customFormat="1">
      <c r="A7658" s="183"/>
      <c r="B7658" s="141"/>
      <c r="C7658" s="141"/>
      <c r="D7658" s="141"/>
      <c r="E7658" s="141"/>
      <c r="F7658" s="141"/>
      <c r="G7658" s="194"/>
      <c r="H7658" s="182"/>
    </row>
    <row r="7659" spans="1:9" s="65" customFormat="1">
      <c r="A7659" s="150"/>
      <c r="B7659" s="83"/>
      <c r="C7659" s="148"/>
      <c r="D7659" s="84"/>
      <c r="E7659" s="84"/>
      <c r="F7659" s="84"/>
      <c r="G7659" s="195"/>
      <c r="H7659" s="187"/>
    </row>
    <row r="7660" spans="1:9" s="65" customFormat="1">
      <c r="A7660" s="84"/>
      <c r="B7660" s="83"/>
      <c r="C7660" s="84"/>
      <c r="D7660" s="84"/>
      <c r="E7660" s="84"/>
      <c r="G7660" s="196"/>
      <c r="H7660" s="187"/>
    </row>
    <row r="7661" spans="1:9" s="65" customFormat="1">
      <c r="A7661" s="120"/>
      <c r="B7661" s="73"/>
      <c r="C7661" s="73"/>
      <c r="D7661" s="73"/>
      <c r="E7661" s="73"/>
      <c r="G7661" s="182"/>
      <c r="H7661" s="187"/>
    </row>
    <row r="7662" spans="1:9" s="65" customFormat="1">
      <c r="A7662" s="183"/>
      <c r="B7662" s="141"/>
      <c r="C7662" s="141"/>
      <c r="D7662" s="141"/>
      <c r="E7662" s="141"/>
      <c r="F7662" s="141"/>
      <c r="G7662" s="194"/>
      <c r="H7662" s="187"/>
      <c r="I7662" s="189"/>
    </row>
    <row r="7663" spans="1:9" s="65" customFormat="1">
      <c r="A7663" s="197"/>
      <c r="B7663" s="83"/>
      <c r="C7663" s="148"/>
      <c r="D7663" s="190"/>
      <c r="E7663" s="84"/>
      <c r="F7663" s="84"/>
      <c r="G7663" s="195"/>
      <c r="H7663" s="187"/>
      <c r="I7663" s="189"/>
    </row>
    <row r="7664" spans="1:9" s="65" customFormat="1">
      <c r="A7664" s="150"/>
      <c r="B7664" s="83"/>
      <c r="C7664" s="148"/>
      <c r="D7664" s="84"/>
      <c r="E7664" s="84"/>
      <c r="F7664" s="84"/>
      <c r="G7664" s="195"/>
      <c r="H7664" s="187"/>
    </row>
    <row r="7665" spans="1:9" s="65" customFormat="1">
      <c r="A7665" s="150"/>
      <c r="B7665" s="83"/>
      <c r="C7665" s="148"/>
      <c r="D7665" s="84"/>
      <c r="E7665" s="84"/>
      <c r="F7665" s="84"/>
      <c r="G7665" s="195"/>
      <c r="H7665" s="187"/>
    </row>
    <row r="7666" spans="1:9" s="65" customFormat="1">
      <c r="A7666" s="150"/>
      <c r="B7666" s="83"/>
      <c r="C7666" s="148"/>
      <c r="D7666" s="84"/>
      <c r="E7666" s="84"/>
      <c r="F7666" s="84"/>
      <c r="G7666" s="195"/>
      <c r="H7666" s="187"/>
    </row>
    <row r="7667" spans="1:9" s="65" customFormat="1">
      <c r="A7667" s="91"/>
      <c r="B7667" s="91"/>
      <c r="C7667" s="91"/>
      <c r="D7667" s="91"/>
      <c r="E7667" s="91"/>
      <c r="G7667" s="196"/>
      <c r="H7667" s="187"/>
    </row>
    <row r="7668" spans="1:9" s="65" customFormat="1">
      <c r="A7668" s="120"/>
      <c r="B7668" s="73"/>
      <c r="C7668" s="73"/>
      <c r="D7668" s="73"/>
      <c r="E7668" s="73"/>
      <c r="G7668" s="182"/>
      <c r="H7668" s="187"/>
    </row>
    <row r="7669" spans="1:9" s="65" customFormat="1">
      <c r="A7669" s="183"/>
      <c r="B7669" s="141"/>
      <c r="C7669" s="141"/>
      <c r="D7669" s="141"/>
      <c r="E7669" s="141"/>
      <c r="F7669" s="141"/>
      <c r="G7669" s="194"/>
      <c r="H7669" s="187"/>
    </row>
    <row r="7670" spans="1:9" s="65" customFormat="1">
      <c r="A7670" s="146"/>
      <c r="B7670" s="83"/>
      <c r="C7670" s="148"/>
      <c r="D7670" s="84"/>
      <c r="E7670" s="84"/>
      <c r="F7670" s="84"/>
      <c r="G7670" s="195"/>
      <c r="H7670" s="187"/>
    </row>
    <row r="7671" spans="1:9" s="65" customFormat="1">
      <c r="A7671" s="91"/>
      <c r="B7671" s="91"/>
      <c r="C7671" s="91"/>
      <c r="D7671" s="91"/>
      <c r="E7671" s="91"/>
      <c r="G7671" s="196"/>
      <c r="H7671" s="187"/>
    </row>
    <row r="7672" spans="1:9" s="65" customFormat="1">
      <c r="A7672" s="120"/>
      <c r="B7672" s="73"/>
      <c r="C7672" s="73"/>
      <c r="D7672" s="73"/>
      <c r="E7672" s="73"/>
      <c r="G7672" s="182"/>
      <c r="H7672" s="187"/>
    </row>
    <row r="7673" spans="1:9" s="65" customFormat="1">
      <c r="A7673" s="183"/>
      <c r="B7673" s="141"/>
      <c r="C7673" s="141"/>
      <c r="D7673" s="141"/>
      <c r="E7673" s="141"/>
      <c r="F7673" s="141"/>
      <c r="G7673" s="194"/>
      <c r="H7673" s="187"/>
    </row>
    <row r="7674" spans="1:9" s="65" customFormat="1">
      <c r="A7674" s="142"/>
      <c r="B7674" s="143"/>
      <c r="C7674" s="143"/>
      <c r="D7674" s="143"/>
      <c r="E7674" s="143"/>
      <c r="F7674" s="84"/>
      <c r="G7674" s="195"/>
      <c r="H7674" s="187"/>
    </row>
    <row r="7675" spans="1:9" s="65" customFormat="1">
      <c r="A7675" s="123"/>
      <c r="B7675" s="95"/>
      <c r="C7675" s="95"/>
      <c r="D7675" s="95"/>
      <c r="E7675" s="95"/>
      <c r="G7675" s="196"/>
      <c r="H7675" s="182"/>
    </row>
    <row r="7676" spans="1:9" s="65" customFormat="1">
      <c r="A7676" s="123"/>
      <c r="B7676" s="95"/>
      <c r="C7676" s="95"/>
      <c r="D7676" s="95"/>
      <c r="E7676" s="95"/>
      <c r="G7676" s="182"/>
      <c r="H7676" s="193"/>
    </row>
    <row r="7677" spans="1:9" s="65" customFormat="1">
      <c r="B7677" s="97"/>
      <c r="C7677" s="98"/>
      <c r="D7677" s="98"/>
      <c r="E7677" s="98"/>
      <c r="G7677" s="192"/>
      <c r="H7677" s="193"/>
    </row>
    <row r="7678" spans="1:9" s="65" customFormat="1">
      <c r="B7678" s="97"/>
      <c r="C7678" s="98"/>
      <c r="D7678" s="98"/>
      <c r="E7678" s="98"/>
      <c r="G7678" s="192"/>
      <c r="H7678" s="177"/>
      <c r="I7678" s="178"/>
    </row>
    <row r="7679" spans="1:9" s="65" customFormat="1">
      <c r="A7679" s="654"/>
      <c r="B7679" s="177"/>
      <c r="C7679" s="177"/>
      <c r="D7679" s="177"/>
      <c r="E7679" s="177"/>
      <c r="F7679" s="177"/>
      <c r="G7679" s="177"/>
      <c r="H7679" s="177"/>
      <c r="I7679" s="179"/>
    </row>
    <row r="7680" spans="1:9" s="65" customFormat="1">
      <c r="A7680" s="654"/>
      <c r="B7680" s="177"/>
      <c r="C7680" s="177"/>
      <c r="D7680" s="177"/>
      <c r="E7680" s="177"/>
      <c r="F7680" s="177"/>
      <c r="G7680" s="177"/>
      <c r="H7680" s="180"/>
    </row>
    <row r="7681" spans="1:9" s="65" customFormat="1">
      <c r="A7681" s="69"/>
      <c r="B7681" s="69"/>
      <c r="C7681" s="69"/>
      <c r="D7681" s="69"/>
      <c r="E7681" s="69"/>
      <c r="G7681" s="180"/>
      <c r="H7681" s="180"/>
    </row>
    <row r="7682" spans="1:9" s="65" customFormat="1">
      <c r="A7682" s="120"/>
      <c r="B7682" s="73"/>
      <c r="C7682" s="73"/>
      <c r="D7682" s="73"/>
      <c r="E7682" s="73"/>
      <c r="F7682" s="181"/>
      <c r="G7682" s="182"/>
      <c r="H7682" s="182"/>
    </row>
    <row r="7683" spans="1:9" s="65" customFormat="1">
      <c r="A7683" s="183"/>
      <c r="B7683" s="141"/>
      <c r="C7683" s="141"/>
      <c r="D7683" s="141"/>
      <c r="E7683" s="141"/>
      <c r="F7683" s="141"/>
      <c r="G7683" s="194"/>
      <c r="H7683" s="182"/>
    </row>
    <row r="7684" spans="1:9" s="65" customFormat="1">
      <c r="A7684" s="150"/>
      <c r="B7684" s="83"/>
      <c r="C7684" s="148"/>
      <c r="D7684" s="84"/>
      <c r="E7684" s="84"/>
      <c r="F7684" s="84"/>
      <c r="G7684" s="195"/>
      <c r="H7684" s="187"/>
    </row>
    <row r="7685" spans="1:9" s="65" customFormat="1">
      <c r="A7685" s="84"/>
      <c r="B7685" s="83"/>
      <c r="C7685" s="84"/>
      <c r="D7685" s="84"/>
      <c r="E7685" s="84"/>
      <c r="G7685" s="196"/>
      <c r="H7685" s="187"/>
    </row>
    <row r="7686" spans="1:9" s="65" customFormat="1">
      <c r="A7686" s="120"/>
      <c r="B7686" s="73"/>
      <c r="C7686" s="73"/>
      <c r="D7686" s="73"/>
      <c r="E7686" s="73"/>
      <c r="G7686" s="182"/>
      <c r="H7686" s="187"/>
    </row>
    <row r="7687" spans="1:9" s="65" customFormat="1">
      <c r="A7687" s="183"/>
      <c r="B7687" s="141"/>
      <c r="C7687" s="141"/>
      <c r="D7687" s="141"/>
      <c r="E7687" s="141"/>
      <c r="F7687" s="141"/>
      <c r="G7687" s="194"/>
      <c r="H7687" s="187"/>
      <c r="I7687" s="189"/>
    </row>
    <row r="7688" spans="1:9" s="65" customFormat="1">
      <c r="A7688" s="197"/>
      <c r="B7688" s="83"/>
      <c r="C7688" s="148"/>
      <c r="D7688" s="190"/>
      <c r="E7688" s="84"/>
      <c r="F7688" s="84"/>
      <c r="G7688" s="195"/>
      <c r="H7688" s="187"/>
      <c r="I7688" s="189"/>
    </row>
    <row r="7689" spans="1:9" s="65" customFormat="1">
      <c r="A7689" s="150"/>
      <c r="B7689" s="83"/>
      <c r="C7689" s="148"/>
      <c r="D7689" s="84"/>
      <c r="E7689" s="84"/>
      <c r="F7689" s="84"/>
      <c r="G7689" s="195"/>
      <c r="H7689" s="187"/>
    </row>
    <row r="7690" spans="1:9" s="65" customFormat="1">
      <c r="A7690" s="91"/>
      <c r="B7690" s="91"/>
      <c r="C7690" s="91"/>
      <c r="D7690" s="91"/>
      <c r="E7690" s="91"/>
      <c r="G7690" s="196"/>
      <c r="H7690" s="187"/>
    </row>
    <row r="7691" spans="1:9" s="65" customFormat="1">
      <c r="A7691" s="120"/>
      <c r="B7691" s="73"/>
      <c r="C7691" s="73"/>
      <c r="D7691" s="73"/>
      <c r="E7691" s="73"/>
      <c r="G7691" s="182"/>
      <c r="H7691" s="187"/>
    </row>
    <row r="7692" spans="1:9" s="65" customFormat="1">
      <c r="A7692" s="183"/>
      <c r="B7692" s="141"/>
      <c r="C7692" s="141"/>
      <c r="D7692" s="141"/>
      <c r="E7692" s="141"/>
      <c r="F7692" s="141"/>
      <c r="G7692" s="194"/>
      <c r="H7692" s="187"/>
    </row>
    <row r="7693" spans="1:9" s="65" customFormat="1">
      <c r="A7693" s="146"/>
      <c r="B7693" s="83"/>
      <c r="C7693" s="148"/>
      <c r="D7693" s="84"/>
      <c r="E7693" s="84"/>
      <c r="F7693" s="84"/>
      <c r="G7693" s="195"/>
      <c r="H7693" s="187"/>
    </row>
    <row r="7694" spans="1:9" s="65" customFormat="1">
      <c r="A7694" s="91"/>
      <c r="B7694" s="91"/>
      <c r="C7694" s="91"/>
      <c r="D7694" s="91"/>
      <c r="E7694" s="91"/>
      <c r="G7694" s="196"/>
      <c r="H7694" s="187"/>
    </row>
    <row r="7695" spans="1:9" s="65" customFormat="1">
      <c r="A7695" s="120"/>
      <c r="B7695" s="73"/>
      <c r="C7695" s="73"/>
      <c r="D7695" s="73"/>
      <c r="E7695" s="73"/>
      <c r="G7695" s="182"/>
      <c r="H7695" s="187"/>
    </row>
    <row r="7696" spans="1:9" s="65" customFormat="1">
      <c r="A7696" s="183"/>
      <c r="B7696" s="141"/>
      <c r="C7696" s="141"/>
      <c r="D7696" s="141"/>
      <c r="E7696" s="141"/>
      <c r="F7696" s="141"/>
      <c r="G7696" s="194"/>
      <c r="H7696" s="187"/>
    </row>
    <row r="7697" spans="1:9" s="65" customFormat="1">
      <c r="A7697" s="142"/>
      <c r="B7697" s="143"/>
      <c r="C7697" s="143"/>
      <c r="D7697" s="143"/>
      <c r="E7697" s="143"/>
      <c r="F7697" s="84"/>
      <c r="G7697" s="195"/>
      <c r="H7697" s="187"/>
    </row>
    <row r="7698" spans="1:9" s="65" customFormat="1">
      <c r="A7698" s="123"/>
      <c r="B7698" s="95"/>
      <c r="C7698" s="95"/>
      <c r="D7698" s="95"/>
      <c r="E7698" s="95"/>
      <c r="G7698" s="196"/>
      <c r="H7698" s="182"/>
    </row>
    <row r="7699" spans="1:9" s="65" customFormat="1">
      <c r="A7699" s="123"/>
      <c r="B7699" s="95"/>
      <c r="C7699" s="95"/>
      <c r="D7699" s="95"/>
      <c r="E7699" s="95"/>
      <c r="G7699" s="182"/>
      <c r="H7699" s="193"/>
    </row>
    <row r="7700" spans="1:9" s="65" customFormat="1">
      <c r="B7700" s="97"/>
      <c r="C7700" s="98"/>
      <c r="D7700" s="98"/>
      <c r="E7700" s="98"/>
      <c r="G7700" s="192"/>
      <c r="H7700" s="193"/>
    </row>
    <row r="7701" spans="1:9" s="65" customFormat="1">
      <c r="B7701" s="97"/>
      <c r="C7701" s="98"/>
      <c r="D7701" s="98"/>
      <c r="E7701" s="98"/>
      <c r="G7701" s="192"/>
      <c r="H7701" s="177"/>
      <c r="I7701" s="178"/>
    </row>
    <row r="7702" spans="1:9" s="65" customFormat="1">
      <c r="A7702" s="654"/>
      <c r="B7702" s="177"/>
      <c r="C7702" s="177"/>
      <c r="D7702" s="177"/>
      <c r="E7702" s="177"/>
      <c r="F7702" s="177"/>
      <c r="G7702" s="177"/>
      <c r="H7702" s="177"/>
      <c r="I7702" s="179"/>
    </row>
    <row r="7703" spans="1:9" s="65" customFormat="1">
      <c r="A7703" s="654"/>
      <c r="B7703" s="177"/>
      <c r="C7703" s="177"/>
      <c r="D7703" s="177"/>
      <c r="E7703" s="177"/>
      <c r="F7703" s="177"/>
      <c r="G7703" s="177"/>
      <c r="H7703" s="180"/>
    </row>
    <row r="7704" spans="1:9" s="65" customFormat="1">
      <c r="A7704" s="69"/>
      <c r="B7704" s="69"/>
      <c r="C7704" s="69"/>
      <c r="D7704" s="69"/>
      <c r="E7704" s="69"/>
      <c r="G7704" s="180"/>
      <c r="H7704" s="180"/>
    </row>
    <row r="7705" spans="1:9" s="65" customFormat="1">
      <c r="A7705" s="120"/>
      <c r="B7705" s="73"/>
      <c r="C7705" s="73"/>
      <c r="D7705" s="73"/>
      <c r="E7705" s="73"/>
      <c r="F7705" s="181"/>
      <c r="G7705" s="182"/>
      <c r="H7705" s="182"/>
    </row>
    <row r="7706" spans="1:9" s="65" customFormat="1">
      <c r="A7706" s="183"/>
      <c r="B7706" s="141"/>
      <c r="C7706" s="141"/>
      <c r="D7706" s="141"/>
      <c r="E7706" s="141"/>
      <c r="F7706" s="141"/>
      <c r="G7706" s="194"/>
      <c r="H7706" s="182"/>
    </row>
    <row r="7707" spans="1:9" s="65" customFormat="1">
      <c r="A7707" s="150"/>
      <c r="B7707" s="83"/>
      <c r="C7707" s="148"/>
      <c r="D7707" s="84"/>
      <c r="E7707" s="84"/>
      <c r="F7707" s="84"/>
      <c r="G7707" s="195"/>
      <c r="H7707" s="187"/>
    </row>
    <row r="7708" spans="1:9" s="65" customFormat="1">
      <c r="A7708" s="84"/>
      <c r="B7708" s="83"/>
      <c r="C7708" s="84"/>
      <c r="D7708" s="84"/>
      <c r="E7708" s="84"/>
      <c r="G7708" s="196"/>
      <c r="H7708" s="187"/>
    </row>
    <row r="7709" spans="1:9" s="65" customFormat="1">
      <c r="A7709" s="120"/>
      <c r="B7709" s="73"/>
      <c r="C7709" s="73"/>
      <c r="D7709" s="73"/>
      <c r="E7709" s="73"/>
      <c r="G7709" s="182"/>
      <c r="H7709" s="187"/>
    </row>
    <row r="7710" spans="1:9" s="65" customFormat="1">
      <c r="A7710" s="183"/>
      <c r="B7710" s="141"/>
      <c r="C7710" s="141"/>
      <c r="D7710" s="141"/>
      <c r="E7710" s="141"/>
      <c r="F7710" s="141"/>
      <c r="G7710" s="194"/>
      <c r="H7710" s="187"/>
      <c r="I7710" s="189"/>
    </row>
    <row r="7711" spans="1:9" s="65" customFormat="1">
      <c r="A7711" s="197"/>
      <c r="B7711" s="83"/>
      <c r="C7711" s="148"/>
      <c r="D7711" s="190"/>
      <c r="E7711" s="84"/>
      <c r="F7711" s="84"/>
      <c r="G7711" s="195"/>
      <c r="H7711" s="187"/>
      <c r="I7711" s="189"/>
    </row>
    <row r="7712" spans="1:9" s="65" customFormat="1">
      <c r="A7712" s="150"/>
      <c r="B7712" s="83"/>
      <c r="C7712" s="148"/>
      <c r="D7712" s="84"/>
      <c r="E7712" s="84"/>
      <c r="F7712" s="84"/>
      <c r="G7712" s="195"/>
      <c r="H7712" s="187"/>
    </row>
    <row r="7713" spans="1:9" s="65" customFormat="1">
      <c r="A7713" s="91"/>
      <c r="B7713" s="91"/>
      <c r="C7713" s="91"/>
      <c r="D7713" s="91"/>
      <c r="E7713" s="91"/>
      <c r="G7713" s="196"/>
      <c r="H7713" s="187"/>
    </row>
    <row r="7714" spans="1:9" s="65" customFormat="1">
      <c r="A7714" s="120"/>
      <c r="B7714" s="73"/>
      <c r="C7714" s="73"/>
      <c r="D7714" s="73"/>
      <c r="E7714" s="73"/>
      <c r="G7714" s="182"/>
      <c r="H7714" s="187"/>
    </row>
    <row r="7715" spans="1:9" s="65" customFormat="1">
      <c r="A7715" s="183"/>
      <c r="B7715" s="141"/>
      <c r="C7715" s="141"/>
      <c r="D7715" s="141"/>
      <c r="E7715" s="141"/>
      <c r="F7715" s="141"/>
      <c r="G7715" s="194"/>
      <c r="H7715" s="187"/>
    </row>
    <row r="7716" spans="1:9" s="65" customFormat="1">
      <c r="A7716" s="146"/>
      <c r="B7716" s="83"/>
      <c r="C7716" s="148"/>
      <c r="D7716" s="84"/>
      <c r="E7716" s="84"/>
      <c r="F7716" s="84"/>
      <c r="G7716" s="195"/>
      <c r="H7716" s="187"/>
    </row>
    <row r="7717" spans="1:9" s="65" customFormat="1">
      <c r="A7717" s="91"/>
      <c r="B7717" s="91"/>
      <c r="C7717" s="91"/>
      <c r="D7717" s="91"/>
      <c r="E7717" s="91"/>
      <c r="G7717" s="196"/>
      <c r="H7717" s="187"/>
    </row>
    <row r="7718" spans="1:9" s="65" customFormat="1">
      <c r="A7718" s="120"/>
      <c r="B7718" s="73"/>
      <c r="C7718" s="73"/>
      <c r="D7718" s="73"/>
      <c r="E7718" s="73"/>
      <c r="G7718" s="182"/>
      <c r="H7718" s="187"/>
    </row>
    <row r="7719" spans="1:9" s="65" customFormat="1">
      <c r="A7719" s="183"/>
      <c r="B7719" s="141"/>
      <c r="C7719" s="141"/>
      <c r="D7719" s="141"/>
      <c r="E7719" s="141"/>
      <c r="F7719" s="141"/>
      <c r="G7719" s="194"/>
      <c r="H7719" s="187"/>
    </row>
    <row r="7720" spans="1:9" s="65" customFormat="1">
      <c r="A7720" s="142"/>
      <c r="B7720" s="143"/>
      <c r="C7720" s="143"/>
      <c r="D7720" s="143"/>
      <c r="E7720" s="143"/>
      <c r="F7720" s="84"/>
      <c r="G7720" s="195"/>
      <c r="H7720" s="187"/>
    </row>
    <row r="7721" spans="1:9" s="65" customFormat="1">
      <c r="A7721" s="123"/>
      <c r="B7721" s="95"/>
      <c r="C7721" s="95"/>
      <c r="D7721" s="95"/>
      <c r="E7721" s="95"/>
      <c r="G7721" s="196"/>
      <c r="H7721" s="182"/>
    </row>
    <row r="7722" spans="1:9" s="65" customFormat="1">
      <c r="A7722" s="123"/>
      <c r="B7722" s="95"/>
      <c r="C7722" s="95"/>
      <c r="D7722" s="95"/>
      <c r="E7722" s="95"/>
      <c r="G7722" s="182"/>
      <c r="H7722" s="193"/>
    </row>
    <row r="7723" spans="1:9" s="65" customFormat="1">
      <c r="B7723" s="97"/>
      <c r="C7723" s="98"/>
      <c r="D7723" s="98"/>
      <c r="E7723" s="98"/>
      <c r="G7723" s="192"/>
      <c r="H7723" s="193"/>
    </row>
    <row r="7724" spans="1:9" s="65" customFormat="1">
      <c r="B7724" s="97"/>
      <c r="C7724" s="98"/>
      <c r="D7724" s="98"/>
      <c r="E7724" s="98"/>
      <c r="G7724" s="192"/>
      <c r="H7724" s="177"/>
      <c r="I7724" s="178"/>
    </row>
    <row r="7725" spans="1:9" s="65" customFormat="1">
      <c r="A7725" s="654"/>
      <c r="B7725" s="177"/>
      <c r="C7725" s="177"/>
      <c r="D7725" s="177"/>
      <c r="E7725" s="177"/>
      <c r="F7725" s="177"/>
      <c r="G7725" s="177"/>
      <c r="H7725" s="177"/>
      <c r="I7725" s="179"/>
    </row>
    <row r="7726" spans="1:9" s="65" customFormat="1">
      <c r="A7726" s="654"/>
      <c r="B7726" s="177"/>
      <c r="C7726" s="177"/>
      <c r="D7726" s="177"/>
      <c r="E7726" s="177"/>
      <c r="F7726" s="177"/>
      <c r="G7726" s="177"/>
      <c r="H7726" s="180"/>
    </row>
    <row r="7727" spans="1:9" s="65" customFormat="1">
      <c r="A7727" s="69"/>
      <c r="B7727" s="69"/>
      <c r="C7727" s="69"/>
      <c r="D7727" s="69"/>
      <c r="E7727" s="69"/>
      <c r="G7727" s="180"/>
      <c r="H7727" s="180"/>
    </row>
    <row r="7728" spans="1:9" s="65" customFormat="1">
      <c r="A7728" s="120"/>
      <c r="B7728" s="73"/>
      <c r="C7728" s="73"/>
      <c r="D7728" s="73"/>
      <c r="E7728" s="73"/>
      <c r="F7728" s="181"/>
      <c r="G7728" s="182"/>
      <c r="H7728" s="182"/>
    </row>
    <row r="7729" spans="1:9" s="65" customFormat="1">
      <c r="A7729" s="183"/>
      <c r="B7729" s="141"/>
      <c r="C7729" s="141"/>
      <c r="D7729" s="141"/>
      <c r="E7729" s="141"/>
      <c r="F7729" s="141"/>
      <c r="G7729" s="194"/>
      <c r="H7729" s="182"/>
    </row>
    <row r="7730" spans="1:9" s="65" customFormat="1">
      <c r="A7730" s="150"/>
      <c r="B7730" s="83"/>
      <c r="C7730" s="148"/>
      <c r="D7730" s="84"/>
      <c r="E7730" s="84"/>
      <c r="F7730" s="84"/>
      <c r="G7730" s="195"/>
      <c r="H7730" s="187"/>
    </row>
    <row r="7731" spans="1:9" s="65" customFormat="1">
      <c r="A7731" s="84"/>
      <c r="B7731" s="83"/>
      <c r="C7731" s="84"/>
      <c r="D7731" s="84"/>
      <c r="E7731" s="84"/>
      <c r="G7731" s="196"/>
      <c r="H7731" s="187"/>
    </row>
    <row r="7732" spans="1:9" s="65" customFormat="1">
      <c r="A7732" s="120"/>
      <c r="B7732" s="73"/>
      <c r="C7732" s="73"/>
      <c r="D7732" s="73"/>
      <c r="E7732" s="73"/>
      <c r="G7732" s="182"/>
      <c r="H7732" s="187"/>
    </row>
    <row r="7733" spans="1:9" s="65" customFormat="1">
      <c r="A7733" s="183"/>
      <c r="B7733" s="141"/>
      <c r="C7733" s="141"/>
      <c r="D7733" s="141"/>
      <c r="E7733" s="141"/>
      <c r="F7733" s="141"/>
      <c r="G7733" s="194"/>
      <c r="H7733" s="187"/>
      <c r="I7733" s="189"/>
    </row>
    <row r="7734" spans="1:9" s="65" customFormat="1">
      <c r="A7734" s="197"/>
      <c r="B7734" s="83"/>
      <c r="C7734" s="148"/>
      <c r="D7734" s="190"/>
      <c r="E7734" s="84"/>
      <c r="F7734" s="84"/>
      <c r="G7734" s="195"/>
      <c r="H7734" s="187"/>
      <c r="I7734" s="189"/>
    </row>
    <row r="7735" spans="1:9" s="65" customFormat="1">
      <c r="A7735" s="150"/>
      <c r="B7735" s="83"/>
      <c r="C7735" s="148"/>
      <c r="D7735" s="84"/>
      <c r="E7735" s="84"/>
      <c r="F7735" s="84"/>
      <c r="G7735" s="195"/>
      <c r="H7735" s="187"/>
    </row>
    <row r="7736" spans="1:9" s="65" customFormat="1">
      <c r="A7736" s="91"/>
      <c r="B7736" s="91"/>
      <c r="C7736" s="91"/>
      <c r="D7736" s="91"/>
      <c r="E7736" s="91"/>
      <c r="G7736" s="196"/>
      <c r="H7736" s="187"/>
    </row>
    <row r="7737" spans="1:9" s="65" customFormat="1">
      <c r="A7737" s="120"/>
      <c r="B7737" s="73"/>
      <c r="C7737" s="73"/>
      <c r="D7737" s="73"/>
      <c r="E7737" s="73"/>
      <c r="G7737" s="182"/>
      <c r="H7737" s="187"/>
    </row>
    <row r="7738" spans="1:9" s="65" customFormat="1">
      <c r="A7738" s="183"/>
      <c r="B7738" s="141"/>
      <c r="C7738" s="141"/>
      <c r="D7738" s="141"/>
      <c r="E7738" s="141"/>
      <c r="F7738" s="141"/>
      <c r="G7738" s="194"/>
      <c r="H7738" s="187"/>
    </row>
    <row r="7739" spans="1:9" s="65" customFormat="1">
      <c r="A7739" s="146"/>
      <c r="B7739" s="83"/>
      <c r="C7739" s="148"/>
      <c r="D7739" s="84"/>
      <c r="E7739" s="84"/>
      <c r="F7739" s="84"/>
      <c r="G7739" s="195"/>
      <c r="H7739" s="187"/>
    </row>
    <row r="7740" spans="1:9" s="65" customFormat="1">
      <c r="A7740" s="91"/>
      <c r="B7740" s="91"/>
      <c r="C7740" s="91"/>
      <c r="D7740" s="91"/>
      <c r="E7740" s="91"/>
      <c r="G7740" s="196"/>
      <c r="H7740" s="187"/>
    </row>
    <row r="7741" spans="1:9" s="65" customFormat="1">
      <c r="A7741" s="120"/>
      <c r="B7741" s="73"/>
      <c r="C7741" s="73"/>
      <c r="D7741" s="73"/>
      <c r="E7741" s="73"/>
      <c r="G7741" s="182"/>
      <c r="H7741" s="187"/>
    </row>
    <row r="7742" spans="1:9" s="65" customFormat="1">
      <c r="A7742" s="183"/>
      <c r="B7742" s="141"/>
      <c r="C7742" s="141"/>
      <c r="D7742" s="141"/>
      <c r="E7742" s="141"/>
      <c r="F7742" s="141"/>
      <c r="G7742" s="194"/>
      <c r="H7742" s="187"/>
    </row>
    <row r="7743" spans="1:9" s="65" customFormat="1">
      <c r="A7743" s="142"/>
      <c r="B7743" s="143"/>
      <c r="C7743" s="143"/>
      <c r="D7743" s="143"/>
      <c r="E7743" s="143"/>
      <c r="F7743" s="84"/>
      <c r="G7743" s="195"/>
      <c r="H7743" s="187"/>
    </row>
    <row r="7744" spans="1:9" s="65" customFormat="1">
      <c r="A7744" s="123"/>
      <c r="B7744" s="95"/>
      <c r="C7744" s="95"/>
      <c r="D7744" s="95"/>
      <c r="E7744" s="95"/>
      <c r="G7744" s="196"/>
      <c r="H7744" s="182"/>
    </row>
    <row r="7745" spans="1:9" s="65" customFormat="1">
      <c r="A7745" s="123"/>
      <c r="B7745" s="95"/>
      <c r="C7745" s="95"/>
      <c r="D7745" s="95"/>
      <c r="E7745" s="95"/>
      <c r="G7745" s="182"/>
      <c r="H7745" s="193"/>
    </row>
    <row r="7746" spans="1:9" s="65" customFormat="1">
      <c r="B7746" s="97"/>
      <c r="C7746" s="98"/>
      <c r="D7746" s="98"/>
      <c r="E7746" s="98"/>
      <c r="G7746" s="192"/>
      <c r="H7746" s="193"/>
    </row>
    <row r="7747" spans="1:9" s="65" customFormat="1">
      <c r="B7747" s="97"/>
      <c r="C7747" s="98"/>
      <c r="D7747" s="98"/>
      <c r="E7747" s="98"/>
      <c r="G7747" s="192"/>
      <c r="H7747" s="177"/>
      <c r="I7747" s="178"/>
    </row>
    <row r="7748" spans="1:9" s="65" customFormat="1">
      <c r="A7748" s="654"/>
      <c r="B7748" s="177"/>
      <c r="C7748" s="177"/>
      <c r="D7748" s="177"/>
      <c r="E7748" s="177"/>
      <c r="F7748" s="177"/>
      <c r="G7748" s="177"/>
      <c r="H7748" s="177"/>
      <c r="I7748" s="179"/>
    </row>
    <row r="7749" spans="1:9" s="65" customFormat="1">
      <c r="A7749" s="654"/>
      <c r="B7749" s="177"/>
      <c r="C7749" s="177"/>
      <c r="D7749" s="177"/>
      <c r="E7749" s="177"/>
      <c r="F7749" s="177"/>
      <c r="G7749" s="177"/>
      <c r="H7749" s="180"/>
    </row>
    <row r="7750" spans="1:9" s="65" customFormat="1">
      <c r="A7750" s="69"/>
      <c r="B7750" s="69"/>
      <c r="C7750" s="69"/>
      <c r="D7750" s="69"/>
      <c r="E7750" s="69"/>
      <c r="G7750" s="180"/>
      <c r="H7750" s="180"/>
    </row>
    <row r="7751" spans="1:9" s="65" customFormat="1">
      <c r="A7751" s="120"/>
      <c r="B7751" s="73"/>
      <c r="C7751" s="73"/>
      <c r="D7751" s="73"/>
      <c r="E7751" s="73"/>
      <c r="F7751" s="181"/>
      <c r="G7751" s="182"/>
      <c r="H7751" s="182"/>
    </row>
    <row r="7752" spans="1:9" s="65" customFormat="1">
      <c r="A7752" s="183"/>
      <c r="B7752" s="141"/>
      <c r="C7752" s="141"/>
      <c r="D7752" s="141"/>
      <c r="E7752" s="141"/>
      <c r="F7752" s="141"/>
      <c r="G7752" s="194"/>
      <c r="H7752" s="182"/>
    </row>
    <row r="7753" spans="1:9" s="65" customFormat="1">
      <c r="A7753" s="150"/>
      <c r="B7753" s="83"/>
      <c r="C7753" s="148"/>
      <c r="D7753" s="84"/>
      <c r="E7753" s="84"/>
      <c r="F7753" s="84"/>
      <c r="G7753" s="195"/>
      <c r="H7753" s="187"/>
    </row>
    <row r="7754" spans="1:9" s="65" customFormat="1">
      <c r="A7754" s="84"/>
      <c r="B7754" s="83"/>
      <c r="C7754" s="84"/>
      <c r="D7754" s="84"/>
      <c r="E7754" s="84"/>
      <c r="G7754" s="196"/>
      <c r="H7754" s="187"/>
    </row>
    <row r="7755" spans="1:9" s="65" customFormat="1">
      <c r="A7755" s="120"/>
      <c r="B7755" s="73"/>
      <c r="C7755" s="73"/>
      <c r="D7755" s="73"/>
      <c r="E7755" s="73"/>
      <c r="G7755" s="182"/>
      <c r="H7755" s="187"/>
    </row>
    <row r="7756" spans="1:9" s="65" customFormat="1">
      <c r="A7756" s="183"/>
      <c r="B7756" s="141"/>
      <c r="C7756" s="141"/>
      <c r="D7756" s="141"/>
      <c r="E7756" s="141"/>
      <c r="F7756" s="141"/>
      <c r="G7756" s="194"/>
      <c r="H7756" s="187"/>
      <c r="I7756" s="189"/>
    </row>
    <row r="7757" spans="1:9" s="65" customFormat="1">
      <c r="A7757" s="197"/>
      <c r="B7757" s="83"/>
      <c r="C7757" s="148"/>
      <c r="D7757" s="190"/>
      <c r="E7757" s="84"/>
      <c r="F7757" s="84"/>
      <c r="G7757" s="195"/>
      <c r="H7757" s="187"/>
      <c r="I7757" s="189"/>
    </row>
    <row r="7758" spans="1:9" s="65" customFormat="1">
      <c r="A7758" s="150"/>
      <c r="B7758" s="83"/>
      <c r="C7758" s="148"/>
      <c r="D7758" s="84"/>
      <c r="E7758" s="84"/>
      <c r="F7758" s="84"/>
      <c r="G7758" s="195"/>
      <c r="H7758" s="187"/>
    </row>
    <row r="7759" spans="1:9" s="65" customFormat="1">
      <c r="A7759" s="91"/>
      <c r="B7759" s="91"/>
      <c r="C7759" s="91"/>
      <c r="D7759" s="91"/>
      <c r="E7759" s="91"/>
      <c r="G7759" s="196"/>
      <c r="H7759" s="187"/>
    </row>
    <row r="7760" spans="1:9" s="65" customFormat="1">
      <c r="A7760" s="120"/>
      <c r="B7760" s="73"/>
      <c r="C7760" s="73"/>
      <c r="D7760" s="73"/>
      <c r="E7760" s="73"/>
      <c r="G7760" s="182"/>
      <c r="H7760" s="187"/>
    </row>
    <row r="7761" spans="1:9" s="65" customFormat="1">
      <c r="A7761" s="183"/>
      <c r="B7761" s="141"/>
      <c r="C7761" s="141"/>
      <c r="D7761" s="141"/>
      <c r="E7761" s="141"/>
      <c r="F7761" s="141"/>
      <c r="G7761" s="194"/>
      <c r="H7761" s="187"/>
    </row>
    <row r="7762" spans="1:9" s="65" customFormat="1">
      <c r="A7762" s="146"/>
      <c r="B7762" s="83"/>
      <c r="C7762" s="148"/>
      <c r="D7762" s="84"/>
      <c r="E7762" s="84"/>
      <c r="F7762" s="84"/>
      <c r="G7762" s="195"/>
      <c r="H7762" s="187"/>
    </row>
    <row r="7763" spans="1:9" s="65" customFormat="1">
      <c r="A7763" s="91"/>
      <c r="B7763" s="91"/>
      <c r="C7763" s="91"/>
      <c r="D7763" s="91"/>
      <c r="E7763" s="91"/>
      <c r="G7763" s="196"/>
      <c r="H7763" s="187"/>
    </row>
    <row r="7764" spans="1:9" s="65" customFormat="1">
      <c r="A7764" s="120"/>
      <c r="B7764" s="73"/>
      <c r="C7764" s="73"/>
      <c r="D7764" s="73"/>
      <c r="E7764" s="73"/>
      <c r="G7764" s="182"/>
      <c r="H7764" s="187"/>
    </row>
    <row r="7765" spans="1:9" s="65" customFormat="1">
      <c r="A7765" s="183"/>
      <c r="B7765" s="141"/>
      <c r="C7765" s="141"/>
      <c r="D7765" s="141"/>
      <c r="E7765" s="141"/>
      <c r="F7765" s="141"/>
      <c r="G7765" s="194"/>
      <c r="H7765" s="187"/>
    </row>
    <row r="7766" spans="1:9" s="65" customFormat="1">
      <c r="A7766" s="142"/>
      <c r="B7766" s="143"/>
      <c r="C7766" s="143"/>
      <c r="D7766" s="143"/>
      <c r="E7766" s="143"/>
      <c r="F7766" s="84"/>
      <c r="G7766" s="195"/>
      <c r="H7766" s="187"/>
    </row>
    <row r="7767" spans="1:9" s="65" customFormat="1">
      <c r="A7767" s="123"/>
      <c r="B7767" s="95"/>
      <c r="C7767" s="95"/>
      <c r="D7767" s="95"/>
      <c r="E7767" s="95"/>
      <c r="G7767" s="196"/>
      <c r="H7767" s="182"/>
    </row>
    <row r="7768" spans="1:9" s="65" customFormat="1">
      <c r="A7768" s="123"/>
      <c r="B7768" s="95"/>
      <c r="C7768" s="95"/>
      <c r="D7768" s="95"/>
      <c r="E7768" s="95"/>
      <c r="G7768" s="182"/>
      <c r="H7768" s="193"/>
    </row>
    <row r="7769" spans="1:9" s="65" customFormat="1">
      <c r="B7769" s="97"/>
      <c r="C7769" s="98"/>
      <c r="D7769" s="98"/>
      <c r="E7769" s="98"/>
      <c r="G7769" s="192"/>
      <c r="H7769" s="193"/>
    </row>
    <row r="7770" spans="1:9" s="65" customFormat="1">
      <c r="B7770" s="97"/>
      <c r="C7770" s="98"/>
      <c r="D7770" s="98"/>
      <c r="E7770" s="98"/>
      <c r="G7770" s="192"/>
      <c r="H7770" s="177"/>
      <c r="I7770" s="178"/>
    </row>
    <row r="7771" spans="1:9" s="65" customFormat="1">
      <c r="A7771" s="654"/>
      <c r="B7771" s="177"/>
      <c r="C7771" s="177"/>
      <c r="D7771" s="177"/>
      <c r="E7771" s="177"/>
      <c r="F7771" s="177"/>
      <c r="G7771" s="177"/>
      <c r="H7771" s="177"/>
      <c r="I7771" s="179"/>
    </row>
    <row r="7772" spans="1:9" s="65" customFormat="1">
      <c r="A7772" s="654"/>
      <c r="B7772" s="177"/>
      <c r="C7772" s="177"/>
      <c r="D7772" s="177"/>
      <c r="E7772" s="177"/>
      <c r="F7772" s="177"/>
      <c r="G7772" s="177"/>
      <c r="H7772" s="180"/>
    </row>
    <row r="7773" spans="1:9" s="65" customFormat="1">
      <c r="A7773" s="69"/>
      <c r="B7773" s="69"/>
      <c r="C7773" s="69"/>
      <c r="D7773" s="69"/>
      <c r="E7773" s="69"/>
      <c r="G7773" s="180"/>
      <c r="H7773" s="180"/>
    </row>
    <row r="7774" spans="1:9" s="65" customFormat="1">
      <c r="A7774" s="120"/>
      <c r="B7774" s="73"/>
      <c r="C7774" s="73"/>
      <c r="D7774" s="73"/>
      <c r="E7774" s="73"/>
      <c r="F7774" s="181"/>
      <c r="G7774" s="182"/>
      <c r="H7774" s="182"/>
    </row>
    <row r="7775" spans="1:9" s="65" customFormat="1">
      <c r="A7775" s="183"/>
      <c r="B7775" s="141"/>
      <c r="C7775" s="141"/>
      <c r="D7775" s="141"/>
      <c r="E7775" s="141"/>
      <c r="F7775" s="141"/>
      <c r="G7775" s="194"/>
      <c r="H7775" s="182"/>
    </row>
    <row r="7776" spans="1:9" s="65" customFormat="1">
      <c r="A7776" s="150"/>
      <c r="B7776" s="83"/>
      <c r="C7776" s="148"/>
      <c r="D7776" s="84"/>
      <c r="E7776" s="84"/>
      <c r="F7776" s="84"/>
      <c r="G7776" s="195"/>
      <c r="H7776" s="187"/>
    </row>
    <row r="7777" spans="1:9" s="65" customFormat="1">
      <c r="A7777" s="84"/>
      <c r="B7777" s="83"/>
      <c r="C7777" s="84"/>
      <c r="D7777" s="84"/>
      <c r="E7777" s="84"/>
      <c r="G7777" s="196"/>
      <c r="H7777" s="187"/>
    </row>
    <row r="7778" spans="1:9" s="65" customFormat="1">
      <c r="A7778" s="120"/>
      <c r="B7778" s="73"/>
      <c r="C7778" s="73"/>
      <c r="D7778" s="73"/>
      <c r="E7778" s="73"/>
      <c r="G7778" s="182"/>
      <c r="H7778" s="187"/>
    </row>
    <row r="7779" spans="1:9" s="65" customFormat="1">
      <c r="A7779" s="183"/>
      <c r="B7779" s="141"/>
      <c r="C7779" s="141"/>
      <c r="D7779" s="141"/>
      <c r="E7779" s="141"/>
      <c r="F7779" s="141"/>
      <c r="G7779" s="194"/>
      <c r="H7779" s="187"/>
      <c r="I7779" s="189"/>
    </row>
    <row r="7780" spans="1:9" s="65" customFormat="1">
      <c r="A7780" s="197"/>
      <c r="B7780" s="83"/>
      <c r="C7780" s="148"/>
      <c r="D7780" s="190"/>
      <c r="E7780" s="84"/>
      <c r="F7780" s="84"/>
      <c r="G7780" s="195"/>
      <c r="H7780" s="187"/>
      <c r="I7780" s="189"/>
    </row>
    <row r="7781" spans="1:9" s="65" customFormat="1">
      <c r="A7781" s="150"/>
      <c r="B7781" s="83"/>
      <c r="C7781" s="148"/>
      <c r="D7781" s="84"/>
      <c r="E7781" s="84"/>
      <c r="F7781" s="84"/>
      <c r="G7781" s="195"/>
      <c r="H7781" s="187"/>
    </row>
    <row r="7782" spans="1:9" s="65" customFormat="1">
      <c r="A7782" s="91"/>
      <c r="B7782" s="91"/>
      <c r="C7782" s="91"/>
      <c r="D7782" s="91"/>
      <c r="E7782" s="91"/>
      <c r="G7782" s="196"/>
      <c r="H7782" s="187"/>
    </row>
    <row r="7783" spans="1:9" s="65" customFormat="1">
      <c r="A7783" s="120"/>
      <c r="B7783" s="73"/>
      <c r="C7783" s="73"/>
      <c r="D7783" s="73"/>
      <c r="E7783" s="73"/>
      <c r="G7783" s="182"/>
      <c r="H7783" s="187"/>
    </row>
    <row r="7784" spans="1:9" s="65" customFormat="1">
      <c r="A7784" s="183"/>
      <c r="B7784" s="141"/>
      <c r="C7784" s="141"/>
      <c r="D7784" s="141"/>
      <c r="E7784" s="141"/>
      <c r="F7784" s="141"/>
      <c r="G7784" s="194"/>
      <c r="H7784" s="187"/>
    </row>
    <row r="7785" spans="1:9" s="65" customFormat="1">
      <c r="A7785" s="146"/>
      <c r="B7785" s="83"/>
      <c r="C7785" s="148"/>
      <c r="D7785" s="84"/>
      <c r="E7785" s="84"/>
      <c r="F7785" s="84"/>
      <c r="G7785" s="195"/>
      <c r="H7785" s="187"/>
    </row>
    <row r="7786" spans="1:9" s="65" customFormat="1">
      <c r="A7786" s="91"/>
      <c r="B7786" s="91"/>
      <c r="C7786" s="91"/>
      <c r="D7786" s="91"/>
      <c r="E7786" s="91"/>
      <c r="G7786" s="196"/>
      <c r="H7786" s="187"/>
    </row>
    <row r="7787" spans="1:9" s="65" customFormat="1">
      <c r="A7787" s="120"/>
      <c r="B7787" s="73"/>
      <c r="C7787" s="73"/>
      <c r="D7787" s="73"/>
      <c r="E7787" s="73"/>
      <c r="G7787" s="182"/>
      <c r="H7787" s="187"/>
    </row>
    <row r="7788" spans="1:9" s="65" customFormat="1">
      <c r="A7788" s="183"/>
      <c r="B7788" s="141"/>
      <c r="C7788" s="141"/>
      <c r="D7788" s="141"/>
      <c r="E7788" s="141"/>
      <c r="F7788" s="141"/>
      <c r="G7788" s="194"/>
      <c r="H7788" s="187"/>
    </row>
    <row r="7789" spans="1:9" s="65" customFormat="1">
      <c r="A7789" s="142"/>
      <c r="B7789" s="143"/>
      <c r="C7789" s="143"/>
      <c r="D7789" s="143"/>
      <c r="E7789" s="143"/>
      <c r="F7789" s="84"/>
      <c r="G7789" s="195"/>
      <c r="H7789" s="187"/>
    </row>
    <row r="7790" spans="1:9" s="65" customFormat="1">
      <c r="A7790" s="123"/>
      <c r="B7790" s="95"/>
      <c r="C7790" s="95"/>
      <c r="D7790" s="95"/>
      <c r="E7790" s="95"/>
      <c r="G7790" s="196"/>
      <c r="H7790" s="182"/>
    </row>
    <row r="7791" spans="1:9" s="65" customFormat="1">
      <c r="A7791" s="123"/>
      <c r="B7791" s="95"/>
      <c r="C7791" s="95"/>
      <c r="D7791" s="95"/>
      <c r="E7791" s="95"/>
      <c r="G7791" s="182"/>
      <c r="H7791" s="193"/>
    </row>
    <row r="7792" spans="1:9" s="65" customFormat="1">
      <c r="B7792" s="97"/>
      <c r="C7792" s="98"/>
      <c r="D7792" s="98"/>
      <c r="E7792" s="98"/>
      <c r="G7792" s="192"/>
    </row>
    <row r="7793" spans="1:9" s="65" customFormat="1">
      <c r="H7793" s="138"/>
      <c r="I7793" s="151"/>
    </row>
    <row r="7794" spans="1:9" s="65" customFormat="1">
      <c r="A7794" s="655"/>
      <c r="B7794" s="138"/>
      <c r="C7794" s="138"/>
      <c r="D7794" s="138"/>
      <c r="E7794" s="138"/>
      <c r="F7794" s="138"/>
      <c r="G7794" s="138"/>
      <c r="H7794" s="138"/>
      <c r="I7794" s="152"/>
    </row>
    <row r="7795" spans="1:9" s="65" customFormat="1">
      <c r="A7795" s="645"/>
      <c r="B7795" s="138"/>
      <c r="C7795" s="138"/>
      <c r="D7795" s="138"/>
      <c r="E7795" s="138"/>
      <c r="F7795" s="138"/>
      <c r="G7795" s="138"/>
    </row>
    <row r="7796" spans="1:9" s="65" customFormat="1">
      <c r="A7796" s="69"/>
      <c r="B7796" s="69"/>
      <c r="C7796" s="69"/>
      <c r="D7796" s="69"/>
      <c r="E7796" s="69"/>
    </row>
    <row r="7797" spans="1:9" s="65" customFormat="1">
      <c r="A7797" s="120"/>
      <c r="B7797" s="73"/>
      <c r="C7797" s="73"/>
      <c r="D7797" s="73"/>
      <c r="E7797" s="73"/>
      <c r="F7797" s="121"/>
      <c r="G7797" s="121"/>
      <c r="H7797" s="121"/>
    </row>
    <row r="7798" spans="1:9" s="65" customFormat="1">
      <c r="A7798" s="128"/>
      <c r="B7798" s="141"/>
      <c r="C7798" s="141"/>
      <c r="D7798" s="141"/>
      <c r="E7798" s="141"/>
      <c r="F7798" s="141"/>
      <c r="G7798" s="141"/>
      <c r="H7798" s="121"/>
    </row>
    <row r="7799" spans="1:9" s="65" customFormat="1">
      <c r="A7799" s="174"/>
      <c r="B7799" s="83"/>
      <c r="C7799" s="84"/>
      <c r="D7799" s="84"/>
      <c r="E7799" s="84"/>
      <c r="F7799" s="84"/>
      <c r="G7799" s="84"/>
      <c r="H7799" s="133"/>
    </row>
    <row r="7800" spans="1:9" s="65" customFormat="1">
      <c r="A7800" s="84"/>
      <c r="B7800" s="83"/>
      <c r="C7800" s="84"/>
      <c r="D7800" s="84"/>
      <c r="E7800" s="84"/>
      <c r="G7800" s="104"/>
      <c r="H7800" s="140"/>
    </row>
    <row r="7801" spans="1:9" s="65" customFormat="1">
      <c r="A7801" s="120"/>
      <c r="B7801" s="73"/>
      <c r="C7801" s="73"/>
      <c r="D7801" s="73"/>
      <c r="E7801" s="73"/>
      <c r="G7801" s="121"/>
      <c r="H7801" s="140"/>
    </row>
    <row r="7802" spans="1:9" s="65" customFormat="1">
      <c r="A7802" s="128"/>
      <c r="B7802" s="141"/>
      <c r="C7802" s="141"/>
      <c r="D7802" s="141"/>
      <c r="E7802" s="141"/>
      <c r="F7802" s="141"/>
      <c r="G7802" s="141"/>
      <c r="H7802" s="140"/>
    </row>
    <row r="7803" spans="1:9" s="65" customFormat="1">
      <c r="A7803" s="175"/>
      <c r="B7803" s="83"/>
      <c r="C7803" s="84"/>
      <c r="D7803" s="84"/>
      <c r="E7803" s="84"/>
      <c r="F7803" s="84"/>
      <c r="G7803" s="84"/>
      <c r="H7803" s="140"/>
    </row>
    <row r="7804" spans="1:9" s="65" customFormat="1">
      <c r="A7804" s="175"/>
      <c r="B7804" s="83"/>
      <c r="C7804" s="84"/>
      <c r="D7804" s="84"/>
      <c r="E7804" s="84"/>
      <c r="F7804" s="84"/>
      <c r="G7804" s="84"/>
      <c r="H7804" s="133"/>
    </row>
    <row r="7805" spans="1:9" s="65" customFormat="1">
      <c r="A7805" s="175"/>
      <c r="B7805" s="83"/>
      <c r="C7805" s="84"/>
      <c r="D7805" s="84"/>
      <c r="E7805" s="84"/>
      <c r="F7805" s="84"/>
      <c r="G7805" s="104"/>
      <c r="H7805" s="140"/>
    </row>
    <row r="7806" spans="1:9" s="65" customFormat="1">
      <c r="A7806" s="120"/>
      <c r="B7806" s="73"/>
      <c r="C7806" s="73"/>
      <c r="D7806" s="73"/>
      <c r="E7806" s="73"/>
      <c r="G7806" s="121"/>
      <c r="H7806" s="140"/>
    </row>
    <row r="7807" spans="1:9" s="65" customFormat="1">
      <c r="A7807" s="128"/>
      <c r="B7807" s="141"/>
      <c r="C7807" s="141"/>
      <c r="D7807" s="141"/>
      <c r="E7807" s="141"/>
      <c r="F7807" s="141"/>
      <c r="G7807" s="141"/>
      <c r="H7807" s="140"/>
    </row>
    <row r="7808" spans="1:9" s="65" customFormat="1">
      <c r="A7808" s="174"/>
      <c r="B7808" s="83"/>
      <c r="C7808" s="84"/>
      <c r="D7808" s="84"/>
      <c r="E7808" s="84"/>
      <c r="F7808" s="141"/>
      <c r="G7808" s="84"/>
      <c r="H7808" s="133"/>
    </row>
    <row r="7809" spans="1:9" s="65" customFormat="1">
      <c r="A7809" s="91"/>
      <c r="B7809" s="91"/>
      <c r="C7809" s="91"/>
      <c r="D7809" s="91"/>
      <c r="E7809" s="91"/>
      <c r="G7809" s="104"/>
      <c r="H7809" s="140"/>
    </row>
    <row r="7810" spans="1:9" s="65" customFormat="1">
      <c r="A7810" s="120"/>
      <c r="B7810" s="73"/>
      <c r="C7810" s="73"/>
      <c r="D7810" s="73"/>
      <c r="E7810" s="73"/>
      <c r="G7810" s="121"/>
      <c r="H7810" s="140"/>
    </row>
    <row r="7811" spans="1:9" s="65" customFormat="1">
      <c r="A7811" s="128"/>
      <c r="B7811" s="141"/>
      <c r="C7811" s="141"/>
      <c r="D7811" s="141"/>
      <c r="E7811" s="141"/>
      <c r="F7811" s="141"/>
      <c r="G7811" s="141"/>
      <c r="H7811" s="140"/>
    </row>
    <row r="7812" spans="1:9" s="65" customFormat="1">
      <c r="A7812" s="142"/>
      <c r="B7812" s="143"/>
      <c r="C7812" s="143"/>
      <c r="D7812" s="143"/>
      <c r="E7812" s="143"/>
      <c r="F7812" s="84"/>
      <c r="G7812" s="144"/>
      <c r="H7812" s="133"/>
    </row>
    <row r="7813" spans="1:9" s="65" customFormat="1">
      <c r="A7813" s="123"/>
      <c r="B7813" s="95"/>
      <c r="C7813" s="95"/>
      <c r="D7813" s="95"/>
      <c r="E7813" s="95"/>
      <c r="G7813" s="104"/>
      <c r="H7813" s="121"/>
    </row>
    <row r="7814" spans="1:9" s="65" customFormat="1">
      <c r="A7814" s="123"/>
      <c r="B7814" s="95"/>
      <c r="C7814" s="95"/>
      <c r="D7814" s="95"/>
      <c r="E7814" s="95"/>
      <c r="G7814" s="121"/>
      <c r="H7814" s="133"/>
    </row>
    <row r="7815" spans="1:9" s="65" customFormat="1">
      <c r="B7815" s="97"/>
      <c r="C7815" s="98"/>
      <c r="D7815" s="98"/>
      <c r="E7815" s="98"/>
      <c r="G7815" s="128"/>
    </row>
    <row r="7816" spans="1:9">
      <c r="A7816" s="65"/>
      <c r="B7816" s="97"/>
      <c r="C7816" s="98"/>
      <c r="D7816" s="98"/>
      <c r="E7816" s="98"/>
      <c r="F7816" s="128"/>
      <c r="G7816" s="133"/>
      <c r="H7816" s="134"/>
      <c r="I7816" s="65"/>
    </row>
    <row r="7817" spans="1:9">
      <c r="A7817" s="633"/>
      <c r="B7817" s="633"/>
      <c r="C7817" s="633"/>
      <c r="D7817" s="633"/>
      <c r="E7817" s="633"/>
      <c r="F7817" s="633"/>
      <c r="G7817" s="633"/>
      <c r="H7817" s="65"/>
      <c r="I7817" s="65"/>
    </row>
    <row r="7818" spans="1:9">
      <c r="A7818" s="65"/>
      <c r="B7818" s="65"/>
      <c r="C7818" s="65"/>
      <c r="D7818" s="65"/>
      <c r="E7818" s="65"/>
      <c r="F7818" s="65"/>
      <c r="G7818" s="65"/>
      <c r="H7818" s="65"/>
      <c r="I7818" s="65"/>
    </row>
    <row r="7819" spans="1:9">
      <c r="A7819" s="65"/>
      <c r="B7819" s="65"/>
      <c r="C7819" s="65"/>
      <c r="D7819" s="65"/>
      <c r="E7819" s="65"/>
      <c r="F7819" s="65"/>
      <c r="G7819" s="65"/>
      <c r="H7819" s="65"/>
      <c r="I7819" s="65"/>
    </row>
    <row r="7820" spans="1:9">
      <c r="A7820" s="65"/>
      <c r="B7820" s="65"/>
      <c r="C7820" s="65"/>
      <c r="D7820" s="65"/>
      <c r="E7820" s="65"/>
      <c r="F7820" s="65"/>
      <c r="G7820" s="65"/>
      <c r="H7820" s="65"/>
      <c r="I7820" s="65"/>
    </row>
    <row r="7821" spans="1:9">
      <c r="A7821" s="65"/>
      <c r="B7821" s="65"/>
      <c r="C7821" s="65"/>
      <c r="D7821" s="65"/>
      <c r="E7821" s="65"/>
      <c r="F7821" s="65"/>
      <c r="G7821" s="65"/>
      <c r="H7821" s="65"/>
      <c r="I7821" s="65"/>
    </row>
    <row r="7822" spans="1:9">
      <c r="A7822" s="65"/>
      <c r="B7822" s="65"/>
      <c r="C7822" s="65"/>
      <c r="D7822" s="65"/>
      <c r="E7822" s="65"/>
      <c r="F7822" s="65"/>
      <c r="G7822" s="65"/>
      <c r="H7822" s="65"/>
      <c r="I7822" s="65"/>
    </row>
    <row r="7823" spans="1:9">
      <c r="A7823" s="65"/>
      <c r="B7823" s="65"/>
      <c r="C7823" s="65"/>
      <c r="D7823" s="65"/>
      <c r="E7823" s="65"/>
      <c r="F7823" s="65"/>
      <c r="G7823" s="65"/>
      <c r="H7823" s="65"/>
      <c r="I7823" s="65"/>
    </row>
    <row r="7824" spans="1:9">
      <c r="A7824" s="65"/>
      <c r="B7824" s="65"/>
      <c r="C7824" s="65"/>
      <c r="D7824" s="65"/>
      <c r="E7824" s="65"/>
      <c r="F7824" s="65"/>
      <c r="G7824" s="65"/>
      <c r="H7824" s="65"/>
      <c r="I7824" s="65"/>
    </row>
    <row r="7825" spans="1:9">
      <c r="A7825" s="65"/>
      <c r="B7825" s="65"/>
      <c r="C7825" s="65"/>
      <c r="D7825" s="65"/>
      <c r="E7825" s="65"/>
      <c r="F7825" s="65"/>
      <c r="G7825" s="65"/>
      <c r="H7825" s="65"/>
      <c r="I7825" s="65"/>
    </row>
    <row r="7826" spans="1:9">
      <c r="A7826" s="65"/>
      <c r="B7826" s="65"/>
      <c r="C7826" s="65"/>
      <c r="D7826" s="65"/>
      <c r="E7826" s="65"/>
      <c r="F7826" s="65"/>
      <c r="G7826" s="65"/>
      <c r="H7826" s="65"/>
      <c r="I7826" s="65"/>
    </row>
    <row r="7827" spans="1:9">
      <c r="A7827" s="65"/>
      <c r="B7827" s="65"/>
      <c r="C7827" s="65"/>
      <c r="D7827" s="65"/>
      <c r="E7827" s="65"/>
      <c r="F7827" s="65"/>
      <c r="G7827" s="65"/>
      <c r="H7827" s="65"/>
      <c r="I7827" s="65"/>
    </row>
    <row r="7828" spans="1:9">
      <c r="A7828" s="65"/>
      <c r="B7828" s="65"/>
      <c r="C7828" s="65"/>
      <c r="D7828" s="65"/>
      <c r="E7828" s="65"/>
      <c r="F7828" s="65"/>
      <c r="G7828" s="65"/>
      <c r="H7828" s="65"/>
      <c r="I7828" s="65"/>
    </row>
    <row r="7829" spans="1:9">
      <c r="A7829" s="65"/>
      <c r="B7829" s="65"/>
      <c r="C7829" s="65"/>
      <c r="D7829" s="65"/>
      <c r="E7829" s="65"/>
      <c r="F7829" s="65"/>
      <c r="G7829" s="65"/>
      <c r="H7829" s="65"/>
      <c r="I7829" s="65"/>
    </row>
    <row r="7830" spans="1:9">
      <c r="A7830" s="65"/>
      <c r="B7830" s="65"/>
      <c r="C7830" s="65"/>
      <c r="D7830" s="65"/>
      <c r="E7830" s="65"/>
      <c r="F7830" s="65"/>
      <c r="G7830" s="65"/>
      <c r="H7830" s="65"/>
      <c r="I7830" s="65"/>
    </row>
    <row r="7831" spans="1:9">
      <c r="A7831" s="65"/>
      <c r="B7831" s="65"/>
      <c r="C7831" s="65"/>
      <c r="D7831" s="65"/>
      <c r="E7831" s="65"/>
      <c r="F7831" s="65"/>
      <c r="G7831" s="65"/>
      <c r="H7831" s="65"/>
      <c r="I7831" s="65"/>
    </row>
    <row r="7832" spans="1:9">
      <c r="A7832" s="65"/>
      <c r="B7832" s="65"/>
      <c r="C7832" s="65"/>
      <c r="D7832" s="65"/>
      <c r="E7832" s="65"/>
      <c r="F7832" s="65"/>
      <c r="G7832" s="65"/>
      <c r="H7832" s="65"/>
      <c r="I7832" s="65"/>
    </row>
    <row r="7833" spans="1:9">
      <c r="A7833" s="65"/>
      <c r="B7833" s="65"/>
      <c r="C7833" s="65"/>
      <c r="D7833" s="65"/>
      <c r="E7833" s="65"/>
      <c r="F7833" s="65"/>
      <c r="G7833" s="65"/>
      <c r="H7833" s="65"/>
      <c r="I7833" s="65"/>
    </row>
    <row r="7834" spans="1:9">
      <c r="A7834" s="65"/>
      <c r="B7834" s="65"/>
      <c r="C7834" s="65"/>
      <c r="D7834" s="65"/>
      <c r="E7834" s="65"/>
      <c r="F7834" s="65"/>
      <c r="G7834" s="65"/>
      <c r="H7834" s="65"/>
      <c r="I7834" s="65"/>
    </row>
    <row r="7835" spans="1:9">
      <c r="A7835" s="65"/>
      <c r="B7835" s="65"/>
      <c r="C7835" s="65"/>
      <c r="D7835" s="65"/>
      <c r="E7835" s="65"/>
      <c r="F7835" s="65"/>
      <c r="G7835" s="65"/>
      <c r="H7835" s="65"/>
      <c r="I7835" s="65"/>
    </row>
    <row r="7836" spans="1:9">
      <c r="A7836" s="65"/>
      <c r="B7836" s="65"/>
      <c r="C7836" s="65"/>
      <c r="D7836" s="65"/>
      <c r="E7836" s="65"/>
      <c r="F7836" s="65"/>
      <c r="G7836" s="65"/>
      <c r="H7836" s="65"/>
      <c r="I7836" s="65"/>
    </row>
    <row r="7837" spans="1:9">
      <c r="A7837" s="65"/>
      <c r="B7837" s="65"/>
      <c r="C7837" s="65"/>
      <c r="D7837" s="65"/>
      <c r="E7837" s="65"/>
      <c r="F7837" s="65"/>
      <c r="G7837" s="65"/>
      <c r="H7837" s="65"/>
      <c r="I7837" s="65"/>
    </row>
    <row r="7838" spans="1:9">
      <c r="A7838" s="65"/>
      <c r="B7838" s="65"/>
      <c r="C7838" s="65"/>
      <c r="D7838" s="65"/>
      <c r="E7838" s="65"/>
      <c r="F7838" s="65"/>
      <c r="G7838" s="65"/>
      <c r="H7838" s="65"/>
      <c r="I7838" s="65"/>
    </row>
    <row r="7839" spans="1:9">
      <c r="A7839" s="65"/>
      <c r="B7839" s="65"/>
      <c r="C7839" s="65"/>
      <c r="D7839" s="65"/>
      <c r="E7839" s="65"/>
      <c r="F7839" s="65"/>
      <c r="G7839" s="65"/>
      <c r="H7839" s="65"/>
      <c r="I7839" s="65"/>
    </row>
    <row r="7840" spans="1:9">
      <c r="A7840" s="65"/>
      <c r="B7840" s="65"/>
      <c r="C7840" s="65"/>
      <c r="D7840" s="65"/>
      <c r="E7840" s="65"/>
      <c r="F7840" s="65"/>
      <c r="G7840" s="65"/>
      <c r="H7840" s="65"/>
      <c r="I7840" s="65"/>
    </row>
    <row r="7841" spans="1:9">
      <c r="A7841" s="65"/>
      <c r="B7841" s="65"/>
      <c r="C7841" s="65"/>
      <c r="D7841" s="65"/>
      <c r="E7841" s="65"/>
      <c r="F7841" s="65"/>
      <c r="G7841" s="65"/>
      <c r="H7841" s="65"/>
      <c r="I7841" s="65"/>
    </row>
    <row r="7842" spans="1:9">
      <c r="A7842" s="65"/>
      <c r="B7842" s="65"/>
      <c r="C7842" s="65"/>
      <c r="D7842" s="65"/>
      <c r="E7842" s="65"/>
      <c r="F7842" s="65"/>
      <c r="G7842" s="65"/>
      <c r="H7842" s="65"/>
      <c r="I7842" s="65"/>
    </row>
    <row r="7843" spans="1:9">
      <c r="A7843" s="65"/>
      <c r="B7843" s="65"/>
      <c r="C7843" s="65"/>
      <c r="D7843" s="65"/>
      <c r="E7843" s="65"/>
      <c r="F7843" s="65"/>
      <c r="G7843" s="65"/>
      <c r="H7843" s="65"/>
      <c r="I7843" s="65"/>
    </row>
    <row r="7844" spans="1:9">
      <c r="A7844" s="65"/>
      <c r="B7844" s="65"/>
      <c r="C7844" s="65"/>
      <c r="D7844" s="65"/>
      <c r="E7844" s="65"/>
      <c r="F7844" s="65"/>
      <c r="G7844" s="65"/>
      <c r="H7844" s="65"/>
      <c r="I7844" s="65"/>
    </row>
    <row r="7845" spans="1:9">
      <c r="A7845" s="65"/>
      <c r="B7845" s="65"/>
      <c r="C7845" s="65"/>
      <c r="D7845" s="65"/>
      <c r="E7845" s="65"/>
      <c r="F7845" s="65"/>
      <c r="G7845" s="65"/>
      <c r="H7845" s="65"/>
      <c r="I7845" s="65"/>
    </row>
    <row r="7846" spans="1:9">
      <c r="A7846" s="65"/>
      <c r="B7846" s="65"/>
      <c r="C7846" s="65"/>
      <c r="D7846" s="65"/>
      <c r="E7846" s="65"/>
      <c r="F7846" s="65"/>
      <c r="G7846" s="65"/>
      <c r="H7846" s="65"/>
      <c r="I7846" s="65"/>
    </row>
    <row r="7847" spans="1:9">
      <c r="A7847" s="65"/>
      <c r="B7847" s="65"/>
      <c r="C7847" s="65"/>
      <c r="D7847" s="65"/>
      <c r="E7847" s="65"/>
      <c r="F7847" s="65"/>
      <c r="G7847" s="65"/>
      <c r="H7847" s="65"/>
      <c r="I7847" s="65"/>
    </row>
    <row r="7848" spans="1:9">
      <c r="A7848" s="65"/>
      <c r="B7848" s="65"/>
      <c r="C7848" s="65"/>
      <c r="D7848" s="65"/>
      <c r="E7848" s="65"/>
      <c r="F7848" s="65"/>
      <c r="G7848" s="65"/>
      <c r="H7848" s="65"/>
      <c r="I7848" s="65"/>
    </row>
    <row r="7849" spans="1:9">
      <c r="A7849" s="65"/>
      <c r="B7849" s="65"/>
      <c r="C7849" s="65"/>
      <c r="D7849" s="65"/>
      <c r="E7849" s="65"/>
      <c r="F7849" s="65"/>
      <c r="G7849" s="65"/>
      <c r="H7849" s="65"/>
      <c r="I7849" s="65"/>
    </row>
    <row r="7850" spans="1:9">
      <c r="A7850" s="65"/>
      <c r="B7850" s="65"/>
      <c r="C7850" s="65"/>
      <c r="D7850" s="65"/>
      <c r="E7850" s="65"/>
      <c r="F7850" s="65"/>
      <c r="G7850" s="65"/>
      <c r="H7850" s="65"/>
      <c r="I7850" s="65"/>
    </row>
    <row r="7851" spans="1:9">
      <c r="A7851" s="65"/>
      <c r="B7851" s="65"/>
      <c r="C7851" s="65"/>
      <c r="D7851" s="65"/>
      <c r="E7851" s="65"/>
      <c r="F7851" s="65"/>
      <c r="G7851" s="65"/>
      <c r="H7851" s="65"/>
      <c r="I7851" s="65"/>
    </row>
    <row r="7852" spans="1:9">
      <c r="A7852" s="65"/>
      <c r="B7852" s="65"/>
      <c r="C7852" s="65"/>
      <c r="D7852" s="65"/>
      <c r="E7852" s="65"/>
      <c r="F7852" s="65"/>
      <c r="G7852" s="65"/>
      <c r="H7852" s="65"/>
      <c r="I7852" s="65"/>
    </row>
    <row r="7853" spans="1:9">
      <c r="A7853" s="65"/>
      <c r="B7853" s="65"/>
      <c r="C7853" s="65"/>
      <c r="D7853" s="65"/>
      <c r="E7853" s="65"/>
      <c r="F7853" s="65"/>
      <c r="G7853" s="65"/>
      <c r="H7853" s="65"/>
      <c r="I7853" s="65"/>
    </row>
    <row r="7854" spans="1:9">
      <c r="A7854" s="65"/>
      <c r="B7854" s="65"/>
      <c r="C7854" s="65"/>
      <c r="D7854" s="65"/>
      <c r="E7854" s="65"/>
      <c r="F7854" s="65"/>
      <c r="G7854" s="65"/>
      <c r="H7854" s="65"/>
      <c r="I7854" s="65"/>
    </row>
    <row r="7855" spans="1:9">
      <c r="A7855" s="65"/>
      <c r="B7855" s="65"/>
      <c r="C7855" s="65"/>
      <c r="D7855" s="65"/>
      <c r="E7855" s="65"/>
      <c r="F7855" s="65"/>
      <c r="G7855" s="65"/>
      <c r="H7855" s="65"/>
      <c r="I7855" s="65"/>
    </row>
    <row r="7856" spans="1:9">
      <c r="A7856" s="65"/>
      <c r="B7856" s="65"/>
      <c r="C7856" s="65"/>
      <c r="D7856" s="65"/>
      <c r="E7856" s="65"/>
      <c r="F7856" s="65"/>
      <c r="G7856" s="65"/>
      <c r="H7856" s="65"/>
      <c r="I7856" s="65"/>
    </row>
    <row r="7857" spans="1:9">
      <c r="A7857" s="65"/>
      <c r="B7857" s="65"/>
      <c r="C7857" s="65"/>
      <c r="D7857" s="65"/>
      <c r="E7857" s="65"/>
      <c r="F7857" s="65"/>
      <c r="G7857" s="65"/>
      <c r="H7857" s="65"/>
      <c r="I7857" s="65"/>
    </row>
    <row r="7858" spans="1:9">
      <c r="A7858" s="65"/>
      <c r="B7858" s="65"/>
      <c r="C7858" s="65"/>
      <c r="D7858" s="65"/>
      <c r="E7858" s="65"/>
      <c r="F7858" s="65"/>
      <c r="G7858" s="65"/>
      <c r="H7858" s="65"/>
      <c r="I7858" s="65"/>
    </row>
    <row r="7859" spans="1:9">
      <c r="A7859" s="65"/>
      <c r="B7859" s="65"/>
      <c r="C7859" s="65"/>
      <c r="D7859" s="65"/>
      <c r="E7859" s="65"/>
      <c r="F7859" s="65"/>
      <c r="G7859" s="65"/>
      <c r="H7859" s="65"/>
      <c r="I7859" s="65"/>
    </row>
    <row r="7860" spans="1:9">
      <c r="A7860" s="65"/>
      <c r="B7860" s="65"/>
      <c r="C7860" s="65"/>
      <c r="D7860" s="65"/>
      <c r="E7860" s="65"/>
      <c r="F7860" s="65"/>
      <c r="G7860" s="65"/>
      <c r="H7860" s="65"/>
      <c r="I7860" s="65"/>
    </row>
    <row r="7861" spans="1:9">
      <c r="A7861" s="65"/>
      <c r="B7861" s="65"/>
      <c r="C7861" s="65"/>
      <c r="D7861" s="65"/>
      <c r="E7861" s="65"/>
      <c r="F7861" s="65"/>
      <c r="G7861" s="65"/>
      <c r="H7861" s="65"/>
      <c r="I7861" s="65"/>
    </row>
    <row r="7862" spans="1:9">
      <c r="A7862" s="65"/>
      <c r="B7862" s="65"/>
      <c r="C7862" s="65"/>
      <c r="D7862" s="65"/>
      <c r="E7862" s="65"/>
      <c r="F7862" s="65"/>
      <c r="G7862" s="65"/>
      <c r="H7862" s="65"/>
      <c r="I7862" s="65"/>
    </row>
    <row r="7863" spans="1:9">
      <c r="A7863" s="65"/>
      <c r="B7863" s="65"/>
      <c r="C7863" s="65"/>
      <c r="D7863" s="65"/>
      <c r="E7863" s="65"/>
      <c r="F7863" s="65"/>
      <c r="G7863" s="65"/>
      <c r="H7863" s="65"/>
      <c r="I7863" s="65"/>
    </row>
    <row r="7864" spans="1:9">
      <c r="A7864" s="65"/>
      <c r="B7864" s="65"/>
      <c r="C7864" s="65"/>
      <c r="D7864" s="65"/>
      <c r="E7864" s="65"/>
      <c r="F7864" s="65"/>
      <c r="G7864" s="65"/>
      <c r="H7864" s="65"/>
      <c r="I7864" s="65"/>
    </row>
    <row r="7865" spans="1:9">
      <c r="A7865" s="65"/>
      <c r="B7865" s="65"/>
      <c r="C7865" s="65"/>
      <c r="D7865" s="65"/>
      <c r="E7865" s="65"/>
      <c r="F7865" s="65"/>
      <c r="G7865" s="65"/>
      <c r="H7865" s="65"/>
      <c r="I7865" s="65"/>
    </row>
    <row r="7866" spans="1:9">
      <c r="A7866" s="65"/>
      <c r="B7866" s="65"/>
      <c r="C7866" s="65"/>
      <c r="D7866" s="65"/>
      <c r="E7866" s="65"/>
      <c r="F7866" s="65"/>
      <c r="G7866" s="65"/>
      <c r="H7866" s="65"/>
      <c r="I7866" s="65"/>
    </row>
    <row r="7867" spans="1:9">
      <c r="A7867" s="65"/>
      <c r="B7867" s="65"/>
      <c r="C7867" s="65"/>
      <c r="D7867" s="65"/>
      <c r="E7867" s="65"/>
      <c r="F7867" s="65"/>
      <c r="G7867" s="65"/>
      <c r="H7867" s="65"/>
      <c r="I7867" s="65"/>
    </row>
    <row r="7868" spans="1:9">
      <c r="A7868" s="65"/>
      <c r="B7868" s="65"/>
      <c r="C7868" s="65"/>
      <c r="D7868" s="65"/>
      <c r="E7868" s="65"/>
      <c r="F7868" s="65"/>
      <c r="G7868" s="65"/>
    </row>
  </sheetData>
  <mergeCells count="704">
    <mergeCell ref="A7794:A7795"/>
    <mergeCell ref="A7817:G7817"/>
    <mergeCell ref="A7654:A7655"/>
    <mergeCell ref="A7679:A7680"/>
    <mergeCell ref="A7702:A7703"/>
    <mergeCell ref="A7725:A7726"/>
    <mergeCell ref="A7748:A7749"/>
    <mergeCell ref="A7771:A7772"/>
    <mergeCell ref="A7517:A7518"/>
    <mergeCell ref="A7539:A7540"/>
    <mergeCell ref="A7561:A7562"/>
    <mergeCell ref="A7585:A7586"/>
    <mergeCell ref="A7607:A7608"/>
    <mergeCell ref="A7629:A7630"/>
    <mergeCell ref="A7399:G7399"/>
    <mergeCell ref="A7401:A7402"/>
    <mergeCell ref="A7426:A7427"/>
    <mergeCell ref="A7448:A7449"/>
    <mergeCell ref="A7471:A7472"/>
    <mergeCell ref="A7495:A7496"/>
    <mergeCell ref="A7319:G7319"/>
    <mergeCell ref="A7321:A7322"/>
    <mergeCell ref="A7344:G7344"/>
    <mergeCell ref="A7346:A7347"/>
    <mergeCell ref="A7368:G7368"/>
    <mergeCell ref="A7370:A7371"/>
    <mergeCell ref="A7237:G7237"/>
    <mergeCell ref="A7239:A7240"/>
    <mergeCell ref="A7263:G7263"/>
    <mergeCell ref="A7265:A7266"/>
    <mergeCell ref="A7291:G7291"/>
    <mergeCell ref="A7293:A7294"/>
    <mergeCell ref="A7158:G7158"/>
    <mergeCell ref="A7160:A7161"/>
    <mergeCell ref="A7185:G7185"/>
    <mergeCell ref="A7187:A7188"/>
    <mergeCell ref="A7211:G7211"/>
    <mergeCell ref="A7213:A7214"/>
    <mergeCell ref="A7083:G7083"/>
    <mergeCell ref="A7085:A7086"/>
    <mergeCell ref="A7107:G7107"/>
    <mergeCell ref="A7109:A7110"/>
    <mergeCell ref="A7131:G7131"/>
    <mergeCell ref="A7133:A7134"/>
    <mergeCell ref="A7011:G7011"/>
    <mergeCell ref="A7013:A7014"/>
    <mergeCell ref="A7035:G7035"/>
    <mergeCell ref="A7037:A7038"/>
    <mergeCell ref="A7059:G7059"/>
    <mergeCell ref="A7061:A7062"/>
    <mergeCell ref="A6939:G6939"/>
    <mergeCell ref="A6941:A6942"/>
    <mergeCell ref="A6963:G6963"/>
    <mergeCell ref="A6965:A6966"/>
    <mergeCell ref="A6987:G6987"/>
    <mergeCell ref="A6989:A6990"/>
    <mergeCell ref="A6867:G6867"/>
    <mergeCell ref="A6869:A6870"/>
    <mergeCell ref="A6891:G6891"/>
    <mergeCell ref="A6893:A6894"/>
    <mergeCell ref="A6915:G6915"/>
    <mergeCell ref="A6917:A6918"/>
    <mergeCell ref="A6795:G6795"/>
    <mergeCell ref="A6797:A6798"/>
    <mergeCell ref="A6819:G6819"/>
    <mergeCell ref="A6821:A6822"/>
    <mergeCell ref="A6843:G6843"/>
    <mergeCell ref="A6845:A6846"/>
    <mergeCell ref="A6723:G6723"/>
    <mergeCell ref="A6725:A6726"/>
    <mergeCell ref="A6747:G6747"/>
    <mergeCell ref="A6749:A6750"/>
    <mergeCell ref="A6771:G6771"/>
    <mergeCell ref="A6773:A6774"/>
    <mergeCell ref="A6651:G6651"/>
    <mergeCell ref="A6653:A6654"/>
    <mergeCell ref="A6675:G6675"/>
    <mergeCell ref="A6677:A6678"/>
    <mergeCell ref="A6699:G6699"/>
    <mergeCell ref="A6701:A6702"/>
    <mergeCell ref="A6579:G6579"/>
    <mergeCell ref="A6581:A6582"/>
    <mergeCell ref="A6603:G6603"/>
    <mergeCell ref="A6605:A6606"/>
    <mergeCell ref="A6627:G6627"/>
    <mergeCell ref="A6629:A6630"/>
    <mergeCell ref="A6507:G6507"/>
    <mergeCell ref="A6509:A6510"/>
    <mergeCell ref="A6531:G6531"/>
    <mergeCell ref="A6533:A6534"/>
    <mergeCell ref="A6555:G6555"/>
    <mergeCell ref="A6557:A6558"/>
    <mergeCell ref="A6435:G6435"/>
    <mergeCell ref="A6437:A6438"/>
    <mergeCell ref="A6459:G6459"/>
    <mergeCell ref="A6461:A6462"/>
    <mergeCell ref="A6483:G6483"/>
    <mergeCell ref="A6485:A6486"/>
    <mergeCell ref="A6363:G6363"/>
    <mergeCell ref="A6365:A6366"/>
    <mergeCell ref="A6387:G6387"/>
    <mergeCell ref="A6389:A6390"/>
    <mergeCell ref="A6411:G6411"/>
    <mergeCell ref="A6413:A6414"/>
    <mergeCell ref="A6291:G6291"/>
    <mergeCell ref="A6293:A6294"/>
    <mergeCell ref="A6315:G6315"/>
    <mergeCell ref="A6317:A6318"/>
    <mergeCell ref="A6339:G6339"/>
    <mergeCell ref="A6341:A6342"/>
    <mergeCell ref="A6219:G6219"/>
    <mergeCell ref="A6221:A6222"/>
    <mergeCell ref="A6243:G6243"/>
    <mergeCell ref="A6245:A6246"/>
    <mergeCell ref="A6267:G6267"/>
    <mergeCell ref="A6269:A6270"/>
    <mergeCell ref="A6147:G6147"/>
    <mergeCell ref="A6149:A6150"/>
    <mergeCell ref="A6171:G6171"/>
    <mergeCell ref="A6173:A6174"/>
    <mergeCell ref="A6195:G6195"/>
    <mergeCell ref="A6197:A6198"/>
    <mergeCell ref="A6075:G6075"/>
    <mergeCell ref="A6077:A6078"/>
    <mergeCell ref="A6099:G6099"/>
    <mergeCell ref="A6101:A6102"/>
    <mergeCell ref="A6123:G6123"/>
    <mergeCell ref="A6125:A6126"/>
    <mergeCell ref="A6003:G6003"/>
    <mergeCell ref="A6005:A6006"/>
    <mergeCell ref="A6027:G6027"/>
    <mergeCell ref="A6029:A6030"/>
    <mergeCell ref="A6051:G6051"/>
    <mergeCell ref="A6053:A6054"/>
    <mergeCell ref="A5931:G5931"/>
    <mergeCell ref="A5933:A5934"/>
    <mergeCell ref="A5955:G5955"/>
    <mergeCell ref="A5957:A5958"/>
    <mergeCell ref="A5979:G5979"/>
    <mergeCell ref="A5981:A5982"/>
    <mergeCell ref="A5859:G5859"/>
    <mergeCell ref="A5861:A5862"/>
    <mergeCell ref="A5883:G5883"/>
    <mergeCell ref="A5885:A5886"/>
    <mergeCell ref="A5907:G5907"/>
    <mergeCell ref="A5909:A5910"/>
    <mergeCell ref="A5787:G5787"/>
    <mergeCell ref="A5789:A5790"/>
    <mergeCell ref="A5811:G5811"/>
    <mergeCell ref="A5813:A5814"/>
    <mergeCell ref="A5835:G5835"/>
    <mergeCell ref="A5837:A5838"/>
    <mergeCell ref="A5710:G5710"/>
    <mergeCell ref="A5712:A5713"/>
    <mergeCell ref="A5739:G5739"/>
    <mergeCell ref="A5741:A5742"/>
    <mergeCell ref="A5763:G5763"/>
    <mergeCell ref="A5765:A5766"/>
    <mergeCell ref="A5625:G5625"/>
    <mergeCell ref="A5627:A5628"/>
    <mergeCell ref="A5652:G5652"/>
    <mergeCell ref="A5654:A5655"/>
    <mergeCell ref="A5681:G5681"/>
    <mergeCell ref="A5683:A5684"/>
    <mergeCell ref="A5546:G5546"/>
    <mergeCell ref="A5548:A5549"/>
    <mergeCell ref="A5573:G5573"/>
    <mergeCell ref="A5575:A5576"/>
    <mergeCell ref="A5598:G5598"/>
    <mergeCell ref="A5600:A5601"/>
    <mergeCell ref="A5469:G5469"/>
    <mergeCell ref="A5471:A5472"/>
    <mergeCell ref="A5495:G5495"/>
    <mergeCell ref="A5497:A5498"/>
    <mergeCell ref="A5519:G5519"/>
    <mergeCell ref="A5521:A5522"/>
    <mergeCell ref="A5384:G5384"/>
    <mergeCell ref="A5386:A5387"/>
    <mergeCell ref="A5413:G5413"/>
    <mergeCell ref="A5415:A5416"/>
    <mergeCell ref="A5442:G5442"/>
    <mergeCell ref="A5444:A5445"/>
    <mergeCell ref="A5302:G5302"/>
    <mergeCell ref="A5304:A5305"/>
    <mergeCell ref="A5328:G5328"/>
    <mergeCell ref="A5330:A5331"/>
    <mergeCell ref="A5353:G5353"/>
    <mergeCell ref="A5355:A5356"/>
    <mergeCell ref="A5223:G5223"/>
    <mergeCell ref="A5225:A5226"/>
    <mergeCell ref="A5249:G5249"/>
    <mergeCell ref="A5251:A5252"/>
    <mergeCell ref="A5275:G5275"/>
    <mergeCell ref="A5277:A5278"/>
    <mergeCell ref="A5144:G5144"/>
    <mergeCell ref="A5146:A5147"/>
    <mergeCell ref="A5171:G5171"/>
    <mergeCell ref="A5173:A5174"/>
    <mergeCell ref="A5197:G5197"/>
    <mergeCell ref="A5199:A5200"/>
    <mergeCell ref="A5063:G5063"/>
    <mergeCell ref="A5065:A5066"/>
    <mergeCell ref="A5096:G5096"/>
    <mergeCell ref="A5098:A5099"/>
    <mergeCell ref="A5120:G5120"/>
    <mergeCell ref="A5122:A5123"/>
    <mergeCell ref="A4991:G4991"/>
    <mergeCell ref="A4993:A4994"/>
    <mergeCell ref="A5015:G5015"/>
    <mergeCell ref="A5017:A5018"/>
    <mergeCell ref="A5039:G5039"/>
    <mergeCell ref="A5041:A5042"/>
    <mergeCell ref="A4911:G4911"/>
    <mergeCell ref="A4913:A4914"/>
    <mergeCell ref="A4935:G4935"/>
    <mergeCell ref="A4937:A4938"/>
    <mergeCell ref="A4966:G4966"/>
    <mergeCell ref="A4968:A4969"/>
    <mergeCell ref="A4814:G4814"/>
    <mergeCell ref="A4816:A4817"/>
    <mergeCell ref="A4847:G4847"/>
    <mergeCell ref="A4849:A4850"/>
    <mergeCell ref="A4876:G4876"/>
    <mergeCell ref="A4878:A4879"/>
    <mergeCell ref="A4735:G4735"/>
    <mergeCell ref="A4737:A4738"/>
    <mergeCell ref="A4760:G4760"/>
    <mergeCell ref="A4762:A4763"/>
    <mergeCell ref="A4786:G4786"/>
    <mergeCell ref="A4788:A4789"/>
    <mergeCell ref="A4656:G4656"/>
    <mergeCell ref="A4658:A4659"/>
    <mergeCell ref="A4683:G4683"/>
    <mergeCell ref="A4685:A4686"/>
    <mergeCell ref="A4709:G4709"/>
    <mergeCell ref="A4711:A4712"/>
    <mergeCell ref="A4555:G4555"/>
    <mergeCell ref="A4557:A4558"/>
    <mergeCell ref="A4588:G4588"/>
    <mergeCell ref="A4590:A4591"/>
    <mergeCell ref="A4621:G4621"/>
    <mergeCell ref="A4623:A4624"/>
    <mergeCell ref="A4472:G4472"/>
    <mergeCell ref="A4474:A4475"/>
    <mergeCell ref="A4497:G4497"/>
    <mergeCell ref="A4499:A4500"/>
    <mergeCell ref="A4522:G4522"/>
    <mergeCell ref="A4524:A4525"/>
    <mergeCell ref="A4382:G4382"/>
    <mergeCell ref="A4384:A4385"/>
    <mergeCell ref="A4409:G4409"/>
    <mergeCell ref="A4411:A4412"/>
    <mergeCell ref="A4437:G4437"/>
    <mergeCell ref="A4439:A4440"/>
    <mergeCell ref="A4297:G4297"/>
    <mergeCell ref="A4299:A4300"/>
    <mergeCell ref="A4326:G4326"/>
    <mergeCell ref="A4328:A4329"/>
    <mergeCell ref="A4355:G4355"/>
    <mergeCell ref="A4357:A4358"/>
    <mergeCell ref="A4211:G4211"/>
    <mergeCell ref="A4213:A4214"/>
    <mergeCell ref="A4241:G4241"/>
    <mergeCell ref="A4243:A4244"/>
    <mergeCell ref="A4267:G4267"/>
    <mergeCell ref="A4269:A4270"/>
    <mergeCell ref="A4130:G4130"/>
    <mergeCell ref="A4132:A4133"/>
    <mergeCell ref="A4157:G4157"/>
    <mergeCell ref="A4159:A4160"/>
    <mergeCell ref="A4183:G4183"/>
    <mergeCell ref="A4185:A4186"/>
    <mergeCell ref="A4045:G4045"/>
    <mergeCell ref="A4047:A4048"/>
    <mergeCell ref="A4075:G4075"/>
    <mergeCell ref="A4077:A4078"/>
    <mergeCell ref="A4104:G4104"/>
    <mergeCell ref="A4106:A4107"/>
    <mergeCell ref="A3962:G3962"/>
    <mergeCell ref="A3964:A3965"/>
    <mergeCell ref="A3989:G3989"/>
    <mergeCell ref="A3991:A3992"/>
    <mergeCell ref="A4016:G4016"/>
    <mergeCell ref="A4018:A4019"/>
    <mergeCell ref="A3879:G3879"/>
    <mergeCell ref="A3881:A3882"/>
    <mergeCell ref="A3908:G3908"/>
    <mergeCell ref="A3910:A3911"/>
    <mergeCell ref="A3934:G3934"/>
    <mergeCell ref="A3936:A3937"/>
    <mergeCell ref="A3799:G3799"/>
    <mergeCell ref="A3801:A3802"/>
    <mergeCell ref="A3826:G3826"/>
    <mergeCell ref="A3828:A3829"/>
    <mergeCell ref="A3850:G3850"/>
    <mergeCell ref="A3852:A3853"/>
    <mergeCell ref="A3724:G3724"/>
    <mergeCell ref="A3726:A3727"/>
    <mergeCell ref="A3748:G3748"/>
    <mergeCell ref="A3750:A3751"/>
    <mergeCell ref="A3775:G3775"/>
    <mergeCell ref="A3777:A3778"/>
    <mergeCell ref="A3652:G3652"/>
    <mergeCell ref="A3654:A3655"/>
    <mergeCell ref="A3676:G3676"/>
    <mergeCell ref="A3678:A3679"/>
    <mergeCell ref="A3700:G3700"/>
    <mergeCell ref="A3702:A3703"/>
    <mergeCell ref="A3580:G3580"/>
    <mergeCell ref="A3582:A3583"/>
    <mergeCell ref="A3604:G3604"/>
    <mergeCell ref="A3606:A3607"/>
    <mergeCell ref="A3628:G3628"/>
    <mergeCell ref="A3630:A3631"/>
    <mergeCell ref="A3508:G3508"/>
    <mergeCell ref="A3510:A3511"/>
    <mergeCell ref="A3532:G3532"/>
    <mergeCell ref="A3534:A3535"/>
    <mergeCell ref="A3556:G3556"/>
    <mergeCell ref="A3558:A3559"/>
    <mergeCell ref="A3424:G3424"/>
    <mergeCell ref="A3426:A3427"/>
    <mergeCell ref="A3450:G3450"/>
    <mergeCell ref="A3452:A3453"/>
    <mergeCell ref="A3476:G3476"/>
    <mergeCell ref="A3478:A3479"/>
    <mergeCell ref="A3345:G3345"/>
    <mergeCell ref="A3347:A3348"/>
    <mergeCell ref="A3375:G3375"/>
    <mergeCell ref="A3377:A3378"/>
    <mergeCell ref="A3399:G3399"/>
    <mergeCell ref="A3401:A3402"/>
    <mergeCell ref="A3263:G3263"/>
    <mergeCell ref="A3265:A3266"/>
    <mergeCell ref="A3288:G3288"/>
    <mergeCell ref="A3290:A3291"/>
    <mergeCell ref="A3317:G3317"/>
    <mergeCell ref="A3319:A3320"/>
    <mergeCell ref="A3187:G3187"/>
    <mergeCell ref="A3189:A3190"/>
    <mergeCell ref="A3211:G3211"/>
    <mergeCell ref="A3213:A3214"/>
    <mergeCell ref="A3235:G3235"/>
    <mergeCell ref="A3237:A3238"/>
    <mergeCell ref="A3115:G3115"/>
    <mergeCell ref="A3117:A3118"/>
    <mergeCell ref="A3139:G3139"/>
    <mergeCell ref="A3141:A3142"/>
    <mergeCell ref="A3163:G3163"/>
    <mergeCell ref="A3165:A3166"/>
    <mergeCell ref="A2942:G2942"/>
    <mergeCell ref="A2946:A2947"/>
    <mergeCell ref="B2946:H2947"/>
    <mergeCell ref="A3043:G3043"/>
    <mergeCell ref="A3045:A3046"/>
    <mergeCell ref="A3067:G3067"/>
    <mergeCell ref="A3069:A3070"/>
    <mergeCell ref="A3091:G3091"/>
    <mergeCell ref="A3093:A3094"/>
    <mergeCell ref="A2971:G2971"/>
    <mergeCell ref="A2973:A2974"/>
    <mergeCell ref="A2995:G2995"/>
    <mergeCell ref="A2997:A2998"/>
    <mergeCell ref="A3019:G3019"/>
    <mergeCell ref="A3021:A3022"/>
    <mergeCell ref="A2778:G2778"/>
    <mergeCell ref="A2780:A2781"/>
    <mergeCell ref="B2780:H2781"/>
    <mergeCell ref="A2888:G2888"/>
    <mergeCell ref="A2891:A2892"/>
    <mergeCell ref="B2891:H2892"/>
    <mergeCell ref="A2915:G2915"/>
    <mergeCell ref="A2918:A2919"/>
    <mergeCell ref="B2918:H2919"/>
    <mergeCell ref="A2804:G2804"/>
    <mergeCell ref="A2807:A2808"/>
    <mergeCell ref="B2807:H2808"/>
    <mergeCell ref="A2834:G2834"/>
    <mergeCell ref="A2836:A2837"/>
    <mergeCell ref="B2836:H2837"/>
    <mergeCell ref="A2860:G2860"/>
    <mergeCell ref="A2864:A2865"/>
    <mergeCell ref="B2864:H2865"/>
    <mergeCell ref="A2613:G2613"/>
    <mergeCell ref="A2616:A2617"/>
    <mergeCell ref="B2616:H2617"/>
    <mergeCell ref="A2642:G2642"/>
    <mergeCell ref="A2644:A2645"/>
    <mergeCell ref="B2644:H2645"/>
    <mergeCell ref="A2723:G2723"/>
    <mergeCell ref="A2725:A2726"/>
    <mergeCell ref="A2754:A2755"/>
    <mergeCell ref="B2754:H2755"/>
    <mergeCell ref="A2669:G2669"/>
    <mergeCell ref="A2671:A2672"/>
    <mergeCell ref="B2671:H2672"/>
    <mergeCell ref="A2696:G2696"/>
    <mergeCell ref="A2699:A2700"/>
    <mergeCell ref="B2699:H2700"/>
    <mergeCell ref="A2727:A2728"/>
    <mergeCell ref="B2727:H2728"/>
    <mergeCell ref="A2751:G2751"/>
    <mergeCell ref="A2452:A2453"/>
    <mergeCell ref="B2452:H2453"/>
    <mergeCell ref="A2476:G2476"/>
    <mergeCell ref="A2479:A2480"/>
    <mergeCell ref="B2479:H2480"/>
    <mergeCell ref="A2530:G2530"/>
    <mergeCell ref="A2532:A2533"/>
    <mergeCell ref="A2589:A2590"/>
    <mergeCell ref="B2589:H2590"/>
    <mergeCell ref="A2503:G2503"/>
    <mergeCell ref="A2506:A2507"/>
    <mergeCell ref="B2506:H2507"/>
    <mergeCell ref="A2535:A2536"/>
    <mergeCell ref="B2535:H2536"/>
    <mergeCell ref="A2559:G2559"/>
    <mergeCell ref="A2562:A2563"/>
    <mergeCell ref="B2562:H2563"/>
    <mergeCell ref="A2587:G2587"/>
    <mergeCell ref="A2372:A2373"/>
    <mergeCell ref="B2372:H2373"/>
    <mergeCell ref="A2397:G2397"/>
    <mergeCell ref="A2399:A2400"/>
    <mergeCell ref="B2399:H2400"/>
    <mergeCell ref="A2423:G2423"/>
    <mergeCell ref="A2425:A2426"/>
    <mergeCell ref="B2425:H2426"/>
    <mergeCell ref="A2449:G2449"/>
    <mergeCell ref="A2217:A2218"/>
    <mergeCell ref="B2217:H2218"/>
    <mergeCell ref="A2312:G2312"/>
    <mergeCell ref="A2314:A2315"/>
    <mergeCell ref="B2314:H2315"/>
    <mergeCell ref="A2345:G2345"/>
    <mergeCell ref="A2347:A2348"/>
    <mergeCell ref="B2347:H2348"/>
    <mergeCell ref="A2369:G2369"/>
    <mergeCell ref="A2240:G2240"/>
    <mergeCell ref="A2242:A2243"/>
    <mergeCell ref="B2242:H2243"/>
    <mergeCell ref="A2264:G2264"/>
    <mergeCell ref="A2266:A2267"/>
    <mergeCell ref="B2266:H2267"/>
    <mergeCell ref="A2288:G2288"/>
    <mergeCell ref="A2290:A2291"/>
    <mergeCell ref="B2290:H2291"/>
    <mergeCell ref="A1830:G1830"/>
    <mergeCell ref="A1833:A1834"/>
    <mergeCell ref="B1833:H1834"/>
    <mergeCell ref="A1972:A1973"/>
    <mergeCell ref="A1942:G1942"/>
    <mergeCell ref="A1944:A1945"/>
    <mergeCell ref="B1944:H1945"/>
    <mergeCell ref="A1971:G1971"/>
    <mergeCell ref="A1974:A1975"/>
    <mergeCell ref="B1974:H1975"/>
    <mergeCell ref="A1857:G1857"/>
    <mergeCell ref="A1860:A1861"/>
    <mergeCell ref="B1860:H1861"/>
    <mergeCell ref="A1888:G1888"/>
    <mergeCell ref="A1891:A1892"/>
    <mergeCell ref="B1891:H1892"/>
    <mergeCell ref="A1915:G1915"/>
    <mergeCell ref="A1918:A1919"/>
    <mergeCell ref="B1918:H1919"/>
    <mergeCell ref="A1680:A1681"/>
    <mergeCell ref="A1653:G1653"/>
    <mergeCell ref="B1656:H1657"/>
    <mergeCell ref="A1682:A1683"/>
    <mergeCell ref="B1682:H1683"/>
    <mergeCell ref="A1800:A1801"/>
    <mergeCell ref="A1799:G1799"/>
    <mergeCell ref="A1803:A1804"/>
    <mergeCell ref="B1803:H1804"/>
    <mergeCell ref="A1709:G1709"/>
    <mergeCell ref="A1712:A1713"/>
    <mergeCell ref="B1712:H1713"/>
    <mergeCell ref="A1739:G1739"/>
    <mergeCell ref="A1742:A1743"/>
    <mergeCell ref="B1742:H1743"/>
    <mergeCell ref="A1769:G1769"/>
    <mergeCell ref="A1772:A1773"/>
    <mergeCell ref="B1772:H1773"/>
    <mergeCell ref="A1520:G1520"/>
    <mergeCell ref="A1523:A1524"/>
    <mergeCell ref="B1523:H1524"/>
    <mergeCell ref="A1547:G1547"/>
    <mergeCell ref="A1550:A1551"/>
    <mergeCell ref="B1550:H1551"/>
    <mergeCell ref="A1654:G1654"/>
    <mergeCell ref="A1656:A1657"/>
    <mergeCell ref="A1678:G1678"/>
    <mergeCell ref="A1574:G1574"/>
    <mergeCell ref="A1577:A1578"/>
    <mergeCell ref="B1577:H1578"/>
    <mergeCell ref="A1601:G1601"/>
    <mergeCell ref="A1604:A1605"/>
    <mergeCell ref="B1604:H1605"/>
    <mergeCell ref="A1628:G1628"/>
    <mergeCell ref="A1631:A1632"/>
    <mergeCell ref="B1631:H1632"/>
    <mergeCell ref="A1277:A1278"/>
    <mergeCell ref="B1277:H1278"/>
    <mergeCell ref="A1300:G1300"/>
    <mergeCell ref="A1303:A1304"/>
    <mergeCell ref="B1303:H1304"/>
    <mergeCell ref="A1407:G1407"/>
    <mergeCell ref="A1410:A1411"/>
    <mergeCell ref="B1410:H1411"/>
    <mergeCell ref="A1434:G1434"/>
    <mergeCell ref="A1109:A1110"/>
    <mergeCell ref="B1109:H1110"/>
    <mergeCell ref="A1134:G1134"/>
    <mergeCell ref="A1137:A1138"/>
    <mergeCell ref="B1137:H1138"/>
    <mergeCell ref="A1166:G1166"/>
    <mergeCell ref="A1169:A1170"/>
    <mergeCell ref="B1169:H1170"/>
    <mergeCell ref="A1275:A1276"/>
    <mergeCell ref="A1250:G1250"/>
    <mergeCell ref="A1274:G1274"/>
    <mergeCell ref="A1194:G1194"/>
    <mergeCell ref="A1197:A1198"/>
    <mergeCell ref="B1197:H1198"/>
    <mergeCell ref="A1221:G1221"/>
    <mergeCell ref="A1224:A1225"/>
    <mergeCell ref="B1224:H1225"/>
    <mergeCell ref="A1248:G1248"/>
    <mergeCell ref="A1251:A1252"/>
    <mergeCell ref="B1251:H1252"/>
    <mergeCell ref="A1050:G1050"/>
    <mergeCell ref="A1053:A1054"/>
    <mergeCell ref="B1053:H1054"/>
    <mergeCell ref="A1077:G1077"/>
    <mergeCell ref="A1080:A1081"/>
    <mergeCell ref="B1080:H1081"/>
    <mergeCell ref="A1079:G1079"/>
    <mergeCell ref="A1107:A1108"/>
    <mergeCell ref="A1106:G1106"/>
    <mergeCell ref="A968:G968"/>
    <mergeCell ref="A971:A972"/>
    <mergeCell ref="B971:H972"/>
    <mergeCell ref="A995:G995"/>
    <mergeCell ref="A998:A999"/>
    <mergeCell ref="B998:H999"/>
    <mergeCell ref="A1023:G1023"/>
    <mergeCell ref="A1026:A1027"/>
    <mergeCell ref="B1026:H1027"/>
    <mergeCell ref="A835:G835"/>
    <mergeCell ref="A838:A839"/>
    <mergeCell ref="B838:H839"/>
    <mergeCell ref="K929:K930"/>
    <mergeCell ref="L929:R930"/>
    <mergeCell ref="K951:Q951"/>
    <mergeCell ref="A861:G861"/>
    <mergeCell ref="A864:A865"/>
    <mergeCell ref="B864:H865"/>
    <mergeCell ref="A888:G888"/>
    <mergeCell ref="A891:A892"/>
    <mergeCell ref="B891:H892"/>
    <mergeCell ref="A915:G915"/>
    <mergeCell ref="A917:A918"/>
    <mergeCell ref="B917:H918"/>
    <mergeCell ref="A941:G941"/>
    <mergeCell ref="A944:A945"/>
    <mergeCell ref="B944:H945"/>
    <mergeCell ref="A809:G809"/>
    <mergeCell ref="A812:A813"/>
    <mergeCell ref="B812:H813"/>
    <mergeCell ref="A675:G675"/>
    <mergeCell ref="A678:A679"/>
    <mergeCell ref="B678:H679"/>
    <mergeCell ref="A702:G702"/>
    <mergeCell ref="A705:A706"/>
    <mergeCell ref="B705:H706"/>
    <mergeCell ref="A729:G729"/>
    <mergeCell ref="A732:A733"/>
    <mergeCell ref="B732:H733"/>
    <mergeCell ref="A756:G756"/>
    <mergeCell ref="A624:A625"/>
    <mergeCell ref="B624:H625"/>
    <mergeCell ref="A648:G648"/>
    <mergeCell ref="A651:A652"/>
    <mergeCell ref="B651:H652"/>
    <mergeCell ref="A760:A761"/>
    <mergeCell ref="B760:H761"/>
    <mergeCell ref="A783:G783"/>
    <mergeCell ref="A786:A787"/>
    <mergeCell ref="B786:H787"/>
    <mergeCell ref="A598:A599"/>
    <mergeCell ref="B598:H599"/>
    <mergeCell ref="A621:G621"/>
    <mergeCell ref="A568:G568"/>
    <mergeCell ref="A569:G569"/>
    <mergeCell ref="A571:A572"/>
    <mergeCell ref="B571:H572"/>
    <mergeCell ref="A595:G595"/>
    <mergeCell ref="A596:A597"/>
    <mergeCell ref="A516:G516"/>
    <mergeCell ref="A519:A520"/>
    <mergeCell ref="B519:H520"/>
    <mergeCell ref="A542:G542"/>
    <mergeCell ref="A543:G543"/>
    <mergeCell ref="A545:A546"/>
    <mergeCell ref="B545:H546"/>
    <mergeCell ref="A464:G464"/>
    <mergeCell ref="A467:A468"/>
    <mergeCell ref="B467:H468"/>
    <mergeCell ref="A490:G490"/>
    <mergeCell ref="A493:A494"/>
    <mergeCell ref="B493:H494"/>
    <mergeCell ref="A413:G413"/>
    <mergeCell ref="A416:A417"/>
    <mergeCell ref="B416:H417"/>
    <mergeCell ref="A438:G438"/>
    <mergeCell ref="A441:A442"/>
    <mergeCell ref="B441:H442"/>
    <mergeCell ref="A340:G340"/>
    <mergeCell ref="A343:A344"/>
    <mergeCell ref="B343:H344"/>
    <mergeCell ref="A365:G365"/>
    <mergeCell ref="A391:A392"/>
    <mergeCell ref="B391:H392"/>
    <mergeCell ref="A367:A368"/>
    <mergeCell ref="B367:H368"/>
    <mergeCell ref="A389:G389"/>
    <mergeCell ref="A279:G279"/>
    <mergeCell ref="A283:A284"/>
    <mergeCell ref="B283:H284"/>
    <mergeCell ref="A313:G313"/>
    <mergeCell ref="A316:A317"/>
    <mergeCell ref="B316:H317"/>
    <mergeCell ref="A215:G215"/>
    <mergeCell ref="A218:A219"/>
    <mergeCell ref="B218:H219"/>
    <mergeCell ref="A247:G247"/>
    <mergeCell ref="A250:A251"/>
    <mergeCell ref="B250:H251"/>
    <mergeCell ref="A164:G164"/>
    <mergeCell ref="A166:G166"/>
    <mergeCell ref="A167:A168"/>
    <mergeCell ref="B167:H168"/>
    <mergeCell ref="A189:G189"/>
    <mergeCell ref="A192:A193"/>
    <mergeCell ref="B192:H193"/>
    <mergeCell ref="A109:G109"/>
    <mergeCell ref="A112:A113"/>
    <mergeCell ref="B112:H113"/>
    <mergeCell ref="A135:G135"/>
    <mergeCell ref="A139:A140"/>
    <mergeCell ref="B139:H140"/>
    <mergeCell ref="A54:G54"/>
    <mergeCell ref="A57:A58"/>
    <mergeCell ref="B57:H58"/>
    <mergeCell ref="A82:G82"/>
    <mergeCell ref="A85:A86"/>
    <mergeCell ref="B85:H86"/>
    <mergeCell ref="B1:H1"/>
    <mergeCell ref="A2:A3"/>
    <mergeCell ref="B2:H3"/>
    <mergeCell ref="A26:G26"/>
    <mergeCell ref="A28:A29"/>
    <mergeCell ref="B28:H29"/>
    <mergeCell ref="A1465:G1465"/>
    <mergeCell ref="A1469:A1470"/>
    <mergeCell ref="B1469:H1470"/>
    <mergeCell ref="A1493:G1493"/>
    <mergeCell ref="A1496:A1497"/>
    <mergeCell ref="B1496:H1497"/>
    <mergeCell ref="A1327:G1327"/>
    <mergeCell ref="A1329:A1330"/>
    <mergeCell ref="B1329:H1330"/>
    <mergeCell ref="A1353:G1353"/>
    <mergeCell ref="A1356:A1357"/>
    <mergeCell ref="B1356:H1357"/>
    <mergeCell ref="A1380:G1380"/>
    <mergeCell ref="A1383:A1384"/>
    <mergeCell ref="B1383:H1384"/>
    <mergeCell ref="A1439:A1440"/>
    <mergeCell ref="B1439:H1440"/>
    <mergeCell ref="A2151:G2151"/>
    <mergeCell ref="A2153:A2154"/>
    <mergeCell ref="B2153:H2154"/>
    <mergeCell ref="A2180:G2180"/>
    <mergeCell ref="A2182:A2183"/>
    <mergeCell ref="B2182:H2183"/>
    <mergeCell ref="A2215:G2215"/>
    <mergeCell ref="A1999:G1999"/>
    <mergeCell ref="A2002:A2003"/>
    <mergeCell ref="B2002:H2003"/>
    <mergeCell ref="A2027:G2027"/>
    <mergeCell ref="A2030:A2031"/>
    <mergeCell ref="B2030:H2031"/>
    <mergeCell ref="A2063:G2063"/>
    <mergeCell ref="A2066:A2067"/>
    <mergeCell ref="B2066:H2067"/>
    <mergeCell ref="A2090:G2090"/>
    <mergeCell ref="A2092:A2093"/>
    <mergeCell ref="A2089:G2089"/>
    <mergeCell ref="B2092:H2093"/>
    <mergeCell ref="A2118:G2118"/>
    <mergeCell ref="A2120:A2121"/>
    <mergeCell ref="B2120:H2121"/>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72"/>
  <sheetViews>
    <sheetView topLeftCell="B889" workbookViewId="0">
      <selection activeCell="D854" sqref="D854"/>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0.28515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663"/>
      <c r="C1" s="663"/>
      <c r="D1" s="663"/>
      <c r="E1" s="663"/>
      <c r="F1" s="663"/>
      <c r="G1" s="663"/>
      <c r="H1" s="663"/>
      <c r="I1" s="211"/>
    </row>
    <row r="2" spans="1:9" s="212" customFormat="1" ht="15" customHeight="1">
      <c r="A2" s="647"/>
      <c r="B2" s="649" t="s">
        <v>245</v>
      </c>
      <c r="C2" s="650"/>
      <c r="D2" s="650"/>
      <c r="E2" s="650"/>
      <c r="F2" s="650"/>
      <c r="G2" s="650"/>
      <c r="H2" s="650"/>
      <c r="I2" s="283" t="s">
        <v>389</v>
      </c>
    </row>
    <row r="3" spans="1:9" s="212" customFormat="1" ht="15" customHeight="1">
      <c r="A3" s="648"/>
      <c r="B3" s="651"/>
      <c r="C3" s="652"/>
      <c r="D3" s="652"/>
      <c r="E3" s="652"/>
      <c r="F3" s="652"/>
      <c r="G3" s="652"/>
      <c r="H3" s="652"/>
      <c r="I3" s="284" t="s">
        <v>7</v>
      </c>
    </row>
    <row r="4" spans="1:9" s="212" customFormat="1" ht="15" customHeight="1">
      <c r="A4" s="68"/>
      <c r="B4" s="69"/>
      <c r="C4" s="69"/>
      <c r="D4" s="69"/>
      <c r="E4" s="69"/>
      <c r="F4" s="218"/>
      <c r="G4" s="218"/>
      <c r="H4" s="218"/>
      <c r="I4" s="285"/>
    </row>
    <row r="5" spans="1:9" s="212" customFormat="1" ht="15" customHeight="1">
      <c r="A5" s="72" t="s">
        <v>390</v>
      </c>
      <c r="B5" s="73"/>
      <c r="C5" s="73"/>
      <c r="D5" s="73"/>
      <c r="E5" s="73"/>
      <c r="F5" s="217"/>
      <c r="G5" s="217"/>
      <c r="H5" s="218"/>
      <c r="I5" s="285"/>
    </row>
    <row r="6" spans="1:9" s="212" customFormat="1">
      <c r="A6" s="286" t="s">
        <v>391</v>
      </c>
      <c r="B6" s="76" t="s">
        <v>392</v>
      </c>
      <c r="C6" s="76" t="s">
        <v>393</v>
      </c>
      <c r="D6" s="76" t="s">
        <v>394</v>
      </c>
      <c r="E6" s="76" t="s">
        <v>395</v>
      </c>
      <c r="F6" s="76" t="s">
        <v>396</v>
      </c>
      <c r="G6" s="76" t="s">
        <v>397</v>
      </c>
      <c r="H6" s="217"/>
      <c r="I6" s="285"/>
    </row>
    <row r="7" spans="1:9" s="212" customFormat="1">
      <c r="A7" s="77" t="s">
        <v>404</v>
      </c>
      <c r="B7" s="78" t="s">
        <v>416</v>
      </c>
      <c r="C7" s="79" t="s">
        <v>406</v>
      </c>
      <c r="D7" s="287">
        <v>1250</v>
      </c>
      <c r="E7" s="79">
        <v>1</v>
      </c>
      <c r="F7" s="79">
        <v>0</v>
      </c>
      <c r="G7" s="287">
        <f>(D7*E7)+((D7*E7)*F7/100)</f>
        <v>1250</v>
      </c>
      <c r="H7" s="217"/>
      <c r="I7" s="285"/>
    </row>
    <row r="8" spans="1:9" s="212" customFormat="1">
      <c r="A8" s="82"/>
      <c r="B8" s="83"/>
      <c r="C8" s="84"/>
      <c r="D8" s="84"/>
      <c r="E8" s="84"/>
      <c r="F8" s="216"/>
      <c r="G8" s="288" t="s">
        <v>407</v>
      </c>
      <c r="H8" s="287">
        <f>SUM(G7:G7)</f>
        <v>1250</v>
      </c>
      <c r="I8" s="285"/>
    </row>
    <row r="9" spans="1:9" s="212" customFormat="1">
      <c r="A9" s="72" t="s">
        <v>408</v>
      </c>
      <c r="B9" s="73"/>
      <c r="C9" s="73"/>
      <c r="D9" s="73"/>
      <c r="E9" s="73"/>
      <c r="F9" s="216"/>
      <c r="G9" s="217"/>
      <c r="H9" s="289"/>
      <c r="I9" s="285"/>
    </row>
    <row r="10" spans="1:9" s="212" customFormat="1">
      <c r="A10" s="286" t="s">
        <v>391</v>
      </c>
      <c r="B10" s="76" t="s">
        <v>392</v>
      </c>
      <c r="C10" s="76" t="s">
        <v>393</v>
      </c>
      <c r="D10" s="76" t="s">
        <v>394</v>
      </c>
      <c r="E10" s="76" t="s">
        <v>395</v>
      </c>
      <c r="F10" s="76" t="s">
        <v>396</v>
      </c>
      <c r="G10" s="76" t="s">
        <v>397</v>
      </c>
      <c r="H10" s="289"/>
      <c r="I10" s="285"/>
    </row>
    <row r="11" spans="1:9" s="212" customFormat="1">
      <c r="A11" s="87" t="s">
        <v>409</v>
      </c>
      <c r="B11" s="114" t="s">
        <v>245</v>
      </c>
      <c r="C11" s="114" t="s">
        <v>7</v>
      </c>
      <c r="D11" s="287">
        <f>8163*1.2</f>
        <v>9795.6</v>
      </c>
      <c r="E11" s="114">
        <v>1</v>
      </c>
      <c r="F11" s="79"/>
      <c r="G11" s="287">
        <f>(D11*E11)+((D11*E11)*F11/100)</f>
        <v>9795.6</v>
      </c>
      <c r="H11" s="289"/>
      <c r="I11" s="285"/>
    </row>
    <row r="12" spans="1:9" s="212" customFormat="1">
      <c r="A12" s="88"/>
      <c r="B12" s="114" t="s">
        <v>731</v>
      </c>
      <c r="C12" s="114" t="s">
        <v>7</v>
      </c>
      <c r="D12" s="287">
        <f>31652*1.2</f>
        <v>37982.400000000001</v>
      </c>
      <c r="E12" s="114">
        <v>3.0000000000000001E-3</v>
      </c>
      <c r="F12" s="79"/>
      <c r="G12" s="287">
        <f>(D12*E12)+((D12*E12)*F12/100)</f>
        <v>113.94720000000001</v>
      </c>
      <c r="H12" s="289"/>
      <c r="I12" s="285"/>
    </row>
    <row r="13" spans="1:9" s="212" customFormat="1">
      <c r="A13" s="88"/>
      <c r="B13" s="114" t="s">
        <v>732</v>
      </c>
      <c r="C13" s="114" t="s">
        <v>7</v>
      </c>
      <c r="D13" s="287">
        <f>65646*1.2</f>
        <v>78775.199999999997</v>
      </c>
      <c r="E13" s="114">
        <v>2E-3</v>
      </c>
      <c r="F13" s="79"/>
      <c r="G13" s="287">
        <f>(D13*E13)+((D13*E13)*F13/100)</f>
        <v>157.5504</v>
      </c>
      <c r="H13" s="289"/>
      <c r="I13" s="285"/>
    </row>
    <row r="14" spans="1:9" s="212" customFormat="1">
      <c r="A14" s="90"/>
      <c r="B14" s="91"/>
      <c r="C14" s="91"/>
      <c r="D14" s="91"/>
      <c r="E14" s="91"/>
      <c r="F14" s="216"/>
      <c r="G14" s="290" t="s">
        <v>407</v>
      </c>
      <c r="H14" s="287">
        <f>SUM(G11:G13)</f>
        <v>10067.097600000001</v>
      </c>
      <c r="I14" s="285"/>
    </row>
    <row r="15" spans="1:9" s="212" customFormat="1">
      <c r="A15" s="72" t="s">
        <v>410</v>
      </c>
      <c r="B15" s="73"/>
      <c r="C15" s="73"/>
      <c r="D15" s="73"/>
      <c r="E15" s="73"/>
      <c r="F15" s="216"/>
      <c r="G15" s="217"/>
      <c r="H15" s="289"/>
      <c r="I15" s="285"/>
    </row>
    <row r="16" spans="1:9" s="212" customFormat="1">
      <c r="A16" s="286" t="s">
        <v>391</v>
      </c>
      <c r="B16" s="76" t="s">
        <v>392</v>
      </c>
      <c r="C16" s="76" t="s">
        <v>393</v>
      </c>
      <c r="D16" s="76" t="s">
        <v>394</v>
      </c>
      <c r="E16" s="76" t="s">
        <v>395</v>
      </c>
      <c r="F16" s="76" t="s">
        <v>396</v>
      </c>
      <c r="G16" s="76" t="s">
        <v>397</v>
      </c>
      <c r="H16" s="289"/>
      <c r="I16" s="285"/>
    </row>
    <row r="17" spans="1:9" s="212" customFormat="1">
      <c r="A17" s="125" t="s">
        <v>438</v>
      </c>
      <c r="B17" s="126" t="s">
        <v>439</v>
      </c>
      <c r="C17" s="127" t="s">
        <v>426</v>
      </c>
      <c r="D17" s="287">
        <v>5627</v>
      </c>
      <c r="E17" s="79">
        <v>6</v>
      </c>
      <c r="F17" s="79">
        <v>0</v>
      </c>
      <c r="G17" s="287">
        <f>(D17*E17)+((D17*E17)*F17/100)</f>
        <v>33762</v>
      </c>
      <c r="H17" s="289"/>
      <c r="I17" s="285"/>
    </row>
    <row r="18" spans="1:9" s="212" customFormat="1">
      <c r="A18" s="90"/>
      <c r="B18" s="91"/>
      <c r="C18" s="91"/>
      <c r="D18" s="91"/>
      <c r="E18" s="91"/>
      <c r="F18" s="216"/>
      <c r="G18" s="288" t="s">
        <v>407</v>
      </c>
      <c r="H18" s="287">
        <f>SUM(G17:G17)</f>
        <v>33762</v>
      </c>
      <c r="I18" s="285"/>
    </row>
    <row r="19" spans="1:9" s="212" customFormat="1">
      <c r="A19" s="72" t="s">
        <v>411</v>
      </c>
      <c r="B19" s="73"/>
      <c r="C19" s="73"/>
      <c r="D19" s="73"/>
      <c r="E19" s="73"/>
      <c r="F19" s="216"/>
      <c r="G19" s="217"/>
      <c r="H19" s="289"/>
      <c r="I19" s="285"/>
    </row>
    <row r="20" spans="1:9" s="212" customFormat="1">
      <c r="A20" s="286" t="s">
        <v>391</v>
      </c>
      <c r="B20" s="76" t="s">
        <v>392</v>
      </c>
      <c r="C20" s="76" t="s">
        <v>393</v>
      </c>
      <c r="D20" s="76" t="s">
        <v>394</v>
      </c>
      <c r="E20" s="76" t="s">
        <v>395</v>
      </c>
      <c r="F20" s="76" t="s">
        <v>396</v>
      </c>
      <c r="G20" s="76" t="s">
        <v>397</v>
      </c>
      <c r="H20" s="289"/>
      <c r="I20" s="285"/>
    </row>
    <row r="21" spans="1:9" s="212" customFormat="1">
      <c r="A21" s="87" t="s">
        <v>409</v>
      </c>
      <c r="B21" s="114" t="s">
        <v>409</v>
      </c>
      <c r="C21" s="114" t="s">
        <v>409</v>
      </c>
      <c r="D21" s="114" t="s">
        <v>409</v>
      </c>
      <c r="E21" s="114" t="s">
        <v>409</v>
      </c>
      <c r="F21" s="79" t="s">
        <v>409</v>
      </c>
      <c r="G21" s="302" t="s">
        <v>409</v>
      </c>
      <c r="H21" s="289"/>
      <c r="I21" s="285"/>
    </row>
    <row r="22" spans="1:9" s="212" customFormat="1">
      <c r="A22" s="94"/>
      <c r="B22" s="95"/>
      <c r="C22" s="95"/>
      <c r="D22" s="95"/>
      <c r="E22" s="95"/>
      <c r="F22" s="216"/>
      <c r="G22" s="288" t="s">
        <v>407</v>
      </c>
      <c r="H22" s="287">
        <f>SUM(G20:G21)</f>
        <v>0</v>
      </c>
      <c r="I22" s="285"/>
    </row>
    <row r="23" spans="1:9" s="212" customFormat="1">
      <c r="A23" s="94"/>
      <c r="B23" s="95"/>
      <c r="C23" s="95"/>
      <c r="D23" s="95"/>
      <c r="E23" s="95"/>
      <c r="F23" s="216"/>
      <c r="G23" s="217"/>
      <c r="H23" s="217"/>
      <c r="I23" s="285"/>
    </row>
    <row r="24" spans="1:9" s="212" customFormat="1">
      <c r="A24" s="292"/>
      <c r="B24" s="97"/>
      <c r="C24" s="98"/>
      <c r="D24" s="98"/>
      <c r="E24" s="98"/>
      <c r="F24" s="216"/>
      <c r="G24" s="293" t="s">
        <v>412</v>
      </c>
      <c r="H24" s="294">
        <f>SUM(H8:H22)</f>
        <v>45079.097600000001</v>
      </c>
      <c r="I24" s="285"/>
    </row>
    <row r="25" spans="1:9" s="212" customFormat="1">
      <c r="A25" s="292"/>
      <c r="B25" s="97"/>
      <c r="C25" s="98"/>
      <c r="D25" s="98"/>
      <c r="E25" s="98"/>
      <c r="F25" s="295"/>
      <c r="G25" s="296"/>
      <c r="H25" s="218"/>
      <c r="I25" s="285"/>
    </row>
    <row r="26" spans="1:9" s="212" customFormat="1" ht="15.75" thickBot="1">
      <c r="A26" s="624" t="s">
        <v>502</v>
      </c>
      <c r="B26" s="625"/>
      <c r="C26" s="625"/>
      <c r="D26" s="625"/>
      <c r="E26" s="625"/>
      <c r="F26" s="625"/>
      <c r="G26" s="626"/>
      <c r="H26" s="297">
        <f>+ROUND(H24,0)</f>
        <v>45079</v>
      </c>
      <c r="I26" s="298"/>
    </row>
    <row r="27" spans="1:9" s="212" customFormat="1" ht="15.75" thickBot="1">
      <c r="A27" s="91"/>
      <c r="B27" s="91"/>
      <c r="C27" s="91"/>
      <c r="D27" s="91"/>
      <c r="E27" s="91"/>
      <c r="G27" s="213"/>
      <c r="H27" s="214"/>
    </row>
    <row r="28" spans="1:9" s="212" customFormat="1">
      <c r="A28" s="647"/>
      <c r="B28" s="649" t="s">
        <v>51</v>
      </c>
      <c r="C28" s="650"/>
      <c r="D28" s="650"/>
      <c r="E28" s="650"/>
      <c r="F28" s="650"/>
      <c r="G28" s="650"/>
      <c r="H28" s="650"/>
      <c r="I28" s="283" t="s">
        <v>389</v>
      </c>
    </row>
    <row r="29" spans="1:9" s="212" customFormat="1">
      <c r="A29" s="648"/>
      <c r="B29" s="651"/>
      <c r="C29" s="652"/>
      <c r="D29" s="652"/>
      <c r="E29" s="652"/>
      <c r="F29" s="652"/>
      <c r="G29" s="652"/>
      <c r="H29" s="652"/>
      <c r="I29" s="284" t="s">
        <v>7</v>
      </c>
    </row>
    <row r="30" spans="1:9" s="212" customFormat="1">
      <c r="A30" s="68"/>
      <c r="B30" s="69"/>
      <c r="C30" s="69"/>
      <c r="D30" s="69"/>
      <c r="E30" s="69"/>
      <c r="F30" s="218"/>
      <c r="G30" s="218"/>
      <c r="H30" s="218"/>
      <c r="I30" s="285"/>
    </row>
    <row r="31" spans="1:9" s="212" customFormat="1">
      <c r="A31" s="72" t="s">
        <v>390</v>
      </c>
      <c r="B31" s="73"/>
      <c r="C31" s="73"/>
      <c r="D31" s="73"/>
      <c r="E31" s="73"/>
      <c r="F31" s="217"/>
      <c r="G31" s="217"/>
      <c r="H31" s="218"/>
      <c r="I31" s="285"/>
    </row>
    <row r="32" spans="1:9" s="212" customFormat="1">
      <c r="A32" s="286" t="s">
        <v>391</v>
      </c>
      <c r="B32" s="76" t="s">
        <v>392</v>
      </c>
      <c r="C32" s="76" t="s">
        <v>393</v>
      </c>
      <c r="D32" s="76" t="s">
        <v>394</v>
      </c>
      <c r="E32" s="76" t="s">
        <v>395</v>
      </c>
      <c r="F32" s="76" t="s">
        <v>396</v>
      </c>
      <c r="G32" s="76" t="s">
        <v>397</v>
      </c>
      <c r="H32" s="217"/>
      <c r="I32" s="285"/>
    </row>
    <row r="33" spans="1:9" s="212" customFormat="1">
      <c r="A33" s="77" t="s">
        <v>404</v>
      </c>
      <c r="B33" s="78" t="s">
        <v>416</v>
      </c>
      <c r="C33" s="79" t="s">
        <v>406</v>
      </c>
      <c r="D33" s="287">
        <v>1250</v>
      </c>
      <c r="E33" s="79">
        <v>1</v>
      </c>
      <c r="F33" s="79">
        <v>0</v>
      </c>
      <c r="G33" s="287">
        <f>(D33*E33)+((D33*E33)*F33/100)</f>
        <v>1250</v>
      </c>
      <c r="H33" s="217"/>
      <c r="I33" s="285"/>
    </row>
    <row r="34" spans="1:9" s="212" customFormat="1">
      <c r="A34" s="82"/>
      <c r="B34" s="83"/>
      <c r="C34" s="84"/>
      <c r="D34" s="84"/>
      <c r="E34" s="84"/>
      <c r="F34" s="216"/>
      <c r="G34" s="288" t="s">
        <v>407</v>
      </c>
      <c r="H34" s="287">
        <f>SUM(G33:G33)</f>
        <v>1250</v>
      </c>
      <c r="I34" s="285"/>
    </row>
    <row r="35" spans="1:9" s="212" customFormat="1">
      <c r="A35" s="72" t="s">
        <v>408</v>
      </c>
      <c r="B35" s="73"/>
      <c r="C35" s="73"/>
      <c r="D35" s="73"/>
      <c r="E35" s="73"/>
      <c r="F35" s="216"/>
      <c r="G35" s="217"/>
      <c r="H35" s="289"/>
      <c r="I35" s="285"/>
    </row>
    <row r="36" spans="1:9" s="212" customFormat="1">
      <c r="A36" s="286" t="s">
        <v>391</v>
      </c>
      <c r="B36" s="76" t="s">
        <v>392</v>
      </c>
      <c r="C36" s="76" t="s">
        <v>393</v>
      </c>
      <c r="D36" s="76" t="s">
        <v>394</v>
      </c>
      <c r="E36" s="76" t="s">
        <v>395</v>
      </c>
      <c r="F36" s="76" t="s">
        <v>396</v>
      </c>
      <c r="G36" s="76" t="s">
        <v>397</v>
      </c>
      <c r="H36" s="289"/>
      <c r="I36" s="285"/>
    </row>
    <row r="37" spans="1:9" s="212" customFormat="1">
      <c r="A37" s="87" t="s">
        <v>409</v>
      </c>
      <c r="B37" s="114" t="s">
        <v>51</v>
      </c>
      <c r="C37" s="114" t="s">
        <v>7</v>
      </c>
      <c r="D37" s="287">
        <v>122500</v>
      </c>
      <c r="E37" s="114" t="s">
        <v>409</v>
      </c>
      <c r="F37" s="79" t="s">
        <v>409</v>
      </c>
      <c r="G37" s="287">
        <f>+D37</f>
        <v>122500</v>
      </c>
      <c r="H37" s="289"/>
      <c r="I37" s="285"/>
    </row>
    <row r="38" spans="1:9" s="212" customFormat="1">
      <c r="A38" s="88"/>
      <c r="B38" s="114" t="s">
        <v>731</v>
      </c>
      <c r="C38" s="114" t="s">
        <v>7</v>
      </c>
      <c r="D38" s="287">
        <f>31652*1.2</f>
        <v>37982.400000000001</v>
      </c>
      <c r="E38" s="215">
        <v>5.0000000000000001E-3</v>
      </c>
      <c r="F38" s="79"/>
      <c r="G38" s="287">
        <f>(D38*E38)+((D38*E38)*F38/100)</f>
        <v>189.91200000000001</v>
      </c>
      <c r="H38" s="289"/>
      <c r="I38" s="285"/>
    </row>
    <row r="39" spans="1:9" s="212" customFormat="1">
      <c r="A39" s="88"/>
      <c r="B39" s="114" t="s">
        <v>732</v>
      </c>
      <c r="C39" s="114" t="s">
        <v>7</v>
      </c>
      <c r="D39" s="287">
        <f>65646*1.2</f>
        <v>78775.199999999997</v>
      </c>
      <c r="E39" s="215">
        <v>4.0000000000000001E-3</v>
      </c>
      <c r="F39" s="79"/>
      <c r="G39" s="287">
        <f>(D39*E39)+((D39*E39)*F39/100)</f>
        <v>315.10079999999999</v>
      </c>
      <c r="H39" s="289"/>
      <c r="I39" s="285"/>
    </row>
    <row r="40" spans="1:9" s="212" customFormat="1">
      <c r="A40" s="90"/>
      <c r="B40" s="91"/>
      <c r="C40" s="91"/>
      <c r="D40" s="91"/>
      <c r="E40" s="91"/>
      <c r="F40" s="216"/>
      <c r="G40" s="288" t="s">
        <v>407</v>
      </c>
      <c r="H40" s="287">
        <f>SUM(G37:G37)</f>
        <v>122500</v>
      </c>
      <c r="I40" s="285"/>
    </row>
    <row r="41" spans="1:9" s="212" customFormat="1">
      <c r="A41" s="72" t="s">
        <v>410</v>
      </c>
      <c r="B41" s="73"/>
      <c r="C41" s="73"/>
      <c r="D41" s="73"/>
      <c r="E41" s="73"/>
      <c r="F41" s="216"/>
      <c r="G41" s="217"/>
      <c r="H41" s="289"/>
      <c r="I41" s="285"/>
    </row>
    <row r="42" spans="1:9" s="212" customFormat="1">
      <c r="A42" s="286" t="s">
        <v>391</v>
      </c>
      <c r="B42" s="76" t="s">
        <v>392</v>
      </c>
      <c r="C42" s="76" t="s">
        <v>393</v>
      </c>
      <c r="D42" s="76" t="s">
        <v>394</v>
      </c>
      <c r="E42" s="76" t="s">
        <v>395</v>
      </c>
      <c r="F42" s="76" t="s">
        <v>396</v>
      </c>
      <c r="G42" s="76" t="s">
        <v>397</v>
      </c>
      <c r="H42" s="289"/>
      <c r="I42" s="285"/>
    </row>
    <row r="43" spans="1:9" s="212" customFormat="1">
      <c r="A43" s="125" t="s">
        <v>438</v>
      </c>
      <c r="B43" s="126" t="s">
        <v>439</v>
      </c>
      <c r="C43" s="127" t="s">
        <v>426</v>
      </c>
      <c r="D43" s="287">
        <v>5627</v>
      </c>
      <c r="E43" s="79">
        <v>7</v>
      </c>
      <c r="F43" s="79">
        <v>0</v>
      </c>
      <c r="G43" s="287">
        <f>(D43*E43)+((D43*E43)*F43/100)</f>
        <v>39389</v>
      </c>
      <c r="H43" s="289"/>
      <c r="I43" s="285"/>
    </row>
    <row r="44" spans="1:9" s="212" customFormat="1">
      <c r="A44" s="90"/>
      <c r="B44" s="91"/>
      <c r="C44" s="91"/>
      <c r="D44" s="91"/>
      <c r="E44" s="91"/>
      <c r="F44" s="216"/>
      <c r="G44" s="288" t="s">
        <v>407</v>
      </c>
      <c r="H44" s="287">
        <f>SUM(G43:G43)</f>
        <v>39389</v>
      </c>
      <c r="I44" s="285"/>
    </row>
    <row r="45" spans="1:9" s="212" customFormat="1">
      <c r="A45" s="72" t="s">
        <v>411</v>
      </c>
      <c r="B45" s="73"/>
      <c r="C45" s="73"/>
      <c r="D45" s="73"/>
      <c r="E45" s="73"/>
      <c r="F45" s="216"/>
      <c r="G45" s="217"/>
      <c r="H45" s="289"/>
      <c r="I45" s="285"/>
    </row>
    <row r="46" spans="1:9" s="212" customFormat="1">
      <c r="A46" s="286" t="s">
        <v>391</v>
      </c>
      <c r="B46" s="76" t="s">
        <v>392</v>
      </c>
      <c r="C46" s="76" t="s">
        <v>393</v>
      </c>
      <c r="D46" s="76" t="s">
        <v>394</v>
      </c>
      <c r="E46" s="76" t="s">
        <v>395</v>
      </c>
      <c r="F46" s="76" t="s">
        <v>396</v>
      </c>
      <c r="G46" s="76" t="s">
        <v>397</v>
      </c>
      <c r="H46" s="289"/>
      <c r="I46" s="285"/>
    </row>
    <row r="47" spans="1:9" s="212" customFormat="1">
      <c r="A47" s="87" t="s">
        <v>409</v>
      </c>
      <c r="B47" s="114" t="s">
        <v>409</v>
      </c>
      <c r="C47" s="114" t="s">
        <v>409</v>
      </c>
      <c r="D47" s="114" t="s">
        <v>409</v>
      </c>
      <c r="E47" s="114" t="s">
        <v>409</v>
      </c>
      <c r="F47" s="79" t="s">
        <v>409</v>
      </c>
      <c r="G47" s="302" t="s">
        <v>409</v>
      </c>
      <c r="H47" s="289"/>
      <c r="I47" s="285"/>
    </row>
    <row r="48" spans="1:9" s="212" customFormat="1">
      <c r="A48" s="94"/>
      <c r="B48" s="95"/>
      <c r="C48" s="95"/>
      <c r="D48" s="95"/>
      <c r="E48" s="95"/>
      <c r="F48" s="216"/>
      <c r="G48" s="288" t="s">
        <v>407</v>
      </c>
      <c r="H48" s="287">
        <f>SUM(G46:G47)</f>
        <v>0</v>
      </c>
      <c r="I48" s="285"/>
    </row>
    <row r="49" spans="1:9" s="212" customFormat="1">
      <c r="A49" s="94"/>
      <c r="B49" s="95"/>
      <c r="C49" s="95"/>
      <c r="D49" s="95"/>
      <c r="E49" s="95"/>
      <c r="F49" s="216"/>
      <c r="G49" s="217"/>
      <c r="H49" s="217"/>
      <c r="I49" s="285"/>
    </row>
    <row r="50" spans="1:9" s="212" customFormat="1">
      <c r="A50" s="292"/>
      <c r="B50" s="97"/>
      <c r="C50" s="98"/>
      <c r="D50" s="98"/>
      <c r="E50" s="98"/>
      <c r="F50" s="216"/>
      <c r="G50" s="293" t="s">
        <v>412</v>
      </c>
      <c r="H50" s="294">
        <f>SUM(H34:H48)</f>
        <v>163139</v>
      </c>
      <c r="I50" s="285"/>
    </row>
    <row r="51" spans="1:9" s="212" customFormat="1">
      <c r="A51" s="292"/>
      <c r="B51" s="97"/>
      <c r="C51" s="98"/>
      <c r="D51" s="98"/>
      <c r="E51" s="98"/>
      <c r="F51" s="295"/>
      <c r="G51" s="296"/>
      <c r="H51" s="218"/>
      <c r="I51" s="285"/>
    </row>
    <row r="52" spans="1:9" s="212" customFormat="1" ht="15.75" thickBot="1">
      <c r="A52" s="624" t="s">
        <v>502</v>
      </c>
      <c r="B52" s="625"/>
      <c r="C52" s="625"/>
      <c r="D52" s="625"/>
      <c r="E52" s="625"/>
      <c r="F52" s="625"/>
      <c r="G52" s="626"/>
      <c r="H52" s="297">
        <f>+ROUND(H50,0)</f>
        <v>163139</v>
      </c>
      <c r="I52" s="298"/>
    </row>
    <row r="53" spans="1:9" s="212" customFormat="1">
      <c r="A53" s="94"/>
      <c r="B53" s="95"/>
      <c r="C53" s="95"/>
      <c r="D53" s="95"/>
      <c r="E53" s="95"/>
      <c r="F53" s="216"/>
      <c r="G53" s="217"/>
      <c r="H53" s="217"/>
      <c r="I53" s="218"/>
    </row>
    <row r="54" spans="1:9" s="212" customFormat="1" ht="15.75" thickBot="1">
      <c r="A54" s="279"/>
      <c r="B54" s="279"/>
      <c r="C54" s="279"/>
      <c r="D54" s="279"/>
      <c r="E54" s="279"/>
      <c r="F54" s="279"/>
      <c r="G54" s="279"/>
      <c r="H54" s="219"/>
      <c r="I54" s="218"/>
    </row>
    <row r="55" spans="1:9" s="212" customFormat="1">
      <c r="A55" s="647"/>
      <c r="B55" s="649" t="s">
        <v>733</v>
      </c>
      <c r="C55" s="650"/>
      <c r="D55" s="650"/>
      <c r="E55" s="650"/>
      <c r="F55" s="650"/>
      <c r="G55" s="650"/>
      <c r="H55" s="650"/>
      <c r="I55" s="283" t="s">
        <v>389</v>
      </c>
    </row>
    <row r="56" spans="1:9" s="212" customFormat="1">
      <c r="A56" s="648"/>
      <c r="B56" s="651"/>
      <c r="C56" s="652"/>
      <c r="D56" s="652"/>
      <c r="E56" s="652"/>
      <c r="F56" s="652"/>
      <c r="G56" s="652"/>
      <c r="H56" s="652"/>
      <c r="I56" s="284" t="s">
        <v>7</v>
      </c>
    </row>
    <row r="57" spans="1:9" s="212" customFormat="1">
      <c r="A57" s="68"/>
      <c r="B57" s="69"/>
      <c r="C57" s="69"/>
      <c r="D57" s="69"/>
      <c r="E57" s="69"/>
      <c r="F57" s="218"/>
      <c r="G57" s="218"/>
      <c r="H57" s="218"/>
      <c r="I57" s="285"/>
    </row>
    <row r="58" spans="1:9" s="212" customFormat="1">
      <c r="A58" s="72" t="s">
        <v>390</v>
      </c>
      <c r="B58" s="73"/>
      <c r="C58" s="73"/>
      <c r="D58" s="73"/>
      <c r="E58" s="73"/>
      <c r="F58" s="217"/>
      <c r="G58" s="217"/>
      <c r="H58" s="218"/>
      <c r="I58" s="285"/>
    </row>
    <row r="59" spans="1:9" s="212" customFormat="1">
      <c r="A59" s="286" t="s">
        <v>391</v>
      </c>
      <c r="B59" s="76" t="s">
        <v>392</v>
      </c>
      <c r="C59" s="76" t="s">
        <v>393</v>
      </c>
      <c r="D59" s="76" t="s">
        <v>394</v>
      </c>
      <c r="E59" s="76" t="s">
        <v>395</v>
      </c>
      <c r="F59" s="76" t="s">
        <v>396</v>
      </c>
      <c r="G59" s="76" t="s">
        <v>397</v>
      </c>
      <c r="H59" s="217"/>
      <c r="I59" s="285"/>
    </row>
    <row r="60" spans="1:9" s="212" customFormat="1">
      <c r="A60" s="77" t="s">
        <v>404</v>
      </c>
      <c r="B60" s="78" t="s">
        <v>416</v>
      </c>
      <c r="C60" s="79" t="s">
        <v>406</v>
      </c>
      <c r="D60" s="287">
        <v>1250</v>
      </c>
      <c r="E60" s="79">
        <v>1</v>
      </c>
      <c r="F60" s="79">
        <v>0</v>
      </c>
      <c r="G60" s="287">
        <f>(D60*E60)+((D60*E60)*F60/100)</f>
        <v>1250</v>
      </c>
      <c r="H60" s="217"/>
      <c r="I60" s="285"/>
    </row>
    <row r="61" spans="1:9" s="212" customFormat="1">
      <c r="A61" s="82"/>
      <c r="B61" s="83"/>
      <c r="C61" s="84"/>
      <c r="D61" s="84"/>
      <c r="E61" s="84"/>
      <c r="F61" s="216"/>
      <c r="G61" s="288" t="s">
        <v>407</v>
      </c>
      <c r="H61" s="287">
        <f>SUM(G60:G60)</f>
        <v>1250</v>
      </c>
      <c r="I61" s="285"/>
    </row>
    <row r="62" spans="1:9" s="212" customFormat="1">
      <c r="A62" s="72" t="s">
        <v>408</v>
      </c>
      <c r="B62" s="73"/>
      <c r="C62" s="73"/>
      <c r="D62" s="73"/>
      <c r="E62" s="73"/>
      <c r="F62" s="216"/>
      <c r="G62" s="217"/>
      <c r="H62" s="289"/>
      <c r="I62" s="285"/>
    </row>
    <row r="63" spans="1:9" s="212" customFormat="1">
      <c r="A63" s="286" t="s">
        <v>391</v>
      </c>
      <c r="B63" s="76" t="s">
        <v>392</v>
      </c>
      <c r="C63" s="76" t="s">
        <v>393</v>
      </c>
      <c r="D63" s="76" t="s">
        <v>394</v>
      </c>
      <c r="E63" s="76" t="s">
        <v>395</v>
      </c>
      <c r="F63" s="76" t="s">
        <v>396</v>
      </c>
      <c r="G63" s="76" t="s">
        <v>397</v>
      </c>
      <c r="H63" s="289"/>
      <c r="I63" s="285"/>
    </row>
    <row r="64" spans="1:9" s="212" customFormat="1">
      <c r="A64" s="87" t="s">
        <v>409</v>
      </c>
      <c r="B64" s="114" t="s">
        <v>733</v>
      </c>
      <c r="C64" s="114" t="s">
        <v>7</v>
      </c>
      <c r="D64" s="287">
        <v>62750</v>
      </c>
      <c r="E64" s="114" t="s">
        <v>409</v>
      </c>
      <c r="F64" s="79" t="s">
        <v>409</v>
      </c>
      <c r="G64" s="287">
        <f>+D64</f>
        <v>62750</v>
      </c>
      <c r="H64" s="289"/>
      <c r="I64" s="285"/>
    </row>
    <row r="65" spans="1:9" s="212" customFormat="1">
      <c r="A65" s="88"/>
      <c r="B65" s="114" t="s">
        <v>731</v>
      </c>
      <c r="C65" s="114" t="s">
        <v>7</v>
      </c>
      <c r="D65" s="287">
        <f>31652*1.2</f>
        <v>37982.400000000001</v>
      </c>
      <c r="E65" s="215">
        <v>5.0000000000000001E-3</v>
      </c>
      <c r="F65" s="79"/>
      <c r="G65" s="287">
        <f>(D65*E65)+((D65*E65)*F65/100)</f>
        <v>189.91200000000001</v>
      </c>
      <c r="H65" s="289"/>
      <c r="I65" s="285"/>
    </row>
    <row r="66" spans="1:9" s="212" customFormat="1">
      <c r="A66" s="88"/>
      <c r="B66" s="114" t="s">
        <v>732</v>
      </c>
      <c r="C66" s="114" t="s">
        <v>7</v>
      </c>
      <c r="D66" s="287">
        <f>65646*1.2</f>
        <v>78775.199999999997</v>
      </c>
      <c r="E66" s="215">
        <v>4.0000000000000001E-3</v>
      </c>
      <c r="F66" s="79"/>
      <c r="G66" s="287">
        <f>(D66*E66)+((D66*E66)*F66/100)</f>
        <v>315.10079999999999</v>
      </c>
      <c r="H66" s="289"/>
      <c r="I66" s="285"/>
    </row>
    <row r="67" spans="1:9" s="212" customFormat="1">
      <c r="A67" s="90"/>
      <c r="B67" s="91"/>
      <c r="C67" s="91"/>
      <c r="D67" s="91"/>
      <c r="E67" s="91"/>
      <c r="F67" s="216"/>
      <c r="G67" s="288" t="s">
        <v>407</v>
      </c>
      <c r="H67" s="287">
        <f>SUM(G64:G64)</f>
        <v>62750</v>
      </c>
      <c r="I67" s="285"/>
    </row>
    <row r="68" spans="1:9" s="212" customFormat="1">
      <c r="A68" s="72" t="s">
        <v>410</v>
      </c>
      <c r="B68" s="73"/>
      <c r="C68" s="73"/>
      <c r="D68" s="73"/>
      <c r="E68" s="73"/>
      <c r="F68" s="216"/>
      <c r="G68" s="217"/>
      <c r="H68" s="289"/>
      <c r="I68" s="285"/>
    </row>
    <row r="69" spans="1:9" s="212" customFormat="1">
      <c r="A69" s="286" t="s">
        <v>391</v>
      </c>
      <c r="B69" s="76" t="s">
        <v>392</v>
      </c>
      <c r="C69" s="76" t="s">
        <v>393</v>
      </c>
      <c r="D69" s="76" t="s">
        <v>394</v>
      </c>
      <c r="E69" s="76" t="s">
        <v>395</v>
      </c>
      <c r="F69" s="76" t="s">
        <v>396</v>
      </c>
      <c r="G69" s="76" t="s">
        <v>397</v>
      </c>
      <c r="H69" s="289"/>
      <c r="I69" s="285"/>
    </row>
    <row r="70" spans="1:9" s="212" customFormat="1">
      <c r="A70" s="125" t="s">
        <v>438</v>
      </c>
      <c r="B70" s="126" t="s">
        <v>439</v>
      </c>
      <c r="C70" s="127" t="s">
        <v>426</v>
      </c>
      <c r="D70" s="287">
        <v>5627</v>
      </c>
      <c r="E70" s="79">
        <v>7</v>
      </c>
      <c r="F70" s="79">
        <v>0</v>
      </c>
      <c r="G70" s="287">
        <f>(D70*E70)+((D70*E70)*F70/100)</f>
        <v>39389</v>
      </c>
      <c r="H70" s="289"/>
      <c r="I70" s="285"/>
    </row>
    <row r="71" spans="1:9" s="212" customFormat="1">
      <c r="A71" s="90"/>
      <c r="B71" s="91"/>
      <c r="C71" s="91"/>
      <c r="D71" s="91"/>
      <c r="E71" s="91"/>
      <c r="F71" s="216"/>
      <c r="G71" s="288" t="s">
        <v>407</v>
      </c>
      <c r="H71" s="287">
        <f>SUM(G70:G70)</f>
        <v>39389</v>
      </c>
      <c r="I71" s="285"/>
    </row>
    <row r="72" spans="1:9" s="212" customFormat="1">
      <c r="A72" s="72" t="s">
        <v>411</v>
      </c>
      <c r="B72" s="73"/>
      <c r="C72" s="73"/>
      <c r="D72" s="73"/>
      <c r="E72" s="73"/>
      <c r="F72" s="216"/>
      <c r="G72" s="217"/>
      <c r="H72" s="289"/>
      <c r="I72" s="285"/>
    </row>
    <row r="73" spans="1:9" s="212" customFormat="1">
      <c r="A73" s="286" t="s">
        <v>391</v>
      </c>
      <c r="B73" s="76" t="s">
        <v>392</v>
      </c>
      <c r="C73" s="76" t="s">
        <v>393</v>
      </c>
      <c r="D73" s="76" t="s">
        <v>394</v>
      </c>
      <c r="E73" s="76" t="s">
        <v>395</v>
      </c>
      <c r="F73" s="76" t="s">
        <v>396</v>
      </c>
      <c r="G73" s="76" t="s">
        <v>397</v>
      </c>
      <c r="H73" s="289"/>
      <c r="I73" s="285"/>
    </row>
    <row r="74" spans="1:9" s="212" customFormat="1">
      <c r="A74" s="87" t="s">
        <v>409</v>
      </c>
      <c r="B74" s="114" t="s">
        <v>409</v>
      </c>
      <c r="C74" s="114" t="s">
        <v>409</v>
      </c>
      <c r="D74" s="114" t="s">
        <v>409</v>
      </c>
      <c r="E74" s="114" t="s">
        <v>409</v>
      </c>
      <c r="F74" s="79" t="s">
        <v>409</v>
      </c>
      <c r="G74" s="302" t="s">
        <v>409</v>
      </c>
      <c r="H74" s="289"/>
      <c r="I74" s="285"/>
    </row>
    <row r="75" spans="1:9" s="212" customFormat="1">
      <c r="A75" s="94"/>
      <c r="B75" s="95"/>
      <c r="C75" s="95"/>
      <c r="D75" s="95"/>
      <c r="E75" s="95"/>
      <c r="F75" s="216"/>
      <c r="G75" s="288" t="s">
        <v>407</v>
      </c>
      <c r="H75" s="287">
        <f>SUM(G73:G74)</f>
        <v>0</v>
      </c>
      <c r="I75" s="285"/>
    </row>
    <row r="76" spans="1:9" s="212" customFormat="1">
      <c r="A76" s="94"/>
      <c r="B76" s="95"/>
      <c r="C76" s="95"/>
      <c r="D76" s="95"/>
      <c r="E76" s="95"/>
      <c r="F76" s="216"/>
      <c r="G76" s="217"/>
      <c r="H76" s="217"/>
      <c r="I76" s="285"/>
    </row>
    <row r="77" spans="1:9" s="212" customFormat="1">
      <c r="A77" s="292"/>
      <c r="B77" s="97"/>
      <c r="C77" s="98"/>
      <c r="D77" s="98"/>
      <c r="E77" s="98"/>
      <c r="F77" s="216"/>
      <c r="G77" s="293" t="s">
        <v>412</v>
      </c>
      <c r="H77" s="294">
        <f>SUM(H61:H75)</f>
        <v>103389</v>
      </c>
      <c r="I77" s="285"/>
    </row>
    <row r="78" spans="1:9" s="212" customFormat="1">
      <c r="A78" s="292"/>
      <c r="B78" s="97"/>
      <c r="C78" s="98"/>
      <c r="D78" s="98"/>
      <c r="E78" s="98"/>
      <c r="F78" s="295"/>
      <c r="G78" s="296"/>
      <c r="H78" s="218"/>
      <c r="I78" s="285"/>
    </row>
    <row r="79" spans="1:9" s="212" customFormat="1" ht="15.75" thickBot="1">
      <c r="A79" s="624" t="s">
        <v>502</v>
      </c>
      <c r="B79" s="625"/>
      <c r="C79" s="625"/>
      <c r="D79" s="625"/>
      <c r="E79" s="625"/>
      <c r="F79" s="625"/>
      <c r="G79" s="626"/>
      <c r="H79" s="297">
        <f>+ROUND(H77,0)</f>
        <v>103389</v>
      </c>
      <c r="I79" s="298"/>
    </row>
    <row r="80" spans="1:9" s="212" customFormat="1">
      <c r="A80" s="220"/>
      <c r="B80" s="141"/>
      <c r="C80" s="141"/>
      <c r="D80" s="141"/>
      <c r="E80" s="141"/>
      <c r="F80" s="141"/>
      <c r="G80" s="141"/>
      <c r="H80" s="73"/>
    </row>
    <row r="81" spans="1:9" s="212" customFormat="1" ht="15.75" thickBot="1">
      <c r="A81" s="142"/>
      <c r="B81" s="143"/>
      <c r="C81" s="143"/>
      <c r="D81" s="143"/>
      <c r="E81" s="143"/>
      <c r="F81" s="84"/>
      <c r="G81" s="146"/>
      <c r="H81" s="221"/>
    </row>
    <row r="82" spans="1:9" s="212" customFormat="1">
      <c r="A82" s="647"/>
      <c r="B82" s="649" t="s">
        <v>14</v>
      </c>
      <c r="C82" s="650"/>
      <c r="D82" s="650"/>
      <c r="E82" s="650"/>
      <c r="F82" s="650"/>
      <c r="G82" s="650"/>
      <c r="H82" s="650"/>
      <c r="I82" s="283" t="s">
        <v>389</v>
      </c>
    </row>
    <row r="83" spans="1:9" s="212" customFormat="1">
      <c r="A83" s="648"/>
      <c r="B83" s="651"/>
      <c r="C83" s="652"/>
      <c r="D83" s="652"/>
      <c r="E83" s="652"/>
      <c r="F83" s="652"/>
      <c r="G83" s="652"/>
      <c r="H83" s="652"/>
      <c r="I83" s="284" t="s">
        <v>7</v>
      </c>
    </row>
    <row r="84" spans="1:9" s="212" customFormat="1">
      <c r="A84" s="68"/>
      <c r="B84" s="69"/>
      <c r="C84" s="69"/>
      <c r="D84" s="69"/>
      <c r="E84" s="69"/>
      <c r="F84" s="218"/>
      <c r="G84" s="218"/>
      <c r="H84" s="218"/>
      <c r="I84" s="285"/>
    </row>
    <row r="85" spans="1:9" s="212" customFormat="1">
      <c r="A85" s="72" t="s">
        <v>390</v>
      </c>
      <c r="B85" s="73"/>
      <c r="C85" s="73"/>
      <c r="D85" s="73"/>
      <c r="E85" s="73"/>
      <c r="F85" s="217"/>
      <c r="G85" s="217"/>
      <c r="H85" s="218"/>
      <c r="I85" s="285"/>
    </row>
    <row r="86" spans="1:9" s="212" customFormat="1">
      <c r="A86" s="286" t="s">
        <v>391</v>
      </c>
      <c r="B86" s="76" t="s">
        <v>392</v>
      </c>
      <c r="C86" s="76" t="s">
        <v>393</v>
      </c>
      <c r="D86" s="76" t="s">
        <v>394</v>
      </c>
      <c r="E86" s="76" t="s">
        <v>395</v>
      </c>
      <c r="F86" s="76" t="s">
        <v>396</v>
      </c>
      <c r="G86" s="76" t="s">
        <v>397</v>
      </c>
      <c r="H86" s="217"/>
      <c r="I86" s="285"/>
    </row>
    <row r="87" spans="1:9" s="212" customFormat="1">
      <c r="A87" s="77" t="s">
        <v>404</v>
      </c>
      <c r="B87" s="78" t="s">
        <v>416</v>
      </c>
      <c r="C87" s="79" t="s">
        <v>406</v>
      </c>
      <c r="D87" s="287">
        <v>1250</v>
      </c>
      <c r="E87" s="79">
        <v>6</v>
      </c>
      <c r="F87" s="79">
        <v>0</v>
      </c>
      <c r="G87" s="287">
        <f>(D87*E87)+((D87*E87)*F87/100)</f>
        <v>7500</v>
      </c>
      <c r="H87" s="217"/>
      <c r="I87" s="285"/>
    </row>
    <row r="88" spans="1:9" s="212" customFormat="1">
      <c r="A88" s="82"/>
      <c r="B88" s="83"/>
      <c r="C88" s="84"/>
      <c r="D88" s="84"/>
      <c r="E88" s="84"/>
      <c r="F88" s="216"/>
      <c r="G88" s="288" t="s">
        <v>407</v>
      </c>
      <c r="H88" s="287">
        <f>SUM(G87:G87)</f>
        <v>7500</v>
      </c>
      <c r="I88" s="285"/>
    </row>
    <row r="89" spans="1:9" s="212" customFormat="1">
      <c r="A89" s="72" t="s">
        <v>408</v>
      </c>
      <c r="B89" s="73"/>
      <c r="C89" s="73"/>
      <c r="D89" s="73"/>
      <c r="E89" s="73"/>
      <c r="F89" s="216"/>
      <c r="G89" s="217"/>
      <c r="H89" s="289"/>
      <c r="I89" s="285"/>
    </row>
    <row r="90" spans="1:9" s="212" customFormat="1">
      <c r="A90" s="286" t="s">
        <v>391</v>
      </c>
      <c r="B90" s="76" t="s">
        <v>392</v>
      </c>
      <c r="C90" s="76" t="s">
        <v>393</v>
      </c>
      <c r="D90" s="76" t="s">
        <v>394</v>
      </c>
      <c r="E90" s="76" t="s">
        <v>395</v>
      </c>
      <c r="F90" s="76" t="s">
        <v>396</v>
      </c>
      <c r="G90" s="76" t="s">
        <v>397</v>
      </c>
      <c r="H90" s="289"/>
      <c r="I90" s="285"/>
    </row>
    <row r="91" spans="1:9" s="212" customFormat="1">
      <c r="A91" s="87" t="s">
        <v>409</v>
      </c>
      <c r="B91" s="114" t="s">
        <v>734</v>
      </c>
      <c r="C91" s="114" t="s">
        <v>7</v>
      </c>
      <c r="D91" s="287">
        <f>680000*1.2*1.16</f>
        <v>946559.99999999988</v>
      </c>
      <c r="E91" s="114" t="s">
        <v>409</v>
      </c>
      <c r="F91" s="79" t="s">
        <v>409</v>
      </c>
      <c r="G91" s="287">
        <f>+D91</f>
        <v>946559.99999999988</v>
      </c>
      <c r="H91" s="289"/>
      <c r="I91" s="285"/>
    </row>
    <row r="92" spans="1:9" s="212" customFormat="1">
      <c r="A92" s="90"/>
      <c r="B92" s="91"/>
      <c r="C92" s="91"/>
      <c r="D92" s="91"/>
      <c r="E92" s="91"/>
      <c r="F92" s="216"/>
      <c r="G92" s="288" t="s">
        <v>407</v>
      </c>
      <c r="H92" s="287">
        <f>SUM(G91:G91)</f>
        <v>946559.99999999988</v>
      </c>
      <c r="I92" s="285"/>
    </row>
    <row r="93" spans="1:9" s="212" customFormat="1">
      <c r="A93" s="72" t="s">
        <v>410</v>
      </c>
      <c r="B93" s="73"/>
      <c r="C93" s="73"/>
      <c r="D93" s="73"/>
      <c r="E93" s="73"/>
      <c r="F93" s="216"/>
      <c r="G93" s="217"/>
      <c r="H93" s="289"/>
      <c r="I93" s="285"/>
    </row>
    <row r="94" spans="1:9" s="212" customFormat="1">
      <c r="A94" s="286" t="s">
        <v>391</v>
      </c>
      <c r="B94" s="76" t="s">
        <v>392</v>
      </c>
      <c r="C94" s="76" t="s">
        <v>393</v>
      </c>
      <c r="D94" s="76" t="s">
        <v>394</v>
      </c>
      <c r="E94" s="76" t="s">
        <v>395</v>
      </c>
      <c r="F94" s="76" t="s">
        <v>396</v>
      </c>
      <c r="G94" s="76" t="s">
        <v>397</v>
      </c>
      <c r="H94" s="289"/>
      <c r="I94" s="285"/>
    </row>
    <row r="95" spans="1:9" s="212" customFormat="1" ht="26.25">
      <c r="A95" s="125" t="s">
        <v>461</v>
      </c>
      <c r="B95" s="126" t="s">
        <v>462</v>
      </c>
      <c r="C95" s="127" t="s">
        <v>426</v>
      </c>
      <c r="D95" s="287">
        <v>15927</v>
      </c>
      <c r="E95" s="79">
        <v>6</v>
      </c>
      <c r="F95" s="79">
        <v>0</v>
      </c>
      <c r="G95" s="287">
        <f>(D95*E95)+((D95*E95)*F95/100)</f>
        <v>95562</v>
      </c>
      <c r="H95" s="289"/>
      <c r="I95" s="285"/>
    </row>
    <row r="96" spans="1:9" s="212" customFormat="1">
      <c r="A96" s="90"/>
      <c r="B96" s="91"/>
      <c r="C96" s="91"/>
      <c r="D96" s="91"/>
      <c r="E96" s="91"/>
      <c r="F96" s="216"/>
      <c r="G96" s="288" t="s">
        <v>407</v>
      </c>
      <c r="H96" s="287">
        <f>SUM(G95:G95)</f>
        <v>95562</v>
      </c>
      <c r="I96" s="285"/>
    </row>
    <row r="97" spans="1:9" s="212" customFormat="1">
      <c r="A97" s="72" t="s">
        <v>411</v>
      </c>
      <c r="B97" s="73"/>
      <c r="C97" s="73"/>
      <c r="D97" s="73"/>
      <c r="E97" s="73"/>
      <c r="F97" s="216"/>
      <c r="G97" s="217"/>
      <c r="H97" s="289"/>
      <c r="I97" s="285"/>
    </row>
    <row r="98" spans="1:9" s="212" customFormat="1">
      <c r="A98" s="286" t="s">
        <v>391</v>
      </c>
      <c r="B98" s="76" t="s">
        <v>392</v>
      </c>
      <c r="C98" s="76" t="s">
        <v>393</v>
      </c>
      <c r="D98" s="76" t="s">
        <v>394</v>
      </c>
      <c r="E98" s="76" t="s">
        <v>395</v>
      </c>
      <c r="F98" s="76" t="s">
        <v>396</v>
      </c>
      <c r="G98" s="76" t="s">
        <v>397</v>
      </c>
      <c r="H98" s="289"/>
      <c r="I98" s="285"/>
    </row>
    <row r="99" spans="1:9" s="212" customFormat="1">
      <c r="A99" s="87" t="s">
        <v>409</v>
      </c>
      <c r="B99" s="114" t="s">
        <v>409</v>
      </c>
      <c r="C99" s="114" t="s">
        <v>409</v>
      </c>
      <c r="D99" s="114" t="s">
        <v>409</v>
      </c>
      <c r="E99" s="114" t="s">
        <v>409</v>
      </c>
      <c r="F99" s="79" t="s">
        <v>409</v>
      </c>
      <c r="G99" s="302" t="s">
        <v>409</v>
      </c>
      <c r="H99" s="289"/>
      <c r="I99" s="285"/>
    </row>
    <row r="100" spans="1:9" s="212" customFormat="1">
      <c r="A100" s="94"/>
      <c r="B100" s="95"/>
      <c r="C100" s="95"/>
      <c r="D100" s="95"/>
      <c r="E100" s="95"/>
      <c r="F100" s="216"/>
      <c r="G100" s="288" t="s">
        <v>407</v>
      </c>
      <c r="H100" s="287">
        <f>SUM(G98:G99)</f>
        <v>0</v>
      </c>
      <c r="I100" s="285"/>
    </row>
    <row r="101" spans="1:9" s="212" customFormat="1">
      <c r="A101" s="94"/>
      <c r="B101" s="95"/>
      <c r="C101" s="95"/>
      <c r="D101" s="95"/>
      <c r="E101" s="95"/>
      <c r="F101" s="216"/>
      <c r="G101" s="217"/>
      <c r="H101" s="217"/>
      <c r="I101" s="285"/>
    </row>
    <row r="102" spans="1:9" s="212" customFormat="1">
      <c r="A102" s="292"/>
      <c r="B102" s="97"/>
      <c r="C102" s="98"/>
      <c r="D102" s="98"/>
      <c r="E102" s="98"/>
      <c r="F102" s="216"/>
      <c r="G102" s="293" t="s">
        <v>412</v>
      </c>
      <c r="H102" s="294">
        <f>SUM(H88:H100)</f>
        <v>1049622</v>
      </c>
      <c r="I102" s="285"/>
    </row>
    <row r="103" spans="1:9" s="212" customFormat="1">
      <c r="A103" s="292"/>
      <c r="B103" s="97"/>
      <c r="C103" s="98"/>
      <c r="D103" s="98"/>
      <c r="E103" s="98"/>
      <c r="F103" s="295"/>
      <c r="G103" s="296"/>
      <c r="H103" s="218"/>
      <c r="I103" s="285"/>
    </row>
    <row r="104" spans="1:9" s="212" customFormat="1" ht="15.75" thickBot="1">
      <c r="A104" s="624" t="s">
        <v>502</v>
      </c>
      <c r="B104" s="625"/>
      <c r="C104" s="625"/>
      <c r="D104" s="625"/>
      <c r="E104" s="625"/>
      <c r="F104" s="625"/>
      <c r="G104" s="626"/>
      <c r="H104" s="297">
        <f>+ROUND(H102,0)</f>
        <v>1049622</v>
      </c>
      <c r="I104" s="298"/>
    </row>
    <row r="105" spans="1:9" s="212" customFormat="1">
      <c r="A105" s="84"/>
      <c r="B105" s="83"/>
      <c r="C105" s="84"/>
      <c r="D105" s="84"/>
      <c r="E105" s="84"/>
      <c r="F105" s="84"/>
      <c r="G105" s="146"/>
      <c r="H105" s="221"/>
    </row>
    <row r="106" spans="1:9" s="212" customFormat="1" ht="15.75" thickBot="1">
      <c r="A106" s="84"/>
      <c r="B106" s="83"/>
      <c r="C106" s="84"/>
      <c r="D106" s="84"/>
      <c r="E106" s="84"/>
      <c r="G106" s="213"/>
      <c r="H106" s="222"/>
    </row>
    <row r="107" spans="1:9" s="212" customFormat="1">
      <c r="A107" s="647"/>
      <c r="B107" s="649" t="s">
        <v>243</v>
      </c>
      <c r="C107" s="650"/>
      <c r="D107" s="650"/>
      <c r="E107" s="650"/>
      <c r="F107" s="650"/>
      <c r="G107" s="650"/>
      <c r="H107" s="650"/>
      <c r="I107" s="283" t="s">
        <v>389</v>
      </c>
    </row>
    <row r="108" spans="1:9" s="212" customFormat="1">
      <c r="A108" s="648"/>
      <c r="B108" s="651"/>
      <c r="C108" s="652"/>
      <c r="D108" s="652"/>
      <c r="E108" s="652"/>
      <c r="F108" s="652"/>
      <c r="G108" s="652"/>
      <c r="H108" s="652"/>
      <c r="I108" s="284" t="s">
        <v>7</v>
      </c>
    </row>
    <row r="109" spans="1:9" s="212" customFormat="1">
      <c r="A109" s="68"/>
      <c r="B109" s="69"/>
      <c r="C109" s="69"/>
      <c r="D109" s="69"/>
      <c r="E109" s="69"/>
      <c r="F109" s="218"/>
      <c r="G109" s="218"/>
      <c r="H109" s="218"/>
      <c r="I109" s="285"/>
    </row>
    <row r="110" spans="1:9" s="212" customFormat="1">
      <c r="A110" s="72" t="s">
        <v>390</v>
      </c>
      <c r="B110" s="73"/>
      <c r="C110" s="73"/>
      <c r="D110" s="73"/>
      <c r="E110" s="73"/>
      <c r="F110" s="217"/>
      <c r="G110" s="217"/>
      <c r="H110" s="218"/>
      <c r="I110" s="285"/>
    </row>
    <row r="111" spans="1:9" s="212" customFormat="1">
      <c r="A111" s="286" t="s">
        <v>391</v>
      </c>
      <c r="B111" s="76" t="s">
        <v>392</v>
      </c>
      <c r="C111" s="76" t="s">
        <v>393</v>
      </c>
      <c r="D111" s="76" t="s">
        <v>394</v>
      </c>
      <c r="E111" s="76" t="s">
        <v>395</v>
      </c>
      <c r="F111" s="76" t="s">
        <v>396</v>
      </c>
      <c r="G111" s="76" t="s">
        <v>397</v>
      </c>
      <c r="H111" s="217"/>
      <c r="I111" s="285"/>
    </row>
    <row r="112" spans="1:9" s="212" customFormat="1">
      <c r="A112" s="77" t="s">
        <v>404</v>
      </c>
      <c r="B112" s="78" t="s">
        <v>416</v>
      </c>
      <c r="C112" s="79" t="s">
        <v>406</v>
      </c>
      <c r="D112" s="287">
        <v>1250</v>
      </c>
      <c r="E112" s="79">
        <v>8</v>
      </c>
      <c r="F112" s="79">
        <v>0</v>
      </c>
      <c r="G112" s="287">
        <f>(D112*E112)+((D112*E112)*F112/100)</f>
        <v>10000</v>
      </c>
      <c r="H112" s="217"/>
      <c r="I112" s="285"/>
    </row>
    <row r="113" spans="1:9" s="212" customFormat="1">
      <c r="A113" s="82"/>
      <c r="B113" s="83"/>
      <c r="C113" s="84"/>
      <c r="D113" s="84"/>
      <c r="E113" s="84"/>
      <c r="F113" s="216"/>
      <c r="G113" s="288" t="s">
        <v>407</v>
      </c>
      <c r="H113" s="287">
        <f>SUM(G112:G112)</f>
        <v>10000</v>
      </c>
      <c r="I113" s="285"/>
    </row>
    <row r="114" spans="1:9" s="212" customFormat="1">
      <c r="A114" s="72" t="s">
        <v>408</v>
      </c>
      <c r="B114" s="73"/>
      <c r="C114" s="73"/>
      <c r="D114" s="73"/>
      <c r="E114" s="73"/>
      <c r="F114" s="216"/>
      <c r="G114" s="217"/>
      <c r="H114" s="289"/>
      <c r="I114" s="285"/>
    </row>
    <row r="115" spans="1:9" s="212" customFormat="1">
      <c r="A115" s="286" t="s">
        <v>391</v>
      </c>
      <c r="B115" s="76" t="s">
        <v>392</v>
      </c>
      <c r="C115" s="76" t="s">
        <v>393</v>
      </c>
      <c r="D115" s="76" t="s">
        <v>394</v>
      </c>
      <c r="E115" s="76" t="s">
        <v>395</v>
      </c>
      <c r="F115" s="76" t="s">
        <v>396</v>
      </c>
      <c r="G115" s="76" t="s">
        <v>397</v>
      </c>
      <c r="H115" s="289"/>
      <c r="I115" s="285"/>
    </row>
    <row r="116" spans="1:9" s="212" customFormat="1" ht="26.25">
      <c r="A116" s="87" t="s">
        <v>409</v>
      </c>
      <c r="B116" s="126" t="s">
        <v>243</v>
      </c>
      <c r="C116" s="114" t="s">
        <v>7</v>
      </c>
      <c r="D116" s="287">
        <f>3400000*1.2*1.16</f>
        <v>4732800</v>
      </c>
      <c r="E116" s="114" t="s">
        <v>409</v>
      </c>
      <c r="F116" s="79" t="s">
        <v>409</v>
      </c>
      <c r="G116" s="287">
        <f>+D116</f>
        <v>4732800</v>
      </c>
      <c r="H116" s="289"/>
      <c r="I116" s="285"/>
    </row>
    <row r="117" spans="1:9" s="212" customFormat="1">
      <c r="A117" s="90"/>
      <c r="B117" s="91"/>
      <c r="C117" s="91"/>
      <c r="D117" s="91"/>
      <c r="E117" s="91"/>
      <c r="F117" s="216"/>
      <c r="G117" s="288" t="s">
        <v>407</v>
      </c>
      <c r="H117" s="287">
        <f>SUM(G116:G116)</f>
        <v>4732800</v>
      </c>
      <c r="I117" s="285"/>
    </row>
    <row r="118" spans="1:9" s="212" customFormat="1">
      <c r="A118" s="72" t="s">
        <v>410</v>
      </c>
      <c r="B118" s="73"/>
      <c r="C118" s="73"/>
      <c r="D118" s="73"/>
      <c r="E118" s="73"/>
      <c r="F118" s="216"/>
      <c r="G118" s="217"/>
      <c r="H118" s="289"/>
      <c r="I118" s="285"/>
    </row>
    <row r="119" spans="1:9" s="212" customFormat="1">
      <c r="A119" s="286" t="s">
        <v>391</v>
      </c>
      <c r="B119" s="76" t="s">
        <v>392</v>
      </c>
      <c r="C119" s="76" t="s">
        <v>393</v>
      </c>
      <c r="D119" s="76" t="s">
        <v>394</v>
      </c>
      <c r="E119" s="76" t="s">
        <v>395</v>
      </c>
      <c r="F119" s="76" t="s">
        <v>396</v>
      </c>
      <c r="G119" s="76" t="s">
        <v>397</v>
      </c>
      <c r="H119" s="289"/>
      <c r="I119" s="285"/>
    </row>
    <row r="120" spans="1:9" s="212" customFormat="1" ht="26.25">
      <c r="A120" s="125" t="s">
        <v>461</v>
      </c>
      <c r="B120" s="126" t="s">
        <v>462</v>
      </c>
      <c r="C120" s="127" t="s">
        <v>426</v>
      </c>
      <c r="D120" s="287">
        <v>15927</v>
      </c>
      <c r="E120" s="79">
        <v>5.5</v>
      </c>
      <c r="F120" s="79">
        <v>0</v>
      </c>
      <c r="G120" s="287">
        <f>(D120*E120)+((D120*E120)*F120/100)</f>
        <v>87598.5</v>
      </c>
      <c r="H120" s="289"/>
      <c r="I120" s="285"/>
    </row>
    <row r="121" spans="1:9" s="212" customFormat="1">
      <c r="A121" s="90"/>
      <c r="B121" s="91"/>
      <c r="C121" s="91"/>
      <c r="D121" s="91"/>
      <c r="E121" s="91"/>
      <c r="F121" s="216"/>
      <c r="G121" s="288" t="s">
        <v>407</v>
      </c>
      <c r="H121" s="287">
        <f>SUM(G120:G120)</f>
        <v>87598.5</v>
      </c>
      <c r="I121" s="285"/>
    </row>
    <row r="122" spans="1:9" s="212" customFormat="1">
      <c r="A122" s="72" t="s">
        <v>411</v>
      </c>
      <c r="B122" s="73"/>
      <c r="C122" s="73"/>
      <c r="D122" s="73"/>
      <c r="E122" s="73"/>
      <c r="F122" s="216"/>
      <c r="G122" s="217"/>
      <c r="H122" s="289"/>
      <c r="I122" s="285"/>
    </row>
    <row r="123" spans="1:9" s="212" customFormat="1">
      <c r="A123" s="286" t="s">
        <v>391</v>
      </c>
      <c r="B123" s="76" t="s">
        <v>392</v>
      </c>
      <c r="C123" s="76" t="s">
        <v>393</v>
      </c>
      <c r="D123" s="76" t="s">
        <v>394</v>
      </c>
      <c r="E123" s="76" t="s">
        <v>395</v>
      </c>
      <c r="F123" s="76" t="s">
        <v>396</v>
      </c>
      <c r="G123" s="76" t="s">
        <v>397</v>
      </c>
      <c r="H123" s="289"/>
      <c r="I123" s="285"/>
    </row>
    <row r="124" spans="1:9" s="212" customFormat="1">
      <c r="A124" s="87" t="s">
        <v>409</v>
      </c>
      <c r="B124" s="114" t="s">
        <v>409</v>
      </c>
      <c r="C124" s="114" t="s">
        <v>409</v>
      </c>
      <c r="D124" s="114" t="s">
        <v>409</v>
      </c>
      <c r="E124" s="114" t="s">
        <v>409</v>
      </c>
      <c r="F124" s="79" t="s">
        <v>409</v>
      </c>
      <c r="G124" s="302" t="s">
        <v>409</v>
      </c>
      <c r="H124" s="289"/>
      <c r="I124" s="285"/>
    </row>
    <row r="125" spans="1:9" s="212" customFormat="1">
      <c r="A125" s="94"/>
      <c r="B125" s="95"/>
      <c r="C125" s="95"/>
      <c r="D125" s="95"/>
      <c r="E125" s="95"/>
      <c r="F125" s="216"/>
      <c r="G125" s="288" t="s">
        <v>407</v>
      </c>
      <c r="H125" s="287">
        <f>SUM(G123:G124)</f>
        <v>0</v>
      </c>
      <c r="I125" s="285"/>
    </row>
    <row r="126" spans="1:9" s="212" customFormat="1">
      <c r="A126" s="94"/>
      <c r="B126" s="95"/>
      <c r="C126" s="95"/>
      <c r="D126" s="95"/>
      <c r="E126" s="95"/>
      <c r="F126" s="216"/>
      <c r="G126" s="217"/>
      <c r="H126" s="217"/>
      <c r="I126" s="285"/>
    </row>
    <row r="127" spans="1:9" s="212" customFormat="1">
      <c r="A127" s="292"/>
      <c r="B127" s="97"/>
      <c r="C127" s="98"/>
      <c r="D127" s="98"/>
      <c r="E127" s="98"/>
      <c r="F127" s="216"/>
      <c r="G127" s="293" t="s">
        <v>412</v>
      </c>
      <c r="H127" s="294">
        <f>SUM(H113:H125)</f>
        <v>4830398.5</v>
      </c>
      <c r="I127" s="285"/>
    </row>
    <row r="128" spans="1:9" s="212" customFormat="1">
      <c r="A128" s="292"/>
      <c r="B128" s="97"/>
      <c r="C128" s="98"/>
      <c r="D128" s="98"/>
      <c r="E128" s="98"/>
      <c r="F128" s="295"/>
      <c r="G128" s="296"/>
      <c r="H128" s="218"/>
      <c r="I128" s="285"/>
    </row>
    <row r="129" spans="1:9" s="212" customFormat="1" ht="15.75" thickBot="1">
      <c r="A129" s="624" t="s">
        <v>502</v>
      </c>
      <c r="B129" s="625"/>
      <c r="C129" s="625"/>
      <c r="D129" s="625"/>
      <c r="E129" s="625"/>
      <c r="F129" s="625"/>
      <c r="G129" s="626"/>
      <c r="H129" s="297">
        <f>+ROUND(H127,0)</f>
        <v>4830399</v>
      </c>
      <c r="I129" s="298"/>
    </row>
    <row r="130" spans="1:9" s="212" customFormat="1">
      <c r="A130" s="84"/>
      <c r="B130" s="83"/>
      <c r="C130" s="84"/>
      <c r="D130" s="84"/>
      <c r="E130" s="84"/>
      <c r="G130" s="213"/>
      <c r="H130" s="222"/>
    </row>
    <row r="131" spans="1:9" s="212" customFormat="1">
      <c r="A131" s="120"/>
      <c r="B131" s="73"/>
      <c r="C131" s="73"/>
      <c r="D131" s="73"/>
      <c r="E131" s="73"/>
      <c r="G131" s="73"/>
      <c r="H131" s="222"/>
    </row>
    <row r="132" spans="1:9" s="212" customFormat="1" ht="15.75" thickBot="1">
      <c r="A132" s="220"/>
      <c r="B132" s="141"/>
      <c r="C132" s="141"/>
      <c r="D132" s="141"/>
      <c r="E132" s="141"/>
      <c r="F132" s="141"/>
      <c r="G132" s="141"/>
      <c r="H132" s="222"/>
    </row>
    <row r="133" spans="1:9" s="212" customFormat="1">
      <c r="A133" s="647"/>
      <c r="B133" s="649" t="s">
        <v>1005</v>
      </c>
      <c r="C133" s="650"/>
      <c r="D133" s="650"/>
      <c r="E133" s="650"/>
      <c r="F133" s="650"/>
      <c r="G133" s="650"/>
      <c r="H133" s="650"/>
      <c r="I133" s="283" t="s">
        <v>389</v>
      </c>
    </row>
    <row r="134" spans="1:9" s="212" customFormat="1">
      <c r="A134" s="648"/>
      <c r="B134" s="651"/>
      <c r="C134" s="652"/>
      <c r="D134" s="652"/>
      <c r="E134" s="652"/>
      <c r="F134" s="652"/>
      <c r="G134" s="652"/>
      <c r="H134" s="652"/>
      <c r="I134" s="284" t="s">
        <v>291</v>
      </c>
    </row>
    <row r="135" spans="1:9" s="212" customFormat="1">
      <c r="A135" s="68"/>
      <c r="B135" s="69"/>
      <c r="C135" s="69"/>
      <c r="D135" s="69"/>
      <c r="E135" s="69"/>
      <c r="F135" s="218"/>
      <c r="G135" s="218"/>
      <c r="H135" s="218"/>
      <c r="I135" s="285"/>
    </row>
    <row r="136" spans="1:9" s="212" customFormat="1">
      <c r="A136" s="72" t="s">
        <v>390</v>
      </c>
      <c r="B136" s="73"/>
      <c r="C136" s="73"/>
      <c r="D136" s="73"/>
      <c r="E136" s="73"/>
      <c r="F136" s="217"/>
      <c r="G136" s="217"/>
      <c r="H136" s="218"/>
      <c r="I136" s="285"/>
    </row>
    <row r="137" spans="1:9" s="212" customFormat="1">
      <c r="A137" s="286" t="s">
        <v>391</v>
      </c>
      <c r="B137" s="76" t="s">
        <v>392</v>
      </c>
      <c r="C137" s="76" t="s">
        <v>393</v>
      </c>
      <c r="D137" s="76" t="s">
        <v>394</v>
      </c>
      <c r="E137" s="76" t="s">
        <v>395</v>
      </c>
      <c r="F137" s="76" t="s">
        <v>396</v>
      </c>
      <c r="G137" s="76" t="s">
        <v>397</v>
      </c>
      <c r="H137" s="217"/>
      <c r="I137" s="285"/>
    </row>
    <row r="138" spans="1:9" s="212" customFormat="1">
      <c r="A138" s="77" t="s">
        <v>404</v>
      </c>
      <c r="B138" s="78" t="s">
        <v>416</v>
      </c>
      <c r="C138" s="79" t="s">
        <v>406</v>
      </c>
      <c r="D138" s="287">
        <v>1250</v>
      </c>
      <c r="E138" s="79">
        <v>10</v>
      </c>
      <c r="F138" s="79">
        <v>0</v>
      </c>
      <c r="G138" s="287">
        <f>(D138*E138)+((D138*E138)*F138/100)</f>
        <v>12500</v>
      </c>
      <c r="H138" s="217"/>
      <c r="I138" s="285"/>
    </row>
    <row r="139" spans="1:9" s="212" customFormat="1">
      <c r="A139" s="82"/>
      <c r="B139" s="83"/>
      <c r="C139" s="84"/>
      <c r="D139" s="84"/>
      <c r="E139" s="84"/>
      <c r="F139" s="216"/>
      <c r="G139" s="288" t="s">
        <v>407</v>
      </c>
      <c r="H139" s="287">
        <f>SUM(G138:G138)</f>
        <v>12500</v>
      </c>
      <c r="I139" s="285"/>
    </row>
    <row r="140" spans="1:9" s="212" customFormat="1">
      <c r="A140" s="72" t="s">
        <v>408</v>
      </c>
      <c r="B140" s="73"/>
      <c r="C140" s="73"/>
      <c r="D140" s="73"/>
      <c r="E140" s="73"/>
      <c r="F140" s="216"/>
      <c r="G140" s="217"/>
      <c r="H140" s="289"/>
      <c r="I140" s="285"/>
    </row>
    <row r="141" spans="1:9" s="212" customFormat="1">
      <c r="A141" s="286" t="s">
        <v>391</v>
      </c>
      <c r="B141" s="76" t="s">
        <v>392</v>
      </c>
      <c r="C141" s="76" t="s">
        <v>393</v>
      </c>
      <c r="D141" s="76" t="s">
        <v>394</v>
      </c>
      <c r="E141" s="76" t="s">
        <v>395</v>
      </c>
      <c r="F141" s="76" t="s">
        <v>396</v>
      </c>
      <c r="G141" s="76" t="s">
        <v>397</v>
      </c>
      <c r="H141" s="289"/>
      <c r="I141" s="285"/>
    </row>
    <row r="142" spans="1:9" s="212" customFormat="1" ht="39">
      <c r="A142" s="87" t="s">
        <v>409</v>
      </c>
      <c r="B142" s="126" t="s">
        <v>166</v>
      </c>
      <c r="C142" s="114" t="s">
        <v>7</v>
      </c>
      <c r="D142" s="287">
        <f>455000*1.16</f>
        <v>527800</v>
      </c>
      <c r="E142" s="114" t="s">
        <v>409</v>
      </c>
      <c r="F142" s="79" t="s">
        <v>409</v>
      </c>
      <c r="G142" s="287">
        <f>+D142</f>
        <v>527800</v>
      </c>
      <c r="H142" s="289"/>
      <c r="I142" s="285"/>
    </row>
    <row r="143" spans="1:9" s="212" customFormat="1">
      <c r="A143" s="90"/>
      <c r="B143" s="91"/>
      <c r="C143" s="91"/>
      <c r="D143" s="91"/>
      <c r="E143" s="91"/>
      <c r="F143" s="216"/>
      <c r="G143" s="288" t="s">
        <v>407</v>
      </c>
      <c r="H143" s="287">
        <f>SUM(G142:G142)</f>
        <v>527800</v>
      </c>
      <c r="I143" s="285"/>
    </row>
    <row r="144" spans="1:9" s="212" customFormat="1">
      <c r="A144" s="72" t="s">
        <v>410</v>
      </c>
      <c r="B144" s="73"/>
      <c r="C144" s="73"/>
      <c r="D144" s="73"/>
      <c r="E144" s="73"/>
      <c r="F144" s="216"/>
      <c r="G144" s="217"/>
      <c r="H144" s="289"/>
      <c r="I144" s="285"/>
    </row>
    <row r="145" spans="1:9" s="212" customFormat="1">
      <c r="A145" s="286" t="s">
        <v>391</v>
      </c>
      <c r="B145" s="76" t="s">
        <v>392</v>
      </c>
      <c r="C145" s="76" t="s">
        <v>393</v>
      </c>
      <c r="D145" s="76" t="s">
        <v>394</v>
      </c>
      <c r="E145" s="76" t="s">
        <v>395</v>
      </c>
      <c r="F145" s="76" t="s">
        <v>396</v>
      </c>
      <c r="G145" s="76" t="s">
        <v>397</v>
      </c>
      <c r="H145" s="289"/>
      <c r="I145" s="285"/>
    </row>
    <row r="146" spans="1:9" s="212" customFormat="1" ht="26.25">
      <c r="A146" s="125" t="s">
        <v>461</v>
      </c>
      <c r="B146" s="126" t="s">
        <v>462</v>
      </c>
      <c r="C146" s="127" t="s">
        <v>426</v>
      </c>
      <c r="D146" s="287">
        <v>15927</v>
      </c>
      <c r="E146" s="79">
        <v>5</v>
      </c>
      <c r="F146" s="79">
        <v>0</v>
      </c>
      <c r="G146" s="287">
        <f>(D146*E146)+((D146*E146)*F146/100)</f>
        <v>79635</v>
      </c>
      <c r="H146" s="289"/>
      <c r="I146" s="285"/>
    </row>
    <row r="147" spans="1:9" s="212" customFormat="1">
      <c r="A147" s="90"/>
      <c r="B147" s="91"/>
      <c r="C147" s="91"/>
      <c r="D147" s="91"/>
      <c r="E147" s="91"/>
      <c r="F147" s="216"/>
      <c r="G147" s="288" t="s">
        <v>407</v>
      </c>
      <c r="H147" s="287">
        <f>SUM(G146:G146)</f>
        <v>79635</v>
      </c>
      <c r="I147" s="285"/>
    </row>
    <row r="148" spans="1:9" s="212" customFormat="1">
      <c r="A148" s="72" t="s">
        <v>411</v>
      </c>
      <c r="B148" s="73"/>
      <c r="C148" s="73"/>
      <c r="D148" s="73"/>
      <c r="E148" s="73"/>
      <c r="F148" s="216"/>
      <c r="G148" s="217"/>
      <c r="H148" s="289"/>
      <c r="I148" s="285"/>
    </row>
    <row r="149" spans="1:9" s="212" customFormat="1">
      <c r="A149" s="286" t="s">
        <v>391</v>
      </c>
      <c r="B149" s="76" t="s">
        <v>392</v>
      </c>
      <c r="C149" s="76" t="s">
        <v>393</v>
      </c>
      <c r="D149" s="76" t="s">
        <v>394</v>
      </c>
      <c r="E149" s="76" t="s">
        <v>395</v>
      </c>
      <c r="F149" s="76" t="s">
        <v>396</v>
      </c>
      <c r="G149" s="76" t="s">
        <v>397</v>
      </c>
      <c r="H149" s="289"/>
      <c r="I149" s="285"/>
    </row>
    <row r="150" spans="1:9" s="212" customFormat="1">
      <c r="A150" s="87" t="s">
        <v>409</v>
      </c>
      <c r="B150" s="114" t="s">
        <v>409</v>
      </c>
      <c r="C150" s="114" t="s">
        <v>409</v>
      </c>
      <c r="D150" s="114" t="s">
        <v>409</v>
      </c>
      <c r="E150" s="114" t="s">
        <v>409</v>
      </c>
      <c r="F150" s="79" t="s">
        <v>409</v>
      </c>
      <c r="G150" s="302" t="s">
        <v>409</v>
      </c>
      <c r="H150" s="289"/>
      <c r="I150" s="285"/>
    </row>
    <row r="151" spans="1:9" s="212" customFormat="1">
      <c r="A151" s="94"/>
      <c r="B151" s="95"/>
      <c r="C151" s="95"/>
      <c r="D151" s="95"/>
      <c r="E151" s="95"/>
      <c r="F151" s="216"/>
      <c r="G151" s="288" t="s">
        <v>407</v>
      </c>
      <c r="H151" s="287">
        <f>SUM(G149:G150)</f>
        <v>0</v>
      </c>
      <c r="I151" s="285"/>
    </row>
    <row r="152" spans="1:9" s="212" customFormat="1">
      <c r="A152" s="94"/>
      <c r="B152" s="95"/>
      <c r="C152" s="95"/>
      <c r="D152" s="95"/>
      <c r="E152" s="95"/>
      <c r="F152" s="216"/>
      <c r="G152" s="217"/>
      <c r="H152" s="217"/>
      <c r="I152" s="285"/>
    </row>
    <row r="153" spans="1:9" s="212" customFormat="1">
      <c r="A153" s="292"/>
      <c r="B153" s="97"/>
      <c r="C153" s="98"/>
      <c r="D153" s="98"/>
      <c r="E153" s="98"/>
      <c r="F153" s="216"/>
      <c r="G153" s="293" t="s">
        <v>412</v>
      </c>
      <c r="H153" s="294">
        <f>SUM(H139:H151)</f>
        <v>619935</v>
      </c>
      <c r="I153" s="285"/>
    </row>
    <row r="154" spans="1:9" s="212" customFormat="1">
      <c r="A154" s="292"/>
      <c r="B154" s="97"/>
      <c r="C154" s="98"/>
      <c r="D154" s="98"/>
      <c r="E154" s="98"/>
      <c r="F154" s="295"/>
      <c r="G154" s="296"/>
      <c r="H154" s="218"/>
      <c r="I154" s="285"/>
    </row>
    <row r="155" spans="1:9" s="212" customFormat="1" ht="15.75" thickBot="1">
      <c r="A155" s="624" t="s">
        <v>414</v>
      </c>
      <c r="B155" s="625"/>
      <c r="C155" s="625"/>
      <c r="D155" s="625"/>
      <c r="E155" s="625"/>
      <c r="F155" s="625"/>
      <c r="G155" s="626"/>
      <c r="H155" s="297">
        <f>+ROUND(H153,0)</f>
        <v>619935</v>
      </c>
      <c r="I155" s="298"/>
    </row>
    <row r="156" spans="1:9" s="212" customFormat="1">
      <c r="A156" s="220"/>
      <c r="B156" s="141"/>
      <c r="C156" s="141"/>
      <c r="D156" s="141"/>
      <c r="E156" s="141"/>
      <c r="F156" s="141"/>
      <c r="G156" s="141"/>
      <c r="H156" s="222"/>
    </row>
    <row r="157" spans="1:9" s="212" customFormat="1" ht="15.75" thickBot="1">
      <c r="A157" s="150"/>
      <c r="B157" s="83"/>
      <c r="C157" s="148"/>
      <c r="D157" s="84"/>
      <c r="E157" s="84"/>
      <c r="F157" s="84"/>
      <c r="G157" s="146"/>
      <c r="H157" s="221"/>
    </row>
    <row r="158" spans="1:9" s="212" customFormat="1">
      <c r="A158" s="664" t="s">
        <v>409</v>
      </c>
      <c r="B158" s="672" t="s">
        <v>244</v>
      </c>
      <c r="C158" s="673"/>
      <c r="D158" s="673"/>
      <c r="E158" s="673"/>
      <c r="F158" s="673"/>
      <c r="G158" s="673"/>
      <c r="H158" s="673"/>
      <c r="I158" s="303" t="s">
        <v>389</v>
      </c>
    </row>
    <row r="159" spans="1:9" s="212" customFormat="1">
      <c r="A159" s="665"/>
      <c r="B159" s="674"/>
      <c r="C159" s="675"/>
      <c r="D159" s="675"/>
      <c r="E159" s="675"/>
      <c r="F159" s="675"/>
      <c r="G159" s="675"/>
      <c r="H159" s="675"/>
      <c r="I159" s="304" t="s">
        <v>7</v>
      </c>
    </row>
    <row r="160" spans="1:9" s="212" customFormat="1">
      <c r="A160" s="68"/>
      <c r="B160" s="69"/>
      <c r="C160" s="69"/>
      <c r="D160" s="69"/>
      <c r="E160" s="69"/>
      <c r="F160" s="218"/>
      <c r="G160" s="218"/>
      <c r="H160" s="218"/>
      <c r="I160" s="285"/>
    </row>
    <row r="161" spans="1:11" s="212" customFormat="1">
      <c r="A161" s="72" t="s">
        <v>390</v>
      </c>
      <c r="B161" s="73"/>
      <c r="C161" s="73"/>
      <c r="D161" s="73"/>
      <c r="E161" s="73"/>
      <c r="F161" s="217"/>
      <c r="G161" s="217"/>
      <c r="H161" s="218"/>
      <c r="I161" s="285"/>
    </row>
    <row r="162" spans="1:11" s="212" customFormat="1">
      <c r="A162" s="286" t="s">
        <v>391</v>
      </c>
      <c r="B162" s="76" t="s">
        <v>392</v>
      </c>
      <c r="C162" s="76" t="s">
        <v>393</v>
      </c>
      <c r="D162" s="76" t="s">
        <v>394</v>
      </c>
      <c r="E162" s="76" t="s">
        <v>395</v>
      </c>
      <c r="F162" s="76" t="s">
        <v>396</v>
      </c>
      <c r="G162" s="76" t="s">
        <v>397</v>
      </c>
      <c r="H162" s="217"/>
      <c r="I162" s="285"/>
    </row>
    <row r="163" spans="1:11" s="212" customFormat="1">
      <c r="A163" s="77" t="s">
        <v>404</v>
      </c>
      <c r="B163" s="78" t="s">
        <v>405</v>
      </c>
      <c r="C163" s="79" t="s">
        <v>406</v>
      </c>
      <c r="D163" s="287">
        <v>1250</v>
      </c>
      <c r="E163" s="79">
        <v>4</v>
      </c>
      <c r="F163" s="79">
        <v>0</v>
      </c>
      <c r="G163" s="287">
        <f>(D163*E163)+((D163*E163)*F163/100)</f>
        <v>5000</v>
      </c>
      <c r="H163" s="217"/>
      <c r="I163" s="285"/>
    </row>
    <row r="164" spans="1:11" s="212" customFormat="1">
      <c r="A164" s="82"/>
      <c r="B164" s="83"/>
      <c r="C164" s="84"/>
      <c r="D164" s="84"/>
      <c r="E164" s="84"/>
      <c r="F164" s="216"/>
      <c r="G164" s="288" t="s">
        <v>407</v>
      </c>
      <c r="H164" s="287">
        <f>SUM(G163:G163)</f>
        <v>5000</v>
      </c>
      <c r="I164" s="285"/>
    </row>
    <row r="165" spans="1:11" s="212" customFormat="1">
      <c r="A165" s="72" t="s">
        <v>408</v>
      </c>
      <c r="B165" s="73"/>
      <c r="C165" s="73"/>
      <c r="D165" s="73"/>
      <c r="E165" s="73"/>
      <c r="F165" s="216"/>
      <c r="G165" s="217"/>
      <c r="H165" s="289"/>
      <c r="I165" s="285"/>
      <c r="K165" s="223"/>
    </row>
    <row r="166" spans="1:11" s="212" customFormat="1">
      <c r="A166" s="286" t="s">
        <v>391</v>
      </c>
      <c r="B166" s="76" t="s">
        <v>392</v>
      </c>
      <c r="C166" s="76" t="s">
        <v>393</v>
      </c>
      <c r="D166" s="76" t="s">
        <v>394</v>
      </c>
      <c r="E166" s="76" t="s">
        <v>395</v>
      </c>
      <c r="F166" s="76" t="s">
        <v>396</v>
      </c>
      <c r="G166" s="76" t="s">
        <v>397</v>
      </c>
      <c r="H166" s="289"/>
      <c r="I166" s="285"/>
    </row>
    <row r="167" spans="1:11" s="212" customFormat="1">
      <c r="A167" s="135" t="s">
        <v>409</v>
      </c>
      <c r="B167" s="78" t="s">
        <v>735</v>
      </c>
      <c r="C167" s="127" t="s">
        <v>393</v>
      </c>
      <c r="D167" s="287">
        <f>185000*1.16*1.2/3</f>
        <v>85839.999999999985</v>
      </c>
      <c r="E167" s="79">
        <v>1</v>
      </c>
      <c r="F167" s="79">
        <v>0</v>
      </c>
      <c r="G167" s="287">
        <f>(D167*E167)+((D167*E167)*F167/100)</f>
        <v>85839.999999999985</v>
      </c>
      <c r="H167" s="289"/>
      <c r="I167" s="285"/>
    </row>
    <row r="168" spans="1:11" s="212" customFormat="1">
      <c r="A168" s="90"/>
      <c r="B168" s="91"/>
      <c r="C168" s="91"/>
      <c r="D168" s="91"/>
      <c r="E168" s="91"/>
      <c r="F168" s="216"/>
      <c r="G168" s="290" t="s">
        <v>407</v>
      </c>
      <c r="H168" s="287">
        <f>SUM(G167:G167)</f>
        <v>85839.999999999985</v>
      </c>
      <c r="I168" s="285"/>
      <c r="K168" s="223"/>
    </row>
    <row r="169" spans="1:11" s="212" customFormat="1">
      <c r="A169" s="72" t="s">
        <v>410</v>
      </c>
      <c r="B169" s="73"/>
      <c r="C169" s="73"/>
      <c r="D169" s="73"/>
      <c r="E169" s="73"/>
      <c r="F169" s="216"/>
      <c r="G169" s="217"/>
      <c r="H169" s="289"/>
      <c r="I169" s="285"/>
    </row>
    <row r="170" spans="1:11" s="212" customFormat="1">
      <c r="A170" s="286" t="s">
        <v>391</v>
      </c>
      <c r="B170" s="76" t="s">
        <v>392</v>
      </c>
      <c r="C170" s="76" t="s">
        <v>393</v>
      </c>
      <c r="D170" s="76" t="s">
        <v>394</v>
      </c>
      <c r="E170" s="76" t="s">
        <v>395</v>
      </c>
      <c r="F170" s="76" t="s">
        <v>396</v>
      </c>
      <c r="G170" s="76" t="s">
        <v>397</v>
      </c>
      <c r="H170" s="289"/>
      <c r="I170" s="285"/>
    </row>
    <row r="171" spans="1:11" s="212" customFormat="1" ht="26.25">
      <c r="A171" s="125" t="s">
        <v>461</v>
      </c>
      <c r="B171" s="126" t="s">
        <v>462</v>
      </c>
      <c r="C171" s="127" t="s">
        <v>426</v>
      </c>
      <c r="D171" s="287">
        <v>15927</v>
      </c>
      <c r="E171" s="79">
        <v>1.5</v>
      </c>
      <c r="F171" s="79">
        <v>0</v>
      </c>
      <c r="G171" s="287">
        <f>(D171*E171)+((D171*E171)*F171/100)</f>
        <v>23890.5</v>
      </c>
      <c r="H171" s="289"/>
      <c r="I171" s="285"/>
    </row>
    <row r="172" spans="1:11" s="212" customFormat="1">
      <c r="A172" s="90"/>
      <c r="B172" s="91"/>
      <c r="C172" s="91"/>
      <c r="D172" s="91"/>
      <c r="E172" s="91"/>
      <c r="F172" s="216"/>
      <c r="G172" s="288" t="s">
        <v>407</v>
      </c>
      <c r="H172" s="287">
        <f>SUM(G171:G171)</f>
        <v>23890.5</v>
      </c>
      <c r="I172" s="285"/>
    </row>
    <row r="173" spans="1:11" s="212" customFormat="1">
      <c r="A173" s="72" t="s">
        <v>411</v>
      </c>
      <c r="B173" s="73"/>
      <c r="C173" s="73"/>
      <c r="D173" s="73"/>
      <c r="E173" s="73"/>
      <c r="F173" s="216"/>
      <c r="G173" s="217"/>
      <c r="H173" s="289"/>
      <c r="I173" s="285"/>
    </row>
    <row r="174" spans="1:11" s="212" customFormat="1">
      <c r="A174" s="286" t="s">
        <v>391</v>
      </c>
      <c r="B174" s="76" t="s">
        <v>392</v>
      </c>
      <c r="C174" s="76" t="s">
        <v>393</v>
      </c>
      <c r="D174" s="76" t="s">
        <v>394</v>
      </c>
      <c r="E174" s="76" t="s">
        <v>395</v>
      </c>
      <c r="F174" s="76" t="s">
        <v>396</v>
      </c>
      <c r="G174" s="76" t="s">
        <v>397</v>
      </c>
      <c r="H174" s="289"/>
      <c r="I174" s="285"/>
    </row>
    <row r="175" spans="1:11" s="212" customFormat="1">
      <c r="A175" s="87" t="s">
        <v>409</v>
      </c>
      <c r="B175" s="114" t="s">
        <v>409</v>
      </c>
      <c r="C175" s="114" t="s">
        <v>409</v>
      </c>
      <c r="D175" s="114" t="s">
        <v>409</v>
      </c>
      <c r="E175" s="114" t="s">
        <v>409</v>
      </c>
      <c r="F175" s="79" t="s">
        <v>409</v>
      </c>
      <c r="G175" s="302" t="s">
        <v>409</v>
      </c>
      <c r="H175" s="289"/>
      <c r="I175" s="285"/>
    </row>
    <row r="176" spans="1:11" s="212" customFormat="1">
      <c r="A176" s="94"/>
      <c r="B176" s="95"/>
      <c r="C176" s="95"/>
      <c r="D176" s="95"/>
      <c r="E176" s="95"/>
      <c r="F176" s="216"/>
      <c r="G176" s="288" t="s">
        <v>407</v>
      </c>
      <c r="H176" s="287">
        <f>SUM(G174:G175)</f>
        <v>0</v>
      </c>
      <c r="I176" s="285"/>
    </row>
    <row r="177" spans="1:9" s="212" customFormat="1">
      <c r="A177" s="94"/>
      <c r="B177" s="95"/>
      <c r="C177" s="95"/>
      <c r="D177" s="95"/>
      <c r="E177" s="95"/>
      <c r="F177" s="216"/>
      <c r="G177" s="217"/>
      <c r="H177" s="217"/>
      <c r="I177" s="285"/>
    </row>
    <row r="178" spans="1:9" s="212" customFormat="1">
      <c r="A178" s="292"/>
      <c r="B178" s="97"/>
      <c r="C178" s="98"/>
      <c r="D178" s="98"/>
      <c r="E178" s="98"/>
      <c r="F178" s="216"/>
      <c r="G178" s="293" t="s">
        <v>412</v>
      </c>
      <c r="H178" s="294">
        <f>SUM(H164:H176)</f>
        <v>114730.49999999999</v>
      </c>
      <c r="I178" s="285"/>
    </row>
    <row r="179" spans="1:9" s="212" customFormat="1">
      <c r="A179" s="292"/>
      <c r="B179" s="97"/>
      <c r="C179" s="98"/>
      <c r="D179" s="98"/>
      <c r="E179" s="98"/>
      <c r="F179" s="295"/>
      <c r="G179" s="296"/>
      <c r="H179" s="218"/>
      <c r="I179" s="285"/>
    </row>
    <row r="180" spans="1:9" s="212" customFormat="1" ht="15.75" thickBot="1">
      <c r="A180" s="624" t="s">
        <v>502</v>
      </c>
      <c r="B180" s="625"/>
      <c r="C180" s="625"/>
      <c r="D180" s="625"/>
      <c r="E180" s="625"/>
      <c r="F180" s="625"/>
      <c r="G180" s="626"/>
      <c r="H180" s="297">
        <f>H178</f>
        <v>114730.49999999999</v>
      </c>
      <c r="I180" s="298"/>
    </row>
    <row r="181" spans="1:9" s="212" customFormat="1">
      <c r="A181" s="150"/>
      <c r="B181" s="83"/>
      <c r="C181" s="148"/>
      <c r="D181" s="84"/>
      <c r="E181" s="84"/>
      <c r="F181" s="84"/>
      <c r="G181" s="146"/>
      <c r="H181" s="221"/>
    </row>
    <row r="182" spans="1:9" s="212" customFormat="1" ht="15.75" thickBot="1">
      <c r="A182" s="91"/>
      <c r="B182" s="91"/>
      <c r="C182" s="91"/>
      <c r="D182" s="91"/>
      <c r="E182" s="91"/>
      <c r="G182" s="213"/>
      <c r="H182" s="222"/>
    </row>
    <row r="183" spans="1:9" s="212" customFormat="1">
      <c r="A183" s="664" t="s">
        <v>409</v>
      </c>
      <c r="B183" s="666" t="s">
        <v>160</v>
      </c>
      <c r="C183" s="667"/>
      <c r="D183" s="667"/>
      <c r="E183" s="667"/>
      <c r="F183" s="667"/>
      <c r="G183" s="667"/>
      <c r="H183" s="668"/>
      <c r="I183" s="303" t="s">
        <v>389</v>
      </c>
    </row>
    <row r="184" spans="1:9" s="212" customFormat="1">
      <c r="A184" s="665"/>
      <c r="B184" s="669"/>
      <c r="C184" s="670"/>
      <c r="D184" s="670"/>
      <c r="E184" s="670"/>
      <c r="F184" s="670"/>
      <c r="G184" s="670"/>
      <c r="H184" s="671"/>
      <c r="I184" s="304" t="s">
        <v>7</v>
      </c>
    </row>
    <row r="185" spans="1:9" s="212" customFormat="1">
      <c r="A185" s="68"/>
      <c r="B185" s="69"/>
      <c r="C185" s="69"/>
      <c r="D185" s="69"/>
      <c r="E185" s="69"/>
      <c r="F185" s="218"/>
      <c r="G185" s="218"/>
      <c r="H185" s="218"/>
      <c r="I185" s="285"/>
    </row>
    <row r="186" spans="1:9" s="212" customFormat="1">
      <c r="A186" s="72" t="s">
        <v>390</v>
      </c>
      <c r="B186" s="73"/>
      <c r="C186" s="73"/>
      <c r="D186" s="73"/>
      <c r="E186" s="73"/>
      <c r="F186" s="217"/>
      <c r="G186" s="217"/>
      <c r="H186" s="218"/>
      <c r="I186" s="285"/>
    </row>
    <row r="187" spans="1:9" s="212" customFormat="1">
      <c r="A187" s="286" t="s">
        <v>391</v>
      </c>
      <c r="B187" s="76" t="s">
        <v>392</v>
      </c>
      <c r="C187" s="76" t="s">
        <v>393</v>
      </c>
      <c r="D187" s="76" t="s">
        <v>394</v>
      </c>
      <c r="E187" s="76" t="s">
        <v>395</v>
      </c>
      <c r="F187" s="76" t="s">
        <v>396</v>
      </c>
      <c r="G187" s="76" t="s">
        <v>397</v>
      </c>
      <c r="H187" s="217"/>
      <c r="I187" s="285"/>
    </row>
    <row r="188" spans="1:9" s="212" customFormat="1">
      <c r="A188" s="77" t="s">
        <v>404</v>
      </c>
      <c r="B188" s="78" t="s">
        <v>405</v>
      </c>
      <c r="C188" s="79" t="s">
        <v>406</v>
      </c>
      <c r="D188" s="287">
        <v>1250</v>
      </c>
      <c r="E188" s="79">
        <v>12</v>
      </c>
      <c r="F188" s="79">
        <v>0</v>
      </c>
      <c r="G188" s="287">
        <f>(D188*E188)+((D188*E188)*F188/100)</f>
        <v>15000</v>
      </c>
      <c r="H188" s="217"/>
      <c r="I188" s="285"/>
    </row>
    <row r="189" spans="1:9" s="212" customFormat="1">
      <c r="A189" s="82"/>
      <c r="B189" s="83"/>
      <c r="C189" s="84"/>
      <c r="D189" s="84"/>
      <c r="E189" s="84"/>
      <c r="F189" s="216"/>
      <c r="G189" s="288" t="s">
        <v>407</v>
      </c>
      <c r="H189" s="287">
        <f>SUM(G188:G188)</f>
        <v>15000</v>
      </c>
      <c r="I189" s="285"/>
    </row>
    <row r="190" spans="1:9" s="212" customFormat="1">
      <c r="A190" s="72" t="s">
        <v>408</v>
      </c>
      <c r="B190" s="73"/>
      <c r="C190" s="73"/>
      <c r="D190" s="73"/>
      <c r="E190" s="73"/>
      <c r="F190" s="216"/>
      <c r="G190" s="217"/>
      <c r="H190" s="289"/>
      <c r="I190" s="285"/>
    </row>
    <row r="191" spans="1:9" s="212" customFormat="1">
      <c r="A191" s="286" t="s">
        <v>391</v>
      </c>
      <c r="B191" s="76" t="s">
        <v>392</v>
      </c>
      <c r="C191" s="76" t="s">
        <v>393</v>
      </c>
      <c r="D191" s="76" t="s">
        <v>394</v>
      </c>
      <c r="E191" s="76" t="s">
        <v>395</v>
      </c>
      <c r="F191" s="76" t="s">
        <v>396</v>
      </c>
      <c r="G191" s="76" t="s">
        <v>397</v>
      </c>
      <c r="H191" s="289"/>
      <c r="I191" s="285"/>
    </row>
    <row r="192" spans="1:9" s="212" customFormat="1" ht="25.5">
      <c r="A192" s="135" t="s">
        <v>409</v>
      </c>
      <c r="B192" s="78" t="s">
        <v>520</v>
      </c>
      <c r="C192" s="127" t="s">
        <v>157</v>
      </c>
      <c r="D192" s="287">
        <f>455000*1.16*1.2</f>
        <v>633360</v>
      </c>
      <c r="E192" s="79">
        <v>1</v>
      </c>
      <c r="F192" s="79">
        <v>0</v>
      </c>
      <c r="G192" s="287">
        <f>(D192*E192)+((D192*E192)*F192/100)</f>
        <v>633360</v>
      </c>
      <c r="H192" s="289"/>
      <c r="I192" s="285"/>
    </row>
    <row r="193" spans="1:9" s="212" customFormat="1">
      <c r="A193" s="90"/>
      <c r="B193" s="91"/>
      <c r="C193" s="91"/>
      <c r="D193" s="91"/>
      <c r="E193" s="91"/>
      <c r="F193" s="216"/>
      <c r="G193" s="290" t="s">
        <v>407</v>
      </c>
      <c r="H193" s="287">
        <f>SUM(G192:G192)</f>
        <v>633360</v>
      </c>
      <c r="I193" s="285"/>
    </row>
    <row r="194" spans="1:9" s="212" customFormat="1">
      <c r="A194" s="72" t="s">
        <v>410</v>
      </c>
      <c r="B194" s="73"/>
      <c r="C194" s="73"/>
      <c r="D194" s="73"/>
      <c r="E194" s="73"/>
      <c r="F194" s="216"/>
      <c r="G194" s="217"/>
      <c r="H194" s="289"/>
      <c r="I194" s="285"/>
    </row>
    <row r="195" spans="1:9" s="212" customFormat="1">
      <c r="A195" s="286" t="s">
        <v>391</v>
      </c>
      <c r="B195" s="76" t="s">
        <v>392</v>
      </c>
      <c r="C195" s="76" t="s">
        <v>393</v>
      </c>
      <c r="D195" s="76" t="s">
        <v>394</v>
      </c>
      <c r="E195" s="76" t="s">
        <v>395</v>
      </c>
      <c r="F195" s="76" t="s">
        <v>396</v>
      </c>
      <c r="G195" s="76" t="s">
        <v>397</v>
      </c>
      <c r="H195" s="289"/>
      <c r="I195" s="285"/>
    </row>
    <row r="196" spans="1:9" s="212" customFormat="1" ht="26.25">
      <c r="A196" s="125" t="s">
        <v>461</v>
      </c>
      <c r="B196" s="126" t="s">
        <v>462</v>
      </c>
      <c r="C196" s="127" t="s">
        <v>426</v>
      </c>
      <c r="D196" s="287">
        <v>15927</v>
      </c>
      <c r="E196" s="79">
        <v>9.5</v>
      </c>
      <c r="F196" s="79">
        <v>0</v>
      </c>
      <c r="G196" s="287">
        <f>(D196*E196)+((D196*E196)*F196/100)</f>
        <v>151306.5</v>
      </c>
      <c r="H196" s="289"/>
      <c r="I196" s="285"/>
    </row>
    <row r="197" spans="1:9" s="212" customFormat="1">
      <c r="A197" s="90"/>
      <c r="B197" s="91"/>
      <c r="C197" s="91"/>
      <c r="D197" s="91"/>
      <c r="E197" s="91"/>
      <c r="F197" s="216"/>
      <c r="G197" s="288" t="s">
        <v>407</v>
      </c>
      <c r="H197" s="287">
        <f>SUM(G196:G196)</f>
        <v>151306.5</v>
      </c>
      <c r="I197" s="285"/>
    </row>
    <row r="198" spans="1:9" s="212" customFormat="1">
      <c r="A198" s="72" t="s">
        <v>411</v>
      </c>
      <c r="B198" s="73"/>
      <c r="C198" s="73"/>
      <c r="D198" s="73"/>
      <c r="E198" s="73"/>
      <c r="F198" s="216"/>
      <c r="G198" s="217"/>
      <c r="H198" s="289"/>
      <c r="I198" s="285"/>
    </row>
    <row r="199" spans="1:9" s="212" customFormat="1">
      <c r="A199" s="286" t="s">
        <v>391</v>
      </c>
      <c r="B199" s="76" t="s">
        <v>392</v>
      </c>
      <c r="C199" s="76" t="s">
        <v>393</v>
      </c>
      <c r="D199" s="76" t="s">
        <v>394</v>
      </c>
      <c r="E199" s="76" t="s">
        <v>395</v>
      </c>
      <c r="F199" s="76" t="s">
        <v>396</v>
      </c>
      <c r="G199" s="76" t="s">
        <v>397</v>
      </c>
      <c r="H199" s="289"/>
      <c r="I199" s="285"/>
    </row>
    <row r="200" spans="1:9" s="212" customFormat="1">
      <c r="A200" s="87" t="s">
        <v>409</v>
      </c>
      <c r="B200" s="114" t="s">
        <v>409</v>
      </c>
      <c r="C200" s="114" t="s">
        <v>409</v>
      </c>
      <c r="D200" s="114" t="s">
        <v>409</v>
      </c>
      <c r="E200" s="114" t="s">
        <v>409</v>
      </c>
      <c r="F200" s="79" t="s">
        <v>409</v>
      </c>
      <c r="G200" s="302" t="s">
        <v>409</v>
      </c>
      <c r="H200" s="289"/>
      <c r="I200" s="285"/>
    </row>
    <row r="201" spans="1:9" s="212" customFormat="1">
      <c r="A201" s="94"/>
      <c r="B201" s="95"/>
      <c r="C201" s="95"/>
      <c r="D201" s="95"/>
      <c r="E201" s="95"/>
      <c r="F201" s="216"/>
      <c r="G201" s="288" t="s">
        <v>407</v>
      </c>
      <c r="H201" s="287">
        <f>SUM(G199:G200)</f>
        <v>0</v>
      </c>
      <c r="I201" s="285"/>
    </row>
    <row r="202" spans="1:9" s="212" customFormat="1">
      <c r="A202" s="94"/>
      <c r="B202" s="95"/>
      <c r="C202" s="95"/>
      <c r="D202" s="95"/>
      <c r="E202" s="95"/>
      <c r="F202" s="216"/>
      <c r="G202" s="217"/>
      <c r="H202" s="217"/>
      <c r="I202" s="285"/>
    </row>
    <row r="203" spans="1:9" s="212" customFormat="1">
      <c r="A203" s="292"/>
      <c r="B203" s="97"/>
      <c r="C203" s="98"/>
      <c r="D203" s="98"/>
      <c r="E203" s="98"/>
      <c r="F203" s="216"/>
      <c r="G203" s="293" t="s">
        <v>412</v>
      </c>
      <c r="H203" s="294">
        <f>SUM(H189:H201)</f>
        <v>799666.5</v>
      </c>
      <c r="I203" s="285"/>
    </row>
    <row r="204" spans="1:9" s="212" customFormat="1">
      <c r="A204" s="292"/>
      <c r="B204" s="97"/>
      <c r="C204" s="98"/>
      <c r="D204" s="98"/>
      <c r="E204" s="98"/>
      <c r="F204" s="295"/>
      <c r="G204" s="296"/>
      <c r="H204" s="218"/>
      <c r="I204" s="285"/>
    </row>
    <row r="205" spans="1:9" s="212" customFormat="1" ht="15.75" thickBot="1">
      <c r="A205" s="624" t="s">
        <v>502</v>
      </c>
      <c r="B205" s="625"/>
      <c r="C205" s="625"/>
      <c r="D205" s="625"/>
      <c r="E205" s="625"/>
      <c r="F205" s="625"/>
      <c r="G205" s="626"/>
      <c r="H205" s="297">
        <f>H203</f>
        <v>799666.5</v>
      </c>
      <c r="I205" s="298"/>
    </row>
    <row r="206" spans="1:9" s="212" customFormat="1" ht="15.75" thickBot="1">
      <c r="A206" s="216"/>
      <c r="B206" s="216"/>
      <c r="C206" s="216"/>
      <c r="D206" s="216"/>
      <c r="E206" s="216"/>
      <c r="F206" s="216"/>
      <c r="G206" s="216"/>
      <c r="H206" s="216"/>
      <c r="I206" s="216"/>
    </row>
    <row r="207" spans="1:9" s="212" customFormat="1">
      <c r="A207" s="664" t="s">
        <v>409</v>
      </c>
      <c r="B207" s="666" t="s">
        <v>161</v>
      </c>
      <c r="C207" s="667"/>
      <c r="D207" s="667"/>
      <c r="E207" s="667"/>
      <c r="F207" s="667"/>
      <c r="G207" s="667"/>
      <c r="H207" s="668"/>
      <c r="I207" s="303" t="s">
        <v>389</v>
      </c>
    </row>
    <row r="208" spans="1:9" s="212" customFormat="1">
      <c r="A208" s="665"/>
      <c r="B208" s="669"/>
      <c r="C208" s="670"/>
      <c r="D208" s="670"/>
      <c r="E208" s="670"/>
      <c r="F208" s="670"/>
      <c r="G208" s="670"/>
      <c r="H208" s="671"/>
      <c r="I208" s="304" t="s">
        <v>7</v>
      </c>
    </row>
    <row r="209" spans="1:9" s="212" customFormat="1">
      <c r="A209" s="68"/>
      <c r="B209" s="69"/>
      <c r="C209" s="69"/>
      <c r="D209" s="69"/>
      <c r="E209" s="69"/>
      <c r="F209" s="218"/>
      <c r="G209" s="218"/>
      <c r="H209" s="218"/>
      <c r="I209" s="285"/>
    </row>
    <row r="210" spans="1:9" s="212" customFormat="1">
      <c r="A210" s="72" t="s">
        <v>390</v>
      </c>
      <c r="B210" s="73"/>
      <c r="C210" s="73"/>
      <c r="D210" s="73"/>
      <c r="E210" s="73"/>
      <c r="F210" s="217"/>
      <c r="G210" s="217"/>
      <c r="H210" s="218"/>
      <c r="I210" s="285"/>
    </row>
    <row r="211" spans="1:9" s="212" customFormat="1">
      <c r="A211" s="286" t="s">
        <v>391</v>
      </c>
      <c r="B211" s="76" t="s">
        <v>392</v>
      </c>
      <c r="C211" s="76" t="s">
        <v>393</v>
      </c>
      <c r="D211" s="76" t="s">
        <v>394</v>
      </c>
      <c r="E211" s="76" t="s">
        <v>395</v>
      </c>
      <c r="F211" s="76" t="s">
        <v>396</v>
      </c>
      <c r="G211" s="76" t="s">
        <v>397</v>
      </c>
      <c r="H211" s="217"/>
      <c r="I211" s="285"/>
    </row>
    <row r="212" spans="1:9" s="212" customFormat="1">
      <c r="A212" s="77" t="s">
        <v>404</v>
      </c>
      <c r="B212" s="78" t="s">
        <v>405</v>
      </c>
      <c r="C212" s="79" t="s">
        <v>406</v>
      </c>
      <c r="D212" s="287">
        <v>1250</v>
      </c>
      <c r="E212" s="79">
        <v>10</v>
      </c>
      <c r="F212" s="79">
        <v>0</v>
      </c>
      <c r="G212" s="287">
        <f>(D212*E212)+((D212*E212)*F212/100)</f>
        <v>12500</v>
      </c>
      <c r="H212" s="217"/>
      <c r="I212" s="285"/>
    </row>
    <row r="213" spans="1:9" s="212" customFormat="1">
      <c r="A213" s="82"/>
      <c r="B213" s="83"/>
      <c r="C213" s="84"/>
      <c r="D213" s="84"/>
      <c r="E213" s="84"/>
      <c r="F213" s="216"/>
      <c r="G213" s="288" t="s">
        <v>407</v>
      </c>
      <c r="H213" s="287">
        <f>SUM(G212:G212)</f>
        <v>12500</v>
      </c>
      <c r="I213" s="285"/>
    </row>
    <row r="214" spans="1:9" s="212" customFormat="1">
      <c r="A214" s="72" t="s">
        <v>408</v>
      </c>
      <c r="B214" s="73"/>
      <c r="C214" s="73"/>
      <c r="D214" s="73"/>
      <c r="E214" s="73"/>
      <c r="F214" s="216"/>
      <c r="G214" s="217"/>
      <c r="H214" s="289"/>
      <c r="I214" s="285"/>
    </row>
    <row r="215" spans="1:9" s="212" customFormat="1">
      <c r="A215" s="286" t="s">
        <v>391</v>
      </c>
      <c r="B215" s="76" t="s">
        <v>392</v>
      </c>
      <c r="C215" s="76" t="s">
        <v>393</v>
      </c>
      <c r="D215" s="76" t="s">
        <v>394</v>
      </c>
      <c r="E215" s="76" t="s">
        <v>395</v>
      </c>
      <c r="F215" s="76" t="s">
        <v>396</v>
      </c>
      <c r="G215" s="76" t="s">
        <v>397</v>
      </c>
      <c r="H215" s="289"/>
      <c r="I215" s="285"/>
    </row>
    <row r="216" spans="1:9" s="212" customFormat="1">
      <c r="A216" s="135" t="s">
        <v>409</v>
      </c>
      <c r="B216" s="78" t="s">
        <v>736</v>
      </c>
      <c r="C216" s="127" t="s">
        <v>157</v>
      </c>
      <c r="D216" s="287">
        <f>847000*1.16*1.2</f>
        <v>1179023.9999999998</v>
      </c>
      <c r="E216" s="79">
        <v>1</v>
      </c>
      <c r="F216" s="79">
        <v>0</v>
      </c>
      <c r="G216" s="287">
        <f>(D216*E216)+((D216*E216)*F216/100)</f>
        <v>1179023.9999999998</v>
      </c>
      <c r="H216" s="289"/>
      <c r="I216" s="285"/>
    </row>
    <row r="217" spans="1:9" s="212" customFormat="1">
      <c r="A217" s="90"/>
      <c r="B217" s="91"/>
      <c r="C217" s="91"/>
      <c r="D217" s="91"/>
      <c r="E217" s="91"/>
      <c r="F217" s="216"/>
      <c r="G217" s="290" t="s">
        <v>407</v>
      </c>
      <c r="H217" s="287">
        <f>SUM(G216:G216)</f>
        <v>1179023.9999999998</v>
      </c>
      <c r="I217" s="285"/>
    </row>
    <row r="218" spans="1:9" s="212" customFormat="1">
      <c r="A218" s="72" t="s">
        <v>410</v>
      </c>
      <c r="B218" s="73"/>
      <c r="C218" s="73"/>
      <c r="D218" s="73"/>
      <c r="E218" s="73"/>
      <c r="F218" s="216"/>
      <c r="G218" s="217"/>
      <c r="H218" s="289"/>
      <c r="I218" s="285"/>
    </row>
    <row r="219" spans="1:9" s="212" customFormat="1">
      <c r="A219" s="286" t="s">
        <v>391</v>
      </c>
      <c r="B219" s="76" t="s">
        <v>392</v>
      </c>
      <c r="C219" s="76" t="s">
        <v>393</v>
      </c>
      <c r="D219" s="76" t="s">
        <v>394</v>
      </c>
      <c r="E219" s="76" t="s">
        <v>395</v>
      </c>
      <c r="F219" s="76" t="s">
        <v>396</v>
      </c>
      <c r="G219" s="76" t="s">
        <v>397</v>
      </c>
      <c r="H219" s="289"/>
      <c r="I219" s="285"/>
    </row>
    <row r="220" spans="1:9" s="212" customFormat="1" ht="26.25">
      <c r="A220" s="125" t="s">
        <v>461</v>
      </c>
      <c r="B220" s="126" t="s">
        <v>462</v>
      </c>
      <c r="C220" s="127" t="s">
        <v>426</v>
      </c>
      <c r="D220" s="287">
        <v>15927</v>
      </c>
      <c r="E220" s="79">
        <v>9.5</v>
      </c>
      <c r="F220" s="79">
        <v>0</v>
      </c>
      <c r="G220" s="287">
        <f>(D220*E220)+((D220*E220)*F220/100)</f>
        <v>151306.5</v>
      </c>
      <c r="H220" s="289"/>
      <c r="I220" s="285"/>
    </row>
    <row r="221" spans="1:9" s="212" customFormat="1">
      <c r="A221" s="90"/>
      <c r="B221" s="91"/>
      <c r="C221" s="91"/>
      <c r="D221" s="91"/>
      <c r="E221" s="91"/>
      <c r="F221" s="216"/>
      <c r="G221" s="288" t="s">
        <v>407</v>
      </c>
      <c r="H221" s="287">
        <f>SUM(G220:G220)</f>
        <v>151306.5</v>
      </c>
      <c r="I221" s="285"/>
    </row>
    <row r="222" spans="1:9" s="212" customFormat="1">
      <c r="A222" s="72" t="s">
        <v>411</v>
      </c>
      <c r="B222" s="73"/>
      <c r="C222" s="73"/>
      <c r="D222" s="73"/>
      <c r="E222" s="73"/>
      <c r="F222" s="216"/>
      <c r="G222" s="217"/>
      <c r="H222" s="289"/>
      <c r="I222" s="285"/>
    </row>
    <row r="223" spans="1:9" s="212" customFormat="1">
      <c r="A223" s="286" t="s">
        <v>391</v>
      </c>
      <c r="B223" s="76" t="s">
        <v>392</v>
      </c>
      <c r="C223" s="76" t="s">
        <v>393</v>
      </c>
      <c r="D223" s="76" t="s">
        <v>394</v>
      </c>
      <c r="E223" s="76" t="s">
        <v>395</v>
      </c>
      <c r="F223" s="76" t="s">
        <v>396</v>
      </c>
      <c r="G223" s="76" t="s">
        <v>397</v>
      </c>
      <c r="H223" s="289"/>
      <c r="I223" s="285"/>
    </row>
    <row r="224" spans="1:9" s="212" customFormat="1">
      <c r="A224" s="87" t="s">
        <v>409</v>
      </c>
      <c r="B224" s="114" t="s">
        <v>409</v>
      </c>
      <c r="C224" s="114" t="s">
        <v>409</v>
      </c>
      <c r="D224" s="114" t="s">
        <v>409</v>
      </c>
      <c r="E224" s="114" t="s">
        <v>409</v>
      </c>
      <c r="F224" s="79" t="s">
        <v>409</v>
      </c>
      <c r="G224" s="302" t="s">
        <v>409</v>
      </c>
      <c r="H224" s="289"/>
      <c r="I224" s="285"/>
    </row>
    <row r="225" spans="1:18" s="212" customFormat="1">
      <c r="A225" s="94"/>
      <c r="B225" s="95"/>
      <c r="C225" s="95"/>
      <c r="D225" s="95"/>
      <c r="E225" s="95"/>
      <c r="F225" s="216"/>
      <c r="G225" s="288" t="s">
        <v>407</v>
      </c>
      <c r="H225" s="287">
        <f>SUM(G224)</f>
        <v>0</v>
      </c>
      <c r="I225" s="285"/>
    </row>
    <row r="226" spans="1:18" s="212" customFormat="1">
      <c r="A226" s="94"/>
      <c r="B226" s="95"/>
      <c r="C226" s="95"/>
      <c r="D226" s="95"/>
      <c r="E226" s="95"/>
      <c r="F226" s="216"/>
      <c r="G226" s="217"/>
      <c r="H226" s="217"/>
      <c r="I226" s="285"/>
    </row>
    <row r="227" spans="1:18" s="212" customFormat="1">
      <c r="A227" s="292"/>
      <c r="B227" s="97"/>
      <c r="C227" s="98"/>
      <c r="D227" s="98"/>
      <c r="E227" s="98"/>
      <c r="F227" s="216"/>
      <c r="G227" s="293" t="s">
        <v>412</v>
      </c>
      <c r="H227" s="294">
        <f>SUM(H213:H225)</f>
        <v>1342830.4999999998</v>
      </c>
      <c r="I227" s="285"/>
    </row>
    <row r="228" spans="1:18" s="212" customFormat="1">
      <c r="A228" s="292"/>
      <c r="B228" s="97"/>
      <c r="C228" s="98"/>
      <c r="D228" s="98"/>
      <c r="E228" s="98"/>
      <c r="F228" s="295"/>
      <c r="G228" s="296"/>
      <c r="H228" s="218"/>
      <c r="I228" s="285"/>
    </row>
    <row r="229" spans="1:18" s="212" customFormat="1" ht="15.75" thickBot="1">
      <c r="A229" s="624" t="s">
        <v>502</v>
      </c>
      <c r="B229" s="625"/>
      <c r="C229" s="625"/>
      <c r="D229" s="625"/>
      <c r="E229" s="625"/>
      <c r="F229" s="625"/>
      <c r="G229" s="626"/>
      <c r="H229" s="297">
        <f>H227</f>
        <v>1342830.4999999998</v>
      </c>
      <c r="I229" s="298"/>
    </row>
    <row r="230" spans="1:18" s="212" customFormat="1">
      <c r="A230" s="216"/>
      <c r="B230" s="216"/>
      <c r="C230" s="216"/>
      <c r="D230" s="216"/>
      <c r="E230" s="216"/>
      <c r="F230" s="216"/>
      <c r="G230" s="216"/>
      <c r="H230" s="216"/>
      <c r="I230" s="216"/>
    </row>
    <row r="231" spans="1:18" s="212" customFormat="1" ht="15.75" thickBot="1">
      <c r="A231" s="216"/>
      <c r="B231" s="216"/>
      <c r="C231" s="216"/>
      <c r="D231" s="216"/>
      <c r="E231" s="216"/>
      <c r="F231" s="216"/>
      <c r="G231" s="216"/>
      <c r="H231" s="216"/>
      <c r="I231" s="216"/>
      <c r="K231" s="120"/>
      <c r="L231" s="73"/>
      <c r="M231" s="73"/>
      <c r="N231" s="73"/>
      <c r="O231" s="73"/>
      <c r="P231" s="73"/>
      <c r="Q231" s="73"/>
    </row>
    <row r="232" spans="1:18" s="212" customFormat="1">
      <c r="A232" s="647" t="s">
        <v>409</v>
      </c>
      <c r="B232" s="649" t="s">
        <v>167</v>
      </c>
      <c r="C232" s="650"/>
      <c r="D232" s="650"/>
      <c r="E232" s="650"/>
      <c r="F232" s="650"/>
      <c r="G232" s="650"/>
      <c r="H232" s="650"/>
      <c r="I232" s="283" t="s">
        <v>389</v>
      </c>
      <c r="K232" s="220"/>
      <c r="L232" s="141"/>
      <c r="M232" s="141"/>
      <c r="N232" s="141"/>
      <c r="O232" s="141"/>
      <c r="P232" s="141"/>
      <c r="Q232" s="141"/>
      <c r="R232" s="73"/>
    </row>
    <row r="233" spans="1:18" s="212" customFormat="1">
      <c r="A233" s="648"/>
      <c r="B233" s="651"/>
      <c r="C233" s="652"/>
      <c r="D233" s="652"/>
      <c r="E233" s="652"/>
      <c r="F233" s="652"/>
      <c r="G233" s="652"/>
      <c r="H233" s="652"/>
      <c r="I233" s="284" t="s">
        <v>7</v>
      </c>
      <c r="K233" s="150"/>
      <c r="L233" s="83"/>
      <c r="M233" s="148"/>
      <c r="N233" s="84"/>
      <c r="O233" s="84"/>
      <c r="P233" s="84"/>
      <c r="Q233" s="224"/>
      <c r="R233" s="73"/>
    </row>
    <row r="234" spans="1:18" s="212" customFormat="1">
      <c r="A234" s="68"/>
      <c r="B234" s="69"/>
      <c r="C234" s="69"/>
      <c r="D234" s="69"/>
      <c r="E234" s="69"/>
      <c r="F234" s="218"/>
      <c r="G234" s="218"/>
      <c r="H234" s="218"/>
      <c r="I234" s="285"/>
      <c r="K234" s="84"/>
      <c r="L234" s="83"/>
      <c r="M234" s="84"/>
      <c r="N234" s="84"/>
      <c r="O234" s="84"/>
      <c r="Q234" s="213"/>
      <c r="R234" s="221"/>
    </row>
    <row r="235" spans="1:18" s="212" customFormat="1">
      <c r="A235" s="72" t="s">
        <v>390</v>
      </c>
      <c r="B235" s="73"/>
      <c r="C235" s="73"/>
      <c r="D235" s="73"/>
      <c r="E235" s="73"/>
      <c r="F235" s="217"/>
      <c r="G235" s="217"/>
      <c r="H235" s="218"/>
      <c r="I235" s="285"/>
      <c r="K235" s="120"/>
      <c r="L235" s="73"/>
      <c r="M235" s="73"/>
      <c r="N235" s="73"/>
      <c r="O235" s="73"/>
      <c r="Q235" s="73"/>
      <c r="R235" s="222"/>
    </row>
    <row r="236" spans="1:18" s="212" customFormat="1">
      <c r="A236" s="286" t="s">
        <v>391</v>
      </c>
      <c r="B236" s="76" t="s">
        <v>392</v>
      </c>
      <c r="C236" s="76" t="s">
        <v>393</v>
      </c>
      <c r="D236" s="76" t="s">
        <v>394</v>
      </c>
      <c r="E236" s="76" t="s">
        <v>395</v>
      </c>
      <c r="F236" s="76" t="s">
        <v>396</v>
      </c>
      <c r="G236" s="76" t="s">
        <v>397</v>
      </c>
      <c r="H236" s="217"/>
      <c r="I236" s="285"/>
      <c r="K236" s="220"/>
      <c r="L236" s="141"/>
      <c r="M236" s="141"/>
      <c r="N236" s="141"/>
      <c r="O236" s="141"/>
      <c r="P236" s="141"/>
      <c r="Q236" s="141"/>
      <c r="R236" s="222"/>
    </row>
    <row r="237" spans="1:18" s="212" customFormat="1">
      <c r="A237" s="77" t="s">
        <v>404</v>
      </c>
      <c r="B237" s="78" t="s">
        <v>405</v>
      </c>
      <c r="C237" s="79" t="s">
        <v>406</v>
      </c>
      <c r="D237" s="287">
        <v>1250</v>
      </c>
      <c r="E237" s="79">
        <v>8</v>
      </c>
      <c r="F237" s="79">
        <v>0</v>
      </c>
      <c r="G237" s="287">
        <f>(D237*E237)+((D237*E237)*F237/100)</f>
        <v>10000</v>
      </c>
      <c r="H237" s="217"/>
      <c r="I237" s="285"/>
      <c r="K237" s="150"/>
      <c r="L237" s="83"/>
      <c r="M237" s="148"/>
      <c r="N237" s="84"/>
      <c r="O237" s="84"/>
      <c r="P237" s="84"/>
      <c r="Q237" s="224"/>
      <c r="R237" s="222"/>
    </row>
    <row r="238" spans="1:18" s="212" customFormat="1">
      <c r="A238" s="82"/>
      <c r="B238" s="83"/>
      <c r="C238" s="84"/>
      <c r="D238" s="84"/>
      <c r="E238" s="84"/>
      <c r="F238" s="216"/>
      <c r="G238" s="288" t="s">
        <v>407</v>
      </c>
      <c r="H238" s="287">
        <f>SUM(G237:G237)</f>
        <v>10000</v>
      </c>
      <c r="I238" s="285"/>
      <c r="K238" s="91"/>
      <c r="L238" s="91"/>
      <c r="M238" s="91"/>
      <c r="N238" s="91"/>
      <c r="O238" s="91"/>
      <c r="Q238" s="213"/>
      <c r="R238" s="221"/>
    </row>
    <row r="239" spans="1:18" s="212" customFormat="1">
      <c r="A239" s="72" t="s">
        <v>408</v>
      </c>
      <c r="B239" s="73"/>
      <c r="C239" s="73"/>
      <c r="D239" s="73"/>
      <c r="E239" s="73"/>
      <c r="F239" s="216"/>
      <c r="G239" s="217"/>
      <c r="H239" s="289"/>
      <c r="I239" s="285"/>
      <c r="K239" s="120"/>
      <c r="L239" s="73"/>
      <c r="M239" s="73"/>
      <c r="N239" s="73"/>
      <c r="O239" s="73"/>
      <c r="Q239" s="73"/>
      <c r="R239" s="222"/>
    </row>
    <row r="240" spans="1:18" s="212" customFormat="1">
      <c r="A240" s="286" t="s">
        <v>391</v>
      </c>
      <c r="B240" s="76" t="s">
        <v>392</v>
      </c>
      <c r="C240" s="76" t="s">
        <v>393</v>
      </c>
      <c r="D240" s="76" t="s">
        <v>394</v>
      </c>
      <c r="E240" s="76" t="s">
        <v>395</v>
      </c>
      <c r="F240" s="76" t="s">
        <v>396</v>
      </c>
      <c r="G240" s="76" t="s">
        <v>397</v>
      </c>
      <c r="H240" s="289"/>
      <c r="I240" s="285"/>
      <c r="K240" s="220"/>
      <c r="L240" s="141"/>
      <c r="M240" s="141"/>
      <c r="N240" s="141"/>
      <c r="O240" s="141"/>
      <c r="P240" s="141"/>
      <c r="Q240" s="141"/>
      <c r="R240" s="222"/>
    </row>
    <row r="241" spans="1:18" s="212" customFormat="1">
      <c r="A241" s="135" t="s">
        <v>409</v>
      </c>
      <c r="B241" s="78" t="s">
        <v>521</v>
      </c>
      <c r="C241" s="127" t="s">
        <v>157</v>
      </c>
      <c r="D241" s="287">
        <f>182500*1.16*1.2</f>
        <v>254039.99999999994</v>
      </c>
      <c r="E241" s="79">
        <v>1</v>
      </c>
      <c r="F241" s="79">
        <v>0</v>
      </c>
      <c r="G241" s="287">
        <f>(D241*E241)+((D241*E241)*F241/100)</f>
        <v>254039.99999999994</v>
      </c>
      <c r="H241" s="289"/>
      <c r="I241" s="285"/>
      <c r="K241" s="146"/>
      <c r="L241" s="83"/>
      <c r="M241" s="148"/>
      <c r="N241" s="84"/>
      <c r="O241" s="84"/>
      <c r="P241" s="84"/>
      <c r="Q241" s="224"/>
      <c r="R241" s="222"/>
    </row>
    <row r="242" spans="1:18" s="212" customFormat="1">
      <c r="A242" s="90"/>
      <c r="B242" s="91"/>
      <c r="C242" s="91"/>
      <c r="D242" s="91"/>
      <c r="E242" s="91"/>
      <c r="F242" s="216"/>
      <c r="G242" s="290" t="s">
        <v>407</v>
      </c>
      <c r="H242" s="287">
        <f>SUM(G241:G241)</f>
        <v>254039.99999999994</v>
      </c>
      <c r="I242" s="285"/>
      <c r="K242" s="91"/>
      <c r="L242" s="91"/>
      <c r="M242" s="91"/>
      <c r="N242" s="91"/>
      <c r="O242" s="91"/>
      <c r="Q242" s="213"/>
      <c r="R242" s="221"/>
    </row>
    <row r="243" spans="1:18" s="212" customFormat="1">
      <c r="A243" s="72" t="s">
        <v>410</v>
      </c>
      <c r="B243" s="73"/>
      <c r="C243" s="73"/>
      <c r="D243" s="73"/>
      <c r="E243" s="73"/>
      <c r="F243" s="216"/>
      <c r="G243" s="217"/>
      <c r="H243" s="289"/>
      <c r="I243" s="285"/>
      <c r="K243" s="120"/>
      <c r="L243" s="73"/>
      <c r="M243" s="73"/>
      <c r="N243" s="73"/>
      <c r="O243" s="73"/>
      <c r="Q243" s="73"/>
      <c r="R243" s="222"/>
    </row>
    <row r="244" spans="1:18" s="212" customFormat="1">
      <c r="A244" s="286" t="s">
        <v>391</v>
      </c>
      <c r="B244" s="76" t="s">
        <v>392</v>
      </c>
      <c r="C244" s="76" t="s">
        <v>393</v>
      </c>
      <c r="D244" s="76" t="s">
        <v>394</v>
      </c>
      <c r="E244" s="76" t="s">
        <v>395</v>
      </c>
      <c r="F244" s="76" t="s">
        <v>396</v>
      </c>
      <c r="G244" s="76" t="s">
        <v>397</v>
      </c>
      <c r="H244" s="289"/>
      <c r="I244" s="285"/>
      <c r="K244" s="220"/>
      <c r="L244" s="141"/>
      <c r="M244" s="141"/>
      <c r="N244" s="141"/>
      <c r="O244" s="141"/>
      <c r="P244" s="141"/>
      <c r="Q244" s="141"/>
      <c r="R244" s="222"/>
    </row>
    <row r="245" spans="1:18" s="212" customFormat="1" ht="26.25">
      <c r="A245" s="125" t="s">
        <v>461</v>
      </c>
      <c r="B245" s="126" t="s">
        <v>462</v>
      </c>
      <c r="C245" s="127" t="s">
        <v>426</v>
      </c>
      <c r="D245" s="287">
        <v>15927</v>
      </c>
      <c r="E245" s="79">
        <v>4</v>
      </c>
      <c r="F245" s="79">
        <v>0</v>
      </c>
      <c r="G245" s="287">
        <f>(D245*E245)+((D245*E245)*F245/100)</f>
        <v>63708</v>
      </c>
      <c r="H245" s="289"/>
      <c r="I245" s="285"/>
      <c r="K245" s="142"/>
      <c r="L245" s="143"/>
      <c r="M245" s="143"/>
      <c r="N245" s="143"/>
      <c r="O245" s="143"/>
      <c r="P245" s="84"/>
      <c r="Q245" s="146"/>
      <c r="R245" s="222"/>
    </row>
    <row r="246" spans="1:18" s="212" customFormat="1">
      <c r="A246" s="90"/>
      <c r="B246" s="91"/>
      <c r="C246" s="91"/>
      <c r="D246" s="91"/>
      <c r="E246" s="91"/>
      <c r="F246" s="216"/>
      <c r="G246" s="288" t="s">
        <v>407</v>
      </c>
      <c r="H246" s="287">
        <f>SUM(G245:G245)</f>
        <v>63708</v>
      </c>
      <c r="I246" s="285"/>
      <c r="K246" s="123"/>
      <c r="L246" s="95"/>
      <c r="M246" s="95"/>
      <c r="N246" s="95"/>
      <c r="O246" s="95"/>
      <c r="Q246" s="213"/>
      <c r="R246" s="221"/>
    </row>
    <row r="247" spans="1:18" s="212" customFormat="1">
      <c r="A247" s="72" t="s">
        <v>411</v>
      </c>
      <c r="B247" s="73"/>
      <c r="C247" s="73"/>
      <c r="D247" s="73"/>
      <c r="E247" s="73"/>
      <c r="F247" s="216"/>
      <c r="G247" s="217"/>
      <c r="H247" s="289"/>
      <c r="I247" s="285"/>
      <c r="K247" s="123"/>
      <c r="L247" s="95"/>
      <c r="M247" s="95"/>
      <c r="N247" s="95"/>
      <c r="O247" s="95"/>
      <c r="Q247" s="73"/>
      <c r="R247" s="73"/>
    </row>
    <row r="248" spans="1:18" s="212" customFormat="1">
      <c r="A248" s="286" t="s">
        <v>391</v>
      </c>
      <c r="B248" s="76" t="s">
        <v>392</v>
      </c>
      <c r="C248" s="76" t="s">
        <v>393</v>
      </c>
      <c r="D248" s="76" t="s">
        <v>394</v>
      </c>
      <c r="E248" s="76" t="s">
        <v>395</v>
      </c>
      <c r="F248" s="76" t="s">
        <v>396</v>
      </c>
      <c r="G248" s="76" t="s">
        <v>397</v>
      </c>
      <c r="H248" s="289"/>
      <c r="I248" s="285"/>
      <c r="L248" s="97"/>
      <c r="M248" s="98"/>
      <c r="N248" s="98"/>
      <c r="O248" s="98"/>
      <c r="Q248" s="220"/>
      <c r="R248" s="225"/>
    </row>
    <row r="249" spans="1:18" s="212" customFormat="1">
      <c r="A249" s="87" t="s">
        <v>409</v>
      </c>
      <c r="B249" s="114" t="s">
        <v>409</v>
      </c>
      <c r="C249" s="114" t="s">
        <v>409</v>
      </c>
      <c r="D249" s="114" t="s">
        <v>409</v>
      </c>
      <c r="E249" s="114" t="s">
        <v>409</v>
      </c>
      <c r="F249" s="79" t="s">
        <v>409</v>
      </c>
      <c r="G249" s="302" t="s">
        <v>409</v>
      </c>
      <c r="H249" s="289"/>
      <c r="I249" s="285"/>
      <c r="L249" s="97"/>
      <c r="M249" s="98"/>
      <c r="N249" s="98"/>
      <c r="O249" s="98"/>
      <c r="P249" s="220"/>
      <c r="Q249" s="225"/>
    </row>
    <row r="250" spans="1:18" s="212" customFormat="1">
      <c r="A250" s="94"/>
      <c r="B250" s="95"/>
      <c r="C250" s="95"/>
      <c r="D250" s="95"/>
      <c r="E250" s="95"/>
      <c r="F250" s="216"/>
      <c r="G250" s="288" t="s">
        <v>407</v>
      </c>
      <c r="H250" s="287">
        <f>SUM(G248:G249)</f>
        <v>0</v>
      </c>
      <c r="I250" s="285"/>
      <c r="K250" s="633"/>
      <c r="L250" s="633"/>
      <c r="M250" s="633"/>
      <c r="N250" s="633"/>
      <c r="O250" s="633"/>
      <c r="P250" s="633"/>
      <c r="Q250" s="633"/>
      <c r="R250" s="226"/>
    </row>
    <row r="251" spans="1:18" s="212" customFormat="1">
      <c r="A251" s="94"/>
      <c r="B251" s="95"/>
      <c r="C251" s="95"/>
      <c r="D251" s="95"/>
      <c r="E251" s="95"/>
      <c r="F251" s="216"/>
      <c r="G251" s="217"/>
      <c r="H251" s="217"/>
      <c r="I251" s="285"/>
    </row>
    <row r="252" spans="1:18" s="212" customFormat="1">
      <c r="A252" s="292"/>
      <c r="B252" s="97"/>
      <c r="C252" s="98"/>
      <c r="D252" s="98"/>
      <c r="E252" s="98"/>
      <c r="F252" s="216"/>
      <c r="G252" s="293" t="s">
        <v>412</v>
      </c>
      <c r="H252" s="294">
        <f>SUM(H238:H250)</f>
        <v>327747.99999999994</v>
      </c>
      <c r="I252" s="285"/>
    </row>
    <row r="253" spans="1:18" s="212" customFormat="1">
      <c r="A253" s="292"/>
      <c r="B253" s="97"/>
      <c r="C253" s="98"/>
      <c r="D253" s="98"/>
      <c r="E253" s="98"/>
      <c r="F253" s="295"/>
      <c r="G253" s="296"/>
      <c r="H253" s="218"/>
      <c r="I253" s="285"/>
    </row>
    <row r="254" spans="1:18" s="212" customFormat="1" ht="15.75" thickBot="1">
      <c r="A254" s="624" t="s">
        <v>502</v>
      </c>
      <c r="B254" s="625"/>
      <c r="C254" s="625"/>
      <c r="D254" s="625"/>
      <c r="E254" s="625"/>
      <c r="F254" s="625"/>
      <c r="G254" s="626"/>
      <c r="H254" s="297">
        <f>H252</f>
        <v>327747.99999999994</v>
      </c>
      <c r="I254" s="298"/>
    </row>
    <row r="255" spans="1:18" s="212" customFormat="1">
      <c r="A255" s="633"/>
      <c r="B255" s="633"/>
      <c r="C255" s="633"/>
      <c r="D255" s="633"/>
      <c r="E255" s="633"/>
      <c r="F255" s="633"/>
      <c r="G255" s="633"/>
    </row>
    <row r="256" spans="1:18" s="212" customFormat="1" ht="15.75" thickBot="1">
      <c r="H256" s="227"/>
      <c r="I256" s="228"/>
    </row>
    <row r="257" spans="1:9" s="212" customFormat="1">
      <c r="A257" s="664" t="s">
        <v>409</v>
      </c>
      <c r="B257" s="672" t="s">
        <v>162</v>
      </c>
      <c r="C257" s="673"/>
      <c r="D257" s="673"/>
      <c r="E257" s="673"/>
      <c r="F257" s="673"/>
      <c r="G257" s="673"/>
      <c r="H257" s="673"/>
      <c r="I257" s="303" t="s">
        <v>389</v>
      </c>
    </row>
    <row r="258" spans="1:9" s="212" customFormat="1">
      <c r="A258" s="665"/>
      <c r="B258" s="674"/>
      <c r="C258" s="675"/>
      <c r="D258" s="675"/>
      <c r="E258" s="675"/>
      <c r="F258" s="675"/>
      <c r="G258" s="675"/>
      <c r="H258" s="675"/>
      <c r="I258" s="304" t="s">
        <v>7</v>
      </c>
    </row>
    <row r="259" spans="1:9" s="212" customFormat="1">
      <c r="A259" s="68"/>
      <c r="B259" s="69"/>
      <c r="C259" s="69"/>
      <c r="D259" s="69"/>
      <c r="E259" s="69"/>
      <c r="I259" s="305"/>
    </row>
    <row r="260" spans="1:9" s="212" customFormat="1">
      <c r="A260" s="72" t="s">
        <v>390</v>
      </c>
      <c r="B260" s="73"/>
      <c r="C260" s="73"/>
      <c r="D260" s="73"/>
      <c r="E260" s="73"/>
      <c r="F260" s="73"/>
      <c r="G260" s="73"/>
      <c r="I260" s="305"/>
    </row>
    <row r="261" spans="1:9" s="212" customFormat="1">
      <c r="A261" s="306" t="s">
        <v>391</v>
      </c>
      <c r="B261" s="76" t="s">
        <v>392</v>
      </c>
      <c r="C261" s="76" t="s">
        <v>393</v>
      </c>
      <c r="D261" s="76" t="s">
        <v>394</v>
      </c>
      <c r="E261" s="76" t="s">
        <v>395</v>
      </c>
      <c r="F261" s="76" t="s">
        <v>396</v>
      </c>
      <c r="G261" s="76" t="s">
        <v>397</v>
      </c>
      <c r="H261" s="73"/>
      <c r="I261" s="305"/>
    </row>
    <row r="262" spans="1:9" s="212" customFormat="1">
      <c r="A262" s="77" t="s">
        <v>404</v>
      </c>
      <c r="B262" s="78" t="s">
        <v>405</v>
      </c>
      <c r="C262" s="79" t="s">
        <v>406</v>
      </c>
      <c r="D262" s="287">
        <v>1250</v>
      </c>
      <c r="E262" s="79">
        <v>8</v>
      </c>
      <c r="F262" s="79">
        <v>0</v>
      </c>
      <c r="G262" s="287">
        <f>(D262*E262)+((D262*E262)*F262/100)</f>
        <v>10000</v>
      </c>
      <c r="H262" s="73"/>
      <c r="I262" s="305"/>
    </row>
    <row r="263" spans="1:9" s="212" customFormat="1">
      <c r="A263" s="82"/>
      <c r="B263" s="83"/>
      <c r="C263" s="84"/>
      <c r="D263" s="84"/>
      <c r="E263" s="84"/>
      <c r="F263" s="231"/>
      <c r="G263" s="307" t="s">
        <v>407</v>
      </c>
      <c r="H263" s="113">
        <f>SUM(G262:G262)</f>
        <v>10000</v>
      </c>
      <c r="I263" s="305"/>
    </row>
    <row r="264" spans="1:9" s="212" customFormat="1">
      <c r="A264" s="72" t="s">
        <v>408</v>
      </c>
      <c r="B264" s="73"/>
      <c r="C264" s="73"/>
      <c r="D264" s="73"/>
      <c r="E264" s="73"/>
      <c r="F264" s="231"/>
      <c r="G264" s="73"/>
      <c r="H264" s="222"/>
      <c r="I264" s="305"/>
    </row>
    <row r="265" spans="1:9" s="212" customFormat="1">
      <c r="A265" s="306" t="s">
        <v>391</v>
      </c>
      <c r="B265" s="76" t="s">
        <v>392</v>
      </c>
      <c r="C265" s="76" t="s">
        <v>393</v>
      </c>
      <c r="D265" s="76" t="s">
        <v>394</v>
      </c>
      <c r="E265" s="76" t="s">
        <v>395</v>
      </c>
      <c r="F265" s="76" t="s">
        <v>396</v>
      </c>
      <c r="G265" s="76" t="s">
        <v>397</v>
      </c>
      <c r="H265" s="222"/>
      <c r="I265" s="305"/>
    </row>
    <row r="266" spans="1:9" s="212" customFormat="1" ht="25.5">
      <c r="A266" s="135" t="s">
        <v>409</v>
      </c>
      <c r="B266" s="78" t="s">
        <v>162</v>
      </c>
      <c r="C266" s="127" t="s">
        <v>157</v>
      </c>
      <c r="D266" s="203">
        <f>2720000*1.16*1.2</f>
        <v>3786240</v>
      </c>
      <c r="E266" s="79">
        <v>1</v>
      </c>
      <c r="F266" s="79">
        <v>0</v>
      </c>
      <c r="G266" s="308">
        <f>(D266*E266)+((D266*E266)*F266/100)</f>
        <v>3786240</v>
      </c>
      <c r="H266" s="222"/>
      <c r="I266" s="305"/>
    </row>
    <row r="267" spans="1:9" s="212" customFormat="1">
      <c r="A267" s="90"/>
      <c r="B267" s="91"/>
      <c r="C267" s="91"/>
      <c r="D267" s="91"/>
      <c r="E267" s="91"/>
      <c r="F267" s="216"/>
      <c r="G267" s="290" t="s">
        <v>407</v>
      </c>
      <c r="H267" s="287">
        <f>SUM(G266:G266)</f>
        <v>3786240</v>
      </c>
      <c r="I267" s="285"/>
    </row>
    <row r="268" spans="1:9" s="212" customFormat="1">
      <c r="A268" s="72" t="s">
        <v>410</v>
      </c>
      <c r="B268" s="73"/>
      <c r="C268" s="73"/>
      <c r="D268" s="73"/>
      <c r="E268" s="73"/>
      <c r="F268" s="216"/>
      <c r="G268" s="217"/>
      <c r="H268" s="289"/>
      <c r="I268" s="285"/>
    </row>
    <row r="269" spans="1:9" s="212" customFormat="1">
      <c r="A269" s="286" t="s">
        <v>391</v>
      </c>
      <c r="B269" s="76" t="s">
        <v>392</v>
      </c>
      <c r="C269" s="76" t="s">
        <v>393</v>
      </c>
      <c r="D269" s="76" t="s">
        <v>394</v>
      </c>
      <c r="E269" s="76" t="s">
        <v>395</v>
      </c>
      <c r="F269" s="76" t="s">
        <v>396</v>
      </c>
      <c r="G269" s="76" t="s">
        <v>397</v>
      </c>
      <c r="H269" s="289"/>
      <c r="I269" s="285"/>
    </row>
    <row r="270" spans="1:9" s="212" customFormat="1" ht="26.25">
      <c r="A270" s="125" t="s">
        <v>461</v>
      </c>
      <c r="B270" s="126" t="s">
        <v>462</v>
      </c>
      <c r="C270" s="127" t="s">
        <v>426</v>
      </c>
      <c r="D270" s="287">
        <v>15927</v>
      </c>
      <c r="E270" s="79">
        <v>4</v>
      </c>
      <c r="F270" s="79">
        <v>0</v>
      </c>
      <c r="G270" s="287">
        <f>(D270*E270)+((D270*E270)*F270/100)</f>
        <v>63708</v>
      </c>
      <c r="H270" s="289"/>
      <c r="I270" s="285"/>
    </row>
    <row r="271" spans="1:9" s="212" customFormat="1">
      <c r="A271" s="90"/>
      <c r="B271" s="91"/>
      <c r="C271" s="91"/>
      <c r="D271" s="91"/>
      <c r="E271" s="91"/>
      <c r="F271" s="216"/>
      <c r="G271" s="288" t="s">
        <v>407</v>
      </c>
      <c r="H271" s="287">
        <f>SUM(G270:G270)</f>
        <v>63708</v>
      </c>
      <c r="I271" s="285"/>
    </row>
    <row r="272" spans="1:9" s="212" customFormat="1">
      <c r="A272" s="72" t="s">
        <v>411</v>
      </c>
      <c r="B272" s="73"/>
      <c r="C272" s="73"/>
      <c r="D272" s="73"/>
      <c r="E272" s="73"/>
      <c r="F272" s="216"/>
      <c r="G272" s="217"/>
      <c r="H272" s="289"/>
      <c r="I272" s="285"/>
    </row>
    <row r="273" spans="1:9" s="212" customFormat="1">
      <c r="A273" s="286" t="s">
        <v>391</v>
      </c>
      <c r="B273" s="76" t="s">
        <v>392</v>
      </c>
      <c r="C273" s="76" t="s">
        <v>393</v>
      </c>
      <c r="D273" s="76" t="s">
        <v>394</v>
      </c>
      <c r="E273" s="76" t="s">
        <v>395</v>
      </c>
      <c r="F273" s="76" t="s">
        <v>396</v>
      </c>
      <c r="G273" s="76" t="s">
        <v>397</v>
      </c>
      <c r="H273" s="289"/>
      <c r="I273" s="285"/>
    </row>
    <row r="274" spans="1:9" s="212" customFormat="1">
      <c r="A274" s="87" t="s">
        <v>409</v>
      </c>
      <c r="B274" s="114" t="s">
        <v>409</v>
      </c>
      <c r="C274" s="114" t="s">
        <v>409</v>
      </c>
      <c r="D274" s="114" t="s">
        <v>409</v>
      </c>
      <c r="E274" s="114" t="s">
        <v>409</v>
      </c>
      <c r="F274" s="79" t="s">
        <v>409</v>
      </c>
      <c r="G274" s="302" t="s">
        <v>409</v>
      </c>
      <c r="H274" s="289"/>
      <c r="I274" s="285"/>
    </row>
    <row r="275" spans="1:9" s="212" customFormat="1">
      <c r="A275" s="94"/>
      <c r="B275" s="95"/>
      <c r="C275" s="95"/>
      <c r="D275" s="95"/>
      <c r="E275" s="95"/>
      <c r="F275" s="216"/>
      <c r="G275" s="288" t="s">
        <v>407</v>
      </c>
      <c r="H275" s="287">
        <f>SUM(G273:G274)</f>
        <v>0</v>
      </c>
      <c r="I275" s="285"/>
    </row>
    <row r="276" spans="1:9" s="212" customFormat="1">
      <c r="A276" s="94"/>
      <c r="B276" s="95"/>
      <c r="C276" s="95"/>
      <c r="D276" s="95"/>
      <c r="E276" s="95"/>
      <c r="F276" s="216"/>
      <c r="G276" s="217"/>
      <c r="H276" s="217"/>
      <c r="I276" s="285"/>
    </row>
    <row r="277" spans="1:9" s="212" customFormat="1">
      <c r="A277" s="292"/>
      <c r="B277" s="97"/>
      <c r="C277" s="98"/>
      <c r="D277" s="98"/>
      <c r="E277" s="98"/>
      <c r="F277" s="216"/>
      <c r="G277" s="293" t="s">
        <v>412</v>
      </c>
      <c r="H277" s="294">
        <f>SUM(H263:H275)</f>
        <v>3859948</v>
      </c>
      <c r="I277" s="285"/>
    </row>
    <row r="278" spans="1:9" s="212" customFormat="1">
      <c r="A278" s="292"/>
      <c r="B278" s="97"/>
      <c r="C278" s="98"/>
      <c r="D278" s="98"/>
      <c r="E278" s="98"/>
      <c r="F278" s="295"/>
      <c r="G278" s="296"/>
      <c r="H278" s="218"/>
      <c r="I278" s="285"/>
    </row>
    <row r="279" spans="1:9" s="212" customFormat="1" ht="15.75" thickBot="1">
      <c r="A279" s="624" t="s">
        <v>502</v>
      </c>
      <c r="B279" s="625"/>
      <c r="C279" s="625"/>
      <c r="D279" s="625"/>
      <c r="E279" s="625"/>
      <c r="F279" s="625"/>
      <c r="G279" s="626"/>
      <c r="H279" s="297">
        <f>H277</f>
        <v>3859948</v>
      </c>
      <c r="I279" s="298"/>
    </row>
    <row r="280" spans="1:9" s="212" customFormat="1">
      <c r="H280" s="227"/>
      <c r="I280" s="228"/>
    </row>
    <row r="281" spans="1:9" s="212" customFormat="1">
      <c r="A281" s="658"/>
      <c r="B281" s="227"/>
      <c r="C281" s="227"/>
      <c r="D281" s="227"/>
      <c r="E281" s="227"/>
      <c r="F281" s="227"/>
      <c r="G281" s="227"/>
      <c r="H281" s="227"/>
      <c r="I281" s="229"/>
    </row>
    <row r="282" spans="1:9" s="212" customFormat="1" ht="15.75" thickBot="1">
      <c r="A282" s="658"/>
      <c r="B282" s="227"/>
      <c r="C282" s="227"/>
      <c r="D282" s="227"/>
      <c r="E282" s="227"/>
      <c r="F282" s="227"/>
      <c r="G282" s="227"/>
    </row>
    <row r="283" spans="1:9" s="212" customFormat="1">
      <c r="A283" s="647"/>
      <c r="B283" s="649" t="s">
        <v>737</v>
      </c>
      <c r="C283" s="650"/>
      <c r="D283" s="650"/>
      <c r="E283" s="650"/>
      <c r="F283" s="650"/>
      <c r="G283" s="650"/>
      <c r="H283" s="650"/>
      <c r="I283" s="283" t="s">
        <v>389</v>
      </c>
    </row>
    <row r="284" spans="1:9" s="212" customFormat="1">
      <c r="A284" s="648"/>
      <c r="B284" s="651"/>
      <c r="C284" s="652"/>
      <c r="D284" s="652"/>
      <c r="E284" s="652"/>
      <c r="F284" s="652"/>
      <c r="G284" s="652"/>
      <c r="H284" s="652"/>
      <c r="I284" s="284" t="s">
        <v>291</v>
      </c>
    </row>
    <row r="285" spans="1:9" s="212" customFormat="1">
      <c r="A285" s="68"/>
      <c r="B285" s="69"/>
      <c r="C285" s="69"/>
      <c r="D285" s="69"/>
      <c r="E285" s="69"/>
      <c r="F285" s="218"/>
      <c r="G285" s="218"/>
      <c r="H285" s="218"/>
      <c r="I285" s="285"/>
    </row>
    <row r="286" spans="1:9" s="212" customFormat="1">
      <c r="A286" s="72" t="s">
        <v>390</v>
      </c>
      <c r="B286" s="73"/>
      <c r="C286" s="73"/>
      <c r="D286" s="73"/>
      <c r="E286" s="73"/>
      <c r="F286" s="217"/>
      <c r="G286" s="217"/>
      <c r="H286" s="218"/>
      <c r="I286" s="285"/>
    </row>
    <row r="287" spans="1:9" s="212" customFormat="1">
      <c r="A287" s="286" t="s">
        <v>391</v>
      </c>
      <c r="B287" s="76" t="s">
        <v>392</v>
      </c>
      <c r="C287" s="76" t="s">
        <v>393</v>
      </c>
      <c r="D287" s="76" t="s">
        <v>394</v>
      </c>
      <c r="E287" s="76" t="s">
        <v>395</v>
      </c>
      <c r="F287" s="76" t="s">
        <v>396</v>
      </c>
      <c r="G287" s="76" t="s">
        <v>397</v>
      </c>
      <c r="H287" s="217"/>
      <c r="I287" s="285"/>
    </row>
    <row r="288" spans="1:9" s="212" customFormat="1">
      <c r="A288" s="77" t="s">
        <v>404</v>
      </c>
      <c r="B288" s="78" t="s">
        <v>416</v>
      </c>
      <c r="C288" s="79" t="s">
        <v>406</v>
      </c>
      <c r="D288" s="287">
        <v>1250</v>
      </c>
      <c r="E288" s="79">
        <v>3</v>
      </c>
      <c r="F288" s="79">
        <v>0</v>
      </c>
      <c r="G288" s="287">
        <f>(D288*E288)+((D288*E288)*F288/100)</f>
        <v>3750</v>
      </c>
      <c r="H288" s="217"/>
      <c r="I288" s="285"/>
    </row>
    <row r="289" spans="1:9" s="212" customFormat="1">
      <c r="A289" s="82"/>
      <c r="B289" s="83"/>
      <c r="C289" s="84"/>
      <c r="D289" s="84"/>
      <c r="E289" s="84"/>
      <c r="F289" s="216"/>
      <c r="G289" s="288" t="s">
        <v>407</v>
      </c>
      <c r="H289" s="287">
        <f>SUM(G288:G288)</f>
        <v>3750</v>
      </c>
      <c r="I289" s="285"/>
    </row>
    <row r="290" spans="1:9" s="212" customFormat="1">
      <c r="A290" s="72" t="s">
        <v>408</v>
      </c>
      <c r="B290" s="73"/>
      <c r="C290" s="73"/>
      <c r="D290" s="73"/>
      <c r="E290" s="73"/>
      <c r="F290" s="216"/>
      <c r="G290" s="217"/>
      <c r="H290" s="289"/>
      <c r="I290" s="285"/>
    </row>
    <row r="291" spans="1:9" s="212" customFormat="1">
      <c r="A291" s="286" t="s">
        <v>391</v>
      </c>
      <c r="B291" s="76" t="s">
        <v>392</v>
      </c>
      <c r="C291" s="76" t="s">
        <v>393</v>
      </c>
      <c r="D291" s="76" t="s">
        <v>394</v>
      </c>
      <c r="E291" s="76" t="s">
        <v>395</v>
      </c>
      <c r="F291" s="76" t="s">
        <v>396</v>
      </c>
      <c r="G291" s="76" t="s">
        <v>397</v>
      </c>
      <c r="H291" s="289"/>
      <c r="I291" s="285"/>
    </row>
    <row r="292" spans="1:9" s="212" customFormat="1">
      <c r="A292" s="87"/>
      <c r="B292" s="114" t="s">
        <v>738</v>
      </c>
      <c r="C292" s="114" t="s">
        <v>7</v>
      </c>
      <c r="D292" s="287">
        <v>5000</v>
      </c>
      <c r="E292" s="114">
        <v>1.1000000000000001</v>
      </c>
      <c r="F292" s="79"/>
      <c r="G292" s="287">
        <f>(D292*E292)+((D292*E292)*F292/100)</f>
        <v>5500</v>
      </c>
      <c r="H292" s="289"/>
      <c r="I292" s="285"/>
    </row>
    <row r="293" spans="1:9" s="212" customFormat="1">
      <c r="A293" s="88"/>
      <c r="B293" s="114" t="s">
        <v>739</v>
      </c>
      <c r="C293" s="114" t="s">
        <v>7</v>
      </c>
      <c r="D293" s="287">
        <v>6500</v>
      </c>
      <c r="E293" s="114">
        <v>0.8</v>
      </c>
      <c r="F293" s="79"/>
      <c r="G293" s="287">
        <f>(D293*E293)+((D293*E293)*F293/100)</f>
        <v>5200</v>
      </c>
      <c r="H293" s="289"/>
      <c r="I293" s="285"/>
    </row>
    <row r="294" spans="1:9" s="212" customFormat="1">
      <c r="A294" s="88"/>
      <c r="B294" s="114" t="s">
        <v>740</v>
      </c>
      <c r="C294" s="114" t="s">
        <v>7</v>
      </c>
      <c r="D294" s="287">
        <v>7000</v>
      </c>
      <c r="E294" s="114">
        <v>1.2</v>
      </c>
      <c r="F294" s="79"/>
      <c r="G294" s="287">
        <f>(D294*E294)+((D294*E294)*F294/100)</f>
        <v>8400</v>
      </c>
      <c r="H294" s="289"/>
      <c r="I294" s="285"/>
    </row>
    <row r="295" spans="1:9" s="212" customFormat="1">
      <c r="A295" s="88"/>
      <c r="B295" s="114" t="s">
        <v>741</v>
      </c>
      <c r="C295" s="114" t="s">
        <v>742</v>
      </c>
      <c r="D295" s="287">
        <v>3500</v>
      </c>
      <c r="E295" s="114">
        <v>0.4</v>
      </c>
      <c r="F295" s="79"/>
      <c r="G295" s="287">
        <f>(D295*E295)+((D295*E295)*F295/100)</f>
        <v>1400</v>
      </c>
      <c r="H295" s="289"/>
      <c r="I295" s="285"/>
    </row>
    <row r="296" spans="1:9" s="212" customFormat="1">
      <c r="A296" s="90"/>
      <c r="B296" s="91"/>
      <c r="C296" s="91"/>
      <c r="D296" s="91"/>
      <c r="E296" s="91"/>
      <c r="F296" s="216"/>
      <c r="G296" s="290" t="s">
        <v>407</v>
      </c>
      <c r="H296" s="287">
        <f>SUM(G292:G294)</f>
        <v>19100</v>
      </c>
      <c r="I296" s="285"/>
    </row>
    <row r="297" spans="1:9" s="212" customFormat="1">
      <c r="A297" s="72" t="s">
        <v>410</v>
      </c>
      <c r="B297" s="73"/>
      <c r="C297" s="73"/>
      <c r="D297" s="73"/>
      <c r="E297" s="73"/>
      <c r="F297" s="216"/>
      <c r="G297" s="217"/>
      <c r="H297" s="289"/>
      <c r="I297" s="285"/>
    </row>
    <row r="298" spans="1:9" s="212" customFormat="1">
      <c r="A298" s="286" t="s">
        <v>391</v>
      </c>
      <c r="B298" s="76" t="s">
        <v>392</v>
      </c>
      <c r="C298" s="76" t="s">
        <v>393</v>
      </c>
      <c r="D298" s="76" t="s">
        <v>394</v>
      </c>
      <c r="E298" s="76" t="s">
        <v>395</v>
      </c>
      <c r="F298" s="76" t="s">
        <v>396</v>
      </c>
      <c r="G298" s="76" t="s">
        <v>397</v>
      </c>
      <c r="H298" s="289"/>
      <c r="I298" s="285"/>
    </row>
    <row r="299" spans="1:9" s="212" customFormat="1" ht="25.5">
      <c r="A299" s="109" t="s">
        <v>424</v>
      </c>
      <c r="B299" s="78" t="s">
        <v>425</v>
      </c>
      <c r="C299" s="79" t="s">
        <v>426</v>
      </c>
      <c r="D299" s="106">
        <v>20616</v>
      </c>
      <c r="E299" s="79">
        <v>0.5</v>
      </c>
      <c r="F299" s="79">
        <v>0</v>
      </c>
      <c r="G299" s="106">
        <f>(D299*E299)+((D299*E299)*F299/100)</f>
        <v>10308</v>
      </c>
      <c r="H299" s="289"/>
      <c r="I299" s="285"/>
    </row>
    <row r="300" spans="1:9" s="212" customFormat="1">
      <c r="A300" s="90"/>
      <c r="B300" s="91"/>
      <c r="C300" s="91"/>
      <c r="D300" s="91"/>
      <c r="E300" s="91"/>
      <c r="F300" s="216"/>
      <c r="G300" s="288" t="s">
        <v>407</v>
      </c>
      <c r="H300" s="287">
        <f>SUM(G299:G299)</f>
        <v>10308</v>
      </c>
      <c r="I300" s="285"/>
    </row>
    <row r="301" spans="1:9" s="212" customFormat="1">
      <c r="A301" s="72" t="s">
        <v>411</v>
      </c>
      <c r="B301" s="73"/>
      <c r="C301" s="73"/>
      <c r="D301" s="73"/>
      <c r="E301" s="73"/>
      <c r="F301" s="216"/>
      <c r="G301" s="217"/>
      <c r="H301" s="289"/>
      <c r="I301" s="285"/>
    </row>
    <row r="302" spans="1:9" s="212" customFormat="1">
      <c r="A302" s="286" t="s">
        <v>391</v>
      </c>
      <c r="B302" s="76" t="s">
        <v>392</v>
      </c>
      <c r="C302" s="76" t="s">
        <v>393</v>
      </c>
      <c r="D302" s="76" t="s">
        <v>394</v>
      </c>
      <c r="E302" s="76" t="s">
        <v>395</v>
      </c>
      <c r="F302" s="76" t="s">
        <v>396</v>
      </c>
      <c r="G302" s="76" t="s">
        <v>397</v>
      </c>
      <c r="H302" s="289"/>
      <c r="I302" s="285"/>
    </row>
    <row r="303" spans="1:9" s="212" customFormat="1">
      <c r="A303" s="87" t="s">
        <v>409</v>
      </c>
      <c r="B303" s="114" t="s">
        <v>409</v>
      </c>
      <c r="C303" s="114" t="s">
        <v>409</v>
      </c>
      <c r="D303" s="114" t="s">
        <v>409</v>
      </c>
      <c r="E303" s="114" t="s">
        <v>409</v>
      </c>
      <c r="F303" s="79" t="s">
        <v>409</v>
      </c>
      <c r="G303" s="302" t="s">
        <v>409</v>
      </c>
      <c r="H303" s="289"/>
      <c r="I303" s="285"/>
    </row>
    <row r="304" spans="1:9" s="212" customFormat="1">
      <c r="A304" s="94"/>
      <c r="B304" s="95"/>
      <c r="C304" s="95"/>
      <c r="D304" s="95"/>
      <c r="E304" s="95"/>
      <c r="F304" s="216"/>
      <c r="G304" s="288" t="s">
        <v>407</v>
      </c>
      <c r="H304" s="287">
        <f>SUM(G302:G303)</f>
        <v>0</v>
      </c>
      <c r="I304" s="285"/>
    </row>
    <row r="305" spans="1:9" s="212" customFormat="1">
      <c r="A305" s="94"/>
      <c r="B305" s="95"/>
      <c r="C305" s="95"/>
      <c r="D305" s="95"/>
      <c r="E305" s="95"/>
      <c r="F305" s="216"/>
      <c r="G305" s="217"/>
      <c r="H305" s="217"/>
      <c r="I305" s="285"/>
    </row>
    <row r="306" spans="1:9" s="212" customFormat="1">
      <c r="A306" s="292"/>
      <c r="B306" s="97"/>
      <c r="C306" s="98"/>
      <c r="D306" s="98"/>
      <c r="E306" s="98"/>
      <c r="F306" s="216"/>
      <c r="G306" s="293" t="s">
        <v>412</v>
      </c>
      <c r="H306" s="294">
        <f>SUM(H289:H304)</f>
        <v>33158</v>
      </c>
      <c r="I306" s="285"/>
    </row>
    <row r="307" spans="1:9" s="212" customFormat="1">
      <c r="A307" s="292"/>
      <c r="B307" s="97"/>
      <c r="C307" s="98"/>
      <c r="D307" s="98"/>
      <c r="E307" s="98"/>
      <c r="F307" s="295"/>
      <c r="G307" s="296"/>
      <c r="H307" s="218"/>
      <c r="I307" s="285"/>
    </row>
    <row r="308" spans="1:9" s="212" customFormat="1" ht="15.75" thickBot="1">
      <c r="A308" s="624" t="s">
        <v>414</v>
      </c>
      <c r="B308" s="625"/>
      <c r="C308" s="625"/>
      <c r="D308" s="625"/>
      <c r="E308" s="625"/>
      <c r="F308" s="625"/>
      <c r="G308" s="626"/>
      <c r="H308" s="297">
        <f>+ROUND(H306,0)</f>
        <v>33158</v>
      </c>
      <c r="I308" s="298"/>
    </row>
    <row r="309" spans="1:9" s="212" customFormat="1">
      <c r="A309" s="120"/>
      <c r="B309" s="73"/>
      <c r="C309" s="73"/>
      <c r="D309" s="73"/>
      <c r="E309" s="73"/>
      <c r="F309" s="73"/>
      <c r="G309" s="73"/>
      <c r="H309" s="73"/>
    </row>
    <row r="310" spans="1:9" s="212" customFormat="1">
      <c r="A310" s="220"/>
      <c r="B310" s="141"/>
      <c r="C310" s="141"/>
      <c r="D310" s="141"/>
      <c r="E310" s="141"/>
      <c r="F310" s="141"/>
      <c r="G310" s="141"/>
      <c r="H310" s="73"/>
    </row>
    <row r="311" spans="1:9" s="212" customFormat="1" ht="15.75" thickBot="1">
      <c r="A311" s="123"/>
      <c r="B311" s="95"/>
      <c r="C311" s="95"/>
      <c r="D311" s="95"/>
      <c r="E311" s="95"/>
      <c r="G311" s="213"/>
      <c r="H311" s="73"/>
    </row>
    <row r="312" spans="1:9" s="212" customFormat="1">
      <c r="A312" s="647"/>
      <c r="B312" s="649" t="s">
        <v>752</v>
      </c>
      <c r="C312" s="650"/>
      <c r="D312" s="650"/>
      <c r="E312" s="650"/>
      <c r="F312" s="650"/>
      <c r="G312" s="650"/>
      <c r="H312" s="676"/>
      <c r="I312" s="283" t="s">
        <v>389</v>
      </c>
    </row>
    <row r="313" spans="1:9" s="212" customFormat="1">
      <c r="A313" s="648"/>
      <c r="B313" s="651"/>
      <c r="C313" s="652"/>
      <c r="D313" s="652"/>
      <c r="E313" s="652"/>
      <c r="F313" s="652"/>
      <c r="G313" s="652"/>
      <c r="H313" s="677"/>
      <c r="I313" s="284" t="s">
        <v>493</v>
      </c>
    </row>
    <row r="314" spans="1:9" s="212" customFormat="1">
      <c r="A314" s="68"/>
      <c r="B314" s="69"/>
      <c r="C314" s="69"/>
      <c r="D314" s="69"/>
      <c r="E314" s="69"/>
      <c r="F314" s="218"/>
      <c r="G314" s="218"/>
      <c r="H314" s="218"/>
      <c r="I314" s="285"/>
    </row>
    <row r="315" spans="1:9" s="212" customFormat="1">
      <c r="A315" s="72" t="s">
        <v>390</v>
      </c>
      <c r="B315" s="73"/>
      <c r="C315" s="73"/>
      <c r="D315" s="73"/>
      <c r="E315" s="73"/>
      <c r="F315" s="217"/>
      <c r="G315" s="217"/>
      <c r="H315" s="218"/>
      <c r="I315" s="285"/>
    </row>
    <row r="316" spans="1:9" s="212" customFormat="1">
      <c r="A316" s="286" t="s">
        <v>391</v>
      </c>
      <c r="B316" s="76" t="s">
        <v>392</v>
      </c>
      <c r="C316" s="76" t="s">
        <v>393</v>
      </c>
      <c r="D316" s="76" t="s">
        <v>394</v>
      </c>
      <c r="E316" s="76" t="s">
        <v>395</v>
      </c>
      <c r="F316" s="76" t="s">
        <v>396</v>
      </c>
      <c r="G316" s="76" t="s">
        <v>397</v>
      </c>
      <c r="H316" s="217"/>
      <c r="I316" s="285"/>
    </row>
    <row r="317" spans="1:9" s="212" customFormat="1">
      <c r="A317" s="77" t="s">
        <v>404</v>
      </c>
      <c r="B317" s="78" t="s">
        <v>405</v>
      </c>
      <c r="C317" s="79" t="s">
        <v>406</v>
      </c>
      <c r="D317" s="287">
        <v>1250</v>
      </c>
      <c r="E317" s="79">
        <v>0.5</v>
      </c>
      <c r="F317" s="79">
        <v>0</v>
      </c>
      <c r="G317" s="287">
        <f>(D317*E317)+((D317*E317)*F317/100)</f>
        <v>625</v>
      </c>
      <c r="H317" s="217"/>
      <c r="I317" s="285"/>
    </row>
    <row r="318" spans="1:9" s="212" customFormat="1">
      <c r="A318" s="82"/>
      <c r="B318" s="83"/>
      <c r="C318" s="84"/>
      <c r="D318" s="84"/>
      <c r="E318" s="84"/>
      <c r="F318" s="216"/>
      <c r="G318" s="288" t="s">
        <v>407</v>
      </c>
      <c r="H318" s="287">
        <f>SUM(G317:G317)</f>
        <v>625</v>
      </c>
      <c r="I318" s="285"/>
    </row>
    <row r="319" spans="1:9" s="212" customFormat="1">
      <c r="A319" s="72" t="s">
        <v>408</v>
      </c>
      <c r="B319" s="73"/>
      <c r="C319" s="73"/>
      <c r="D319" s="73"/>
      <c r="E319" s="73"/>
      <c r="F319" s="216"/>
      <c r="G319" s="217"/>
      <c r="H319" s="289"/>
      <c r="I319" s="285"/>
    </row>
    <row r="320" spans="1:9" s="212" customFormat="1">
      <c r="A320" s="286" t="s">
        <v>391</v>
      </c>
      <c r="B320" s="76" t="s">
        <v>392</v>
      </c>
      <c r="C320" s="76" t="s">
        <v>393</v>
      </c>
      <c r="D320" s="76" t="s">
        <v>394</v>
      </c>
      <c r="E320" s="76" t="s">
        <v>395</v>
      </c>
      <c r="F320" s="76" t="s">
        <v>396</v>
      </c>
      <c r="G320" s="76" t="s">
        <v>397</v>
      </c>
      <c r="H320" s="289"/>
      <c r="I320" s="285"/>
    </row>
    <row r="321" spans="1:9" s="212" customFormat="1">
      <c r="A321" s="135"/>
      <c r="B321" s="78" t="s">
        <v>767</v>
      </c>
      <c r="C321" s="127" t="s">
        <v>493</v>
      </c>
      <c r="D321" s="287">
        <f>36720*1.2/6</f>
        <v>7344</v>
      </c>
      <c r="E321" s="79">
        <v>1</v>
      </c>
      <c r="F321" s="79">
        <v>0</v>
      </c>
      <c r="G321" s="287">
        <f>(D321*E321)+((D321*E321)*F321/100)</f>
        <v>7344</v>
      </c>
      <c r="H321" s="289"/>
      <c r="I321" s="285"/>
    </row>
    <row r="322" spans="1:9" s="212" customFormat="1">
      <c r="A322" s="90"/>
      <c r="B322" s="91"/>
      <c r="C322" s="91"/>
      <c r="D322" s="91"/>
      <c r="E322" s="91"/>
      <c r="F322" s="216"/>
      <c r="G322" s="290" t="s">
        <v>407</v>
      </c>
      <c r="H322" s="287">
        <f>SUM(G321:G321)</f>
        <v>7344</v>
      </c>
      <c r="I322" s="285"/>
    </row>
    <row r="323" spans="1:9" s="212" customFormat="1">
      <c r="A323" s="72" t="s">
        <v>410</v>
      </c>
      <c r="B323" s="73"/>
      <c r="C323" s="73"/>
      <c r="D323" s="73"/>
      <c r="E323" s="73"/>
      <c r="F323" s="216"/>
      <c r="G323" s="217"/>
      <c r="H323" s="289"/>
      <c r="I323" s="285"/>
    </row>
    <row r="324" spans="1:9" s="212" customFormat="1">
      <c r="A324" s="286" t="s">
        <v>391</v>
      </c>
      <c r="B324" s="76" t="s">
        <v>392</v>
      </c>
      <c r="C324" s="76" t="s">
        <v>393</v>
      </c>
      <c r="D324" s="76" t="s">
        <v>394</v>
      </c>
      <c r="E324" s="76" t="s">
        <v>395</v>
      </c>
      <c r="F324" s="76" t="s">
        <v>396</v>
      </c>
      <c r="G324" s="76" t="s">
        <v>397</v>
      </c>
      <c r="H324" s="289"/>
      <c r="I324" s="285"/>
    </row>
    <row r="325" spans="1:9" s="212" customFormat="1">
      <c r="A325" s="125" t="s">
        <v>478</v>
      </c>
      <c r="B325" s="126" t="s">
        <v>1063</v>
      </c>
      <c r="C325" s="127" t="s">
        <v>426</v>
      </c>
      <c r="D325" s="287">
        <v>5627</v>
      </c>
      <c r="E325" s="79">
        <v>1</v>
      </c>
      <c r="F325" s="79">
        <v>0</v>
      </c>
      <c r="G325" s="287">
        <f>(D325*E325)+((D325*E325)*F325/100)</f>
        <v>5627</v>
      </c>
      <c r="H325" s="289"/>
      <c r="I325" s="285"/>
    </row>
    <row r="326" spans="1:9" s="212" customFormat="1">
      <c r="A326" s="90"/>
      <c r="B326" s="91"/>
      <c r="C326" s="91"/>
      <c r="D326" s="91"/>
      <c r="E326" s="91"/>
      <c r="F326" s="216"/>
      <c r="G326" s="288" t="s">
        <v>407</v>
      </c>
      <c r="H326" s="287">
        <f>SUM(G325:G325)</f>
        <v>5627</v>
      </c>
      <c r="I326" s="285"/>
    </row>
    <row r="327" spans="1:9" s="212" customFormat="1">
      <c r="A327" s="72" t="s">
        <v>411</v>
      </c>
      <c r="B327" s="73"/>
      <c r="C327" s="73"/>
      <c r="D327" s="73"/>
      <c r="E327" s="73"/>
      <c r="F327" s="216"/>
      <c r="G327" s="217"/>
      <c r="H327" s="289"/>
      <c r="I327" s="285"/>
    </row>
    <row r="328" spans="1:9" s="212" customFormat="1">
      <c r="A328" s="286" t="s">
        <v>391</v>
      </c>
      <c r="B328" s="76" t="s">
        <v>392</v>
      </c>
      <c r="C328" s="76" t="s">
        <v>393</v>
      </c>
      <c r="D328" s="76" t="s">
        <v>394</v>
      </c>
      <c r="E328" s="76" t="s">
        <v>395</v>
      </c>
      <c r="F328" s="76" t="s">
        <v>396</v>
      </c>
      <c r="G328" s="76" t="s">
        <v>397</v>
      </c>
      <c r="H328" s="289"/>
      <c r="I328" s="285"/>
    </row>
    <row r="329" spans="1:9" s="212" customFormat="1">
      <c r="A329" s="87"/>
      <c r="B329" s="114"/>
      <c r="C329" s="114"/>
      <c r="D329" s="114"/>
      <c r="E329" s="215"/>
      <c r="F329" s="79"/>
      <c r="G329" s="287"/>
      <c r="H329" s="289"/>
      <c r="I329" s="285"/>
    </row>
    <row r="330" spans="1:9" s="212" customFormat="1">
      <c r="A330" s="94"/>
      <c r="B330" s="95"/>
      <c r="C330" s="95"/>
      <c r="D330" s="95"/>
      <c r="E330" s="95"/>
      <c r="F330" s="216"/>
      <c r="G330" s="288" t="s">
        <v>407</v>
      </c>
      <c r="H330" s="287">
        <f>SUM(G328:G329)</f>
        <v>0</v>
      </c>
      <c r="I330" s="285"/>
    </row>
    <row r="331" spans="1:9" s="212" customFormat="1">
      <c r="A331" s="94"/>
      <c r="B331" s="95"/>
      <c r="C331" s="95"/>
      <c r="D331" s="95"/>
      <c r="E331" s="95"/>
      <c r="F331" s="216"/>
      <c r="G331" s="217"/>
      <c r="H331" s="217"/>
      <c r="I331" s="285"/>
    </row>
    <row r="332" spans="1:9" s="212" customFormat="1">
      <c r="A332" s="292"/>
      <c r="B332" s="97"/>
      <c r="C332" s="98"/>
      <c r="D332" s="98"/>
      <c r="E332" s="98"/>
      <c r="F332" s="216"/>
      <c r="G332" s="293" t="s">
        <v>412</v>
      </c>
      <c r="H332" s="294">
        <f>SUM(H318:H330)</f>
        <v>13596</v>
      </c>
      <c r="I332" s="285"/>
    </row>
    <row r="333" spans="1:9" s="212" customFormat="1">
      <c r="A333" s="292"/>
      <c r="B333" s="97"/>
      <c r="C333" s="98"/>
      <c r="D333" s="98"/>
      <c r="E333" s="98"/>
      <c r="F333" s="295"/>
      <c r="G333" s="296"/>
      <c r="H333" s="218"/>
      <c r="I333" s="285"/>
    </row>
    <row r="334" spans="1:9" s="212" customFormat="1" ht="15.75" thickBot="1">
      <c r="A334" s="624" t="s">
        <v>746</v>
      </c>
      <c r="B334" s="625"/>
      <c r="C334" s="625"/>
      <c r="D334" s="625"/>
      <c r="E334" s="625"/>
      <c r="F334" s="625"/>
      <c r="G334" s="626"/>
      <c r="H334" s="297">
        <f>+ROUND(H332,0)</f>
        <v>13596</v>
      </c>
      <c r="I334" s="298"/>
    </row>
    <row r="335" spans="1:9" s="212" customFormat="1">
      <c r="A335" s="123"/>
      <c r="B335" s="95"/>
      <c r="C335" s="95"/>
      <c r="D335" s="95"/>
      <c r="E335" s="95"/>
      <c r="G335" s="213"/>
      <c r="H335" s="73"/>
    </row>
    <row r="336" spans="1:9" s="212" customFormat="1" ht="15.75" thickBot="1">
      <c r="A336" s="123"/>
      <c r="B336" s="95"/>
      <c r="C336" s="95"/>
      <c r="D336" s="95"/>
      <c r="E336" s="95"/>
      <c r="G336" s="73"/>
      <c r="H336" s="225"/>
    </row>
    <row r="337" spans="1:9" s="212" customFormat="1">
      <c r="A337" s="647"/>
      <c r="B337" s="649" t="s">
        <v>365</v>
      </c>
      <c r="C337" s="650"/>
      <c r="D337" s="650"/>
      <c r="E337" s="650"/>
      <c r="F337" s="650"/>
      <c r="G337" s="650"/>
      <c r="H337" s="676"/>
      <c r="I337" s="283" t="s">
        <v>389</v>
      </c>
    </row>
    <row r="338" spans="1:9" s="212" customFormat="1">
      <c r="A338" s="648"/>
      <c r="B338" s="651"/>
      <c r="C338" s="652"/>
      <c r="D338" s="652"/>
      <c r="E338" s="652"/>
      <c r="F338" s="652"/>
      <c r="G338" s="652"/>
      <c r="H338" s="677"/>
      <c r="I338" s="284" t="s">
        <v>493</v>
      </c>
    </row>
    <row r="339" spans="1:9" s="212" customFormat="1">
      <c r="A339" s="68"/>
      <c r="B339" s="69"/>
      <c r="C339" s="69"/>
      <c r="D339" s="69"/>
      <c r="E339" s="69"/>
      <c r="F339" s="218"/>
      <c r="G339" s="218"/>
      <c r="H339" s="218"/>
      <c r="I339" s="285"/>
    </row>
    <row r="340" spans="1:9" s="212" customFormat="1">
      <c r="A340" s="72" t="s">
        <v>390</v>
      </c>
      <c r="B340" s="73"/>
      <c r="C340" s="73"/>
      <c r="D340" s="73"/>
      <c r="E340" s="73"/>
      <c r="F340" s="217"/>
      <c r="G340" s="217"/>
      <c r="H340" s="218"/>
      <c r="I340" s="285"/>
    </row>
    <row r="341" spans="1:9" s="212" customFormat="1">
      <c r="A341" s="286" t="s">
        <v>391</v>
      </c>
      <c r="B341" s="76" t="s">
        <v>392</v>
      </c>
      <c r="C341" s="76" t="s">
        <v>393</v>
      </c>
      <c r="D341" s="76" t="s">
        <v>394</v>
      </c>
      <c r="E341" s="76" t="s">
        <v>395</v>
      </c>
      <c r="F341" s="76" t="s">
        <v>396</v>
      </c>
      <c r="G341" s="76" t="s">
        <v>397</v>
      </c>
      <c r="H341" s="217"/>
      <c r="I341" s="285"/>
    </row>
    <row r="342" spans="1:9" s="212" customFormat="1">
      <c r="A342" s="77" t="s">
        <v>404</v>
      </c>
      <c r="B342" s="78" t="s">
        <v>405</v>
      </c>
      <c r="C342" s="79" t="s">
        <v>406</v>
      </c>
      <c r="D342" s="287">
        <v>1250</v>
      </c>
      <c r="E342" s="79">
        <v>0.5</v>
      </c>
      <c r="F342" s="79">
        <v>0</v>
      </c>
      <c r="G342" s="287">
        <f>(D342*E342)+((D342*E342)*F342/100)</f>
        <v>625</v>
      </c>
      <c r="H342" s="217"/>
      <c r="I342" s="285"/>
    </row>
    <row r="343" spans="1:9" s="212" customFormat="1">
      <c r="A343" s="82"/>
      <c r="B343" s="83"/>
      <c r="C343" s="84"/>
      <c r="D343" s="84"/>
      <c r="E343" s="84"/>
      <c r="F343" s="216"/>
      <c r="G343" s="288" t="s">
        <v>407</v>
      </c>
      <c r="H343" s="287">
        <f>SUM(G342:G342)</f>
        <v>625</v>
      </c>
      <c r="I343" s="285"/>
    </row>
    <row r="344" spans="1:9" s="212" customFormat="1">
      <c r="A344" s="72" t="s">
        <v>408</v>
      </c>
      <c r="B344" s="73"/>
      <c r="C344" s="73"/>
      <c r="D344" s="73"/>
      <c r="E344" s="73"/>
      <c r="F344" s="216"/>
      <c r="G344" s="217"/>
      <c r="H344" s="289"/>
      <c r="I344" s="285"/>
    </row>
    <row r="345" spans="1:9" s="212" customFormat="1">
      <c r="A345" s="286" t="s">
        <v>391</v>
      </c>
      <c r="B345" s="76" t="s">
        <v>392</v>
      </c>
      <c r="C345" s="76" t="s">
        <v>393</v>
      </c>
      <c r="D345" s="76" t="s">
        <v>394</v>
      </c>
      <c r="E345" s="76" t="s">
        <v>395</v>
      </c>
      <c r="F345" s="76" t="s">
        <v>396</v>
      </c>
      <c r="G345" s="76" t="s">
        <v>397</v>
      </c>
      <c r="H345" s="289"/>
      <c r="I345" s="285"/>
    </row>
    <row r="346" spans="1:9" s="212" customFormat="1">
      <c r="A346" s="135"/>
      <c r="B346" s="78" t="s">
        <v>768</v>
      </c>
      <c r="C346" s="127" t="s">
        <v>493</v>
      </c>
      <c r="D346" s="287">
        <f>103988*1.2/3</f>
        <v>41595.199999999997</v>
      </c>
      <c r="E346" s="79">
        <v>1</v>
      </c>
      <c r="F346" s="79">
        <v>0</v>
      </c>
      <c r="G346" s="287">
        <f>(D346*E346)+((D346*E346)*F346/100)</f>
        <v>41595.199999999997</v>
      </c>
      <c r="H346" s="289"/>
      <c r="I346" s="285"/>
    </row>
    <row r="347" spans="1:9" s="212" customFormat="1">
      <c r="A347" s="90"/>
      <c r="B347" s="91"/>
      <c r="C347" s="91"/>
      <c r="D347" s="91"/>
      <c r="E347" s="91"/>
      <c r="F347" s="216"/>
      <c r="G347" s="290" t="s">
        <v>407</v>
      </c>
      <c r="H347" s="287">
        <f>SUM(G346:G346)</f>
        <v>41595.199999999997</v>
      </c>
      <c r="I347" s="285"/>
    </row>
    <row r="348" spans="1:9" s="212" customFormat="1">
      <c r="A348" s="72" t="s">
        <v>410</v>
      </c>
      <c r="B348" s="73"/>
      <c r="C348" s="73"/>
      <c r="D348" s="73"/>
      <c r="E348" s="73"/>
      <c r="F348" s="216"/>
      <c r="G348" s="217"/>
      <c r="H348" s="289"/>
      <c r="I348" s="285"/>
    </row>
    <row r="349" spans="1:9" s="212" customFormat="1">
      <c r="A349" s="286" t="s">
        <v>391</v>
      </c>
      <c r="B349" s="76" t="s">
        <v>392</v>
      </c>
      <c r="C349" s="76" t="s">
        <v>393</v>
      </c>
      <c r="D349" s="76" t="s">
        <v>394</v>
      </c>
      <c r="E349" s="76" t="s">
        <v>395</v>
      </c>
      <c r="F349" s="76" t="s">
        <v>396</v>
      </c>
      <c r="G349" s="76" t="s">
        <v>397</v>
      </c>
      <c r="H349" s="289"/>
      <c r="I349" s="285"/>
    </row>
    <row r="350" spans="1:9" s="212" customFormat="1">
      <c r="A350" s="125" t="s">
        <v>478</v>
      </c>
      <c r="B350" s="126" t="s">
        <v>1063</v>
      </c>
      <c r="C350" s="127" t="s">
        <v>426</v>
      </c>
      <c r="D350" s="287">
        <v>5627</v>
      </c>
      <c r="E350" s="79">
        <v>1.5</v>
      </c>
      <c r="F350" s="79">
        <v>0</v>
      </c>
      <c r="G350" s="287">
        <f>(D350*E350)+((D350*E350)*F350/100)</f>
        <v>8440.5</v>
      </c>
      <c r="H350" s="289"/>
      <c r="I350" s="285"/>
    </row>
    <row r="351" spans="1:9" s="212" customFormat="1">
      <c r="A351" s="90"/>
      <c r="B351" s="91"/>
      <c r="C351" s="91"/>
      <c r="D351" s="91"/>
      <c r="E351" s="91"/>
      <c r="F351" s="216"/>
      <c r="G351" s="288" t="s">
        <v>407</v>
      </c>
      <c r="H351" s="287">
        <f>SUM(G350:G350)</f>
        <v>8440.5</v>
      </c>
      <c r="I351" s="285"/>
    </row>
    <row r="352" spans="1:9" s="212" customFormat="1">
      <c r="A352" s="72" t="s">
        <v>411</v>
      </c>
      <c r="B352" s="73"/>
      <c r="C352" s="73"/>
      <c r="D352" s="73"/>
      <c r="E352" s="73"/>
      <c r="F352" s="216"/>
      <c r="G352" s="217"/>
      <c r="H352" s="289"/>
      <c r="I352" s="285"/>
    </row>
    <row r="353" spans="1:9" s="212" customFormat="1">
      <c r="A353" s="286" t="s">
        <v>391</v>
      </c>
      <c r="B353" s="76" t="s">
        <v>392</v>
      </c>
      <c r="C353" s="76" t="s">
        <v>393</v>
      </c>
      <c r="D353" s="76" t="s">
        <v>394</v>
      </c>
      <c r="E353" s="76" t="s">
        <v>395</v>
      </c>
      <c r="F353" s="76" t="s">
        <v>396</v>
      </c>
      <c r="G353" s="76" t="s">
        <v>397</v>
      </c>
      <c r="H353" s="289"/>
      <c r="I353" s="285"/>
    </row>
    <row r="354" spans="1:9" s="212" customFormat="1">
      <c r="A354" s="87"/>
      <c r="B354" s="114"/>
      <c r="C354" s="114"/>
      <c r="D354" s="114"/>
      <c r="E354" s="215"/>
      <c r="F354" s="79"/>
      <c r="G354" s="287"/>
      <c r="H354" s="289"/>
      <c r="I354" s="285"/>
    </row>
    <row r="355" spans="1:9" s="212" customFormat="1">
      <c r="A355" s="94"/>
      <c r="B355" s="95"/>
      <c r="C355" s="95"/>
      <c r="D355" s="95"/>
      <c r="E355" s="95"/>
      <c r="F355" s="216"/>
      <c r="G355" s="288" t="s">
        <v>407</v>
      </c>
      <c r="H355" s="287">
        <f>SUM(G353:G354)</f>
        <v>0</v>
      </c>
      <c r="I355" s="285"/>
    </row>
    <row r="356" spans="1:9" s="212" customFormat="1">
      <c r="A356" s="94"/>
      <c r="B356" s="95"/>
      <c r="C356" s="95"/>
      <c r="D356" s="95"/>
      <c r="E356" s="95"/>
      <c r="F356" s="216"/>
      <c r="G356" s="217"/>
      <c r="H356" s="217"/>
      <c r="I356" s="285"/>
    </row>
    <row r="357" spans="1:9" s="212" customFormat="1">
      <c r="A357" s="292"/>
      <c r="B357" s="97"/>
      <c r="C357" s="98"/>
      <c r="D357" s="98"/>
      <c r="E357" s="98"/>
      <c r="F357" s="216"/>
      <c r="G357" s="293" t="s">
        <v>412</v>
      </c>
      <c r="H357" s="294">
        <f>SUM(H343:H355)</f>
        <v>50660.7</v>
      </c>
      <c r="I357" s="285"/>
    </row>
    <row r="358" spans="1:9" s="212" customFormat="1">
      <c r="A358" s="292"/>
      <c r="B358" s="97"/>
      <c r="C358" s="98"/>
      <c r="D358" s="98"/>
      <c r="E358" s="98"/>
      <c r="F358" s="295"/>
      <c r="G358" s="296"/>
      <c r="H358" s="218"/>
      <c r="I358" s="285"/>
    </row>
    <row r="359" spans="1:9" s="212" customFormat="1" ht="15.75" thickBot="1">
      <c r="A359" s="624" t="s">
        <v>746</v>
      </c>
      <c r="B359" s="625"/>
      <c r="C359" s="625"/>
      <c r="D359" s="625"/>
      <c r="E359" s="625"/>
      <c r="F359" s="625"/>
      <c r="G359" s="626"/>
      <c r="H359" s="297">
        <f>+ROUND(H357,0)</f>
        <v>50661</v>
      </c>
      <c r="I359" s="298"/>
    </row>
    <row r="360" spans="1:9" s="212" customFormat="1">
      <c r="A360" s="123"/>
      <c r="B360" s="95"/>
      <c r="C360" s="95"/>
      <c r="D360" s="95"/>
      <c r="E360" s="95"/>
      <c r="G360" s="73"/>
      <c r="H360" s="225"/>
    </row>
    <row r="361" spans="1:9" s="212" customFormat="1" ht="15.75" thickBot="1">
      <c r="B361" s="97"/>
      <c r="C361" s="98"/>
      <c r="D361" s="98"/>
      <c r="E361" s="98"/>
      <c r="G361" s="220"/>
    </row>
    <row r="362" spans="1:9" s="212" customFormat="1">
      <c r="A362" s="647"/>
      <c r="B362" s="649" t="s">
        <v>769</v>
      </c>
      <c r="C362" s="650"/>
      <c r="D362" s="650"/>
      <c r="E362" s="650"/>
      <c r="F362" s="650"/>
      <c r="G362" s="650"/>
      <c r="H362" s="676"/>
      <c r="I362" s="283" t="s">
        <v>389</v>
      </c>
    </row>
    <row r="363" spans="1:9" s="212" customFormat="1">
      <c r="A363" s="648"/>
      <c r="B363" s="651"/>
      <c r="C363" s="652"/>
      <c r="D363" s="652"/>
      <c r="E363" s="652"/>
      <c r="F363" s="652"/>
      <c r="G363" s="652"/>
      <c r="H363" s="677"/>
      <c r="I363" s="284" t="s">
        <v>493</v>
      </c>
    </row>
    <row r="364" spans="1:9" s="212" customFormat="1">
      <c r="A364" s="68"/>
      <c r="B364" s="69"/>
      <c r="C364" s="69"/>
      <c r="D364" s="69"/>
      <c r="E364" s="69"/>
      <c r="F364" s="218"/>
      <c r="G364" s="218"/>
      <c r="H364" s="218"/>
      <c r="I364" s="285"/>
    </row>
    <row r="365" spans="1:9" s="212" customFormat="1">
      <c r="A365" s="72" t="s">
        <v>390</v>
      </c>
      <c r="B365" s="73"/>
      <c r="C365" s="73"/>
      <c r="D365" s="73"/>
      <c r="E365" s="73"/>
      <c r="F365" s="217"/>
      <c r="G365" s="217"/>
      <c r="H365" s="218"/>
      <c r="I365" s="285"/>
    </row>
    <row r="366" spans="1:9" s="212" customFormat="1">
      <c r="A366" s="286" t="s">
        <v>391</v>
      </c>
      <c r="B366" s="76" t="s">
        <v>392</v>
      </c>
      <c r="C366" s="76" t="s">
        <v>393</v>
      </c>
      <c r="D366" s="76" t="s">
        <v>394</v>
      </c>
      <c r="E366" s="76" t="s">
        <v>395</v>
      </c>
      <c r="F366" s="76" t="s">
        <v>396</v>
      </c>
      <c r="G366" s="76" t="s">
        <v>397</v>
      </c>
      <c r="H366" s="217"/>
      <c r="I366" s="285"/>
    </row>
    <row r="367" spans="1:9" s="212" customFormat="1">
      <c r="A367" s="77" t="s">
        <v>404</v>
      </c>
      <c r="B367" s="78" t="s">
        <v>405</v>
      </c>
      <c r="C367" s="79" t="s">
        <v>406</v>
      </c>
      <c r="D367" s="287">
        <v>1250</v>
      </c>
      <c r="E367" s="79">
        <v>0.5</v>
      </c>
      <c r="F367" s="79">
        <v>0</v>
      </c>
      <c r="G367" s="287">
        <f>(D367*E367)+((D367*E367)*F367/100)</f>
        <v>625</v>
      </c>
      <c r="H367" s="217"/>
      <c r="I367" s="285"/>
    </row>
    <row r="368" spans="1:9" s="212" customFormat="1">
      <c r="A368" s="82"/>
      <c r="B368" s="83"/>
      <c r="C368" s="84"/>
      <c r="D368" s="84"/>
      <c r="E368" s="84"/>
      <c r="F368" s="216"/>
      <c r="G368" s="288" t="s">
        <v>407</v>
      </c>
      <c r="H368" s="287">
        <f>SUM(G367:G367)</f>
        <v>625</v>
      </c>
      <c r="I368" s="285"/>
    </row>
    <row r="369" spans="1:9" s="212" customFormat="1">
      <c r="A369" s="72" t="s">
        <v>408</v>
      </c>
      <c r="B369" s="73"/>
      <c r="C369" s="73"/>
      <c r="D369" s="73"/>
      <c r="E369" s="73"/>
      <c r="F369" s="216"/>
      <c r="G369" s="217"/>
      <c r="H369" s="289"/>
      <c r="I369" s="285"/>
    </row>
    <row r="370" spans="1:9" s="212" customFormat="1">
      <c r="A370" s="286" t="s">
        <v>391</v>
      </c>
      <c r="B370" s="76" t="s">
        <v>392</v>
      </c>
      <c r="C370" s="76" t="s">
        <v>393</v>
      </c>
      <c r="D370" s="76" t="s">
        <v>394</v>
      </c>
      <c r="E370" s="76" t="s">
        <v>395</v>
      </c>
      <c r="F370" s="76" t="s">
        <v>396</v>
      </c>
      <c r="G370" s="76" t="s">
        <v>397</v>
      </c>
      <c r="H370" s="289"/>
      <c r="I370" s="285"/>
    </row>
    <row r="371" spans="1:9" s="212" customFormat="1">
      <c r="A371" s="135"/>
      <c r="B371" s="78" t="s">
        <v>770</v>
      </c>
      <c r="C371" s="127" t="s">
        <v>493</v>
      </c>
      <c r="D371" s="287">
        <f>190611*1.2/3</f>
        <v>76244.399999999994</v>
      </c>
      <c r="E371" s="79">
        <v>1</v>
      </c>
      <c r="F371" s="79">
        <v>0</v>
      </c>
      <c r="G371" s="287">
        <f>(D371*E371)+((D371*E371)*F371/100)</f>
        <v>76244.399999999994</v>
      </c>
      <c r="H371" s="289"/>
      <c r="I371" s="285"/>
    </row>
    <row r="372" spans="1:9" s="212" customFormat="1">
      <c r="A372" s="90"/>
      <c r="B372" s="91"/>
      <c r="C372" s="91"/>
      <c r="D372" s="91"/>
      <c r="E372" s="91"/>
      <c r="F372" s="216"/>
      <c r="G372" s="290" t="s">
        <v>407</v>
      </c>
      <c r="H372" s="287">
        <f>SUM(G371:G371)</f>
        <v>76244.399999999994</v>
      </c>
      <c r="I372" s="285"/>
    </row>
    <row r="373" spans="1:9" s="212" customFormat="1">
      <c r="A373" s="72" t="s">
        <v>410</v>
      </c>
      <c r="B373" s="73"/>
      <c r="C373" s="73"/>
      <c r="D373" s="73"/>
      <c r="E373" s="73"/>
      <c r="F373" s="216"/>
      <c r="G373" s="217"/>
      <c r="H373" s="289"/>
      <c r="I373" s="285"/>
    </row>
    <row r="374" spans="1:9" s="212" customFormat="1">
      <c r="A374" s="286" t="s">
        <v>391</v>
      </c>
      <c r="B374" s="76" t="s">
        <v>392</v>
      </c>
      <c r="C374" s="76" t="s">
        <v>393</v>
      </c>
      <c r="D374" s="76" t="s">
        <v>394</v>
      </c>
      <c r="E374" s="76" t="s">
        <v>395</v>
      </c>
      <c r="F374" s="76" t="s">
        <v>396</v>
      </c>
      <c r="G374" s="76" t="s">
        <v>397</v>
      </c>
      <c r="H374" s="289"/>
      <c r="I374" s="285"/>
    </row>
    <row r="375" spans="1:9" s="212" customFormat="1">
      <c r="A375" s="125" t="s">
        <v>478</v>
      </c>
      <c r="B375" s="126" t="s">
        <v>1063</v>
      </c>
      <c r="C375" s="127" t="s">
        <v>426</v>
      </c>
      <c r="D375" s="287">
        <v>5627</v>
      </c>
      <c r="E375" s="79">
        <v>2</v>
      </c>
      <c r="F375" s="79">
        <v>0</v>
      </c>
      <c r="G375" s="287">
        <f>(D375*E375)+((D375*E375)*F375/100)</f>
        <v>11254</v>
      </c>
      <c r="H375" s="289"/>
      <c r="I375" s="285"/>
    </row>
    <row r="376" spans="1:9" s="212" customFormat="1">
      <c r="A376" s="90"/>
      <c r="B376" s="91"/>
      <c r="C376" s="91"/>
      <c r="D376" s="91"/>
      <c r="E376" s="91"/>
      <c r="F376" s="216"/>
      <c r="G376" s="288" t="s">
        <v>407</v>
      </c>
      <c r="H376" s="287">
        <f>SUM(G375:G375)</f>
        <v>11254</v>
      </c>
      <c r="I376" s="285"/>
    </row>
    <row r="377" spans="1:9" s="212" customFormat="1">
      <c r="A377" s="72" t="s">
        <v>411</v>
      </c>
      <c r="B377" s="73"/>
      <c r="C377" s="73"/>
      <c r="D377" s="73"/>
      <c r="E377" s="73"/>
      <c r="F377" s="216"/>
      <c r="G377" s="217"/>
      <c r="H377" s="289"/>
      <c r="I377" s="285"/>
    </row>
    <row r="378" spans="1:9" s="212" customFormat="1">
      <c r="A378" s="286" t="s">
        <v>391</v>
      </c>
      <c r="B378" s="76" t="s">
        <v>392</v>
      </c>
      <c r="C378" s="76" t="s">
        <v>393</v>
      </c>
      <c r="D378" s="76" t="s">
        <v>394</v>
      </c>
      <c r="E378" s="76" t="s">
        <v>395</v>
      </c>
      <c r="F378" s="76" t="s">
        <v>396</v>
      </c>
      <c r="G378" s="76" t="s">
        <v>397</v>
      </c>
      <c r="H378" s="289"/>
      <c r="I378" s="285"/>
    </row>
    <row r="379" spans="1:9" s="212" customFormat="1">
      <c r="A379" s="87"/>
      <c r="B379" s="114"/>
      <c r="C379" s="114"/>
      <c r="D379" s="114"/>
      <c r="E379" s="215"/>
      <c r="F379" s="79"/>
      <c r="G379" s="287"/>
      <c r="H379" s="289"/>
      <c r="I379" s="285"/>
    </row>
    <row r="380" spans="1:9" s="212" customFormat="1">
      <c r="A380" s="94"/>
      <c r="B380" s="95"/>
      <c r="C380" s="95"/>
      <c r="D380" s="95"/>
      <c r="E380" s="95"/>
      <c r="F380" s="216"/>
      <c r="G380" s="288" t="s">
        <v>407</v>
      </c>
      <c r="H380" s="287">
        <f>SUM(G378:G379)</f>
        <v>0</v>
      </c>
      <c r="I380" s="285"/>
    </row>
    <row r="381" spans="1:9" s="212" customFormat="1">
      <c r="A381" s="94"/>
      <c r="B381" s="95"/>
      <c r="C381" s="95"/>
      <c r="D381" s="95"/>
      <c r="E381" s="95"/>
      <c r="F381" s="216"/>
      <c r="G381" s="217"/>
      <c r="H381" s="217"/>
      <c r="I381" s="285"/>
    </row>
    <row r="382" spans="1:9" s="212" customFormat="1">
      <c r="A382" s="292"/>
      <c r="B382" s="97"/>
      <c r="C382" s="98"/>
      <c r="D382" s="98"/>
      <c r="E382" s="98"/>
      <c r="F382" s="216"/>
      <c r="G382" s="293" t="s">
        <v>412</v>
      </c>
      <c r="H382" s="294">
        <f>SUM(H368:H380)</f>
        <v>88123.4</v>
      </c>
      <c r="I382" s="285"/>
    </row>
    <row r="383" spans="1:9" s="212" customFormat="1">
      <c r="A383" s="292"/>
      <c r="B383" s="97"/>
      <c r="C383" s="98"/>
      <c r="D383" s="98"/>
      <c r="E383" s="98"/>
      <c r="F383" s="295"/>
      <c r="G383" s="296"/>
      <c r="H383" s="218"/>
      <c r="I383" s="285"/>
    </row>
    <row r="384" spans="1:9" s="212" customFormat="1" ht="15.75" thickBot="1">
      <c r="A384" s="624" t="s">
        <v>746</v>
      </c>
      <c r="B384" s="625"/>
      <c r="C384" s="625"/>
      <c r="D384" s="625"/>
      <c r="E384" s="625"/>
      <c r="F384" s="625"/>
      <c r="G384" s="626"/>
      <c r="H384" s="297">
        <f>+ROUND(H382,0)</f>
        <v>88123</v>
      </c>
      <c r="I384" s="298"/>
    </row>
    <row r="385" spans="1:9" s="212" customFormat="1">
      <c r="B385" s="97"/>
      <c r="C385" s="98"/>
      <c r="D385" s="98"/>
      <c r="E385" s="98"/>
      <c r="G385" s="220"/>
    </row>
    <row r="386" spans="1:9" s="212" customFormat="1" ht="15.75" thickBot="1">
      <c r="B386" s="97"/>
      <c r="C386" s="98"/>
      <c r="D386" s="98"/>
      <c r="E386" s="98"/>
      <c r="F386" s="220"/>
      <c r="G386" s="225"/>
      <c r="H386" s="226"/>
    </row>
    <row r="387" spans="1:9" s="212" customFormat="1">
      <c r="A387" s="647"/>
      <c r="B387" s="649" t="s">
        <v>361</v>
      </c>
      <c r="C387" s="650"/>
      <c r="D387" s="650"/>
      <c r="E387" s="650"/>
      <c r="F387" s="650"/>
      <c r="G387" s="650"/>
      <c r="H387" s="676"/>
      <c r="I387" s="283" t="s">
        <v>389</v>
      </c>
    </row>
    <row r="388" spans="1:9" s="212" customFormat="1">
      <c r="A388" s="648"/>
      <c r="B388" s="651"/>
      <c r="C388" s="652"/>
      <c r="D388" s="652"/>
      <c r="E388" s="652"/>
      <c r="F388" s="652"/>
      <c r="G388" s="652"/>
      <c r="H388" s="677"/>
      <c r="I388" s="284" t="s">
        <v>157</v>
      </c>
    </row>
    <row r="389" spans="1:9" s="212" customFormat="1">
      <c r="A389" s="68"/>
      <c r="B389" s="69"/>
      <c r="C389" s="69"/>
      <c r="D389" s="69"/>
      <c r="E389" s="69"/>
      <c r="F389" s="218"/>
      <c r="G389" s="218"/>
      <c r="H389" s="218"/>
      <c r="I389" s="285"/>
    </row>
    <row r="390" spans="1:9" s="212" customFormat="1">
      <c r="A390" s="72" t="s">
        <v>390</v>
      </c>
      <c r="B390" s="73"/>
      <c r="C390" s="73"/>
      <c r="D390" s="73"/>
      <c r="E390" s="73"/>
      <c r="F390" s="217"/>
      <c r="G390" s="217"/>
      <c r="H390" s="218"/>
      <c r="I390" s="285"/>
    </row>
    <row r="391" spans="1:9" s="212" customFormat="1">
      <c r="A391" s="286" t="s">
        <v>391</v>
      </c>
      <c r="B391" s="76" t="s">
        <v>392</v>
      </c>
      <c r="C391" s="76" t="s">
        <v>393</v>
      </c>
      <c r="D391" s="76" t="s">
        <v>394</v>
      </c>
      <c r="E391" s="76" t="s">
        <v>395</v>
      </c>
      <c r="F391" s="76" t="s">
        <v>396</v>
      </c>
      <c r="G391" s="76" t="s">
        <v>397</v>
      </c>
      <c r="H391" s="217"/>
      <c r="I391" s="285"/>
    </row>
    <row r="392" spans="1:9" s="212" customFormat="1">
      <c r="A392" s="77" t="s">
        <v>404</v>
      </c>
      <c r="B392" s="78" t="s">
        <v>405</v>
      </c>
      <c r="C392" s="79" t="s">
        <v>406</v>
      </c>
      <c r="D392" s="287">
        <v>1250</v>
      </c>
      <c r="E392" s="79">
        <v>0.5</v>
      </c>
      <c r="F392" s="79">
        <v>0</v>
      </c>
      <c r="G392" s="287">
        <f>(D392*E392)+((D392*E392)*F392/100)</f>
        <v>625</v>
      </c>
      <c r="H392" s="217"/>
      <c r="I392" s="285"/>
    </row>
    <row r="393" spans="1:9" s="212" customFormat="1">
      <c r="A393" s="82"/>
      <c r="B393" s="83"/>
      <c r="C393" s="84"/>
      <c r="D393" s="84"/>
      <c r="E393" s="84"/>
      <c r="F393" s="216"/>
      <c r="G393" s="288" t="s">
        <v>407</v>
      </c>
      <c r="H393" s="287">
        <f>SUM(G392:G392)</f>
        <v>625</v>
      </c>
      <c r="I393" s="285"/>
    </row>
    <row r="394" spans="1:9" s="212" customFormat="1">
      <c r="A394" s="72" t="s">
        <v>408</v>
      </c>
      <c r="B394" s="73"/>
      <c r="C394" s="73"/>
      <c r="D394" s="73"/>
      <c r="E394" s="73"/>
      <c r="F394" s="216"/>
      <c r="G394" s="217"/>
      <c r="H394" s="289"/>
      <c r="I394" s="285"/>
    </row>
    <row r="395" spans="1:9" s="212" customFormat="1">
      <c r="A395" s="286" t="s">
        <v>391</v>
      </c>
      <c r="B395" s="76" t="s">
        <v>392</v>
      </c>
      <c r="C395" s="76" t="s">
        <v>393</v>
      </c>
      <c r="D395" s="76" t="s">
        <v>394</v>
      </c>
      <c r="E395" s="76" t="s">
        <v>395</v>
      </c>
      <c r="F395" s="76" t="s">
        <v>396</v>
      </c>
      <c r="G395" s="76" t="s">
        <v>397</v>
      </c>
      <c r="H395" s="289"/>
      <c r="I395" s="285"/>
    </row>
    <row r="396" spans="1:9" s="212" customFormat="1">
      <c r="A396" s="135"/>
      <c r="B396" s="78" t="s">
        <v>361</v>
      </c>
      <c r="C396" s="127" t="s">
        <v>157</v>
      </c>
      <c r="D396" s="287">
        <f>7317*1.2</f>
        <v>8780.4</v>
      </c>
      <c r="E396" s="79">
        <v>1</v>
      </c>
      <c r="F396" s="79">
        <v>0</v>
      </c>
      <c r="G396" s="287">
        <f>(D396*E396)+((D396*E396)*F396/100)</f>
        <v>8780.4</v>
      </c>
      <c r="H396" s="289"/>
      <c r="I396" s="285"/>
    </row>
    <row r="397" spans="1:9" s="212" customFormat="1">
      <c r="A397" s="90"/>
      <c r="B397" s="91"/>
      <c r="C397" s="91"/>
      <c r="D397" s="91"/>
      <c r="E397" s="91"/>
      <c r="F397" s="216"/>
      <c r="G397" s="290" t="s">
        <v>407</v>
      </c>
      <c r="H397" s="287">
        <f>SUM(G396:G396)</f>
        <v>8780.4</v>
      </c>
      <c r="I397" s="285"/>
    </row>
    <row r="398" spans="1:9" s="212" customFormat="1">
      <c r="A398" s="72" t="s">
        <v>410</v>
      </c>
      <c r="B398" s="73"/>
      <c r="C398" s="73"/>
      <c r="D398" s="73"/>
      <c r="E398" s="73"/>
      <c r="F398" s="216"/>
      <c r="G398" s="217"/>
      <c r="H398" s="289"/>
      <c r="I398" s="285"/>
    </row>
    <row r="399" spans="1:9" s="212" customFormat="1">
      <c r="A399" s="286" t="s">
        <v>391</v>
      </c>
      <c r="B399" s="76" t="s">
        <v>392</v>
      </c>
      <c r="C399" s="76" t="s">
        <v>393</v>
      </c>
      <c r="D399" s="76" t="s">
        <v>394</v>
      </c>
      <c r="E399" s="76" t="s">
        <v>395</v>
      </c>
      <c r="F399" s="76" t="s">
        <v>396</v>
      </c>
      <c r="G399" s="76" t="s">
        <v>397</v>
      </c>
      <c r="H399" s="289"/>
      <c r="I399" s="285"/>
    </row>
    <row r="400" spans="1:9" s="212" customFormat="1">
      <c r="A400" s="125" t="s">
        <v>478</v>
      </c>
      <c r="B400" s="126" t="s">
        <v>1063</v>
      </c>
      <c r="C400" s="127" t="s">
        <v>426</v>
      </c>
      <c r="D400" s="287">
        <v>5627</v>
      </c>
      <c r="E400" s="79">
        <v>1.2</v>
      </c>
      <c r="F400" s="79">
        <v>0</v>
      </c>
      <c r="G400" s="287">
        <f>(D400*E400)+((D400*E400)*F400/100)</f>
        <v>6752.4</v>
      </c>
      <c r="H400" s="289"/>
      <c r="I400" s="285"/>
    </row>
    <row r="401" spans="1:9" s="212" customFormat="1">
      <c r="A401" s="90"/>
      <c r="B401" s="91"/>
      <c r="C401" s="91"/>
      <c r="D401" s="91"/>
      <c r="E401" s="91"/>
      <c r="F401" s="216"/>
      <c r="G401" s="288" t="s">
        <v>407</v>
      </c>
      <c r="H401" s="287">
        <f>SUM(G400:G400)</f>
        <v>6752.4</v>
      </c>
      <c r="I401" s="285"/>
    </row>
    <row r="402" spans="1:9" s="212" customFormat="1">
      <c r="A402" s="72" t="s">
        <v>411</v>
      </c>
      <c r="B402" s="73"/>
      <c r="C402" s="73"/>
      <c r="D402" s="73"/>
      <c r="E402" s="73"/>
      <c r="F402" s="216"/>
      <c r="G402" s="217"/>
      <c r="H402" s="289"/>
      <c r="I402" s="285"/>
    </row>
    <row r="403" spans="1:9" s="212" customFormat="1">
      <c r="A403" s="286" t="s">
        <v>391</v>
      </c>
      <c r="B403" s="76" t="s">
        <v>392</v>
      </c>
      <c r="C403" s="76" t="s">
        <v>393</v>
      </c>
      <c r="D403" s="76" t="s">
        <v>394</v>
      </c>
      <c r="E403" s="76" t="s">
        <v>395</v>
      </c>
      <c r="F403" s="76" t="s">
        <v>396</v>
      </c>
      <c r="G403" s="76" t="s">
        <v>397</v>
      </c>
      <c r="H403" s="289"/>
      <c r="I403" s="285"/>
    </row>
    <row r="404" spans="1:9" s="212" customFormat="1">
      <c r="A404" s="87"/>
      <c r="B404" s="114"/>
      <c r="C404" s="114"/>
      <c r="D404" s="114"/>
      <c r="E404" s="215"/>
      <c r="F404" s="79"/>
      <c r="G404" s="287"/>
      <c r="H404" s="289"/>
      <c r="I404" s="285"/>
    </row>
    <row r="405" spans="1:9" s="212" customFormat="1">
      <c r="A405" s="94"/>
      <c r="B405" s="95"/>
      <c r="C405" s="95"/>
      <c r="D405" s="95"/>
      <c r="E405" s="95"/>
      <c r="F405" s="216"/>
      <c r="G405" s="288" t="s">
        <v>407</v>
      </c>
      <c r="H405" s="287">
        <f>SUM(G403:G404)</f>
        <v>0</v>
      </c>
      <c r="I405" s="285"/>
    </row>
    <row r="406" spans="1:9" s="212" customFormat="1">
      <c r="A406" s="94"/>
      <c r="B406" s="95"/>
      <c r="C406" s="95"/>
      <c r="D406" s="95"/>
      <c r="E406" s="95"/>
      <c r="F406" s="216"/>
      <c r="G406" s="217"/>
      <c r="H406" s="217"/>
      <c r="I406" s="285"/>
    </row>
    <row r="407" spans="1:9" s="212" customFormat="1">
      <c r="A407" s="292"/>
      <c r="B407" s="97"/>
      <c r="C407" s="98"/>
      <c r="D407" s="98"/>
      <c r="E407" s="98"/>
      <c r="F407" s="216"/>
      <c r="G407" s="293" t="s">
        <v>412</v>
      </c>
      <c r="H407" s="294">
        <f>SUM(H393:H405)</f>
        <v>16157.8</v>
      </c>
      <c r="I407" s="285"/>
    </row>
    <row r="408" spans="1:9" s="212" customFormat="1">
      <c r="A408" s="292"/>
      <c r="B408" s="97"/>
      <c r="C408" s="98"/>
      <c r="D408" s="98"/>
      <c r="E408" s="98"/>
      <c r="F408" s="295"/>
      <c r="G408" s="296"/>
      <c r="H408" s="218"/>
      <c r="I408" s="285"/>
    </row>
    <row r="409" spans="1:9" s="212" customFormat="1" ht="15.75" thickBot="1">
      <c r="A409" s="624" t="s">
        <v>761</v>
      </c>
      <c r="B409" s="625"/>
      <c r="C409" s="625"/>
      <c r="D409" s="625"/>
      <c r="E409" s="625"/>
      <c r="F409" s="625"/>
      <c r="G409" s="626"/>
      <c r="H409" s="297">
        <f>+ROUND(H407,0)</f>
        <v>16158</v>
      </c>
      <c r="I409" s="298"/>
    </row>
    <row r="410" spans="1:9" s="212" customFormat="1">
      <c r="B410" s="97"/>
      <c r="C410" s="98"/>
      <c r="D410" s="98"/>
      <c r="E410" s="98"/>
      <c r="F410" s="220"/>
      <c r="G410" s="225"/>
      <c r="H410" s="226"/>
    </row>
    <row r="411" spans="1:9" s="212" customFormat="1" ht="15.75" thickBot="1">
      <c r="A411" s="633"/>
      <c r="B411" s="633"/>
      <c r="C411" s="633"/>
      <c r="D411" s="633"/>
      <c r="E411" s="633"/>
      <c r="F411" s="633"/>
      <c r="G411" s="633"/>
    </row>
    <row r="412" spans="1:9" s="212" customFormat="1">
      <c r="A412" s="647"/>
      <c r="B412" s="649" t="s">
        <v>360</v>
      </c>
      <c r="C412" s="650"/>
      <c r="D412" s="650"/>
      <c r="E412" s="650"/>
      <c r="F412" s="650"/>
      <c r="G412" s="650"/>
      <c r="H412" s="676"/>
      <c r="I412" s="283" t="s">
        <v>389</v>
      </c>
    </row>
    <row r="413" spans="1:9" s="212" customFormat="1">
      <c r="A413" s="648"/>
      <c r="B413" s="651"/>
      <c r="C413" s="652"/>
      <c r="D413" s="652"/>
      <c r="E413" s="652"/>
      <c r="F413" s="652"/>
      <c r="G413" s="652"/>
      <c r="H413" s="677"/>
      <c r="I413" s="284" t="s">
        <v>157</v>
      </c>
    </row>
    <row r="414" spans="1:9" s="212" customFormat="1">
      <c r="A414" s="68"/>
      <c r="B414" s="69"/>
      <c r="C414" s="69"/>
      <c r="D414" s="69"/>
      <c r="E414" s="69"/>
      <c r="F414" s="218"/>
      <c r="G414" s="218"/>
      <c r="H414" s="218"/>
      <c r="I414" s="285"/>
    </row>
    <row r="415" spans="1:9" s="212" customFormat="1">
      <c r="A415" s="72" t="s">
        <v>390</v>
      </c>
      <c r="B415" s="73"/>
      <c r="C415" s="73"/>
      <c r="D415" s="73"/>
      <c r="E415" s="73"/>
      <c r="F415" s="217"/>
      <c r="G415" s="217"/>
      <c r="H415" s="218"/>
      <c r="I415" s="285"/>
    </row>
    <row r="416" spans="1:9" s="212" customFormat="1">
      <c r="A416" s="286" t="s">
        <v>391</v>
      </c>
      <c r="B416" s="76" t="s">
        <v>392</v>
      </c>
      <c r="C416" s="76" t="s">
        <v>393</v>
      </c>
      <c r="D416" s="76" t="s">
        <v>394</v>
      </c>
      <c r="E416" s="76" t="s">
        <v>395</v>
      </c>
      <c r="F416" s="76" t="s">
        <v>396</v>
      </c>
      <c r="G416" s="76" t="s">
        <v>397</v>
      </c>
      <c r="H416" s="217"/>
      <c r="I416" s="285"/>
    </row>
    <row r="417" spans="1:9" s="212" customFormat="1">
      <c r="A417" s="77" t="s">
        <v>404</v>
      </c>
      <c r="B417" s="78" t="s">
        <v>405</v>
      </c>
      <c r="C417" s="79" t="s">
        <v>406</v>
      </c>
      <c r="D417" s="287">
        <v>1250</v>
      </c>
      <c r="E417" s="79">
        <v>0.5</v>
      </c>
      <c r="F417" s="79">
        <v>0</v>
      </c>
      <c r="G417" s="287">
        <f>(D417*E417)+((D417*E417)*F417/100)</f>
        <v>625</v>
      </c>
      <c r="H417" s="217"/>
      <c r="I417" s="285"/>
    </row>
    <row r="418" spans="1:9" s="212" customFormat="1">
      <c r="A418" s="82"/>
      <c r="B418" s="83"/>
      <c r="C418" s="84"/>
      <c r="D418" s="84"/>
      <c r="E418" s="84"/>
      <c r="F418" s="216"/>
      <c r="G418" s="288" t="s">
        <v>407</v>
      </c>
      <c r="H418" s="287">
        <f>SUM(G417:G417)</f>
        <v>625</v>
      </c>
      <c r="I418" s="285"/>
    </row>
    <row r="419" spans="1:9" s="212" customFormat="1">
      <c r="A419" s="72" t="s">
        <v>408</v>
      </c>
      <c r="B419" s="73"/>
      <c r="C419" s="73"/>
      <c r="D419" s="73"/>
      <c r="E419" s="73"/>
      <c r="F419" s="216"/>
      <c r="G419" s="217"/>
      <c r="H419" s="289"/>
      <c r="I419" s="285"/>
    </row>
    <row r="420" spans="1:9" s="212" customFormat="1">
      <c r="A420" s="286" t="s">
        <v>391</v>
      </c>
      <c r="B420" s="76" t="s">
        <v>392</v>
      </c>
      <c r="C420" s="76" t="s">
        <v>393</v>
      </c>
      <c r="D420" s="76" t="s">
        <v>394</v>
      </c>
      <c r="E420" s="76" t="s">
        <v>395</v>
      </c>
      <c r="F420" s="76" t="s">
        <v>396</v>
      </c>
      <c r="G420" s="76" t="s">
        <v>397</v>
      </c>
      <c r="H420" s="289"/>
      <c r="I420" s="285"/>
    </row>
    <row r="421" spans="1:9" s="212" customFormat="1">
      <c r="A421" s="135"/>
      <c r="B421" s="78" t="s">
        <v>360</v>
      </c>
      <c r="C421" s="127" t="s">
        <v>157</v>
      </c>
      <c r="D421" s="287">
        <f>1997*1.2</f>
        <v>2396.4</v>
      </c>
      <c r="E421" s="79">
        <v>1</v>
      </c>
      <c r="F421" s="79">
        <v>0</v>
      </c>
      <c r="G421" s="287">
        <f>(D421*E421)+((D421*E421)*F421/100)</f>
        <v>2396.4</v>
      </c>
      <c r="H421" s="289"/>
      <c r="I421" s="285"/>
    </row>
    <row r="422" spans="1:9" s="212" customFormat="1">
      <c r="A422" s="90"/>
      <c r="B422" s="91"/>
      <c r="C422" s="91"/>
      <c r="D422" s="91"/>
      <c r="E422" s="91"/>
      <c r="F422" s="216"/>
      <c r="G422" s="290" t="s">
        <v>407</v>
      </c>
      <c r="H422" s="287">
        <f>SUM(G421:G421)</f>
        <v>2396.4</v>
      </c>
      <c r="I422" s="285"/>
    </row>
    <row r="423" spans="1:9" s="212" customFormat="1">
      <c r="A423" s="72" t="s">
        <v>410</v>
      </c>
      <c r="B423" s="73"/>
      <c r="C423" s="73"/>
      <c r="D423" s="73"/>
      <c r="E423" s="73"/>
      <c r="F423" s="216"/>
      <c r="G423" s="217"/>
      <c r="H423" s="289"/>
      <c r="I423" s="285"/>
    </row>
    <row r="424" spans="1:9" s="212" customFormat="1">
      <c r="A424" s="286" t="s">
        <v>391</v>
      </c>
      <c r="B424" s="76" t="s">
        <v>392</v>
      </c>
      <c r="C424" s="76" t="s">
        <v>393</v>
      </c>
      <c r="D424" s="76" t="s">
        <v>394</v>
      </c>
      <c r="E424" s="76" t="s">
        <v>395</v>
      </c>
      <c r="F424" s="76" t="s">
        <v>396</v>
      </c>
      <c r="G424" s="76" t="s">
        <v>397</v>
      </c>
      <c r="H424" s="289"/>
      <c r="I424" s="285"/>
    </row>
    <row r="425" spans="1:9" s="212" customFormat="1">
      <c r="A425" s="125" t="s">
        <v>478</v>
      </c>
      <c r="B425" s="126" t="s">
        <v>1063</v>
      </c>
      <c r="C425" s="127" t="s">
        <v>426</v>
      </c>
      <c r="D425" s="287">
        <v>5627</v>
      </c>
      <c r="E425" s="79">
        <v>1</v>
      </c>
      <c r="F425" s="79">
        <v>0</v>
      </c>
      <c r="G425" s="287">
        <f>(D425*E425)+((D425*E425)*F425/100)</f>
        <v>5627</v>
      </c>
      <c r="H425" s="289"/>
      <c r="I425" s="285"/>
    </row>
    <row r="426" spans="1:9" s="212" customFormat="1">
      <c r="A426" s="90"/>
      <c r="B426" s="91"/>
      <c r="C426" s="91"/>
      <c r="D426" s="91"/>
      <c r="E426" s="91"/>
      <c r="F426" s="216"/>
      <c r="G426" s="288" t="s">
        <v>407</v>
      </c>
      <c r="H426" s="287">
        <f>SUM(G425:G425)</f>
        <v>5627</v>
      </c>
      <c r="I426" s="285"/>
    </row>
    <row r="427" spans="1:9" s="212" customFormat="1">
      <c r="A427" s="72" t="s">
        <v>411</v>
      </c>
      <c r="B427" s="73"/>
      <c r="C427" s="73"/>
      <c r="D427" s="73"/>
      <c r="E427" s="73"/>
      <c r="F427" s="216"/>
      <c r="G427" s="217"/>
      <c r="H427" s="289"/>
      <c r="I427" s="285"/>
    </row>
    <row r="428" spans="1:9" s="212" customFormat="1">
      <c r="A428" s="286" t="s">
        <v>391</v>
      </c>
      <c r="B428" s="76" t="s">
        <v>392</v>
      </c>
      <c r="C428" s="76" t="s">
        <v>393</v>
      </c>
      <c r="D428" s="76" t="s">
        <v>394</v>
      </c>
      <c r="E428" s="76" t="s">
        <v>395</v>
      </c>
      <c r="F428" s="76" t="s">
        <v>396</v>
      </c>
      <c r="G428" s="76" t="s">
        <v>397</v>
      </c>
      <c r="H428" s="289"/>
      <c r="I428" s="285"/>
    </row>
    <row r="429" spans="1:9" s="212" customFormat="1">
      <c r="A429" s="87"/>
      <c r="B429" s="114"/>
      <c r="C429" s="114"/>
      <c r="D429" s="114"/>
      <c r="E429" s="291"/>
      <c r="F429" s="79"/>
      <c r="G429" s="287"/>
      <c r="H429" s="289"/>
      <c r="I429" s="285"/>
    </row>
    <row r="430" spans="1:9" s="212" customFormat="1">
      <c r="A430" s="94"/>
      <c r="B430" s="95"/>
      <c r="C430" s="95"/>
      <c r="D430" s="95"/>
      <c r="E430" s="95"/>
      <c r="F430" s="216"/>
      <c r="G430" s="288" t="s">
        <v>407</v>
      </c>
      <c r="H430" s="287">
        <f>SUM(G428:G429)</f>
        <v>0</v>
      </c>
      <c r="I430" s="285"/>
    </row>
    <row r="431" spans="1:9" s="212" customFormat="1">
      <c r="A431" s="94"/>
      <c r="B431" s="95"/>
      <c r="C431" s="95"/>
      <c r="D431" s="95"/>
      <c r="E431" s="95"/>
      <c r="F431" s="216"/>
      <c r="G431" s="217"/>
      <c r="H431" s="217"/>
      <c r="I431" s="285"/>
    </row>
    <row r="432" spans="1:9" s="212" customFormat="1">
      <c r="A432" s="292"/>
      <c r="B432" s="97"/>
      <c r="C432" s="98"/>
      <c r="D432" s="98"/>
      <c r="E432" s="98"/>
      <c r="F432" s="216"/>
      <c r="G432" s="293" t="s">
        <v>412</v>
      </c>
      <c r="H432" s="294">
        <f>SUM(H418:H430)</f>
        <v>8648.4</v>
      </c>
      <c r="I432" s="285"/>
    </row>
    <row r="433" spans="1:9" s="212" customFormat="1">
      <c r="A433" s="292"/>
      <c r="B433" s="97"/>
      <c r="C433" s="98"/>
      <c r="D433" s="98"/>
      <c r="E433" s="98"/>
      <c r="F433" s="295"/>
      <c r="G433" s="296"/>
      <c r="H433" s="218"/>
      <c r="I433" s="285"/>
    </row>
    <row r="434" spans="1:9" s="212" customFormat="1" ht="15.75" thickBot="1">
      <c r="A434" s="624" t="s">
        <v>761</v>
      </c>
      <c r="B434" s="625"/>
      <c r="C434" s="625"/>
      <c r="D434" s="625"/>
      <c r="E434" s="625"/>
      <c r="F434" s="625"/>
      <c r="G434" s="626"/>
      <c r="H434" s="297">
        <f>+ROUND(H432,0)</f>
        <v>8648</v>
      </c>
      <c r="I434" s="298"/>
    </row>
    <row r="435" spans="1:9" s="212" customFormat="1">
      <c r="A435" s="633"/>
      <c r="B435" s="633"/>
      <c r="C435" s="633"/>
      <c r="D435" s="633"/>
      <c r="E435" s="633"/>
      <c r="F435" s="633"/>
      <c r="G435" s="633"/>
    </row>
    <row r="436" spans="1:9" s="212" customFormat="1" ht="15.75" thickBot="1">
      <c r="H436" s="227"/>
      <c r="I436" s="228"/>
    </row>
    <row r="437" spans="1:9" s="212" customFormat="1">
      <c r="A437" s="299"/>
      <c r="B437" s="649" t="s">
        <v>359</v>
      </c>
      <c r="C437" s="650"/>
      <c r="D437" s="650"/>
      <c r="E437" s="650"/>
      <c r="F437" s="650"/>
      <c r="G437" s="650"/>
      <c r="H437" s="676"/>
      <c r="I437" s="283" t="s">
        <v>389</v>
      </c>
    </row>
    <row r="438" spans="1:9" s="212" customFormat="1">
      <c r="A438" s="300"/>
      <c r="B438" s="651"/>
      <c r="C438" s="652"/>
      <c r="D438" s="652"/>
      <c r="E438" s="652"/>
      <c r="F438" s="652"/>
      <c r="G438" s="652"/>
      <c r="H438" s="677"/>
      <c r="I438" s="284" t="s">
        <v>157</v>
      </c>
    </row>
    <row r="439" spans="1:9" s="212" customFormat="1">
      <c r="A439" s="68"/>
      <c r="B439" s="69"/>
      <c r="C439" s="69"/>
      <c r="D439" s="69"/>
      <c r="E439" s="69"/>
      <c r="F439" s="218"/>
      <c r="G439" s="218"/>
      <c r="H439" s="218"/>
      <c r="I439" s="285"/>
    </row>
    <row r="440" spans="1:9" s="212" customFormat="1">
      <c r="A440" s="72" t="s">
        <v>390</v>
      </c>
      <c r="B440" s="73"/>
      <c r="C440" s="73"/>
      <c r="D440" s="73"/>
      <c r="E440" s="73"/>
      <c r="F440" s="217"/>
      <c r="G440" s="217"/>
      <c r="H440" s="218"/>
      <c r="I440" s="285"/>
    </row>
    <row r="441" spans="1:9" s="212" customFormat="1">
      <c r="A441" s="286" t="s">
        <v>391</v>
      </c>
      <c r="B441" s="76" t="s">
        <v>392</v>
      </c>
      <c r="C441" s="76" t="s">
        <v>393</v>
      </c>
      <c r="D441" s="76" t="s">
        <v>394</v>
      </c>
      <c r="E441" s="76" t="s">
        <v>395</v>
      </c>
      <c r="F441" s="76" t="s">
        <v>396</v>
      </c>
      <c r="G441" s="76" t="s">
        <v>397</v>
      </c>
      <c r="H441" s="217"/>
      <c r="I441" s="285"/>
    </row>
    <row r="442" spans="1:9" s="212" customFormat="1">
      <c r="A442" s="77" t="s">
        <v>404</v>
      </c>
      <c r="B442" s="78" t="s">
        <v>405</v>
      </c>
      <c r="C442" s="79" t="s">
        <v>406</v>
      </c>
      <c r="D442" s="287">
        <v>1250</v>
      </c>
      <c r="E442" s="79">
        <v>0.5</v>
      </c>
      <c r="F442" s="79">
        <v>0</v>
      </c>
      <c r="G442" s="287">
        <f>(D442*E442)+((D442*E442)*F442/100)</f>
        <v>625</v>
      </c>
      <c r="H442" s="217"/>
      <c r="I442" s="285"/>
    </row>
    <row r="443" spans="1:9" s="212" customFormat="1">
      <c r="A443" s="82"/>
      <c r="B443" s="83"/>
      <c r="C443" s="84"/>
      <c r="D443" s="84"/>
      <c r="E443" s="84"/>
      <c r="F443" s="216"/>
      <c r="G443" s="288" t="s">
        <v>407</v>
      </c>
      <c r="H443" s="287">
        <f>SUM(G442:G442)</f>
        <v>625</v>
      </c>
      <c r="I443" s="285"/>
    </row>
    <row r="444" spans="1:9" s="212" customFormat="1">
      <c r="A444" s="72" t="s">
        <v>408</v>
      </c>
      <c r="B444" s="73"/>
      <c r="C444" s="73"/>
      <c r="D444" s="73"/>
      <c r="E444" s="73"/>
      <c r="F444" s="216"/>
      <c r="G444" s="217"/>
      <c r="H444" s="289"/>
      <c r="I444" s="285"/>
    </row>
    <row r="445" spans="1:9" s="212" customFormat="1">
      <c r="A445" s="286" t="s">
        <v>391</v>
      </c>
      <c r="B445" s="76" t="s">
        <v>392</v>
      </c>
      <c r="C445" s="76" t="s">
        <v>393</v>
      </c>
      <c r="D445" s="76" t="s">
        <v>394</v>
      </c>
      <c r="E445" s="76" t="s">
        <v>395</v>
      </c>
      <c r="F445" s="76" t="s">
        <v>396</v>
      </c>
      <c r="G445" s="76" t="s">
        <v>397</v>
      </c>
      <c r="H445" s="289"/>
      <c r="I445" s="285"/>
    </row>
    <row r="446" spans="1:9" s="212" customFormat="1">
      <c r="A446" s="135"/>
      <c r="B446" s="78" t="s">
        <v>359</v>
      </c>
      <c r="C446" s="127" t="s">
        <v>157</v>
      </c>
      <c r="D446" s="287">
        <f>1245*1.2</f>
        <v>1494</v>
      </c>
      <c r="E446" s="79">
        <v>1</v>
      </c>
      <c r="F446" s="79">
        <v>0</v>
      </c>
      <c r="G446" s="287">
        <f>(D446*E446)+((D446*E446)*F446/100)</f>
        <v>1494</v>
      </c>
      <c r="H446" s="289"/>
      <c r="I446" s="285"/>
    </row>
    <row r="447" spans="1:9" s="212" customFormat="1">
      <c r="A447" s="90"/>
      <c r="B447" s="91"/>
      <c r="C447" s="91"/>
      <c r="D447" s="91"/>
      <c r="E447" s="91"/>
      <c r="F447" s="216"/>
      <c r="G447" s="290" t="s">
        <v>407</v>
      </c>
      <c r="H447" s="287">
        <f>SUM(G446:G446)</f>
        <v>1494</v>
      </c>
      <c r="I447" s="285"/>
    </row>
    <row r="448" spans="1:9" s="212" customFormat="1">
      <c r="A448" s="72" t="s">
        <v>410</v>
      </c>
      <c r="B448" s="73"/>
      <c r="C448" s="73"/>
      <c r="D448" s="73"/>
      <c r="E448" s="73"/>
      <c r="F448" s="216"/>
      <c r="G448" s="217"/>
      <c r="H448" s="289"/>
      <c r="I448" s="285"/>
    </row>
    <row r="449" spans="1:9" s="212" customFormat="1">
      <c r="A449" s="286" t="s">
        <v>391</v>
      </c>
      <c r="B449" s="76" t="s">
        <v>392</v>
      </c>
      <c r="C449" s="76" t="s">
        <v>393</v>
      </c>
      <c r="D449" s="76" t="s">
        <v>394</v>
      </c>
      <c r="E449" s="76" t="s">
        <v>395</v>
      </c>
      <c r="F449" s="76" t="s">
        <v>396</v>
      </c>
      <c r="G449" s="76" t="s">
        <v>397</v>
      </c>
      <c r="H449" s="289"/>
      <c r="I449" s="285"/>
    </row>
    <row r="450" spans="1:9" s="212" customFormat="1">
      <c r="A450" s="125" t="s">
        <v>478</v>
      </c>
      <c r="B450" s="126" t="s">
        <v>1063</v>
      </c>
      <c r="C450" s="127" t="s">
        <v>426</v>
      </c>
      <c r="D450" s="287">
        <v>5627</v>
      </c>
      <c r="E450" s="79">
        <v>1</v>
      </c>
      <c r="F450" s="79">
        <v>0</v>
      </c>
      <c r="G450" s="287">
        <f>(D450*E450)+((D450*E450)*F450/100)</f>
        <v>5627</v>
      </c>
      <c r="H450" s="289"/>
      <c r="I450" s="285"/>
    </row>
    <row r="451" spans="1:9" s="212" customFormat="1">
      <c r="A451" s="90"/>
      <c r="B451" s="91"/>
      <c r="C451" s="91"/>
      <c r="D451" s="91"/>
      <c r="E451" s="91"/>
      <c r="F451" s="216"/>
      <c r="G451" s="288" t="s">
        <v>407</v>
      </c>
      <c r="H451" s="287">
        <f>SUM(G450:G450)</f>
        <v>5627</v>
      </c>
      <c r="I451" s="285"/>
    </row>
    <row r="452" spans="1:9" s="212" customFormat="1">
      <c r="A452" s="72" t="s">
        <v>411</v>
      </c>
      <c r="B452" s="73"/>
      <c r="C452" s="73"/>
      <c r="D452" s="73"/>
      <c r="E452" s="73"/>
      <c r="F452" s="216"/>
      <c r="G452" s="217"/>
      <c r="H452" s="289"/>
      <c r="I452" s="285"/>
    </row>
    <row r="453" spans="1:9" s="212" customFormat="1">
      <c r="A453" s="286" t="s">
        <v>391</v>
      </c>
      <c r="B453" s="76" t="s">
        <v>392</v>
      </c>
      <c r="C453" s="76" t="s">
        <v>393</v>
      </c>
      <c r="D453" s="76" t="s">
        <v>394</v>
      </c>
      <c r="E453" s="76" t="s">
        <v>395</v>
      </c>
      <c r="F453" s="76" t="s">
        <v>396</v>
      </c>
      <c r="G453" s="76" t="s">
        <v>397</v>
      </c>
      <c r="H453" s="289"/>
      <c r="I453" s="285"/>
    </row>
    <row r="454" spans="1:9" s="212" customFormat="1">
      <c r="A454" s="87"/>
      <c r="B454" s="114"/>
      <c r="C454" s="114"/>
      <c r="D454" s="114"/>
      <c r="E454" s="291"/>
      <c r="F454" s="79"/>
      <c r="G454" s="287"/>
      <c r="H454" s="289"/>
      <c r="I454" s="285"/>
    </row>
    <row r="455" spans="1:9" s="212" customFormat="1">
      <c r="A455" s="94"/>
      <c r="B455" s="95"/>
      <c r="C455" s="95"/>
      <c r="D455" s="95"/>
      <c r="E455" s="95"/>
      <c r="F455" s="216"/>
      <c r="G455" s="288" t="s">
        <v>407</v>
      </c>
      <c r="H455" s="287">
        <f>SUM(G453:G454)</f>
        <v>0</v>
      </c>
      <c r="I455" s="285"/>
    </row>
    <row r="456" spans="1:9" s="212" customFormat="1">
      <c r="A456" s="94"/>
      <c r="B456" s="95"/>
      <c r="C456" s="95"/>
      <c r="D456" s="95"/>
      <c r="E456" s="95"/>
      <c r="F456" s="216"/>
      <c r="G456" s="217"/>
      <c r="H456" s="217"/>
      <c r="I456" s="285"/>
    </row>
    <row r="457" spans="1:9" s="212" customFormat="1">
      <c r="A457" s="292"/>
      <c r="B457" s="97"/>
      <c r="C457" s="98"/>
      <c r="D457" s="98"/>
      <c r="E457" s="98"/>
      <c r="F457" s="216"/>
      <c r="G457" s="293" t="s">
        <v>412</v>
      </c>
      <c r="H457" s="294">
        <f>SUM(H443:H455)</f>
        <v>7746</v>
      </c>
      <c r="I457" s="285"/>
    </row>
    <row r="458" spans="1:9" s="212" customFormat="1">
      <c r="A458" s="292"/>
      <c r="B458" s="97"/>
      <c r="C458" s="98"/>
      <c r="D458" s="98"/>
      <c r="E458" s="98"/>
      <c r="F458" s="295"/>
      <c r="G458" s="296"/>
      <c r="H458" s="218"/>
      <c r="I458" s="285"/>
    </row>
    <row r="459" spans="1:9" s="212" customFormat="1" ht="15.75" thickBot="1">
      <c r="A459" s="624" t="s">
        <v>761</v>
      </c>
      <c r="B459" s="625"/>
      <c r="C459" s="625"/>
      <c r="D459" s="625"/>
      <c r="E459" s="625"/>
      <c r="F459" s="625"/>
      <c r="G459" s="626"/>
      <c r="H459" s="297">
        <f>+ROUND(H457,0)</f>
        <v>7746</v>
      </c>
      <c r="I459" s="298"/>
    </row>
    <row r="460" spans="1:9" s="212" customFormat="1">
      <c r="H460" s="227"/>
      <c r="I460" s="228"/>
    </row>
    <row r="461" spans="1:9" s="212" customFormat="1" ht="15.75" thickBot="1">
      <c r="A461" s="301"/>
      <c r="B461" s="227"/>
      <c r="C461" s="227"/>
      <c r="D461" s="227"/>
      <c r="E461" s="227"/>
      <c r="F461" s="227"/>
      <c r="G461" s="227"/>
      <c r="H461" s="227"/>
      <c r="I461" s="229"/>
    </row>
    <row r="462" spans="1:9" s="212" customFormat="1">
      <c r="A462" s="299"/>
      <c r="B462" s="649" t="s">
        <v>771</v>
      </c>
      <c r="C462" s="650"/>
      <c r="D462" s="650"/>
      <c r="E462" s="650"/>
      <c r="F462" s="650"/>
      <c r="G462" s="650"/>
      <c r="H462" s="676"/>
      <c r="I462" s="283" t="s">
        <v>389</v>
      </c>
    </row>
    <row r="463" spans="1:9" s="212" customFormat="1">
      <c r="A463" s="300"/>
      <c r="B463" s="651"/>
      <c r="C463" s="652"/>
      <c r="D463" s="652"/>
      <c r="E463" s="652"/>
      <c r="F463" s="652"/>
      <c r="G463" s="652"/>
      <c r="H463" s="677"/>
      <c r="I463" s="284" t="s">
        <v>157</v>
      </c>
    </row>
    <row r="464" spans="1:9" s="212" customFormat="1">
      <c r="A464" s="68"/>
      <c r="B464" s="69"/>
      <c r="C464" s="69"/>
      <c r="D464" s="69"/>
      <c r="E464" s="69"/>
      <c r="F464" s="218"/>
      <c r="G464" s="218"/>
      <c r="H464" s="218"/>
      <c r="I464" s="285"/>
    </row>
    <row r="465" spans="1:9" s="212" customFormat="1">
      <c r="A465" s="72" t="s">
        <v>390</v>
      </c>
      <c r="B465" s="73"/>
      <c r="C465" s="73"/>
      <c r="D465" s="73"/>
      <c r="E465" s="73"/>
      <c r="F465" s="217"/>
      <c r="G465" s="217"/>
      <c r="H465" s="218"/>
      <c r="I465" s="285"/>
    </row>
    <row r="466" spans="1:9" s="212" customFormat="1">
      <c r="A466" s="286" t="s">
        <v>391</v>
      </c>
      <c r="B466" s="76" t="s">
        <v>392</v>
      </c>
      <c r="C466" s="76" t="s">
        <v>393</v>
      </c>
      <c r="D466" s="76" t="s">
        <v>394</v>
      </c>
      <c r="E466" s="76" t="s">
        <v>395</v>
      </c>
      <c r="F466" s="76" t="s">
        <v>396</v>
      </c>
      <c r="G466" s="76" t="s">
        <v>397</v>
      </c>
      <c r="H466" s="217"/>
      <c r="I466" s="285"/>
    </row>
    <row r="467" spans="1:9" s="212" customFormat="1">
      <c r="A467" s="77" t="s">
        <v>404</v>
      </c>
      <c r="B467" s="78" t="s">
        <v>405</v>
      </c>
      <c r="C467" s="79" t="s">
        <v>406</v>
      </c>
      <c r="D467" s="287">
        <v>1250</v>
      </c>
      <c r="E467" s="79">
        <v>0.5</v>
      </c>
      <c r="F467" s="79">
        <v>0</v>
      </c>
      <c r="G467" s="287">
        <f>(D467*E467)+((D467*E467)*F467/100)</f>
        <v>625</v>
      </c>
      <c r="H467" s="217"/>
      <c r="I467" s="285"/>
    </row>
    <row r="468" spans="1:9" s="212" customFormat="1">
      <c r="A468" s="82"/>
      <c r="B468" s="83"/>
      <c r="C468" s="84"/>
      <c r="D468" s="84"/>
      <c r="E468" s="84"/>
      <c r="F468" s="216"/>
      <c r="G468" s="288" t="s">
        <v>407</v>
      </c>
      <c r="H468" s="287">
        <f>SUM(G467:G467)</f>
        <v>625</v>
      </c>
      <c r="I468" s="285"/>
    </row>
    <row r="469" spans="1:9" s="212" customFormat="1">
      <c r="A469" s="72" t="s">
        <v>408</v>
      </c>
      <c r="B469" s="73"/>
      <c r="C469" s="73"/>
      <c r="D469" s="73"/>
      <c r="E469" s="73"/>
      <c r="F469" s="216"/>
      <c r="G469" s="217"/>
      <c r="H469" s="289"/>
      <c r="I469" s="285"/>
    </row>
    <row r="470" spans="1:9" s="212" customFormat="1">
      <c r="A470" s="286" t="s">
        <v>391</v>
      </c>
      <c r="B470" s="76" t="s">
        <v>392</v>
      </c>
      <c r="C470" s="76" t="s">
        <v>393</v>
      </c>
      <c r="D470" s="76" t="s">
        <v>394</v>
      </c>
      <c r="E470" s="76" t="s">
        <v>395</v>
      </c>
      <c r="F470" s="76" t="s">
        <v>396</v>
      </c>
      <c r="G470" s="76" t="s">
        <v>397</v>
      </c>
      <c r="H470" s="289"/>
      <c r="I470" s="285"/>
    </row>
    <row r="471" spans="1:9" s="212" customFormat="1">
      <c r="A471" s="135"/>
      <c r="B471" s="78" t="s">
        <v>771</v>
      </c>
      <c r="C471" s="127" t="s">
        <v>157</v>
      </c>
      <c r="D471" s="287">
        <f>4849*1.2</f>
        <v>5818.8</v>
      </c>
      <c r="E471" s="79">
        <v>1</v>
      </c>
      <c r="F471" s="79">
        <v>0</v>
      </c>
      <c r="G471" s="287">
        <f>(D471*E471)+((D471*E471)*F471/100)</f>
        <v>5818.8</v>
      </c>
      <c r="H471" s="289"/>
      <c r="I471" s="285"/>
    </row>
    <row r="472" spans="1:9" s="212" customFormat="1">
      <c r="A472" s="90"/>
      <c r="B472" s="91"/>
      <c r="C472" s="91"/>
      <c r="D472" s="91"/>
      <c r="E472" s="91"/>
      <c r="F472" s="216"/>
      <c r="G472" s="290" t="s">
        <v>407</v>
      </c>
      <c r="H472" s="287">
        <f>SUM(G471:G471)</f>
        <v>5818.8</v>
      </c>
      <c r="I472" s="285"/>
    </row>
    <row r="473" spans="1:9" s="212" customFormat="1">
      <c r="A473" s="72" t="s">
        <v>410</v>
      </c>
      <c r="B473" s="73"/>
      <c r="C473" s="73"/>
      <c r="D473" s="73"/>
      <c r="E473" s="73"/>
      <c r="F473" s="216"/>
      <c r="G473" s="217"/>
      <c r="H473" s="289"/>
      <c r="I473" s="285"/>
    </row>
    <row r="474" spans="1:9" s="212" customFormat="1">
      <c r="A474" s="286" t="s">
        <v>391</v>
      </c>
      <c r="B474" s="76" t="s">
        <v>392</v>
      </c>
      <c r="C474" s="76" t="s">
        <v>393</v>
      </c>
      <c r="D474" s="76" t="s">
        <v>394</v>
      </c>
      <c r="E474" s="76" t="s">
        <v>395</v>
      </c>
      <c r="F474" s="76" t="s">
        <v>396</v>
      </c>
      <c r="G474" s="76" t="s">
        <v>397</v>
      </c>
      <c r="H474" s="289"/>
      <c r="I474" s="285"/>
    </row>
    <row r="475" spans="1:9" s="212" customFormat="1">
      <c r="A475" s="125" t="s">
        <v>478</v>
      </c>
      <c r="B475" s="126" t="s">
        <v>1063</v>
      </c>
      <c r="C475" s="127" t="s">
        <v>426</v>
      </c>
      <c r="D475" s="287">
        <v>5627</v>
      </c>
      <c r="E475" s="79">
        <v>1.2</v>
      </c>
      <c r="F475" s="79">
        <v>0</v>
      </c>
      <c r="G475" s="287">
        <f>(D475*E475)+((D475*E475)*F475/100)</f>
        <v>6752.4</v>
      </c>
      <c r="H475" s="289"/>
      <c r="I475" s="285"/>
    </row>
    <row r="476" spans="1:9" s="212" customFormat="1">
      <c r="A476" s="90"/>
      <c r="B476" s="91"/>
      <c r="C476" s="91"/>
      <c r="D476" s="91"/>
      <c r="E476" s="91"/>
      <c r="F476" s="216"/>
      <c r="G476" s="288" t="s">
        <v>407</v>
      </c>
      <c r="H476" s="287">
        <f>SUM(G475:G475)</f>
        <v>6752.4</v>
      </c>
      <c r="I476" s="285"/>
    </row>
    <row r="477" spans="1:9" s="212" customFormat="1">
      <c r="A477" s="72" t="s">
        <v>411</v>
      </c>
      <c r="B477" s="73"/>
      <c r="C477" s="73"/>
      <c r="D477" s="73"/>
      <c r="E477" s="73"/>
      <c r="F477" s="216"/>
      <c r="G477" s="217"/>
      <c r="H477" s="289"/>
      <c r="I477" s="285"/>
    </row>
    <row r="478" spans="1:9" s="212" customFormat="1">
      <c r="A478" s="286" t="s">
        <v>391</v>
      </c>
      <c r="B478" s="76" t="s">
        <v>392</v>
      </c>
      <c r="C478" s="76" t="s">
        <v>393</v>
      </c>
      <c r="D478" s="76" t="s">
        <v>394</v>
      </c>
      <c r="E478" s="76" t="s">
        <v>395</v>
      </c>
      <c r="F478" s="76" t="s">
        <v>396</v>
      </c>
      <c r="G478" s="76" t="s">
        <v>397</v>
      </c>
      <c r="H478" s="289"/>
      <c r="I478" s="285"/>
    </row>
    <row r="479" spans="1:9" s="212" customFormat="1">
      <c r="A479" s="87"/>
      <c r="B479" s="114"/>
      <c r="C479" s="114"/>
      <c r="D479" s="114"/>
      <c r="E479" s="291"/>
      <c r="F479" s="79"/>
      <c r="G479" s="287">
        <f>(D479*E479)+((D479*E479)*F479/100)</f>
        <v>0</v>
      </c>
      <c r="H479" s="289"/>
      <c r="I479" s="285"/>
    </row>
    <row r="480" spans="1:9" s="212" customFormat="1">
      <c r="A480" s="94"/>
      <c r="B480" s="95"/>
      <c r="C480" s="95"/>
      <c r="D480" s="95"/>
      <c r="E480" s="95"/>
      <c r="F480" s="216"/>
      <c r="G480" s="288" t="s">
        <v>407</v>
      </c>
      <c r="H480" s="287">
        <f>SUM(G478:G479)</f>
        <v>0</v>
      </c>
      <c r="I480" s="285"/>
    </row>
    <row r="481" spans="1:9" s="212" customFormat="1">
      <c r="A481" s="94"/>
      <c r="B481" s="95"/>
      <c r="C481" s="95"/>
      <c r="D481" s="95"/>
      <c r="E481" s="95"/>
      <c r="F481" s="216"/>
      <c r="G481" s="217"/>
      <c r="H481" s="217"/>
      <c r="I481" s="285"/>
    </row>
    <row r="482" spans="1:9" s="212" customFormat="1">
      <c r="A482" s="292"/>
      <c r="B482" s="97"/>
      <c r="C482" s="98"/>
      <c r="D482" s="98"/>
      <c r="E482" s="98"/>
      <c r="F482" s="216"/>
      <c r="G482" s="293" t="s">
        <v>412</v>
      </c>
      <c r="H482" s="294">
        <f>SUM(H468:H480)</f>
        <v>13196.2</v>
      </c>
      <c r="I482" s="285"/>
    </row>
    <row r="483" spans="1:9" s="212" customFormat="1">
      <c r="A483" s="292"/>
      <c r="B483" s="97"/>
      <c r="C483" s="98"/>
      <c r="D483" s="98"/>
      <c r="E483" s="98"/>
      <c r="F483" s="295"/>
      <c r="G483" s="296"/>
      <c r="H483" s="218"/>
      <c r="I483" s="285"/>
    </row>
    <row r="484" spans="1:9" s="212" customFormat="1" ht="15.75" thickBot="1">
      <c r="A484" s="624" t="s">
        <v>761</v>
      </c>
      <c r="B484" s="625"/>
      <c r="C484" s="625"/>
      <c r="D484" s="625"/>
      <c r="E484" s="625"/>
      <c r="F484" s="625"/>
      <c r="G484" s="626"/>
      <c r="H484" s="297">
        <f>+ROUND(H482,0)</f>
        <v>13196</v>
      </c>
      <c r="I484" s="298"/>
    </row>
    <row r="485" spans="1:9" s="212" customFormat="1">
      <c r="A485" s="658"/>
      <c r="B485" s="227"/>
      <c r="C485" s="227"/>
      <c r="D485" s="227"/>
      <c r="E485" s="227"/>
      <c r="F485" s="227"/>
      <c r="G485" s="227"/>
      <c r="H485" s="227"/>
      <c r="I485" s="229"/>
    </row>
    <row r="486" spans="1:9" s="212" customFormat="1" ht="15.75" thickBot="1">
      <c r="A486" s="658"/>
      <c r="B486" s="227"/>
      <c r="C486" s="227"/>
      <c r="D486" s="227"/>
      <c r="E486" s="227"/>
      <c r="F486" s="227"/>
      <c r="G486" s="227"/>
    </row>
    <row r="487" spans="1:9" s="212" customFormat="1">
      <c r="A487" s="299"/>
      <c r="B487" s="649" t="s">
        <v>772</v>
      </c>
      <c r="C487" s="650"/>
      <c r="D487" s="650"/>
      <c r="E487" s="650"/>
      <c r="F487" s="650"/>
      <c r="G487" s="650"/>
      <c r="H487" s="676"/>
      <c r="I487" s="283" t="s">
        <v>389</v>
      </c>
    </row>
    <row r="488" spans="1:9" s="212" customFormat="1">
      <c r="A488" s="300"/>
      <c r="B488" s="651"/>
      <c r="C488" s="652"/>
      <c r="D488" s="652"/>
      <c r="E488" s="652"/>
      <c r="F488" s="652"/>
      <c r="G488" s="652"/>
      <c r="H488" s="677"/>
      <c r="I488" s="284" t="s">
        <v>157</v>
      </c>
    </row>
    <row r="489" spans="1:9" s="212" customFormat="1">
      <c r="A489" s="68"/>
      <c r="B489" s="69"/>
      <c r="C489" s="69"/>
      <c r="D489" s="69"/>
      <c r="E489" s="69"/>
      <c r="F489" s="218"/>
      <c r="G489" s="218"/>
      <c r="H489" s="218"/>
      <c r="I489" s="285"/>
    </row>
    <row r="490" spans="1:9" s="212" customFormat="1">
      <c r="A490" s="72" t="s">
        <v>390</v>
      </c>
      <c r="B490" s="73"/>
      <c r="C490" s="73"/>
      <c r="D490" s="73"/>
      <c r="E490" s="73"/>
      <c r="F490" s="217"/>
      <c r="G490" s="217"/>
      <c r="H490" s="218"/>
      <c r="I490" s="285"/>
    </row>
    <row r="491" spans="1:9" s="212" customFormat="1">
      <c r="A491" s="286" t="s">
        <v>391</v>
      </c>
      <c r="B491" s="76" t="s">
        <v>392</v>
      </c>
      <c r="C491" s="76" t="s">
        <v>393</v>
      </c>
      <c r="D491" s="76" t="s">
        <v>394</v>
      </c>
      <c r="E491" s="76" t="s">
        <v>395</v>
      </c>
      <c r="F491" s="76" t="s">
        <v>396</v>
      </c>
      <c r="G491" s="76" t="s">
        <v>397</v>
      </c>
      <c r="H491" s="217"/>
      <c r="I491" s="285"/>
    </row>
    <row r="492" spans="1:9" s="212" customFormat="1">
      <c r="A492" s="77" t="s">
        <v>404</v>
      </c>
      <c r="B492" s="78" t="s">
        <v>405</v>
      </c>
      <c r="C492" s="79" t="s">
        <v>406</v>
      </c>
      <c r="D492" s="287">
        <v>1250</v>
      </c>
      <c r="E492" s="79">
        <v>0.5</v>
      </c>
      <c r="F492" s="79">
        <v>0</v>
      </c>
      <c r="G492" s="287">
        <f>(D492*E492)+((D492*E492)*F492/100)</f>
        <v>625</v>
      </c>
      <c r="H492" s="217"/>
      <c r="I492" s="285"/>
    </row>
    <row r="493" spans="1:9" s="212" customFormat="1">
      <c r="A493" s="82"/>
      <c r="B493" s="83"/>
      <c r="C493" s="84"/>
      <c r="D493" s="84"/>
      <c r="E493" s="84"/>
      <c r="F493" s="216"/>
      <c r="G493" s="288" t="s">
        <v>407</v>
      </c>
      <c r="H493" s="287">
        <f>SUM(G492:G492)</f>
        <v>625</v>
      </c>
      <c r="I493" s="285"/>
    </row>
    <row r="494" spans="1:9" s="212" customFormat="1">
      <c r="A494" s="72" t="s">
        <v>408</v>
      </c>
      <c r="B494" s="73"/>
      <c r="C494" s="73"/>
      <c r="D494" s="73"/>
      <c r="E494" s="73"/>
      <c r="F494" s="216"/>
      <c r="G494" s="217"/>
      <c r="H494" s="289"/>
      <c r="I494" s="285"/>
    </row>
    <row r="495" spans="1:9" s="212" customFormat="1">
      <c r="A495" s="286" t="s">
        <v>391</v>
      </c>
      <c r="B495" s="76" t="s">
        <v>392</v>
      </c>
      <c r="C495" s="76" t="s">
        <v>393</v>
      </c>
      <c r="D495" s="76" t="s">
        <v>394</v>
      </c>
      <c r="E495" s="76" t="s">
        <v>395</v>
      </c>
      <c r="F495" s="76" t="s">
        <v>396</v>
      </c>
      <c r="G495" s="76" t="s">
        <v>397</v>
      </c>
      <c r="H495" s="289"/>
      <c r="I495" s="285"/>
    </row>
    <row r="496" spans="1:9" s="212" customFormat="1">
      <c r="A496" s="135"/>
      <c r="B496" s="78" t="s">
        <v>773</v>
      </c>
      <c r="C496" s="127" t="s">
        <v>157</v>
      </c>
      <c r="D496" s="287">
        <f>1727*1.2</f>
        <v>2072.4</v>
      </c>
      <c r="E496" s="79">
        <v>1</v>
      </c>
      <c r="F496" s="79">
        <v>0</v>
      </c>
      <c r="G496" s="287">
        <f>(D496*E496)+((D496*E496)*F496/100)</f>
        <v>2072.4</v>
      </c>
      <c r="H496" s="289"/>
      <c r="I496" s="285"/>
    </row>
    <row r="497" spans="1:9" s="212" customFormat="1">
      <c r="A497" s="90"/>
      <c r="B497" s="91"/>
      <c r="C497" s="91"/>
      <c r="D497" s="91"/>
      <c r="E497" s="91"/>
      <c r="F497" s="216"/>
      <c r="G497" s="290" t="s">
        <v>407</v>
      </c>
      <c r="H497" s="287">
        <f>SUM(G496:G496)</f>
        <v>2072.4</v>
      </c>
      <c r="I497" s="285"/>
    </row>
    <row r="498" spans="1:9" s="212" customFormat="1">
      <c r="A498" s="72" t="s">
        <v>410</v>
      </c>
      <c r="B498" s="73"/>
      <c r="C498" s="73"/>
      <c r="D498" s="73"/>
      <c r="E498" s="73"/>
      <c r="F498" s="216"/>
      <c r="G498" s="217"/>
      <c r="H498" s="289"/>
      <c r="I498" s="285"/>
    </row>
    <row r="499" spans="1:9" s="212" customFormat="1">
      <c r="A499" s="286" t="s">
        <v>391</v>
      </c>
      <c r="B499" s="76" t="s">
        <v>392</v>
      </c>
      <c r="C499" s="76" t="s">
        <v>393</v>
      </c>
      <c r="D499" s="76" t="s">
        <v>394</v>
      </c>
      <c r="E499" s="76" t="s">
        <v>395</v>
      </c>
      <c r="F499" s="76" t="s">
        <v>396</v>
      </c>
      <c r="G499" s="76" t="s">
        <v>397</v>
      </c>
      <c r="H499" s="289"/>
      <c r="I499" s="285"/>
    </row>
    <row r="500" spans="1:9" s="212" customFormat="1">
      <c r="A500" s="125" t="s">
        <v>478</v>
      </c>
      <c r="B500" s="126" t="s">
        <v>1063</v>
      </c>
      <c r="C500" s="127" t="s">
        <v>426</v>
      </c>
      <c r="D500" s="287">
        <v>5627</v>
      </c>
      <c r="E500" s="79">
        <v>1</v>
      </c>
      <c r="F500" s="79">
        <v>0</v>
      </c>
      <c r="G500" s="287">
        <f>(D500*E500)+((D500*E500)*F500/100)</f>
        <v>5627</v>
      </c>
      <c r="H500" s="289"/>
      <c r="I500" s="285"/>
    </row>
    <row r="501" spans="1:9" s="212" customFormat="1">
      <c r="A501" s="90"/>
      <c r="B501" s="91"/>
      <c r="C501" s="91"/>
      <c r="D501" s="91"/>
      <c r="E501" s="91"/>
      <c r="F501" s="216"/>
      <c r="G501" s="288" t="s">
        <v>407</v>
      </c>
      <c r="H501" s="287">
        <f>SUM(G500:G500)</f>
        <v>5627</v>
      </c>
      <c r="I501" s="285"/>
    </row>
    <row r="502" spans="1:9" s="212" customFormat="1">
      <c r="A502" s="72" t="s">
        <v>411</v>
      </c>
      <c r="B502" s="73"/>
      <c r="C502" s="73"/>
      <c r="D502" s="73"/>
      <c r="E502" s="73"/>
      <c r="F502" s="216"/>
      <c r="G502" s="217"/>
      <c r="H502" s="289"/>
      <c r="I502" s="285"/>
    </row>
    <row r="503" spans="1:9" s="212" customFormat="1">
      <c r="A503" s="286" t="s">
        <v>391</v>
      </c>
      <c r="B503" s="76" t="s">
        <v>392</v>
      </c>
      <c r="C503" s="76" t="s">
        <v>393</v>
      </c>
      <c r="D503" s="76" t="s">
        <v>394</v>
      </c>
      <c r="E503" s="76" t="s">
        <v>395</v>
      </c>
      <c r="F503" s="76" t="s">
        <v>396</v>
      </c>
      <c r="G503" s="76" t="s">
        <v>397</v>
      </c>
      <c r="H503" s="289"/>
      <c r="I503" s="285"/>
    </row>
    <row r="504" spans="1:9" s="212" customFormat="1">
      <c r="A504" s="87"/>
      <c r="B504" s="114"/>
      <c r="C504" s="114"/>
      <c r="D504" s="114"/>
      <c r="E504" s="291"/>
      <c r="F504" s="79"/>
      <c r="G504" s="287"/>
      <c r="H504" s="289"/>
      <c r="I504" s="285"/>
    </row>
    <row r="505" spans="1:9" s="212" customFormat="1">
      <c r="A505" s="94"/>
      <c r="B505" s="95"/>
      <c r="C505" s="95"/>
      <c r="D505" s="95"/>
      <c r="E505" s="95"/>
      <c r="F505" s="216"/>
      <c r="G505" s="288" t="s">
        <v>407</v>
      </c>
      <c r="H505" s="287">
        <f>SUM(G503:G504)</f>
        <v>0</v>
      </c>
      <c r="I505" s="285"/>
    </row>
    <row r="506" spans="1:9" s="212" customFormat="1">
      <c r="A506" s="94"/>
      <c r="B506" s="95"/>
      <c r="C506" s="95"/>
      <c r="D506" s="95"/>
      <c r="E506" s="95"/>
      <c r="F506" s="216"/>
      <c r="G506" s="217"/>
      <c r="H506" s="217"/>
      <c r="I506" s="285"/>
    </row>
    <row r="507" spans="1:9" s="212" customFormat="1">
      <c r="A507" s="292"/>
      <c r="B507" s="97"/>
      <c r="C507" s="98"/>
      <c r="D507" s="98"/>
      <c r="E507" s="98"/>
      <c r="F507" s="216"/>
      <c r="G507" s="293" t="s">
        <v>412</v>
      </c>
      <c r="H507" s="294">
        <f>SUM(H493:H505)</f>
        <v>8324.4</v>
      </c>
      <c r="I507" s="285"/>
    </row>
    <row r="508" spans="1:9" s="212" customFormat="1">
      <c r="A508" s="292"/>
      <c r="B508" s="97"/>
      <c r="C508" s="98"/>
      <c r="D508" s="98"/>
      <c r="E508" s="98"/>
      <c r="F508" s="295"/>
      <c r="G508" s="296"/>
      <c r="H508" s="218"/>
      <c r="I508" s="285"/>
    </row>
    <row r="509" spans="1:9" s="212" customFormat="1" ht="15.75" thickBot="1">
      <c r="A509" s="624" t="s">
        <v>761</v>
      </c>
      <c r="B509" s="625"/>
      <c r="C509" s="625"/>
      <c r="D509" s="625"/>
      <c r="E509" s="625"/>
      <c r="F509" s="625"/>
      <c r="G509" s="626"/>
      <c r="H509" s="297">
        <f>+ROUND(H507,0)</f>
        <v>8324</v>
      </c>
      <c r="I509" s="298"/>
    </row>
    <row r="510" spans="1:9" s="212" customFormat="1">
      <c r="H510" s="227"/>
      <c r="I510" s="228"/>
    </row>
    <row r="511" spans="1:9" s="212" customFormat="1" ht="15.75" thickBot="1">
      <c r="A511" s="301"/>
      <c r="B511" s="227"/>
      <c r="C511" s="227"/>
      <c r="D511" s="227"/>
      <c r="E511" s="227"/>
      <c r="F511" s="227"/>
      <c r="G511" s="227"/>
      <c r="H511" s="227"/>
      <c r="I511" s="229"/>
    </row>
    <row r="512" spans="1:9" s="212" customFormat="1">
      <c r="A512" s="299"/>
      <c r="B512" s="649" t="s">
        <v>774</v>
      </c>
      <c r="C512" s="650"/>
      <c r="D512" s="650"/>
      <c r="E512" s="650"/>
      <c r="F512" s="650"/>
      <c r="G512" s="650"/>
      <c r="H512" s="676"/>
      <c r="I512" s="283" t="s">
        <v>389</v>
      </c>
    </row>
    <row r="513" spans="1:9" s="212" customFormat="1">
      <c r="A513" s="300"/>
      <c r="B513" s="651"/>
      <c r="C513" s="652"/>
      <c r="D513" s="652"/>
      <c r="E513" s="652"/>
      <c r="F513" s="652"/>
      <c r="G513" s="652"/>
      <c r="H513" s="677"/>
      <c r="I513" s="284" t="s">
        <v>157</v>
      </c>
    </row>
    <row r="514" spans="1:9" s="212" customFormat="1">
      <c r="A514" s="68"/>
      <c r="B514" s="69"/>
      <c r="C514" s="69"/>
      <c r="D514" s="69"/>
      <c r="E514" s="69"/>
      <c r="F514" s="218"/>
      <c r="G514" s="218"/>
      <c r="H514" s="218"/>
      <c r="I514" s="285"/>
    </row>
    <row r="515" spans="1:9" s="212" customFormat="1">
      <c r="A515" s="72" t="s">
        <v>390</v>
      </c>
      <c r="B515" s="73"/>
      <c r="C515" s="73"/>
      <c r="D515" s="73"/>
      <c r="E515" s="73"/>
      <c r="F515" s="217"/>
      <c r="G515" s="217"/>
      <c r="H515" s="218"/>
      <c r="I515" s="285"/>
    </row>
    <row r="516" spans="1:9" s="212" customFormat="1">
      <c r="A516" s="286" t="s">
        <v>391</v>
      </c>
      <c r="B516" s="76" t="s">
        <v>392</v>
      </c>
      <c r="C516" s="76" t="s">
        <v>393</v>
      </c>
      <c r="D516" s="76" t="s">
        <v>394</v>
      </c>
      <c r="E516" s="76" t="s">
        <v>395</v>
      </c>
      <c r="F516" s="76" t="s">
        <v>396</v>
      </c>
      <c r="G516" s="76" t="s">
        <v>397</v>
      </c>
      <c r="H516" s="217"/>
      <c r="I516" s="285"/>
    </row>
    <row r="517" spans="1:9" s="212" customFormat="1">
      <c r="A517" s="77" t="s">
        <v>404</v>
      </c>
      <c r="B517" s="78" t="s">
        <v>405</v>
      </c>
      <c r="C517" s="79" t="s">
        <v>406</v>
      </c>
      <c r="D517" s="287">
        <v>1250</v>
      </c>
      <c r="E517" s="79">
        <v>0.5</v>
      </c>
      <c r="F517" s="79">
        <v>0</v>
      </c>
      <c r="G517" s="287">
        <f>(D517*E517)+((D517*E517)*F517/100)</f>
        <v>625</v>
      </c>
      <c r="H517" s="217"/>
      <c r="I517" s="285"/>
    </row>
    <row r="518" spans="1:9" s="212" customFormat="1">
      <c r="A518" s="82"/>
      <c r="B518" s="83"/>
      <c r="C518" s="84"/>
      <c r="D518" s="84"/>
      <c r="E518" s="84"/>
      <c r="F518" s="216"/>
      <c r="G518" s="288" t="s">
        <v>407</v>
      </c>
      <c r="H518" s="287">
        <f>SUM(G517:G517)</f>
        <v>625</v>
      </c>
      <c r="I518" s="285"/>
    </row>
    <row r="519" spans="1:9" s="212" customFormat="1">
      <c r="A519" s="72" t="s">
        <v>408</v>
      </c>
      <c r="B519" s="73"/>
      <c r="C519" s="73"/>
      <c r="D519" s="73"/>
      <c r="E519" s="73"/>
      <c r="F519" s="216"/>
      <c r="G519" s="217"/>
      <c r="H519" s="289"/>
      <c r="I519" s="285"/>
    </row>
    <row r="520" spans="1:9" s="212" customFormat="1">
      <c r="A520" s="286" t="s">
        <v>391</v>
      </c>
      <c r="B520" s="76" t="s">
        <v>392</v>
      </c>
      <c r="C520" s="76" t="s">
        <v>393</v>
      </c>
      <c r="D520" s="76" t="s">
        <v>394</v>
      </c>
      <c r="E520" s="76" t="s">
        <v>395</v>
      </c>
      <c r="F520" s="76" t="s">
        <v>396</v>
      </c>
      <c r="G520" s="76" t="s">
        <v>397</v>
      </c>
      <c r="H520" s="289"/>
      <c r="I520" s="285"/>
    </row>
    <row r="521" spans="1:9" s="212" customFormat="1">
      <c r="A521" s="135"/>
      <c r="B521" s="78" t="s">
        <v>774</v>
      </c>
      <c r="C521" s="127" t="s">
        <v>157</v>
      </c>
      <c r="D521" s="287">
        <f>5870*1.2</f>
        <v>7044</v>
      </c>
      <c r="E521" s="79">
        <v>1</v>
      </c>
      <c r="F521" s="79">
        <v>0</v>
      </c>
      <c r="G521" s="287">
        <f>(D521*E521)+((D521*E521)*F521/100)</f>
        <v>7044</v>
      </c>
      <c r="H521" s="289"/>
      <c r="I521" s="285"/>
    </row>
    <row r="522" spans="1:9" s="212" customFormat="1">
      <c r="A522" s="90"/>
      <c r="B522" s="91"/>
      <c r="C522" s="91"/>
      <c r="D522" s="91"/>
      <c r="E522" s="91"/>
      <c r="F522" s="216"/>
      <c r="G522" s="290" t="s">
        <v>407</v>
      </c>
      <c r="H522" s="287">
        <f>SUM(G521:G521)</f>
        <v>7044</v>
      </c>
      <c r="I522" s="285"/>
    </row>
    <row r="523" spans="1:9" s="212" customFormat="1">
      <c r="A523" s="72" t="s">
        <v>410</v>
      </c>
      <c r="B523" s="73"/>
      <c r="C523" s="73"/>
      <c r="D523" s="73"/>
      <c r="E523" s="73"/>
      <c r="F523" s="216"/>
      <c r="G523" s="217"/>
      <c r="H523" s="289"/>
      <c r="I523" s="285"/>
    </row>
    <row r="524" spans="1:9" s="212" customFormat="1">
      <c r="A524" s="286" t="s">
        <v>391</v>
      </c>
      <c r="B524" s="76" t="s">
        <v>392</v>
      </c>
      <c r="C524" s="76" t="s">
        <v>393</v>
      </c>
      <c r="D524" s="76" t="s">
        <v>394</v>
      </c>
      <c r="E524" s="76" t="s">
        <v>395</v>
      </c>
      <c r="F524" s="76" t="s">
        <v>396</v>
      </c>
      <c r="G524" s="76" t="s">
        <v>397</v>
      </c>
      <c r="H524" s="289"/>
      <c r="I524" s="285"/>
    </row>
    <row r="525" spans="1:9" s="212" customFormat="1">
      <c r="A525" s="125" t="s">
        <v>478</v>
      </c>
      <c r="B525" s="126" t="s">
        <v>1063</v>
      </c>
      <c r="C525" s="127" t="s">
        <v>426</v>
      </c>
      <c r="D525" s="287">
        <v>5627</v>
      </c>
      <c r="E525" s="79">
        <v>1.2</v>
      </c>
      <c r="F525" s="79">
        <v>0</v>
      </c>
      <c r="G525" s="287">
        <f>(D525*E525)+((D525*E525)*F525/100)</f>
        <v>6752.4</v>
      </c>
      <c r="H525" s="289"/>
      <c r="I525" s="285"/>
    </row>
    <row r="526" spans="1:9" s="212" customFormat="1">
      <c r="A526" s="90"/>
      <c r="B526" s="91"/>
      <c r="C526" s="91"/>
      <c r="D526" s="91"/>
      <c r="E526" s="91"/>
      <c r="F526" s="216"/>
      <c r="G526" s="288" t="s">
        <v>407</v>
      </c>
      <c r="H526" s="287">
        <f>SUM(G525:G525)</f>
        <v>6752.4</v>
      </c>
      <c r="I526" s="285"/>
    </row>
    <row r="527" spans="1:9" s="212" customFormat="1">
      <c r="A527" s="72" t="s">
        <v>411</v>
      </c>
      <c r="B527" s="73"/>
      <c r="C527" s="73"/>
      <c r="D527" s="73"/>
      <c r="E527" s="73"/>
      <c r="F527" s="216"/>
      <c r="G527" s="217"/>
      <c r="H527" s="289"/>
      <c r="I527" s="285"/>
    </row>
    <row r="528" spans="1:9" s="212" customFormat="1">
      <c r="A528" s="286" t="s">
        <v>391</v>
      </c>
      <c r="B528" s="76" t="s">
        <v>392</v>
      </c>
      <c r="C528" s="76" t="s">
        <v>393</v>
      </c>
      <c r="D528" s="76" t="s">
        <v>394</v>
      </c>
      <c r="E528" s="76" t="s">
        <v>395</v>
      </c>
      <c r="F528" s="76" t="s">
        <v>396</v>
      </c>
      <c r="G528" s="76" t="s">
        <v>397</v>
      </c>
      <c r="H528" s="289"/>
      <c r="I528" s="285"/>
    </row>
    <row r="529" spans="1:11" s="212" customFormat="1">
      <c r="A529" s="87"/>
      <c r="B529" s="114"/>
      <c r="C529" s="114"/>
      <c r="D529" s="114"/>
      <c r="E529" s="291"/>
      <c r="F529" s="79"/>
      <c r="G529" s="287"/>
      <c r="H529" s="289"/>
      <c r="I529" s="285"/>
    </row>
    <row r="530" spans="1:11" s="212" customFormat="1">
      <c r="A530" s="94"/>
      <c r="B530" s="95"/>
      <c r="C530" s="95"/>
      <c r="D530" s="95"/>
      <c r="E530" s="95"/>
      <c r="F530" s="216"/>
      <c r="G530" s="288" t="s">
        <v>407</v>
      </c>
      <c r="H530" s="287">
        <f>SUM(G528:G529)</f>
        <v>0</v>
      </c>
      <c r="I530" s="285"/>
    </row>
    <row r="531" spans="1:11" s="212" customFormat="1">
      <c r="A531" s="94"/>
      <c r="B531" s="95"/>
      <c r="C531" s="95"/>
      <c r="D531" s="95"/>
      <c r="E531" s="95"/>
      <c r="F531" s="216"/>
      <c r="G531" s="217"/>
      <c r="H531" s="217"/>
      <c r="I531" s="285"/>
    </row>
    <row r="532" spans="1:11" s="212" customFormat="1">
      <c r="A532" s="292"/>
      <c r="B532" s="97"/>
      <c r="C532" s="98"/>
      <c r="D532" s="98"/>
      <c r="E532" s="98"/>
      <c r="F532" s="216"/>
      <c r="G532" s="293" t="s">
        <v>412</v>
      </c>
      <c r="H532" s="294">
        <f>SUM(H518:H530)</f>
        <v>14421.4</v>
      </c>
      <c r="I532" s="285"/>
    </row>
    <row r="533" spans="1:11" s="212" customFormat="1">
      <c r="A533" s="292"/>
      <c r="B533" s="97"/>
      <c r="C533" s="98"/>
      <c r="D533" s="98"/>
      <c r="E533" s="98"/>
      <c r="F533" s="295"/>
      <c r="G533" s="296"/>
      <c r="H533" s="218"/>
      <c r="I533" s="285"/>
    </row>
    <row r="534" spans="1:11" s="212" customFormat="1" ht="15.75" thickBot="1">
      <c r="A534" s="624" t="s">
        <v>761</v>
      </c>
      <c r="B534" s="625"/>
      <c r="C534" s="625"/>
      <c r="D534" s="625"/>
      <c r="E534" s="625"/>
      <c r="F534" s="625"/>
      <c r="G534" s="626"/>
      <c r="H534" s="297">
        <f>+ROUND(H532,0)</f>
        <v>14421</v>
      </c>
      <c r="I534" s="298"/>
    </row>
    <row r="535" spans="1:11" s="212" customFormat="1">
      <c r="A535" s="69"/>
      <c r="B535" s="69"/>
      <c r="C535" s="69"/>
      <c r="D535" s="69"/>
      <c r="E535" s="69"/>
    </row>
    <row r="536" spans="1:11" s="212" customFormat="1" ht="15.75" thickBot="1">
      <c r="A536" s="120"/>
      <c r="B536" s="73"/>
      <c r="C536" s="73"/>
      <c r="D536" s="73"/>
      <c r="E536" s="73"/>
      <c r="F536" s="73"/>
      <c r="G536" s="73"/>
      <c r="H536" s="73"/>
    </row>
    <row r="537" spans="1:11" s="212" customFormat="1">
      <c r="A537" s="299"/>
      <c r="B537" s="649" t="s">
        <v>775</v>
      </c>
      <c r="C537" s="650"/>
      <c r="D537" s="650"/>
      <c r="E537" s="650"/>
      <c r="F537" s="650"/>
      <c r="G537" s="650"/>
      <c r="H537" s="676"/>
      <c r="I537" s="283" t="s">
        <v>389</v>
      </c>
      <c r="K537" s="230"/>
    </row>
    <row r="538" spans="1:11" s="212" customFormat="1">
      <c r="A538" s="300"/>
      <c r="B538" s="651"/>
      <c r="C538" s="652"/>
      <c r="D538" s="652"/>
      <c r="E538" s="652"/>
      <c r="F538" s="652"/>
      <c r="G538" s="652"/>
      <c r="H538" s="677"/>
      <c r="I538" s="284" t="s">
        <v>157</v>
      </c>
    </row>
    <row r="539" spans="1:11" s="212" customFormat="1">
      <c r="A539" s="68"/>
      <c r="B539" s="69"/>
      <c r="C539" s="69"/>
      <c r="D539" s="69"/>
      <c r="E539" s="69"/>
      <c r="F539" s="218"/>
      <c r="G539" s="218"/>
      <c r="H539" s="218"/>
      <c r="I539" s="285"/>
    </row>
    <row r="540" spans="1:11" s="212" customFormat="1">
      <c r="A540" s="72" t="s">
        <v>390</v>
      </c>
      <c r="B540" s="73"/>
      <c r="C540" s="73"/>
      <c r="D540" s="73"/>
      <c r="E540" s="73"/>
      <c r="F540" s="217"/>
      <c r="G540" s="217"/>
      <c r="H540" s="218"/>
      <c r="I540" s="285"/>
    </row>
    <row r="541" spans="1:11" s="212" customFormat="1">
      <c r="A541" s="286" t="s">
        <v>391</v>
      </c>
      <c r="B541" s="76" t="s">
        <v>392</v>
      </c>
      <c r="C541" s="76" t="s">
        <v>393</v>
      </c>
      <c r="D541" s="76" t="s">
        <v>394</v>
      </c>
      <c r="E541" s="76" t="s">
        <v>395</v>
      </c>
      <c r="F541" s="76" t="s">
        <v>396</v>
      </c>
      <c r="G541" s="76" t="s">
        <v>397</v>
      </c>
      <c r="H541" s="217"/>
      <c r="I541" s="285"/>
    </row>
    <row r="542" spans="1:11" s="212" customFormat="1">
      <c r="A542" s="77" t="s">
        <v>404</v>
      </c>
      <c r="B542" s="78" t="s">
        <v>405</v>
      </c>
      <c r="C542" s="79" t="s">
        <v>406</v>
      </c>
      <c r="D542" s="287">
        <v>1250</v>
      </c>
      <c r="E542" s="79">
        <v>0.5</v>
      </c>
      <c r="F542" s="79">
        <v>0</v>
      </c>
      <c r="G542" s="287">
        <f>(D542*E542)+((D542*E542)*F542/100)</f>
        <v>625</v>
      </c>
      <c r="H542" s="217"/>
      <c r="I542" s="285"/>
    </row>
    <row r="543" spans="1:11" s="212" customFormat="1">
      <c r="A543" s="82"/>
      <c r="B543" s="83"/>
      <c r="C543" s="84"/>
      <c r="D543" s="84"/>
      <c r="E543" s="84"/>
      <c r="F543" s="216"/>
      <c r="G543" s="288" t="s">
        <v>407</v>
      </c>
      <c r="H543" s="287">
        <f>SUM(G542:G542)</f>
        <v>625</v>
      </c>
      <c r="I543" s="285"/>
    </row>
    <row r="544" spans="1:11" s="212" customFormat="1">
      <c r="A544" s="72" t="s">
        <v>408</v>
      </c>
      <c r="B544" s="73"/>
      <c r="C544" s="73"/>
      <c r="D544" s="73"/>
      <c r="E544" s="73"/>
      <c r="F544" s="216"/>
      <c r="G544" s="217"/>
      <c r="H544" s="289"/>
      <c r="I544" s="285"/>
    </row>
    <row r="545" spans="1:9" s="212" customFormat="1">
      <c r="A545" s="286" t="s">
        <v>391</v>
      </c>
      <c r="B545" s="76" t="s">
        <v>392</v>
      </c>
      <c r="C545" s="76" t="s">
        <v>393</v>
      </c>
      <c r="D545" s="76" t="s">
        <v>394</v>
      </c>
      <c r="E545" s="76" t="s">
        <v>395</v>
      </c>
      <c r="F545" s="76" t="s">
        <v>396</v>
      </c>
      <c r="G545" s="76" t="s">
        <v>397</v>
      </c>
      <c r="H545" s="289"/>
      <c r="I545" s="285"/>
    </row>
    <row r="546" spans="1:9" s="212" customFormat="1">
      <c r="A546" s="135"/>
      <c r="B546" s="78" t="s">
        <v>775</v>
      </c>
      <c r="C546" s="127" t="s">
        <v>157</v>
      </c>
      <c r="D546" s="287">
        <f>1639*1.2</f>
        <v>1966.8</v>
      </c>
      <c r="E546" s="79">
        <v>1</v>
      </c>
      <c r="F546" s="79">
        <v>0</v>
      </c>
      <c r="G546" s="287">
        <f>(D546*E546)+((D546*E546)*F546/100)</f>
        <v>1966.8</v>
      </c>
      <c r="H546" s="289"/>
      <c r="I546" s="285"/>
    </row>
    <row r="547" spans="1:9" s="212" customFormat="1">
      <c r="A547" s="90"/>
      <c r="B547" s="91"/>
      <c r="C547" s="91"/>
      <c r="D547" s="91"/>
      <c r="E547" s="91"/>
      <c r="F547" s="216"/>
      <c r="G547" s="290" t="s">
        <v>407</v>
      </c>
      <c r="H547" s="287">
        <f>SUM(G546:G546)</f>
        <v>1966.8</v>
      </c>
      <c r="I547" s="285"/>
    </row>
    <row r="548" spans="1:9" s="212" customFormat="1">
      <c r="A548" s="72" t="s">
        <v>410</v>
      </c>
      <c r="B548" s="73"/>
      <c r="C548" s="73"/>
      <c r="D548" s="73"/>
      <c r="E548" s="73"/>
      <c r="F548" s="216"/>
      <c r="G548" s="217"/>
      <c r="H548" s="289"/>
      <c r="I548" s="285"/>
    </row>
    <row r="549" spans="1:9" s="212" customFormat="1">
      <c r="A549" s="286" t="s">
        <v>391</v>
      </c>
      <c r="B549" s="76" t="s">
        <v>392</v>
      </c>
      <c r="C549" s="76" t="s">
        <v>393</v>
      </c>
      <c r="D549" s="76" t="s">
        <v>394</v>
      </c>
      <c r="E549" s="76" t="s">
        <v>395</v>
      </c>
      <c r="F549" s="76" t="s">
        <v>396</v>
      </c>
      <c r="G549" s="76" t="s">
        <v>397</v>
      </c>
      <c r="H549" s="289"/>
      <c r="I549" s="285"/>
    </row>
    <row r="550" spans="1:9" s="212" customFormat="1">
      <c r="A550" s="125" t="s">
        <v>478</v>
      </c>
      <c r="B550" s="126" t="s">
        <v>1063</v>
      </c>
      <c r="C550" s="127" t="s">
        <v>426</v>
      </c>
      <c r="D550" s="287">
        <v>5627</v>
      </c>
      <c r="E550" s="79">
        <v>1.2</v>
      </c>
      <c r="F550" s="79">
        <v>0</v>
      </c>
      <c r="G550" s="287">
        <f>(D550*E550)+((D550*E550)*F550/100)</f>
        <v>6752.4</v>
      </c>
      <c r="H550" s="289"/>
      <c r="I550" s="285"/>
    </row>
    <row r="551" spans="1:9" s="212" customFormat="1">
      <c r="A551" s="90"/>
      <c r="B551" s="91"/>
      <c r="C551" s="91"/>
      <c r="D551" s="91"/>
      <c r="E551" s="91"/>
      <c r="F551" s="216"/>
      <c r="G551" s="288" t="s">
        <v>407</v>
      </c>
      <c r="H551" s="287">
        <f>SUM(G550:G550)</f>
        <v>6752.4</v>
      </c>
      <c r="I551" s="285"/>
    </row>
    <row r="552" spans="1:9" s="212" customFormat="1">
      <c r="A552" s="72" t="s">
        <v>411</v>
      </c>
      <c r="B552" s="73"/>
      <c r="C552" s="73"/>
      <c r="D552" s="73"/>
      <c r="E552" s="73"/>
      <c r="F552" s="216"/>
      <c r="G552" s="217"/>
      <c r="H552" s="289"/>
      <c r="I552" s="285"/>
    </row>
    <row r="553" spans="1:9" s="212" customFormat="1">
      <c r="A553" s="286" t="s">
        <v>391</v>
      </c>
      <c r="B553" s="76" t="s">
        <v>392</v>
      </c>
      <c r="C553" s="76" t="s">
        <v>393</v>
      </c>
      <c r="D553" s="76" t="s">
        <v>394</v>
      </c>
      <c r="E553" s="76" t="s">
        <v>395</v>
      </c>
      <c r="F553" s="76" t="s">
        <v>396</v>
      </c>
      <c r="G553" s="76" t="s">
        <v>397</v>
      </c>
      <c r="H553" s="289"/>
      <c r="I553" s="285"/>
    </row>
    <row r="554" spans="1:9" s="212" customFormat="1">
      <c r="A554" s="87"/>
      <c r="B554" s="114"/>
      <c r="C554" s="114"/>
      <c r="D554" s="114"/>
      <c r="E554" s="291"/>
      <c r="F554" s="79"/>
      <c r="G554" s="287"/>
      <c r="H554" s="289"/>
      <c r="I554" s="285"/>
    </row>
    <row r="555" spans="1:9" s="212" customFormat="1">
      <c r="A555" s="94"/>
      <c r="B555" s="95"/>
      <c r="C555" s="95"/>
      <c r="D555" s="95"/>
      <c r="E555" s="95"/>
      <c r="F555" s="216"/>
      <c r="G555" s="288" t="s">
        <v>407</v>
      </c>
      <c r="H555" s="287">
        <f>SUM(G553:G554)</f>
        <v>0</v>
      </c>
      <c r="I555" s="285"/>
    </row>
    <row r="556" spans="1:9" s="212" customFormat="1">
      <c r="A556" s="94"/>
      <c r="B556" s="95"/>
      <c r="C556" s="95"/>
      <c r="D556" s="95"/>
      <c r="E556" s="95"/>
      <c r="F556" s="216"/>
      <c r="G556" s="217"/>
      <c r="H556" s="217"/>
      <c r="I556" s="285"/>
    </row>
    <row r="557" spans="1:9" s="212" customFormat="1">
      <c r="A557" s="292"/>
      <c r="B557" s="97"/>
      <c r="C557" s="98"/>
      <c r="D557" s="98"/>
      <c r="E557" s="98"/>
      <c r="F557" s="216"/>
      <c r="G557" s="293" t="s">
        <v>412</v>
      </c>
      <c r="H557" s="294">
        <f>SUM(H543:H555)</f>
        <v>9344.2000000000007</v>
      </c>
      <c r="I557" s="285"/>
    </row>
    <row r="558" spans="1:9" s="212" customFormat="1">
      <c r="A558" s="292"/>
      <c r="B558" s="97"/>
      <c r="C558" s="98"/>
      <c r="D558" s="98"/>
      <c r="E558" s="98"/>
      <c r="F558" s="295"/>
      <c r="G558" s="296"/>
      <c r="H558" s="218"/>
      <c r="I558" s="285"/>
    </row>
    <row r="559" spans="1:9" s="212" customFormat="1" ht="15.75" thickBot="1">
      <c r="A559" s="624" t="s">
        <v>761</v>
      </c>
      <c r="B559" s="625"/>
      <c r="C559" s="625"/>
      <c r="D559" s="625"/>
      <c r="E559" s="625"/>
      <c r="F559" s="625"/>
      <c r="G559" s="626"/>
      <c r="H559" s="297">
        <f>+ROUND(H557,0)</f>
        <v>9344</v>
      </c>
      <c r="I559" s="298"/>
    </row>
    <row r="560" spans="1:9" s="212" customFormat="1">
      <c r="A560" s="120"/>
      <c r="B560" s="73"/>
      <c r="C560" s="73"/>
      <c r="D560" s="73"/>
      <c r="E560" s="73"/>
      <c r="F560" s="73"/>
      <c r="G560" s="73"/>
      <c r="H560" s="73"/>
    </row>
    <row r="561" spans="1:9" s="212" customFormat="1" ht="15.75" thickBot="1">
      <c r="A561" s="220"/>
      <c r="B561" s="141"/>
      <c r="C561" s="141"/>
      <c r="D561" s="141"/>
      <c r="E561" s="141"/>
      <c r="F561" s="141"/>
      <c r="G561" s="141"/>
      <c r="H561" s="73"/>
    </row>
    <row r="562" spans="1:9" s="212" customFormat="1">
      <c r="A562" s="299"/>
      <c r="B562" s="649" t="s">
        <v>776</v>
      </c>
      <c r="C562" s="650"/>
      <c r="D562" s="650"/>
      <c r="E562" s="650"/>
      <c r="F562" s="650"/>
      <c r="G562" s="650"/>
      <c r="H562" s="676"/>
      <c r="I562" s="283" t="s">
        <v>389</v>
      </c>
    </row>
    <row r="563" spans="1:9" s="212" customFormat="1">
      <c r="A563" s="300"/>
      <c r="B563" s="651"/>
      <c r="C563" s="652"/>
      <c r="D563" s="652"/>
      <c r="E563" s="652"/>
      <c r="F563" s="652"/>
      <c r="G563" s="652"/>
      <c r="H563" s="677"/>
      <c r="I563" s="284" t="s">
        <v>157</v>
      </c>
    </row>
    <row r="564" spans="1:9" s="212" customFormat="1">
      <c r="A564" s="68"/>
      <c r="B564" s="69"/>
      <c r="C564" s="69"/>
      <c r="D564" s="69"/>
      <c r="E564" s="69"/>
      <c r="F564" s="218"/>
      <c r="G564" s="218"/>
      <c r="H564" s="218"/>
      <c r="I564" s="285"/>
    </row>
    <row r="565" spans="1:9" s="212" customFormat="1">
      <c r="A565" s="72" t="s">
        <v>390</v>
      </c>
      <c r="B565" s="73"/>
      <c r="C565" s="73"/>
      <c r="D565" s="73"/>
      <c r="E565" s="73"/>
      <c r="F565" s="217"/>
      <c r="G565" s="217"/>
      <c r="H565" s="218"/>
      <c r="I565" s="285"/>
    </row>
    <row r="566" spans="1:9" s="212" customFormat="1">
      <c r="A566" s="286" t="s">
        <v>391</v>
      </c>
      <c r="B566" s="76" t="s">
        <v>392</v>
      </c>
      <c r="C566" s="76" t="s">
        <v>393</v>
      </c>
      <c r="D566" s="76" t="s">
        <v>394</v>
      </c>
      <c r="E566" s="76" t="s">
        <v>395</v>
      </c>
      <c r="F566" s="76" t="s">
        <v>396</v>
      </c>
      <c r="G566" s="76" t="s">
        <v>397</v>
      </c>
      <c r="H566" s="217"/>
      <c r="I566" s="285"/>
    </row>
    <row r="567" spans="1:9" s="212" customFormat="1">
      <c r="A567" s="77" t="s">
        <v>404</v>
      </c>
      <c r="B567" s="78" t="s">
        <v>405</v>
      </c>
      <c r="C567" s="79" t="s">
        <v>406</v>
      </c>
      <c r="D567" s="287">
        <v>1250</v>
      </c>
      <c r="E567" s="79">
        <v>0.5</v>
      </c>
      <c r="F567" s="79">
        <v>0</v>
      </c>
      <c r="G567" s="287">
        <f>(D567*E567)+((D567*E567)*F567/100)</f>
        <v>625</v>
      </c>
      <c r="H567" s="217"/>
      <c r="I567" s="285"/>
    </row>
    <row r="568" spans="1:9" s="212" customFormat="1">
      <c r="A568" s="82"/>
      <c r="B568" s="83"/>
      <c r="C568" s="84"/>
      <c r="D568" s="84"/>
      <c r="E568" s="84"/>
      <c r="F568" s="216"/>
      <c r="G568" s="288" t="s">
        <v>407</v>
      </c>
      <c r="H568" s="287">
        <f>SUM(G567:G567)</f>
        <v>625</v>
      </c>
      <c r="I568" s="285"/>
    </row>
    <row r="569" spans="1:9" s="212" customFormat="1">
      <c r="A569" s="72" t="s">
        <v>408</v>
      </c>
      <c r="B569" s="73"/>
      <c r="C569" s="73"/>
      <c r="D569" s="73"/>
      <c r="E569" s="73"/>
      <c r="F569" s="216"/>
      <c r="G569" s="217"/>
      <c r="H569" s="289"/>
      <c r="I569" s="285"/>
    </row>
    <row r="570" spans="1:9" s="212" customFormat="1">
      <c r="A570" s="286" t="s">
        <v>391</v>
      </c>
      <c r="B570" s="76" t="s">
        <v>392</v>
      </c>
      <c r="C570" s="76" t="s">
        <v>393</v>
      </c>
      <c r="D570" s="76" t="s">
        <v>394</v>
      </c>
      <c r="E570" s="76" t="s">
        <v>395</v>
      </c>
      <c r="F570" s="76" t="s">
        <v>396</v>
      </c>
      <c r="G570" s="76" t="s">
        <v>397</v>
      </c>
      <c r="H570" s="289"/>
      <c r="I570" s="285"/>
    </row>
    <row r="571" spans="1:9" s="212" customFormat="1">
      <c r="A571" s="135"/>
      <c r="B571" s="78" t="s">
        <v>777</v>
      </c>
      <c r="C571" s="127" t="s">
        <v>157</v>
      </c>
      <c r="D571" s="287">
        <f>34893*1.2</f>
        <v>41871.599999999999</v>
      </c>
      <c r="E571" s="79">
        <v>1</v>
      </c>
      <c r="F571" s="79">
        <v>0</v>
      </c>
      <c r="G571" s="287">
        <f>(D571*E571)+((D571*E571)*F571/100)</f>
        <v>41871.599999999999</v>
      </c>
      <c r="H571" s="289"/>
      <c r="I571" s="285"/>
    </row>
    <row r="572" spans="1:9" s="212" customFormat="1">
      <c r="A572" s="90"/>
      <c r="B572" s="91"/>
      <c r="C572" s="91"/>
      <c r="D572" s="91"/>
      <c r="E572" s="91"/>
      <c r="F572" s="216"/>
      <c r="G572" s="290" t="s">
        <v>407</v>
      </c>
      <c r="H572" s="287">
        <f>SUM(G571:G571)</f>
        <v>41871.599999999999</v>
      </c>
      <c r="I572" s="285"/>
    </row>
    <row r="573" spans="1:9" s="212" customFormat="1">
      <c r="A573" s="72" t="s">
        <v>410</v>
      </c>
      <c r="B573" s="73"/>
      <c r="C573" s="73"/>
      <c r="D573" s="73"/>
      <c r="E573" s="73"/>
      <c r="F573" s="216"/>
      <c r="G573" s="217"/>
      <c r="H573" s="289"/>
      <c r="I573" s="285"/>
    </row>
    <row r="574" spans="1:9" s="212" customFormat="1">
      <c r="A574" s="286" t="s">
        <v>391</v>
      </c>
      <c r="B574" s="76" t="s">
        <v>392</v>
      </c>
      <c r="C574" s="76" t="s">
        <v>393</v>
      </c>
      <c r="D574" s="76" t="s">
        <v>394</v>
      </c>
      <c r="E574" s="76" t="s">
        <v>395</v>
      </c>
      <c r="F574" s="76" t="s">
        <v>396</v>
      </c>
      <c r="G574" s="76" t="s">
        <v>397</v>
      </c>
      <c r="H574" s="289"/>
      <c r="I574" s="285"/>
    </row>
    <row r="575" spans="1:9" s="212" customFormat="1">
      <c r="A575" s="125" t="s">
        <v>478</v>
      </c>
      <c r="B575" s="126" t="s">
        <v>1063</v>
      </c>
      <c r="C575" s="127" t="s">
        <v>426</v>
      </c>
      <c r="D575" s="287">
        <v>5627</v>
      </c>
      <c r="E575" s="79">
        <v>1.2</v>
      </c>
      <c r="F575" s="79">
        <v>0</v>
      </c>
      <c r="G575" s="287">
        <f>(D575*E575)+((D575*E575)*F575/100)</f>
        <v>6752.4</v>
      </c>
      <c r="H575" s="289"/>
      <c r="I575" s="285"/>
    </row>
    <row r="576" spans="1:9" s="212" customFormat="1">
      <c r="A576" s="90"/>
      <c r="B576" s="91"/>
      <c r="C576" s="91"/>
      <c r="D576" s="91"/>
      <c r="E576" s="91"/>
      <c r="F576" s="216"/>
      <c r="G576" s="288" t="s">
        <v>407</v>
      </c>
      <c r="H576" s="287">
        <f>SUM(G575:G575)</f>
        <v>6752.4</v>
      </c>
      <c r="I576" s="285"/>
    </row>
    <row r="577" spans="1:9" s="212" customFormat="1">
      <c r="A577" s="72" t="s">
        <v>411</v>
      </c>
      <c r="B577" s="73"/>
      <c r="C577" s="73"/>
      <c r="D577" s="73"/>
      <c r="E577" s="73"/>
      <c r="F577" s="216"/>
      <c r="G577" s="217"/>
      <c r="H577" s="289"/>
      <c r="I577" s="285"/>
    </row>
    <row r="578" spans="1:9" s="212" customFormat="1">
      <c r="A578" s="286" t="s">
        <v>391</v>
      </c>
      <c r="B578" s="76" t="s">
        <v>392</v>
      </c>
      <c r="C578" s="76" t="s">
        <v>393</v>
      </c>
      <c r="D578" s="76" t="s">
        <v>394</v>
      </c>
      <c r="E578" s="76" t="s">
        <v>395</v>
      </c>
      <c r="F578" s="76" t="s">
        <v>396</v>
      </c>
      <c r="G578" s="76" t="s">
        <v>397</v>
      </c>
      <c r="H578" s="289"/>
      <c r="I578" s="285"/>
    </row>
    <row r="579" spans="1:9" s="212" customFormat="1">
      <c r="A579" s="87"/>
      <c r="B579" s="114"/>
      <c r="C579" s="114"/>
      <c r="D579" s="114"/>
      <c r="E579" s="291"/>
      <c r="F579" s="79"/>
      <c r="G579" s="287"/>
      <c r="H579" s="289"/>
      <c r="I579" s="285"/>
    </row>
    <row r="580" spans="1:9" s="212" customFormat="1">
      <c r="A580" s="94"/>
      <c r="B580" s="95"/>
      <c r="C580" s="95"/>
      <c r="D580" s="95"/>
      <c r="E580" s="95"/>
      <c r="F580" s="216"/>
      <c r="G580" s="288" t="s">
        <v>407</v>
      </c>
      <c r="H580" s="287">
        <f>SUM(G578:G579)</f>
        <v>0</v>
      </c>
      <c r="I580" s="285"/>
    </row>
    <row r="581" spans="1:9" s="212" customFormat="1">
      <c r="A581" s="94"/>
      <c r="B581" s="95"/>
      <c r="C581" s="95"/>
      <c r="D581" s="95"/>
      <c r="E581" s="95"/>
      <c r="F581" s="216"/>
      <c r="G581" s="217"/>
      <c r="H581" s="217"/>
      <c r="I581" s="285"/>
    </row>
    <row r="582" spans="1:9" s="212" customFormat="1">
      <c r="A582" s="292"/>
      <c r="B582" s="97"/>
      <c r="C582" s="98"/>
      <c r="D582" s="98"/>
      <c r="E582" s="98"/>
      <c r="F582" s="216"/>
      <c r="G582" s="293" t="s">
        <v>412</v>
      </c>
      <c r="H582" s="294">
        <f>SUM(H568:H580)</f>
        <v>49249</v>
      </c>
      <c r="I582" s="285"/>
    </row>
    <row r="583" spans="1:9" s="212" customFormat="1">
      <c r="A583" s="292"/>
      <c r="B583" s="97"/>
      <c r="C583" s="98"/>
      <c r="D583" s="98"/>
      <c r="E583" s="98"/>
      <c r="F583" s="295"/>
      <c r="G583" s="296"/>
      <c r="H583" s="218"/>
      <c r="I583" s="285"/>
    </row>
    <row r="584" spans="1:9" s="212" customFormat="1" ht="15.75" thickBot="1">
      <c r="A584" s="624" t="s">
        <v>761</v>
      </c>
      <c r="B584" s="625"/>
      <c r="C584" s="625"/>
      <c r="D584" s="625"/>
      <c r="E584" s="625"/>
      <c r="F584" s="625"/>
      <c r="G584" s="626"/>
      <c r="H584" s="297">
        <f>+ROUND(H582,0)</f>
        <v>49249</v>
      </c>
      <c r="I584" s="298"/>
    </row>
    <row r="585" spans="1:9" s="212" customFormat="1">
      <c r="A585" s="142"/>
      <c r="B585" s="143"/>
      <c r="C585" s="143"/>
      <c r="D585" s="143"/>
      <c r="E585" s="143"/>
      <c r="F585" s="84"/>
      <c r="G585" s="146"/>
      <c r="H585" s="221"/>
    </row>
    <row r="586" spans="1:9" s="212" customFormat="1" ht="15.75" thickBot="1">
      <c r="A586" s="91"/>
      <c r="B586" s="91"/>
      <c r="C586" s="91"/>
      <c r="D586" s="91"/>
      <c r="E586" s="91"/>
      <c r="G586" s="213"/>
      <c r="H586" s="222"/>
    </row>
    <row r="587" spans="1:9" s="212" customFormat="1">
      <c r="A587" s="647"/>
      <c r="B587" s="649" t="s">
        <v>974</v>
      </c>
      <c r="C587" s="650"/>
      <c r="D587" s="650"/>
      <c r="E587" s="650"/>
      <c r="F587" s="650"/>
      <c r="G587" s="650"/>
      <c r="H587" s="676"/>
      <c r="I587" s="283" t="s">
        <v>389</v>
      </c>
    </row>
    <row r="588" spans="1:9" s="212" customFormat="1">
      <c r="A588" s="648"/>
      <c r="B588" s="651"/>
      <c r="C588" s="652"/>
      <c r="D588" s="652"/>
      <c r="E588" s="652"/>
      <c r="F588" s="652"/>
      <c r="G588" s="652"/>
      <c r="H588" s="677"/>
      <c r="I588" s="284" t="s">
        <v>157</v>
      </c>
    </row>
    <row r="589" spans="1:9" s="212" customFormat="1">
      <c r="A589" s="68"/>
      <c r="B589" s="69"/>
      <c r="C589" s="69"/>
      <c r="D589" s="69"/>
      <c r="E589" s="69"/>
      <c r="F589" s="218"/>
      <c r="G589" s="218"/>
      <c r="H589" s="218"/>
      <c r="I589" s="285"/>
    </row>
    <row r="590" spans="1:9" s="212" customFormat="1">
      <c r="A590" s="72" t="s">
        <v>390</v>
      </c>
      <c r="B590" s="73"/>
      <c r="C590" s="73"/>
      <c r="D590" s="73"/>
      <c r="E590" s="73"/>
      <c r="F590" s="217"/>
      <c r="G590" s="217"/>
      <c r="H590" s="218"/>
      <c r="I590" s="285"/>
    </row>
    <row r="591" spans="1:9" s="212" customFormat="1">
      <c r="A591" s="286" t="s">
        <v>391</v>
      </c>
      <c r="B591" s="76" t="s">
        <v>392</v>
      </c>
      <c r="C591" s="76" t="s">
        <v>393</v>
      </c>
      <c r="D591" s="76" t="s">
        <v>394</v>
      </c>
      <c r="E591" s="76" t="s">
        <v>395</v>
      </c>
      <c r="F591" s="76" t="s">
        <v>396</v>
      </c>
      <c r="G591" s="76" t="s">
        <v>397</v>
      </c>
      <c r="H591" s="217"/>
      <c r="I591" s="285"/>
    </row>
    <row r="592" spans="1:9" s="212" customFormat="1">
      <c r="A592" s="77" t="s">
        <v>404</v>
      </c>
      <c r="B592" s="78" t="s">
        <v>405</v>
      </c>
      <c r="C592" s="79" t="s">
        <v>406</v>
      </c>
      <c r="D592" s="287">
        <v>1250</v>
      </c>
      <c r="E592" s="79">
        <v>0.5</v>
      </c>
      <c r="F592" s="79">
        <v>0</v>
      </c>
      <c r="G592" s="287">
        <f>(D592*E592)+((D592*E592)*F592/100)</f>
        <v>625</v>
      </c>
      <c r="H592" s="217"/>
      <c r="I592" s="285"/>
    </row>
    <row r="593" spans="1:9" s="212" customFormat="1">
      <c r="A593" s="82"/>
      <c r="B593" s="83"/>
      <c r="C593" s="84"/>
      <c r="D593" s="84"/>
      <c r="E593" s="84"/>
      <c r="F593" s="216"/>
      <c r="G593" s="288" t="s">
        <v>407</v>
      </c>
      <c r="H593" s="287">
        <f>SUM(G592:G592)</f>
        <v>625</v>
      </c>
      <c r="I593" s="285"/>
    </row>
    <row r="594" spans="1:9" s="212" customFormat="1">
      <c r="A594" s="72" t="s">
        <v>408</v>
      </c>
      <c r="B594" s="73"/>
      <c r="C594" s="73"/>
      <c r="D594" s="73"/>
      <c r="E594" s="73"/>
      <c r="F594" s="216"/>
      <c r="G594" s="217"/>
      <c r="H594" s="289"/>
      <c r="I594" s="285"/>
    </row>
    <row r="595" spans="1:9" s="212" customFormat="1">
      <c r="A595" s="286" t="s">
        <v>391</v>
      </c>
      <c r="B595" s="76" t="s">
        <v>392</v>
      </c>
      <c r="C595" s="76" t="s">
        <v>393</v>
      </c>
      <c r="D595" s="76" t="s">
        <v>394</v>
      </c>
      <c r="E595" s="76" t="s">
        <v>395</v>
      </c>
      <c r="F595" s="76" t="s">
        <v>396</v>
      </c>
      <c r="G595" s="76" t="s">
        <v>397</v>
      </c>
      <c r="H595" s="289"/>
      <c r="I595" s="285"/>
    </row>
    <row r="596" spans="1:9" s="212" customFormat="1">
      <c r="A596" s="135"/>
      <c r="B596" s="78" t="s">
        <v>1062</v>
      </c>
      <c r="C596" s="127" t="s">
        <v>157</v>
      </c>
      <c r="D596" s="287">
        <f>64372*1.2</f>
        <v>77246.399999999994</v>
      </c>
      <c r="E596" s="79">
        <v>0.5</v>
      </c>
      <c r="F596" s="79">
        <v>0</v>
      </c>
      <c r="G596" s="287">
        <f>(D596*E596)+((D596*E596)*F596/100)</f>
        <v>38623.199999999997</v>
      </c>
      <c r="H596" s="289"/>
      <c r="I596" s="285"/>
    </row>
    <row r="597" spans="1:9" s="212" customFormat="1">
      <c r="A597" s="90"/>
      <c r="B597" s="91"/>
      <c r="C597" s="91"/>
      <c r="D597" s="91"/>
      <c r="E597" s="91"/>
      <c r="F597" s="216"/>
      <c r="G597" s="290" t="s">
        <v>407</v>
      </c>
      <c r="H597" s="287">
        <f>SUM(G596:G596)</f>
        <v>38623.199999999997</v>
      </c>
      <c r="I597" s="285"/>
    </row>
    <row r="598" spans="1:9" s="212" customFormat="1">
      <c r="A598" s="72" t="s">
        <v>410</v>
      </c>
      <c r="B598" s="73"/>
      <c r="C598" s="73"/>
      <c r="D598" s="73"/>
      <c r="E598" s="73"/>
      <c r="F598" s="216"/>
      <c r="G598" s="217"/>
      <c r="H598" s="289"/>
      <c r="I598" s="285"/>
    </row>
    <row r="599" spans="1:9" s="212" customFormat="1">
      <c r="A599" s="286" t="s">
        <v>391</v>
      </c>
      <c r="B599" s="76" t="s">
        <v>392</v>
      </c>
      <c r="C599" s="76" t="s">
        <v>393</v>
      </c>
      <c r="D599" s="76" t="s">
        <v>394</v>
      </c>
      <c r="E599" s="76" t="s">
        <v>395</v>
      </c>
      <c r="F599" s="76" t="s">
        <v>396</v>
      </c>
      <c r="G599" s="76" t="s">
        <v>397</v>
      </c>
      <c r="H599" s="289"/>
      <c r="I599" s="285"/>
    </row>
    <row r="600" spans="1:9" s="212" customFormat="1">
      <c r="A600" s="125" t="s">
        <v>478</v>
      </c>
      <c r="B600" s="126" t="s">
        <v>1063</v>
      </c>
      <c r="C600" s="127" t="s">
        <v>426</v>
      </c>
      <c r="D600" s="287">
        <v>5627</v>
      </c>
      <c r="E600" s="79">
        <v>2</v>
      </c>
      <c r="F600" s="79">
        <v>0</v>
      </c>
      <c r="G600" s="287">
        <f>(D600*E600)+((D600*E600)*F600/100)</f>
        <v>11254</v>
      </c>
      <c r="H600" s="289"/>
      <c r="I600" s="285"/>
    </row>
    <row r="601" spans="1:9" s="212" customFormat="1">
      <c r="A601" s="90"/>
      <c r="B601" s="91"/>
      <c r="C601" s="91"/>
      <c r="D601" s="91"/>
      <c r="E601" s="91"/>
      <c r="F601" s="216"/>
      <c r="G601" s="288" t="s">
        <v>407</v>
      </c>
      <c r="H601" s="287">
        <f>SUM(G600:G600)</f>
        <v>11254</v>
      </c>
      <c r="I601" s="285"/>
    </row>
    <row r="602" spans="1:9" s="212" customFormat="1">
      <c r="A602" s="72" t="s">
        <v>411</v>
      </c>
      <c r="B602" s="73"/>
      <c r="C602" s="73"/>
      <c r="D602" s="73"/>
      <c r="E602" s="73"/>
      <c r="F602" s="216"/>
      <c r="G602" s="217"/>
      <c r="H602" s="289"/>
      <c r="I602" s="285"/>
    </row>
    <row r="603" spans="1:9" s="212" customFormat="1">
      <c r="A603" s="286" t="s">
        <v>391</v>
      </c>
      <c r="B603" s="76" t="s">
        <v>392</v>
      </c>
      <c r="C603" s="76" t="s">
        <v>393</v>
      </c>
      <c r="D603" s="76" t="s">
        <v>394</v>
      </c>
      <c r="E603" s="76" t="s">
        <v>395</v>
      </c>
      <c r="F603" s="76" t="s">
        <v>396</v>
      </c>
      <c r="G603" s="76" t="s">
        <v>397</v>
      </c>
      <c r="H603" s="289"/>
      <c r="I603" s="285"/>
    </row>
    <row r="604" spans="1:9" s="212" customFormat="1">
      <c r="A604" s="87"/>
      <c r="B604" s="114"/>
      <c r="C604" s="114"/>
      <c r="D604" s="114"/>
      <c r="E604" s="215"/>
      <c r="F604" s="79"/>
      <c r="G604" s="287"/>
      <c r="H604" s="289"/>
      <c r="I604" s="285"/>
    </row>
    <row r="605" spans="1:9" s="212" customFormat="1">
      <c r="A605" s="94"/>
      <c r="B605" s="95"/>
      <c r="C605" s="95"/>
      <c r="D605" s="95"/>
      <c r="E605" s="95"/>
      <c r="F605" s="216"/>
      <c r="G605" s="288" t="s">
        <v>407</v>
      </c>
      <c r="H605" s="287">
        <f>SUM(G603:G604)</f>
        <v>0</v>
      </c>
      <c r="I605" s="285"/>
    </row>
    <row r="606" spans="1:9" s="212" customFormat="1">
      <c r="A606" s="94"/>
      <c r="B606" s="95"/>
      <c r="C606" s="95"/>
      <c r="D606" s="95"/>
      <c r="E606" s="95"/>
      <c r="F606" s="216"/>
      <c r="G606" s="217"/>
      <c r="H606" s="217"/>
      <c r="I606" s="285"/>
    </row>
    <row r="607" spans="1:9" s="212" customFormat="1">
      <c r="A607" s="292"/>
      <c r="B607" s="97"/>
      <c r="C607" s="98"/>
      <c r="D607" s="98"/>
      <c r="E607" s="98"/>
      <c r="F607" s="216"/>
      <c r="G607" s="293" t="s">
        <v>412</v>
      </c>
      <c r="H607" s="294">
        <f>SUM(H593:H605)</f>
        <v>50502.2</v>
      </c>
      <c r="I607" s="285"/>
    </row>
    <row r="608" spans="1:9" s="212" customFormat="1">
      <c r="A608" s="292"/>
      <c r="B608" s="97"/>
      <c r="C608" s="98"/>
      <c r="D608" s="98"/>
      <c r="E608" s="98"/>
      <c r="F608" s="295"/>
      <c r="G608" s="296"/>
      <c r="H608" s="218"/>
      <c r="I608" s="285"/>
    </row>
    <row r="609" spans="1:9" s="212" customFormat="1" ht="15.75" thickBot="1">
      <c r="A609" s="624" t="s">
        <v>761</v>
      </c>
      <c r="B609" s="625"/>
      <c r="C609" s="625"/>
      <c r="D609" s="625"/>
      <c r="E609" s="625"/>
      <c r="F609" s="625"/>
      <c r="G609" s="626"/>
      <c r="H609" s="297">
        <f>+ROUND(H607,0)</f>
        <v>50502</v>
      </c>
      <c r="I609" s="298"/>
    </row>
    <row r="610" spans="1:9" s="212" customFormat="1">
      <c r="A610" s="91"/>
      <c r="B610" s="91"/>
      <c r="C610" s="91"/>
      <c r="D610" s="91"/>
      <c r="E610" s="91"/>
      <c r="G610" s="213"/>
      <c r="H610" s="222"/>
    </row>
    <row r="611" spans="1:9" s="212" customFormat="1" ht="15.75" thickBot="1">
      <c r="A611" s="120"/>
      <c r="B611" s="73"/>
      <c r="C611" s="73"/>
      <c r="D611" s="73"/>
      <c r="E611" s="73"/>
      <c r="G611" s="73"/>
      <c r="H611" s="222"/>
    </row>
    <row r="612" spans="1:9" s="212" customFormat="1">
      <c r="A612" s="647"/>
      <c r="B612" s="649" t="s">
        <v>211</v>
      </c>
      <c r="C612" s="650"/>
      <c r="D612" s="650"/>
      <c r="E612" s="650"/>
      <c r="F612" s="650"/>
      <c r="G612" s="650"/>
      <c r="H612" s="676"/>
      <c r="I612" s="283" t="s">
        <v>389</v>
      </c>
    </row>
    <row r="613" spans="1:9" s="212" customFormat="1">
      <c r="A613" s="648"/>
      <c r="B613" s="651"/>
      <c r="C613" s="652"/>
      <c r="D613" s="652"/>
      <c r="E613" s="652"/>
      <c r="F613" s="652"/>
      <c r="G613" s="652"/>
      <c r="H613" s="677"/>
      <c r="I613" s="284" t="s">
        <v>157</v>
      </c>
    </row>
    <row r="614" spans="1:9" s="212" customFormat="1">
      <c r="A614" s="68"/>
      <c r="B614" s="69"/>
      <c r="C614" s="69"/>
      <c r="D614" s="69"/>
      <c r="E614" s="69"/>
      <c r="F614" s="218"/>
      <c r="G614" s="218"/>
      <c r="H614" s="218"/>
      <c r="I614" s="285"/>
    </row>
    <row r="615" spans="1:9" s="212" customFormat="1">
      <c r="A615" s="72" t="s">
        <v>390</v>
      </c>
      <c r="B615" s="73"/>
      <c r="C615" s="73"/>
      <c r="D615" s="73"/>
      <c r="E615" s="73"/>
      <c r="F615" s="217"/>
      <c r="G615" s="217"/>
      <c r="H615" s="218"/>
      <c r="I615" s="285"/>
    </row>
    <row r="616" spans="1:9" s="212" customFormat="1">
      <c r="A616" s="286" t="s">
        <v>391</v>
      </c>
      <c r="B616" s="76" t="s">
        <v>392</v>
      </c>
      <c r="C616" s="76" t="s">
        <v>393</v>
      </c>
      <c r="D616" s="76" t="s">
        <v>394</v>
      </c>
      <c r="E616" s="76" t="s">
        <v>395</v>
      </c>
      <c r="F616" s="76" t="s">
        <v>396</v>
      </c>
      <c r="G616" s="76" t="s">
        <v>397</v>
      </c>
      <c r="H616" s="217"/>
      <c r="I616" s="285"/>
    </row>
    <row r="617" spans="1:9" s="212" customFormat="1">
      <c r="A617" s="77" t="s">
        <v>404</v>
      </c>
      <c r="B617" s="78" t="s">
        <v>405</v>
      </c>
      <c r="C617" s="79" t="s">
        <v>406</v>
      </c>
      <c r="D617" s="287">
        <v>1250</v>
      </c>
      <c r="E617" s="79">
        <v>3</v>
      </c>
      <c r="F617" s="79">
        <v>0</v>
      </c>
      <c r="G617" s="287">
        <f>(D617*E617)+((D617*E617)*F617/100)</f>
        <v>3750</v>
      </c>
      <c r="H617" s="217"/>
      <c r="I617" s="285"/>
    </row>
    <row r="618" spans="1:9" s="212" customFormat="1">
      <c r="A618" s="82"/>
      <c r="B618" s="83"/>
      <c r="C618" s="84"/>
      <c r="D618" s="84"/>
      <c r="E618" s="84"/>
      <c r="F618" s="216"/>
      <c r="G618" s="288" t="s">
        <v>407</v>
      </c>
      <c r="H618" s="287">
        <f>SUM(G617:G617)</f>
        <v>3750</v>
      </c>
      <c r="I618" s="285"/>
    </row>
    <row r="619" spans="1:9" s="212" customFormat="1">
      <c r="A619" s="72" t="s">
        <v>408</v>
      </c>
      <c r="B619" s="73"/>
      <c r="C619" s="73"/>
      <c r="D619" s="73"/>
      <c r="E619" s="73"/>
      <c r="F619" s="216"/>
      <c r="G619" s="217"/>
      <c r="H619" s="289"/>
      <c r="I619" s="285"/>
    </row>
    <row r="620" spans="1:9" s="212" customFormat="1">
      <c r="A620" s="286" t="s">
        <v>391</v>
      </c>
      <c r="B620" s="76" t="s">
        <v>392</v>
      </c>
      <c r="C620" s="76" t="s">
        <v>393</v>
      </c>
      <c r="D620" s="76" t="s">
        <v>394</v>
      </c>
      <c r="E620" s="76" t="s">
        <v>395</v>
      </c>
      <c r="F620" s="76" t="s">
        <v>396</v>
      </c>
      <c r="G620" s="76" t="s">
        <v>397</v>
      </c>
      <c r="H620" s="289"/>
      <c r="I620" s="285"/>
    </row>
    <row r="621" spans="1:9" s="212" customFormat="1">
      <c r="A621" s="135"/>
      <c r="B621" s="78" t="s">
        <v>211</v>
      </c>
      <c r="C621" s="127" t="s">
        <v>157</v>
      </c>
      <c r="D621" s="287">
        <f>642000*1.2</f>
        <v>770400</v>
      </c>
      <c r="E621" s="79">
        <v>1</v>
      </c>
      <c r="F621" s="79">
        <v>0</v>
      </c>
      <c r="G621" s="287">
        <f>(D621*E621)+((D621*E621)*F621/100)</f>
        <v>770400</v>
      </c>
      <c r="H621" s="289"/>
      <c r="I621" s="285"/>
    </row>
    <row r="622" spans="1:9" s="212" customFormat="1">
      <c r="A622" s="90"/>
      <c r="B622" s="91"/>
      <c r="C622" s="91"/>
      <c r="D622" s="91"/>
      <c r="E622" s="91"/>
      <c r="F622" s="216"/>
      <c r="G622" s="290" t="s">
        <v>407</v>
      </c>
      <c r="H622" s="287">
        <f>SUM(G621:G621)</f>
        <v>770400</v>
      </c>
      <c r="I622" s="285"/>
    </row>
    <row r="623" spans="1:9" s="212" customFormat="1">
      <c r="A623" s="72" t="s">
        <v>410</v>
      </c>
      <c r="B623" s="73"/>
      <c r="C623" s="73"/>
      <c r="D623" s="73"/>
      <c r="E623" s="73"/>
      <c r="F623" s="216"/>
      <c r="G623" s="217"/>
      <c r="H623" s="289"/>
      <c r="I623" s="285"/>
    </row>
    <row r="624" spans="1:9" s="212" customFormat="1" ht="40.5" customHeight="1">
      <c r="A624" s="286" t="s">
        <v>391</v>
      </c>
      <c r="B624" s="76" t="s">
        <v>392</v>
      </c>
      <c r="C624" s="76" t="s">
        <v>393</v>
      </c>
      <c r="D624" s="76" t="s">
        <v>394</v>
      </c>
      <c r="E624" s="76" t="s">
        <v>395</v>
      </c>
      <c r="F624" s="76" t="s">
        <v>396</v>
      </c>
      <c r="G624" s="76" t="s">
        <v>397</v>
      </c>
      <c r="H624" s="289"/>
      <c r="I624" s="285"/>
    </row>
    <row r="625" spans="1:9" s="212" customFormat="1">
      <c r="A625" s="125" t="s">
        <v>478</v>
      </c>
      <c r="B625" s="126" t="s">
        <v>1063</v>
      </c>
      <c r="C625" s="127" t="s">
        <v>426</v>
      </c>
      <c r="D625" s="287">
        <v>5627</v>
      </c>
      <c r="E625" s="79">
        <v>10</v>
      </c>
      <c r="F625" s="79">
        <v>0</v>
      </c>
      <c r="G625" s="287">
        <f>(D625*E625)+((D625*E625)*F625/100)</f>
        <v>56270</v>
      </c>
      <c r="H625" s="289"/>
      <c r="I625" s="285"/>
    </row>
    <row r="626" spans="1:9" s="212" customFormat="1">
      <c r="A626" s="90"/>
      <c r="B626" s="91"/>
      <c r="C626" s="91"/>
      <c r="D626" s="91"/>
      <c r="E626" s="91"/>
      <c r="F626" s="216"/>
      <c r="G626" s="288" t="s">
        <v>407</v>
      </c>
      <c r="H626" s="287">
        <f>SUM(G625:G625)</f>
        <v>56270</v>
      </c>
      <c r="I626" s="285"/>
    </row>
    <row r="627" spans="1:9" s="212" customFormat="1">
      <c r="A627" s="72" t="s">
        <v>411</v>
      </c>
      <c r="B627" s="73"/>
      <c r="C627" s="73"/>
      <c r="D627" s="73"/>
      <c r="E627" s="73"/>
      <c r="F627" s="216"/>
      <c r="G627" s="217"/>
      <c r="H627" s="289"/>
      <c r="I627" s="285"/>
    </row>
    <row r="628" spans="1:9" s="212" customFormat="1">
      <c r="A628" s="286" t="s">
        <v>391</v>
      </c>
      <c r="B628" s="76" t="s">
        <v>392</v>
      </c>
      <c r="C628" s="76" t="s">
        <v>393</v>
      </c>
      <c r="D628" s="76" t="s">
        <v>394</v>
      </c>
      <c r="E628" s="76" t="s">
        <v>395</v>
      </c>
      <c r="F628" s="76" t="s">
        <v>396</v>
      </c>
      <c r="G628" s="76" t="s">
        <v>397</v>
      </c>
      <c r="H628" s="289"/>
      <c r="I628" s="285"/>
    </row>
    <row r="629" spans="1:9" s="212" customFormat="1">
      <c r="A629" s="87"/>
      <c r="B629" s="114"/>
      <c r="C629" s="114"/>
      <c r="D629" s="114"/>
      <c r="E629" s="215"/>
      <c r="F629" s="79"/>
      <c r="G629" s="287"/>
      <c r="H629" s="289"/>
      <c r="I629" s="285"/>
    </row>
    <row r="630" spans="1:9" s="212" customFormat="1">
      <c r="A630" s="94"/>
      <c r="B630" s="95"/>
      <c r="C630" s="95"/>
      <c r="D630" s="95"/>
      <c r="E630" s="95"/>
      <c r="F630" s="216"/>
      <c r="G630" s="288" t="s">
        <v>407</v>
      </c>
      <c r="H630" s="287">
        <f>SUM(G628:G629)</f>
        <v>0</v>
      </c>
      <c r="I630" s="285"/>
    </row>
    <row r="631" spans="1:9" s="212" customFormat="1">
      <c r="A631" s="94"/>
      <c r="B631" s="95"/>
      <c r="C631" s="95"/>
      <c r="D631" s="95"/>
      <c r="E631" s="95"/>
      <c r="F631" s="216"/>
      <c r="G631" s="217"/>
      <c r="H631" s="217"/>
      <c r="I631" s="285"/>
    </row>
    <row r="632" spans="1:9" s="212" customFormat="1">
      <c r="A632" s="292"/>
      <c r="B632" s="97"/>
      <c r="C632" s="98"/>
      <c r="D632" s="98"/>
      <c r="E632" s="98"/>
      <c r="F632" s="216"/>
      <c r="G632" s="293" t="s">
        <v>412</v>
      </c>
      <c r="H632" s="294">
        <f>SUM(H618:H630)</f>
        <v>830420</v>
      </c>
      <c r="I632" s="285"/>
    </row>
    <row r="633" spans="1:9" s="212" customFormat="1">
      <c r="A633" s="292"/>
      <c r="B633" s="97"/>
      <c r="C633" s="98"/>
      <c r="D633" s="98"/>
      <c r="E633" s="98"/>
      <c r="F633" s="295"/>
      <c r="G633" s="296"/>
      <c r="H633" s="218"/>
      <c r="I633" s="285"/>
    </row>
    <row r="634" spans="1:9" s="212" customFormat="1" ht="15.75" thickBot="1">
      <c r="A634" s="624" t="s">
        <v>761</v>
      </c>
      <c r="B634" s="625"/>
      <c r="C634" s="625"/>
      <c r="D634" s="625"/>
      <c r="E634" s="625"/>
      <c r="F634" s="625"/>
      <c r="G634" s="626"/>
      <c r="H634" s="297">
        <f>+ROUND(H632,0)</f>
        <v>830420</v>
      </c>
      <c r="I634" s="298"/>
    </row>
    <row r="635" spans="1:9" s="212" customFormat="1">
      <c r="A635" s="120"/>
      <c r="B635" s="73"/>
      <c r="C635" s="73"/>
      <c r="D635" s="73"/>
      <c r="E635" s="73"/>
      <c r="G635" s="73"/>
      <c r="H635" s="222"/>
    </row>
    <row r="636" spans="1:9" s="212" customFormat="1" ht="15.75" thickBot="1">
      <c r="A636" s="220"/>
      <c r="B636" s="141"/>
      <c r="C636" s="141"/>
      <c r="D636" s="141"/>
      <c r="E636" s="141"/>
      <c r="F636" s="141"/>
      <c r="G636" s="141"/>
      <c r="H636" s="222"/>
    </row>
    <row r="637" spans="1:9" s="212" customFormat="1">
      <c r="A637" s="647"/>
      <c r="B637" s="649" t="s">
        <v>212</v>
      </c>
      <c r="C637" s="650"/>
      <c r="D637" s="650"/>
      <c r="E637" s="650"/>
      <c r="F637" s="650"/>
      <c r="G637" s="650"/>
      <c r="H637" s="676"/>
      <c r="I637" s="283" t="s">
        <v>389</v>
      </c>
    </row>
    <row r="638" spans="1:9" s="212" customFormat="1">
      <c r="A638" s="648"/>
      <c r="B638" s="651"/>
      <c r="C638" s="652"/>
      <c r="D638" s="652"/>
      <c r="E638" s="652"/>
      <c r="F638" s="652"/>
      <c r="G638" s="652"/>
      <c r="H638" s="677"/>
      <c r="I638" s="284" t="s">
        <v>157</v>
      </c>
    </row>
    <row r="639" spans="1:9" s="212" customFormat="1">
      <c r="A639" s="68"/>
      <c r="B639" s="69"/>
      <c r="C639" s="69"/>
      <c r="D639" s="69"/>
      <c r="E639" s="69"/>
      <c r="F639" s="218"/>
      <c r="G639" s="218"/>
      <c r="H639" s="218"/>
      <c r="I639" s="285"/>
    </row>
    <row r="640" spans="1:9" s="212" customFormat="1">
      <c r="A640" s="72" t="s">
        <v>390</v>
      </c>
      <c r="B640" s="73"/>
      <c r="C640" s="73"/>
      <c r="D640" s="73"/>
      <c r="E640" s="73"/>
      <c r="F640" s="217"/>
      <c r="G640" s="217"/>
      <c r="H640" s="218"/>
      <c r="I640" s="285"/>
    </row>
    <row r="641" spans="1:9" s="212" customFormat="1">
      <c r="A641" s="286" t="s">
        <v>391</v>
      </c>
      <c r="B641" s="76" t="s">
        <v>392</v>
      </c>
      <c r="C641" s="76" t="s">
        <v>393</v>
      </c>
      <c r="D641" s="76" t="s">
        <v>394</v>
      </c>
      <c r="E641" s="76" t="s">
        <v>395</v>
      </c>
      <c r="F641" s="76" t="s">
        <v>396</v>
      </c>
      <c r="G641" s="76" t="s">
        <v>397</v>
      </c>
      <c r="H641" s="217"/>
      <c r="I641" s="285"/>
    </row>
    <row r="642" spans="1:9" s="212" customFormat="1">
      <c r="A642" s="77" t="s">
        <v>404</v>
      </c>
      <c r="B642" s="78" t="s">
        <v>405</v>
      </c>
      <c r="C642" s="79" t="s">
        <v>406</v>
      </c>
      <c r="D642" s="287">
        <v>1250</v>
      </c>
      <c r="E642" s="79">
        <v>3</v>
      </c>
      <c r="F642" s="79">
        <v>0</v>
      </c>
      <c r="G642" s="287">
        <f>(D642*E642)+((D642*E642)*F642/100)</f>
        <v>3750</v>
      </c>
      <c r="H642" s="217"/>
      <c r="I642" s="285"/>
    </row>
    <row r="643" spans="1:9" s="212" customFormat="1">
      <c r="A643" s="82"/>
      <c r="B643" s="83"/>
      <c r="C643" s="84"/>
      <c r="D643" s="84"/>
      <c r="E643" s="84"/>
      <c r="F643" s="216"/>
      <c r="G643" s="288" t="s">
        <v>407</v>
      </c>
      <c r="H643" s="287">
        <f>SUM(G642:G642)</f>
        <v>3750</v>
      </c>
      <c r="I643" s="285"/>
    </row>
    <row r="644" spans="1:9" s="212" customFormat="1">
      <c r="A644" s="72" t="s">
        <v>408</v>
      </c>
      <c r="B644" s="73"/>
      <c r="C644" s="73"/>
      <c r="D644" s="73"/>
      <c r="E644" s="73"/>
      <c r="F644" s="216"/>
      <c r="G644" s="217"/>
      <c r="H644" s="289"/>
      <c r="I644" s="285"/>
    </row>
    <row r="645" spans="1:9" s="212" customFormat="1">
      <c r="A645" s="286" t="s">
        <v>391</v>
      </c>
      <c r="B645" s="76" t="s">
        <v>392</v>
      </c>
      <c r="C645" s="76" t="s">
        <v>393</v>
      </c>
      <c r="D645" s="76" t="s">
        <v>394</v>
      </c>
      <c r="E645" s="76" t="s">
        <v>395</v>
      </c>
      <c r="F645" s="76" t="s">
        <v>396</v>
      </c>
      <c r="G645" s="76" t="s">
        <v>397</v>
      </c>
      <c r="H645" s="289"/>
      <c r="I645" s="285"/>
    </row>
    <row r="646" spans="1:9" s="212" customFormat="1">
      <c r="A646" s="135"/>
      <c r="B646" s="78" t="s">
        <v>212</v>
      </c>
      <c r="C646" s="127" t="s">
        <v>157</v>
      </c>
      <c r="D646" s="287">
        <f>173548*1.2</f>
        <v>208257.6</v>
      </c>
      <c r="E646" s="79">
        <v>1</v>
      </c>
      <c r="F646" s="79">
        <v>0</v>
      </c>
      <c r="G646" s="287">
        <f>(D646*E646)+((D646*E646)*F646/100)</f>
        <v>208257.6</v>
      </c>
      <c r="H646" s="289"/>
      <c r="I646" s="285"/>
    </row>
    <row r="647" spans="1:9" s="212" customFormat="1">
      <c r="A647" s="90"/>
      <c r="B647" s="91"/>
      <c r="C647" s="91"/>
      <c r="D647" s="91"/>
      <c r="E647" s="91"/>
      <c r="F647" s="216"/>
      <c r="G647" s="290" t="s">
        <v>407</v>
      </c>
      <c r="H647" s="287">
        <f>SUM(G646:G646)</f>
        <v>208257.6</v>
      </c>
      <c r="I647" s="285"/>
    </row>
    <row r="648" spans="1:9" s="212" customFormat="1" ht="41.25" customHeight="1">
      <c r="A648" s="72" t="s">
        <v>410</v>
      </c>
      <c r="B648" s="73"/>
      <c r="C648" s="73"/>
      <c r="D648" s="73"/>
      <c r="E648" s="73"/>
      <c r="F648" s="216"/>
      <c r="G648" s="217"/>
      <c r="H648" s="289"/>
      <c r="I648" s="285"/>
    </row>
    <row r="649" spans="1:9" s="212" customFormat="1">
      <c r="A649" s="286" t="s">
        <v>391</v>
      </c>
      <c r="B649" s="76" t="s">
        <v>392</v>
      </c>
      <c r="C649" s="76" t="s">
        <v>393</v>
      </c>
      <c r="D649" s="76" t="s">
        <v>394</v>
      </c>
      <c r="E649" s="76" t="s">
        <v>395</v>
      </c>
      <c r="F649" s="76" t="s">
        <v>396</v>
      </c>
      <c r="G649" s="76" t="s">
        <v>397</v>
      </c>
      <c r="H649" s="289"/>
      <c r="I649" s="285"/>
    </row>
    <row r="650" spans="1:9" s="212" customFormat="1">
      <c r="A650" s="125" t="s">
        <v>478</v>
      </c>
      <c r="B650" s="126" t="s">
        <v>1063</v>
      </c>
      <c r="C650" s="127" t="s">
        <v>426</v>
      </c>
      <c r="D650" s="287">
        <v>5627</v>
      </c>
      <c r="E650" s="79">
        <v>8</v>
      </c>
      <c r="F650" s="79">
        <v>0</v>
      </c>
      <c r="G650" s="287">
        <f>(D650*E650)+((D650*E650)*F650/100)</f>
        <v>45016</v>
      </c>
      <c r="H650" s="289"/>
      <c r="I650" s="285"/>
    </row>
    <row r="651" spans="1:9" s="212" customFormat="1">
      <c r="A651" s="90"/>
      <c r="B651" s="91"/>
      <c r="C651" s="91"/>
      <c r="D651" s="91"/>
      <c r="E651" s="91"/>
      <c r="F651" s="216"/>
      <c r="G651" s="288" t="s">
        <v>407</v>
      </c>
      <c r="H651" s="287">
        <f>SUM(G650:G650)</f>
        <v>45016</v>
      </c>
      <c r="I651" s="285"/>
    </row>
    <row r="652" spans="1:9" s="212" customFormat="1">
      <c r="A652" s="72" t="s">
        <v>411</v>
      </c>
      <c r="B652" s="73"/>
      <c r="C652" s="73"/>
      <c r="D652" s="73"/>
      <c r="E652" s="73"/>
      <c r="F652" s="216"/>
      <c r="G652" s="217"/>
      <c r="H652" s="289"/>
      <c r="I652" s="285"/>
    </row>
    <row r="653" spans="1:9" s="212" customFormat="1">
      <c r="A653" s="286" t="s">
        <v>391</v>
      </c>
      <c r="B653" s="76" t="s">
        <v>392</v>
      </c>
      <c r="C653" s="76" t="s">
        <v>393</v>
      </c>
      <c r="D653" s="76" t="s">
        <v>394</v>
      </c>
      <c r="E653" s="76" t="s">
        <v>395</v>
      </c>
      <c r="F653" s="76" t="s">
        <v>396</v>
      </c>
      <c r="G653" s="76" t="s">
        <v>397</v>
      </c>
      <c r="H653" s="289"/>
      <c r="I653" s="285"/>
    </row>
    <row r="654" spans="1:9" s="212" customFormat="1">
      <c r="A654" s="87"/>
      <c r="B654" s="114"/>
      <c r="C654" s="114"/>
      <c r="D654" s="114"/>
      <c r="E654" s="215"/>
      <c r="F654" s="79"/>
      <c r="G654" s="287"/>
      <c r="H654" s="289"/>
      <c r="I654" s="285"/>
    </row>
    <row r="655" spans="1:9" s="212" customFormat="1">
      <c r="A655" s="94"/>
      <c r="B655" s="95"/>
      <c r="C655" s="95"/>
      <c r="D655" s="95"/>
      <c r="E655" s="95"/>
      <c r="F655" s="216"/>
      <c r="G655" s="288" t="s">
        <v>407</v>
      </c>
      <c r="H655" s="287">
        <f>SUM(G653:G654)</f>
        <v>0</v>
      </c>
      <c r="I655" s="285"/>
    </row>
    <row r="656" spans="1:9" s="212" customFormat="1">
      <c r="A656" s="94"/>
      <c r="B656" s="95"/>
      <c r="C656" s="95"/>
      <c r="D656" s="95"/>
      <c r="E656" s="95"/>
      <c r="F656" s="216"/>
      <c r="G656" s="217"/>
      <c r="H656" s="217"/>
      <c r="I656" s="285"/>
    </row>
    <row r="657" spans="1:9" s="212" customFormat="1">
      <c r="A657" s="292"/>
      <c r="B657" s="97"/>
      <c r="C657" s="98"/>
      <c r="D657" s="98"/>
      <c r="E657" s="98"/>
      <c r="F657" s="216"/>
      <c r="G657" s="293" t="s">
        <v>412</v>
      </c>
      <c r="H657" s="294">
        <f>SUM(H643:H655)</f>
        <v>257023.6</v>
      </c>
      <c r="I657" s="285"/>
    </row>
    <row r="658" spans="1:9" s="212" customFormat="1">
      <c r="A658" s="292"/>
      <c r="B658" s="97"/>
      <c r="C658" s="98"/>
      <c r="D658" s="98"/>
      <c r="E658" s="98"/>
      <c r="F658" s="295"/>
      <c r="G658" s="296"/>
      <c r="H658" s="218"/>
      <c r="I658" s="285"/>
    </row>
    <row r="659" spans="1:9" s="212" customFormat="1" ht="15.75" thickBot="1">
      <c r="A659" s="624" t="s">
        <v>761</v>
      </c>
      <c r="B659" s="625"/>
      <c r="C659" s="625"/>
      <c r="D659" s="625"/>
      <c r="E659" s="625"/>
      <c r="F659" s="625"/>
      <c r="G659" s="626"/>
      <c r="H659" s="297">
        <f>+ROUND(H657,0)</f>
        <v>257024</v>
      </c>
      <c r="I659" s="298"/>
    </row>
    <row r="660" spans="1:9" s="212" customFormat="1">
      <c r="A660" s="220"/>
      <c r="B660" s="141"/>
      <c r="C660" s="141"/>
      <c r="D660" s="141"/>
      <c r="E660" s="141"/>
      <c r="F660" s="141"/>
      <c r="G660" s="141"/>
      <c r="H660" s="222"/>
    </row>
    <row r="661" spans="1:9" s="212" customFormat="1" ht="15.75" thickBot="1">
      <c r="A661" s="142"/>
      <c r="B661" s="143"/>
      <c r="C661" s="143"/>
      <c r="D661" s="143"/>
      <c r="E661" s="143"/>
      <c r="F661" s="84"/>
      <c r="G661" s="146"/>
      <c r="H661" s="221"/>
    </row>
    <row r="662" spans="1:9" s="212" customFormat="1">
      <c r="A662" s="647"/>
      <c r="B662" s="649" t="s">
        <v>213</v>
      </c>
      <c r="C662" s="650"/>
      <c r="D662" s="650"/>
      <c r="E662" s="650"/>
      <c r="F662" s="650"/>
      <c r="G662" s="650"/>
      <c r="H662" s="676"/>
      <c r="I662" s="283" t="s">
        <v>389</v>
      </c>
    </row>
    <row r="663" spans="1:9" s="212" customFormat="1">
      <c r="A663" s="648"/>
      <c r="B663" s="651"/>
      <c r="C663" s="652"/>
      <c r="D663" s="652"/>
      <c r="E663" s="652"/>
      <c r="F663" s="652"/>
      <c r="G663" s="652"/>
      <c r="H663" s="677"/>
      <c r="I663" s="284" t="s">
        <v>157</v>
      </c>
    </row>
    <row r="664" spans="1:9" s="212" customFormat="1">
      <c r="A664" s="68"/>
      <c r="B664" s="69"/>
      <c r="C664" s="69"/>
      <c r="D664" s="69"/>
      <c r="E664" s="69"/>
      <c r="F664" s="218"/>
      <c r="G664" s="218"/>
      <c r="H664" s="218"/>
      <c r="I664" s="285"/>
    </row>
    <row r="665" spans="1:9" s="212" customFormat="1">
      <c r="A665" s="72" t="s">
        <v>390</v>
      </c>
      <c r="B665" s="73"/>
      <c r="C665" s="73"/>
      <c r="D665" s="73"/>
      <c r="E665" s="73"/>
      <c r="F665" s="217"/>
      <c r="G665" s="217"/>
      <c r="H665" s="218"/>
      <c r="I665" s="285"/>
    </row>
    <row r="666" spans="1:9" s="212" customFormat="1">
      <c r="A666" s="286" t="s">
        <v>391</v>
      </c>
      <c r="B666" s="76" t="s">
        <v>392</v>
      </c>
      <c r="C666" s="76" t="s">
        <v>393</v>
      </c>
      <c r="D666" s="76" t="s">
        <v>394</v>
      </c>
      <c r="E666" s="76" t="s">
        <v>395</v>
      </c>
      <c r="F666" s="76" t="s">
        <v>396</v>
      </c>
      <c r="G666" s="76" t="s">
        <v>397</v>
      </c>
      <c r="H666" s="217"/>
      <c r="I666" s="285"/>
    </row>
    <row r="667" spans="1:9" s="212" customFormat="1">
      <c r="A667" s="77" t="s">
        <v>404</v>
      </c>
      <c r="B667" s="78" t="s">
        <v>405</v>
      </c>
      <c r="C667" s="79" t="s">
        <v>406</v>
      </c>
      <c r="D667" s="287">
        <v>1250</v>
      </c>
      <c r="E667" s="79">
        <v>1</v>
      </c>
      <c r="F667" s="79">
        <v>0</v>
      </c>
      <c r="G667" s="287">
        <f>(D667*E667)+((D667*E667)*F667/100)</f>
        <v>1250</v>
      </c>
      <c r="H667" s="217"/>
      <c r="I667" s="285"/>
    </row>
    <row r="668" spans="1:9" s="212" customFormat="1">
      <c r="A668" s="82"/>
      <c r="B668" s="83"/>
      <c r="C668" s="84"/>
      <c r="D668" s="84"/>
      <c r="E668" s="84"/>
      <c r="F668" s="216"/>
      <c r="G668" s="288" t="s">
        <v>407</v>
      </c>
      <c r="H668" s="287">
        <f>SUM(G667:G667)</f>
        <v>1250</v>
      </c>
      <c r="I668" s="285"/>
    </row>
    <row r="669" spans="1:9" s="212" customFormat="1">
      <c r="A669" s="72" t="s">
        <v>408</v>
      </c>
      <c r="B669" s="73"/>
      <c r="C669" s="73"/>
      <c r="D669" s="73"/>
      <c r="E669" s="73"/>
      <c r="F669" s="216"/>
      <c r="G669" s="217"/>
      <c r="H669" s="289"/>
      <c r="I669" s="285"/>
    </row>
    <row r="670" spans="1:9" s="212" customFormat="1">
      <c r="A670" s="286" t="s">
        <v>391</v>
      </c>
      <c r="B670" s="76" t="s">
        <v>392</v>
      </c>
      <c r="C670" s="76" t="s">
        <v>393</v>
      </c>
      <c r="D670" s="76" t="s">
        <v>394</v>
      </c>
      <c r="E670" s="76" t="s">
        <v>395</v>
      </c>
      <c r="F670" s="76" t="s">
        <v>396</v>
      </c>
      <c r="G670" s="76" t="s">
        <v>397</v>
      </c>
      <c r="H670" s="289"/>
      <c r="I670" s="285"/>
    </row>
    <row r="671" spans="1:9" s="212" customFormat="1">
      <c r="A671" s="135"/>
      <c r="B671" s="78" t="s">
        <v>213</v>
      </c>
      <c r="C671" s="127" t="s">
        <v>157</v>
      </c>
      <c r="D671" s="287">
        <f>6111*1.2</f>
        <v>7333.2</v>
      </c>
      <c r="E671" s="79">
        <v>1</v>
      </c>
      <c r="F671" s="79">
        <v>0</v>
      </c>
      <c r="G671" s="287">
        <f>(D671*E671)+((D671*E671)*F671/100)</f>
        <v>7333.2</v>
      </c>
      <c r="H671" s="289"/>
      <c r="I671" s="285"/>
    </row>
    <row r="672" spans="1:9" s="212" customFormat="1">
      <c r="A672" s="90"/>
      <c r="B672" s="91"/>
      <c r="C672" s="91"/>
      <c r="D672" s="91"/>
      <c r="E672" s="91"/>
      <c r="F672" s="216"/>
      <c r="G672" s="290" t="s">
        <v>407</v>
      </c>
      <c r="H672" s="287">
        <f>SUM(G671:G671)</f>
        <v>7333.2</v>
      </c>
      <c r="I672" s="285"/>
    </row>
    <row r="673" spans="1:9" s="212" customFormat="1">
      <c r="A673" s="72" t="s">
        <v>410</v>
      </c>
      <c r="B673" s="73"/>
      <c r="C673" s="73"/>
      <c r="D673" s="73"/>
      <c r="E673" s="73"/>
      <c r="F673" s="216"/>
      <c r="G673" s="217"/>
      <c r="H673" s="289"/>
      <c r="I673" s="285"/>
    </row>
    <row r="674" spans="1:9" s="212" customFormat="1">
      <c r="A674" s="286" t="s">
        <v>391</v>
      </c>
      <c r="B674" s="76" t="s">
        <v>392</v>
      </c>
      <c r="C674" s="76" t="s">
        <v>393</v>
      </c>
      <c r="D674" s="76" t="s">
        <v>394</v>
      </c>
      <c r="E674" s="76" t="s">
        <v>395</v>
      </c>
      <c r="F674" s="76" t="s">
        <v>396</v>
      </c>
      <c r="G674" s="76" t="s">
        <v>397</v>
      </c>
      <c r="H674" s="289"/>
      <c r="I674" s="285"/>
    </row>
    <row r="675" spans="1:9" s="212" customFormat="1">
      <c r="A675" s="125" t="s">
        <v>478</v>
      </c>
      <c r="B675" s="126" t="s">
        <v>1063</v>
      </c>
      <c r="C675" s="127" t="s">
        <v>426</v>
      </c>
      <c r="D675" s="287">
        <v>5627</v>
      </c>
      <c r="E675" s="79">
        <v>1</v>
      </c>
      <c r="F675" s="79">
        <v>0</v>
      </c>
      <c r="G675" s="287">
        <f>(D675*E675)+((D675*E675)*F675/100)</f>
        <v>5627</v>
      </c>
      <c r="H675" s="289"/>
      <c r="I675" s="285"/>
    </row>
    <row r="676" spans="1:9" s="212" customFormat="1">
      <c r="A676" s="90"/>
      <c r="B676" s="91"/>
      <c r="C676" s="91"/>
      <c r="D676" s="91"/>
      <c r="E676" s="91"/>
      <c r="F676" s="216"/>
      <c r="G676" s="288" t="s">
        <v>407</v>
      </c>
      <c r="H676" s="287">
        <f>SUM(G675:G675)</f>
        <v>5627</v>
      </c>
      <c r="I676" s="285"/>
    </row>
    <row r="677" spans="1:9" s="212" customFormat="1">
      <c r="A677" s="72" t="s">
        <v>411</v>
      </c>
      <c r="B677" s="73"/>
      <c r="C677" s="73"/>
      <c r="D677" s="73"/>
      <c r="E677" s="73"/>
      <c r="F677" s="216"/>
      <c r="G677" s="217"/>
      <c r="H677" s="289"/>
      <c r="I677" s="285"/>
    </row>
    <row r="678" spans="1:9" s="212" customFormat="1">
      <c r="A678" s="286" t="s">
        <v>391</v>
      </c>
      <c r="B678" s="76" t="s">
        <v>392</v>
      </c>
      <c r="C678" s="76" t="s">
        <v>393</v>
      </c>
      <c r="D678" s="76" t="s">
        <v>394</v>
      </c>
      <c r="E678" s="76" t="s">
        <v>395</v>
      </c>
      <c r="F678" s="76" t="s">
        <v>396</v>
      </c>
      <c r="G678" s="76" t="s">
        <v>397</v>
      </c>
      <c r="H678" s="289"/>
      <c r="I678" s="285"/>
    </row>
    <row r="679" spans="1:9" s="212" customFormat="1">
      <c r="A679" s="87"/>
      <c r="B679" s="114"/>
      <c r="C679" s="114"/>
      <c r="D679" s="114"/>
      <c r="E679" s="215"/>
      <c r="F679" s="79"/>
      <c r="G679" s="287"/>
      <c r="H679" s="289"/>
      <c r="I679" s="285"/>
    </row>
    <row r="680" spans="1:9" s="212" customFormat="1">
      <c r="A680" s="94"/>
      <c r="B680" s="95"/>
      <c r="C680" s="95"/>
      <c r="D680" s="95"/>
      <c r="E680" s="95"/>
      <c r="F680" s="216"/>
      <c r="G680" s="288" t="s">
        <v>407</v>
      </c>
      <c r="H680" s="287">
        <f>SUM(G678:G679)</f>
        <v>0</v>
      </c>
      <c r="I680" s="285"/>
    </row>
    <row r="681" spans="1:9" s="212" customFormat="1">
      <c r="A681" s="94"/>
      <c r="B681" s="95"/>
      <c r="C681" s="95"/>
      <c r="D681" s="95"/>
      <c r="E681" s="95"/>
      <c r="F681" s="216"/>
      <c r="G681" s="217"/>
      <c r="H681" s="217"/>
      <c r="I681" s="285"/>
    </row>
    <row r="682" spans="1:9" s="212" customFormat="1">
      <c r="A682" s="292"/>
      <c r="B682" s="97"/>
      <c r="C682" s="98"/>
      <c r="D682" s="98"/>
      <c r="E682" s="98"/>
      <c r="F682" s="216"/>
      <c r="G682" s="293" t="s">
        <v>412</v>
      </c>
      <c r="H682" s="294">
        <f>SUM(H668:H680)</f>
        <v>14210.2</v>
      </c>
      <c r="I682" s="285"/>
    </row>
    <row r="683" spans="1:9" s="212" customFormat="1">
      <c r="A683" s="292"/>
      <c r="B683" s="97"/>
      <c r="C683" s="98"/>
      <c r="D683" s="98"/>
      <c r="E683" s="98"/>
      <c r="F683" s="295"/>
      <c r="G683" s="296"/>
      <c r="H683" s="218"/>
      <c r="I683" s="285"/>
    </row>
    <row r="684" spans="1:9" s="212" customFormat="1" ht="15.75" thickBot="1">
      <c r="A684" s="624" t="s">
        <v>761</v>
      </c>
      <c r="B684" s="625"/>
      <c r="C684" s="625"/>
      <c r="D684" s="625"/>
      <c r="E684" s="625"/>
      <c r="F684" s="625"/>
      <c r="G684" s="626"/>
      <c r="H684" s="297">
        <f>+ROUND(H682,0)</f>
        <v>14210</v>
      </c>
      <c r="I684" s="298"/>
    </row>
    <row r="685" spans="1:9" s="212" customFormat="1">
      <c r="A685" s="142"/>
      <c r="B685" s="143"/>
      <c r="C685" s="143"/>
      <c r="D685" s="143"/>
      <c r="E685" s="143"/>
      <c r="F685" s="84"/>
      <c r="G685" s="146"/>
      <c r="H685" s="221"/>
    </row>
    <row r="686" spans="1:9" s="212" customFormat="1" ht="15.75" thickBot="1">
      <c r="A686" s="123"/>
      <c r="B686" s="95"/>
      <c r="C686" s="95"/>
      <c r="D686" s="95"/>
      <c r="E686" s="95"/>
      <c r="G686" s="213"/>
      <c r="H686" s="73"/>
    </row>
    <row r="687" spans="1:9" s="212" customFormat="1">
      <c r="A687" s="647"/>
      <c r="B687" s="649" t="s">
        <v>1121</v>
      </c>
      <c r="C687" s="650"/>
      <c r="D687" s="650"/>
      <c r="E687" s="650"/>
      <c r="F687" s="650"/>
      <c r="G687" s="650"/>
      <c r="H687" s="676"/>
      <c r="I687" s="283" t="s">
        <v>389</v>
      </c>
    </row>
    <row r="688" spans="1:9" s="212" customFormat="1">
      <c r="A688" s="648"/>
      <c r="B688" s="651"/>
      <c r="C688" s="652"/>
      <c r="D688" s="652"/>
      <c r="E688" s="652"/>
      <c r="F688" s="652"/>
      <c r="G688" s="652"/>
      <c r="H688" s="677"/>
      <c r="I688" s="284" t="s">
        <v>157</v>
      </c>
    </row>
    <row r="689" spans="1:9" s="212" customFormat="1">
      <c r="A689" s="68"/>
      <c r="B689" s="69"/>
      <c r="C689" s="69"/>
      <c r="D689" s="69"/>
      <c r="E689" s="69"/>
      <c r="F689" s="218"/>
      <c r="G689" s="218"/>
      <c r="H689" s="218"/>
      <c r="I689" s="285"/>
    </row>
    <row r="690" spans="1:9" s="212" customFormat="1">
      <c r="A690" s="72" t="s">
        <v>390</v>
      </c>
      <c r="B690" s="73"/>
      <c r="C690" s="73"/>
      <c r="D690" s="73"/>
      <c r="E690" s="73"/>
      <c r="F690" s="217"/>
      <c r="G690" s="217"/>
      <c r="H690" s="218"/>
      <c r="I690" s="285"/>
    </row>
    <row r="691" spans="1:9" s="212" customFormat="1">
      <c r="A691" s="286" t="s">
        <v>391</v>
      </c>
      <c r="B691" s="76" t="s">
        <v>392</v>
      </c>
      <c r="C691" s="76" t="s">
        <v>393</v>
      </c>
      <c r="D691" s="76" t="s">
        <v>394</v>
      </c>
      <c r="E691" s="76" t="s">
        <v>395</v>
      </c>
      <c r="F691" s="76" t="s">
        <v>396</v>
      </c>
      <c r="G691" s="76" t="s">
        <v>397</v>
      </c>
      <c r="H691" s="217"/>
      <c r="I691" s="285"/>
    </row>
    <row r="692" spans="1:9" s="212" customFormat="1">
      <c r="A692" s="77" t="s">
        <v>404</v>
      </c>
      <c r="B692" s="78" t="s">
        <v>405</v>
      </c>
      <c r="C692" s="79" t="s">
        <v>406</v>
      </c>
      <c r="D692" s="287">
        <v>1250</v>
      </c>
      <c r="E692" s="79">
        <v>2</v>
      </c>
      <c r="F692" s="79">
        <v>0</v>
      </c>
      <c r="G692" s="287">
        <f>(D692*E692)+((D692*E692)*F692/100)</f>
        <v>2500</v>
      </c>
      <c r="H692" s="217"/>
      <c r="I692" s="285"/>
    </row>
    <row r="693" spans="1:9" s="212" customFormat="1">
      <c r="A693" s="82"/>
      <c r="B693" s="83"/>
      <c r="C693" s="84"/>
      <c r="D693" s="84"/>
      <c r="E693" s="84"/>
      <c r="F693" s="216"/>
      <c r="G693" s="288" t="s">
        <v>407</v>
      </c>
      <c r="H693" s="287">
        <f>SUM(G692:G692)</f>
        <v>2500</v>
      </c>
      <c r="I693" s="285"/>
    </row>
    <row r="694" spans="1:9" s="212" customFormat="1">
      <c r="A694" s="72" t="s">
        <v>408</v>
      </c>
      <c r="B694" s="73"/>
      <c r="C694" s="73"/>
      <c r="D694" s="73"/>
      <c r="E694" s="73"/>
      <c r="F694" s="216"/>
      <c r="G694" s="217"/>
      <c r="H694" s="289"/>
      <c r="I694" s="285"/>
    </row>
    <row r="695" spans="1:9" s="212" customFormat="1">
      <c r="A695" s="286" t="s">
        <v>391</v>
      </c>
      <c r="B695" s="76" t="s">
        <v>392</v>
      </c>
      <c r="C695" s="76" t="s">
        <v>393</v>
      </c>
      <c r="D695" s="76" t="s">
        <v>394</v>
      </c>
      <c r="E695" s="76" t="s">
        <v>395</v>
      </c>
      <c r="F695" s="76" t="s">
        <v>396</v>
      </c>
      <c r="G695" s="76" t="s">
        <v>397</v>
      </c>
      <c r="H695" s="289"/>
      <c r="I695" s="285"/>
    </row>
    <row r="696" spans="1:9" s="212" customFormat="1">
      <c r="A696" s="135"/>
      <c r="B696" s="78" t="s">
        <v>361</v>
      </c>
      <c r="C696" s="127" t="s">
        <v>157</v>
      </c>
      <c r="D696" s="287">
        <f>196504*1.2</f>
        <v>235804.79999999999</v>
      </c>
      <c r="E696" s="79">
        <v>1</v>
      </c>
      <c r="F696" s="79">
        <v>0</v>
      </c>
      <c r="G696" s="287">
        <f>(D696*E696)+((D696*E696)*F696/100)</f>
        <v>235804.79999999999</v>
      </c>
      <c r="H696" s="289"/>
      <c r="I696" s="285"/>
    </row>
    <row r="697" spans="1:9" s="212" customFormat="1">
      <c r="A697" s="90"/>
      <c r="B697" s="91"/>
      <c r="C697" s="91"/>
      <c r="D697" s="91"/>
      <c r="E697" s="91"/>
      <c r="F697" s="216"/>
      <c r="G697" s="290" t="s">
        <v>407</v>
      </c>
      <c r="H697" s="287">
        <f>SUM(G696:G696)</f>
        <v>235804.79999999999</v>
      </c>
      <c r="I697" s="285"/>
    </row>
    <row r="698" spans="1:9" s="212" customFormat="1">
      <c r="A698" s="72" t="s">
        <v>410</v>
      </c>
      <c r="B698" s="73"/>
      <c r="C698" s="73"/>
      <c r="D698" s="73"/>
      <c r="E698" s="73"/>
      <c r="F698" s="216"/>
      <c r="G698" s="217"/>
      <c r="H698" s="289"/>
      <c r="I698" s="285"/>
    </row>
    <row r="699" spans="1:9" s="212" customFormat="1">
      <c r="A699" s="286" t="s">
        <v>391</v>
      </c>
      <c r="B699" s="76" t="s">
        <v>392</v>
      </c>
      <c r="C699" s="76" t="s">
        <v>393</v>
      </c>
      <c r="D699" s="76" t="s">
        <v>394</v>
      </c>
      <c r="E699" s="76" t="s">
        <v>395</v>
      </c>
      <c r="F699" s="76" t="s">
        <v>396</v>
      </c>
      <c r="G699" s="76" t="s">
        <v>397</v>
      </c>
      <c r="H699" s="289"/>
      <c r="I699" s="285"/>
    </row>
    <row r="700" spans="1:9" s="212" customFormat="1">
      <c r="A700" s="125" t="s">
        <v>478</v>
      </c>
      <c r="B700" s="126" t="s">
        <v>1063</v>
      </c>
      <c r="C700" s="127" t="s">
        <v>426</v>
      </c>
      <c r="D700" s="287">
        <v>5627</v>
      </c>
      <c r="E700" s="79">
        <v>8</v>
      </c>
      <c r="F700" s="79">
        <v>0</v>
      </c>
      <c r="G700" s="287">
        <f>(D700*E700)+((D700*E700)*F700/100)</f>
        <v>45016</v>
      </c>
      <c r="H700" s="289"/>
      <c r="I700" s="285"/>
    </row>
    <row r="701" spans="1:9" s="212" customFormat="1">
      <c r="A701" s="90"/>
      <c r="B701" s="91"/>
      <c r="C701" s="91"/>
      <c r="D701" s="91"/>
      <c r="E701" s="91"/>
      <c r="F701" s="216"/>
      <c r="G701" s="288" t="s">
        <v>407</v>
      </c>
      <c r="H701" s="287">
        <f>SUM(G700:G700)</f>
        <v>45016</v>
      </c>
      <c r="I701" s="285"/>
    </row>
    <row r="702" spans="1:9" s="212" customFormat="1">
      <c r="A702" s="72" t="s">
        <v>411</v>
      </c>
      <c r="B702" s="73"/>
      <c r="C702" s="73"/>
      <c r="D702" s="73"/>
      <c r="E702" s="73"/>
      <c r="F702" s="216"/>
      <c r="G702" s="217"/>
      <c r="H702" s="289"/>
      <c r="I702" s="285"/>
    </row>
    <row r="703" spans="1:9" s="212" customFormat="1">
      <c r="A703" s="286" t="s">
        <v>391</v>
      </c>
      <c r="B703" s="76" t="s">
        <v>392</v>
      </c>
      <c r="C703" s="76" t="s">
        <v>393</v>
      </c>
      <c r="D703" s="76" t="s">
        <v>394</v>
      </c>
      <c r="E703" s="76" t="s">
        <v>395</v>
      </c>
      <c r="F703" s="76" t="s">
        <v>396</v>
      </c>
      <c r="G703" s="76" t="s">
        <v>397</v>
      </c>
      <c r="H703" s="289"/>
      <c r="I703" s="285"/>
    </row>
    <row r="704" spans="1:9" s="212" customFormat="1">
      <c r="A704" s="87"/>
      <c r="B704" s="114"/>
      <c r="C704" s="114"/>
      <c r="D704" s="114"/>
      <c r="E704" s="215"/>
      <c r="F704" s="79"/>
      <c r="G704" s="287"/>
      <c r="H704" s="289"/>
      <c r="I704" s="285"/>
    </row>
    <row r="705" spans="1:9" s="212" customFormat="1">
      <c r="A705" s="94"/>
      <c r="B705" s="95"/>
      <c r="C705" s="95"/>
      <c r="D705" s="95"/>
      <c r="E705" s="95"/>
      <c r="F705" s="216"/>
      <c r="G705" s="288" t="s">
        <v>407</v>
      </c>
      <c r="H705" s="287">
        <f>SUM(G703:G704)</f>
        <v>0</v>
      </c>
      <c r="I705" s="285"/>
    </row>
    <row r="706" spans="1:9" s="212" customFormat="1">
      <c r="A706" s="94"/>
      <c r="B706" s="95"/>
      <c r="C706" s="95"/>
      <c r="D706" s="95"/>
      <c r="E706" s="95"/>
      <c r="F706" s="216"/>
      <c r="G706" s="217"/>
      <c r="H706" s="217"/>
      <c r="I706" s="285"/>
    </row>
    <row r="707" spans="1:9" s="212" customFormat="1">
      <c r="A707" s="292"/>
      <c r="B707" s="97"/>
      <c r="C707" s="98"/>
      <c r="D707" s="98"/>
      <c r="E707" s="98"/>
      <c r="F707" s="216"/>
      <c r="G707" s="293" t="s">
        <v>412</v>
      </c>
      <c r="H707" s="294">
        <f>SUM(H693:H705)</f>
        <v>283320.8</v>
      </c>
      <c r="I707" s="285"/>
    </row>
    <row r="708" spans="1:9" s="212" customFormat="1">
      <c r="A708" s="292"/>
      <c r="B708" s="97"/>
      <c r="C708" s="98"/>
      <c r="D708" s="98"/>
      <c r="E708" s="98"/>
      <c r="F708" s="295"/>
      <c r="G708" s="296"/>
      <c r="H708" s="218"/>
      <c r="I708" s="285"/>
    </row>
    <row r="709" spans="1:9" s="212" customFormat="1" ht="15.75" thickBot="1">
      <c r="A709" s="624" t="s">
        <v>761</v>
      </c>
      <c r="B709" s="625"/>
      <c r="C709" s="625"/>
      <c r="D709" s="625"/>
      <c r="E709" s="625"/>
      <c r="F709" s="625"/>
      <c r="G709" s="626"/>
      <c r="H709" s="297">
        <f>+ROUND(H707,0)</f>
        <v>283321</v>
      </c>
      <c r="I709" s="298"/>
    </row>
    <row r="710" spans="1:9" s="212" customFormat="1">
      <c r="A710" s="123"/>
      <c r="B710" s="95"/>
      <c r="C710" s="95"/>
      <c r="D710" s="95"/>
      <c r="E710" s="95"/>
      <c r="G710" s="213"/>
      <c r="H710" s="73"/>
    </row>
    <row r="711" spans="1:9" s="212" customFormat="1" ht="15.75" thickBot="1">
      <c r="A711" s="123"/>
      <c r="B711" s="95"/>
      <c r="C711" s="95"/>
      <c r="D711" s="95"/>
      <c r="E711" s="95"/>
      <c r="G711" s="73"/>
      <c r="H711" s="225"/>
    </row>
    <row r="712" spans="1:9" s="212" customFormat="1">
      <c r="A712" s="647"/>
      <c r="B712" s="649" t="s">
        <v>979</v>
      </c>
      <c r="C712" s="650"/>
      <c r="D712" s="650"/>
      <c r="E712" s="650"/>
      <c r="F712" s="650"/>
      <c r="G712" s="650"/>
      <c r="H712" s="676"/>
      <c r="I712" s="283" t="s">
        <v>389</v>
      </c>
    </row>
    <row r="713" spans="1:9" s="212" customFormat="1">
      <c r="A713" s="648"/>
      <c r="B713" s="651"/>
      <c r="C713" s="652"/>
      <c r="D713" s="652"/>
      <c r="E713" s="652"/>
      <c r="F713" s="652"/>
      <c r="G713" s="652"/>
      <c r="H713" s="677"/>
      <c r="I713" s="284" t="s">
        <v>157</v>
      </c>
    </row>
    <row r="714" spans="1:9" s="212" customFormat="1">
      <c r="A714" s="68"/>
      <c r="B714" s="69"/>
      <c r="C714" s="69"/>
      <c r="D714" s="69"/>
      <c r="E714" s="69"/>
      <c r="F714" s="218"/>
      <c r="G714" s="218"/>
      <c r="H714" s="218"/>
      <c r="I714" s="285"/>
    </row>
    <row r="715" spans="1:9" s="212" customFormat="1">
      <c r="A715" s="72" t="s">
        <v>390</v>
      </c>
      <c r="B715" s="73"/>
      <c r="C715" s="73"/>
      <c r="D715" s="73"/>
      <c r="E715" s="73"/>
      <c r="F715" s="217"/>
      <c r="G715" s="217"/>
      <c r="H715" s="218"/>
      <c r="I715" s="285"/>
    </row>
    <row r="716" spans="1:9" s="212" customFormat="1">
      <c r="A716" s="286" t="s">
        <v>391</v>
      </c>
      <c r="B716" s="76" t="s">
        <v>392</v>
      </c>
      <c r="C716" s="76" t="s">
        <v>393</v>
      </c>
      <c r="D716" s="76" t="s">
        <v>394</v>
      </c>
      <c r="E716" s="76" t="s">
        <v>395</v>
      </c>
      <c r="F716" s="76" t="s">
        <v>396</v>
      </c>
      <c r="G716" s="76" t="s">
        <v>397</v>
      </c>
      <c r="H716" s="217"/>
      <c r="I716" s="285"/>
    </row>
    <row r="717" spans="1:9" s="212" customFormat="1">
      <c r="A717" s="77" t="s">
        <v>404</v>
      </c>
      <c r="B717" s="78" t="s">
        <v>405</v>
      </c>
      <c r="C717" s="79" t="s">
        <v>406</v>
      </c>
      <c r="D717" s="287">
        <v>1250</v>
      </c>
      <c r="E717" s="79">
        <v>0.5</v>
      </c>
      <c r="F717" s="79">
        <v>0</v>
      </c>
      <c r="G717" s="287">
        <f>(D717*E717)+((D717*E717)*F717/100)</f>
        <v>625</v>
      </c>
      <c r="H717" s="217"/>
      <c r="I717" s="285"/>
    </row>
    <row r="718" spans="1:9" s="212" customFormat="1">
      <c r="A718" s="82"/>
      <c r="B718" s="83"/>
      <c r="C718" s="84"/>
      <c r="D718" s="84"/>
      <c r="E718" s="84"/>
      <c r="F718" s="216"/>
      <c r="G718" s="288" t="s">
        <v>407</v>
      </c>
      <c r="H718" s="287">
        <f>SUM(G717:G717)</f>
        <v>625</v>
      </c>
      <c r="I718" s="285"/>
    </row>
    <row r="719" spans="1:9" s="212" customFormat="1">
      <c r="A719" s="72" t="s">
        <v>408</v>
      </c>
      <c r="B719" s="73"/>
      <c r="C719" s="73"/>
      <c r="D719" s="73"/>
      <c r="E719" s="73"/>
      <c r="F719" s="216"/>
      <c r="G719" s="217"/>
      <c r="H719" s="289"/>
      <c r="I719" s="285"/>
    </row>
    <row r="720" spans="1:9" s="212" customFormat="1">
      <c r="A720" s="286" t="s">
        <v>391</v>
      </c>
      <c r="B720" s="76" t="s">
        <v>392</v>
      </c>
      <c r="C720" s="76" t="s">
        <v>393</v>
      </c>
      <c r="D720" s="76" t="s">
        <v>394</v>
      </c>
      <c r="E720" s="76" t="s">
        <v>395</v>
      </c>
      <c r="F720" s="76" t="s">
        <v>396</v>
      </c>
      <c r="G720" s="76" t="s">
        <v>397</v>
      </c>
      <c r="H720" s="289"/>
      <c r="I720" s="285"/>
    </row>
    <row r="721" spans="1:9" s="212" customFormat="1" ht="25.5">
      <c r="A721" s="135"/>
      <c r="B721" s="78" t="s">
        <v>1123</v>
      </c>
      <c r="C721" s="127" t="s">
        <v>157</v>
      </c>
      <c r="D721" s="287">
        <f>3474*1.2</f>
        <v>4168.8</v>
      </c>
      <c r="E721" s="79">
        <v>1</v>
      </c>
      <c r="F721" s="79">
        <v>0</v>
      </c>
      <c r="G721" s="287">
        <f>(D721*E721)+((D721*E721)*F721/100)</f>
        <v>4168.8</v>
      </c>
      <c r="H721" s="289"/>
      <c r="I721" s="285"/>
    </row>
    <row r="722" spans="1:9" s="212" customFormat="1">
      <c r="A722" s="90"/>
      <c r="B722" s="91"/>
      <c r="C722" s="91"/>
      <c r="D722" s="91"/>
      <c r="E722" s="91"/>
      <c r="F722" s="216"/>
      <c r="G722" s="290" t="s">
        <v>407</v>
      </c>
      <c r="H722" s="287">
        <f>SUM(G721:G721)</f>
        <v>4168.8</v>
      </c>
      <c r="I722" s="285"/>
    </row>
    <row r="723" spans="1:9" s="212" customFormat="1">
      <c r="A723" s="72" t="s">
        <v>410</v>
      </c>
      <c r="B723" s="73"/>
      <c r="C723" s="73"/>
      <c r="D723" s="73"/>
      <c r="E723" s="73"/>
      <c r="F723" s="216"/>
      <c r="G723" s="217"/>
      <c r="H723" s="289"/>
      <c r="I723" s="285"/>
    </row>
    <row r="724" spans="1:9" s="212" customFormat="1">
      <c r="A724" s="286" t="s">
        <v>391</v>
      </c>
      <c r="B724" s="76" t="s">
        <v>392</v>
      </c>
      <c r="C724" s="76" t="s">
        <v>393</v>
      </c>
      <c r="D724" s="76" t="s">
        <v>394</v>
      </c>
      <c r="E724" s="76" t="s">
        <v>395</v>
      </c>
      <c r="F724" s="76" t="s">
        <v>396</v>
      </c>
      <c r="G724" s="76" t="s">
        <v>397</v>
      </c>
      <c r="H724" s="289"/>
      <c r="I724" s="285"/>
    </row>
    <row r="725" spans="1:9" s="212" customFormat="1">
      <c r="A725" s="125" t="s">
        <v>478</v>
      </c>
      <c r="B725" s="126" t="s">
        <v>1063</v>
      </c>
      <c r="C725" s="127" t="s">
        <v>426</v>
      </c>
      <c r="D725" s="287">
        <v>5627</v>
      </c>
      <c r="E725" s="79">
        <v>0.5</v>
      </c>
      <c r="F725" s="79">
        <v>0</v>
      </c>
      <c r="G725" s="287">
        <f>(D725*E725)+((D725*E725)*F725/100)</f>
        <v>2813.5</v>
      </c>
      <c r="H725" s="289"/>
      <c r="I725" s="285"/>
    </row>
    <row r="726" spans="1:9" s="212" customFormat="1">
      <c r="A726" s="90"/>
      <c r="B726" s="91"/>
      <c r="C726" s="91"/>
      <c r="D726" s="91"/>
      <c r="E726" s="91"/>
      <c r="F726" s="216"/>
      <c r="G726" s="288" t="s">
        <v>407</v>
      </c>
      <c r="H726" s="287">
        <f>SUM(G725:G725)</f>
        <v>2813.5</v>
      </c>
      <c r="I726" s="285"/>
    </row>
    <row r="727" spans="1:9" s="212" customFormat="1">
      <c r="A727" s="72" t="s">
        <v>411</v>
      </c>
      <c r="B727" s="73"/>
      <c r="C727" s="73"/>
      <c r="D727" s="73"/>
      <c r="E727" s="73"/>
      <c r="F727" s="216"/>
      <c r="G727" s="217"/>
      <c r="H727" s="289"/>
      <c r="I727" s="285"/>
    </row>
    <row r="728" spans="1:9" s="212" customFormat="1">
      <c r="A728" s="286" t="s">
        <v>391</v>
      </c>
      <c r="B728" s="76" t="s">
        <v>392</v>
      </c>
      <c r="C728" s="76" t="s">
        <v>393</v>
      </c>
      <c r="D728" s="76" t="s">
        <v>394</v>
      </c>
      <c r="E728" s="76" t="s">
        <v>395</v>
      </c>
      <c r="F728" s="76" t="s">
        <v>396</v>
      </c>
      <c r="G728" s="76" t="s">
        <v>397</v>
      </c>
      <c r="H728" s="289"/>
      <c r="I728" s="285"/>
    </row>
    <row r="729" spans="1:9" s="212" customFormat="1">
      <c r="A729" s="87"/>
      <c r="B729" s="114"/>
      <c r="C729" s="114"/>
      <c r="D729" s="114"/>
      <c r="E729" s="215"/>
      <c r="F729" s="79"/>
      <c r="G729" s="287"/>
      <c r="H729" s="289"/>
      <c r="I729" s="285"/>
    </row>
    <row r="730" spans="1:9" s="212" customFormat="1">
      <c r="A730" s="94"/>
      <c r="B730" s="95"/>
      <c r="C730" s="95"/>
      <c r="D730" s="95"/>
      <c r="E730" s="95"/>
      <c r="F730" s="216"/>
      <c r="G730" s="288" t="s">
        <v>407</v>
      </c>
      <c r="H730" s="287">
        <f>SUM(G728:G729)</f>
        <v>0</v>
      </c>
      <c r="I730" s="285"/>
    </row>
    <row r="731" spans="1:9" s="212" customFormat="1">
      <c r="A731" s="94"/>
      <c r="B731" s="95"/>
      <c r="C731" s="95"/>
      <c r="D731" s="95"/>
      <c r="E731" s="95"/>
      <c r="F731" s="216"/>
      <c r="G731" s="217"/>
      <c r="H731" s="217"/>
      <c r="I731" s="285"/>
    </row>
    <row r="732" spans="1:9" s="212" customFormat="1">
      <c r="A732" s="292"/>
      <c r="B732" s="97"/>
      <c r="C732" s="98"/>
      <c r="D732" s="98"/>
      <c r="E732" s="98"/>
      <c r="F732" s="216"/>
      <c r="G732" s="293" t="s">
        <v>412</v>
      </c>
      <c r="H732" s="294">
        <f>SUM(H718:H730)</f>
        <v>7607.3</v>
      </c>
      <c r="I732" s="285"/>
    </row>
    <row r="733" spans="1:9" s="212" customFormat="1">
      <c r="A733" s="292"/>
      <c r="B733" s="97"/>
      <c r="C733" s="98"/>
      <c r="D733" s="98"/>
      <c r="E733" s="98"/>
      <c r="F733" s="295"/>
      <c r="G733" s="296"/>
      <c r="H733" s="218"/>
      <c r="I733" s="285"/>
    </row>
    <row r="734" spans="1:9" s="212" customFormat="1" ht="15.75" thickBot="1">
      <c r="A734" s="624" t="s">
        <v>761</v>
      </c>
      <c r="B734" s="625"/>
      <c r="C734" s="625"/>
      <c r="D734" s="625"/>
      <c r="E734" s="625"/>
      <c r="F734" s="625"/>
      <c r="G734" s="626"/>
      <c r="H734" s="297">
        <f>+ROUND(H732,0)</f>
        <v>7607</v>
      </c>
      <c r="I734" s="298"/>
    </row>
    <row r="735" spans="1:9" s="212" customFormat="1">
      <c r="A735" s="123"/>
      <c r="B735" s="95"/>
      <c r="C735" s="95"/>
      <c r="D735" s="95"/>
      <c r="E735" s="95"/>
      <c r="G735" s="73"/>
      <c r="H735" s="225"/>
    </row>
    <row r="736" spans="1:9" s="212" customFormat="1" ht="15.75" thickBot="1">
      <c r="B736" s="97"/>
      <c r="C736" s="98"/>
      <c r="D736" s="98"/>
      <c r="E736" s="98"/>
      <c r="G736" s="220"/>
    </row>
    <row r="737" spans="1:9" s="212" customFormat="1">
      <c r="A737" s="627"/>
      <c r="B737" s="629" t="s">
        <v>1124</v>
      </c>
      <c r="C737" s="630"/>
      <c r="D737" s="630"/>
      <c r="E737" s="630"/>
      <c r="F737" s="630"/>
      <c r="G737" s="630"/>
      <c r="H737" s="630"/>
      <c r="I737" s="66" t="s">
        <v>389</v>
      </c>
    </row>
    <row r="738" spans="1:9" s="212" customFormat="1">
      <c r="A738" s="628"/>
      <c r="B738" s="631"/>
      <c r="C738" s="632"/>
      <c r="D738" s="632"/>
      <c r="E738" s="632"/>
      <c r="F738" s="632"/>
      <c r="G738" s="632"/>
      <c r="H738" s="632"/>
      <c r="I738" s="67" t="s">
        <v>526</v>
      </c>
    </row>
    <row r="739" spans="1:9" s="212" customFormat="1">
      <c r="A739" s="68"/>
      <c r="B739" s="69" t="s">
        <v>533</v>
      </c>
      <c r="C739" s="69"/>
      <c r="D739" s="69"/>
      <c r="E739" s="69"/>
      <c r="F739" s="70"/>
      <c r="G739" s="70"/>
      <c r="H739" s="70"/>
      <c r="I739" s="71"/>
    </row>
    <row r="740" spans="1:9" s="212" customFormat="1">
      <c r="A740" s="72" t="s">
        <v>390</v>
      </c>
      <c r="B740" s="73"/>
      <c r="C740" s="73"/>
      <c r="D740" s="73"/>
      <c r="E740" s="73"/>
      <c r="F740" s="74"/>
      <c r="G740" s="74"/>
      <c r="H740" s="70"/>
      <c r="I740" s="71"/>
    </row>
    <row r="741" spans="1:9" s="212" customFormat="1">
      <c r="A741" s="75" t="s">
        <v>391</v>
      </c>
      <c r="B741" s="76" t="s">
        <v>392</v>
      </c>
      <c r="C741" s="76" t="s">
        <v>393</v>
      </c>
      <c r="D741" s="76" t="s">
        <v>394</v>
      </c>
      <c r="E741" s="76" t="s">
        <v>395</v>
      </c>
      <c r="F741" s="76" t="s">
        <v>396</v>
      </c>
      <c r="G741" s="76" t="s">
        <v>397</v>
      </c>
      <c r="H741" s="74"/>
      <c r="I741" s="71"/>
    </row>
    <row r="742" spans="1:9" s="212" customFormat="1">
      <c r="A742" s="135" t="s">
        <v>404</v>
      </c>
      <c r="B742" s="78" t="s">
        <v>405</v>
      </c>
      <c r="C742" s="127" t="s">
        <v>523</v>
      </c>
      <c r="D742" s="287">
        <v>1250</v>
      </c>
      <c r="E742" s="79">
        <v>0.3</v>
      </c>
      <c r="F742" s="79">
        <v>0</v>
      </c>
      <c r="G742" s="287">
        <f>(D742*E742)+((D742*E742)*F742/100)</f>
        <v>375</v>
      </c>
      <c r="H742" s="74"/>
      <c r="I742" s="71"/>
    </row>
    <row r="743" spans="1:9" s="212" customFormat="1">
      <c r="A743" s="82"/>
      <c r="B743" s="83"/>
      <c r="C743" s="84"/>
      <c r="D743" s="84"/>
      <c r="E743" s="84"/>
      <c r="F743"/>
      <c r="G743" s="93" t="s">
        <v>407</v>
      </c>
      <c r="H743" s="107">
        <f>SUM(G742:G742)</f>
        <v>375</v>
      </c>
      <c r="I743" s="71"/>
    </row>
    <row r="744" spans="1:9" s="212" customFormat="1">
      <c r="A744" s="72" t="s">
        <v>408</v>
      </c>
      <c r="B744" s="73"/>
      <c r="C744" s="73"/>
      <c r="D744" s="73"/>
      <c r="E744" s="73"/>
      <c r="F744"/>
      <c r="G744" s="74"/>
      <c r="H744" s="108"/>
      <c r="I744" s="71"/>
    </row>
    <row r="745" spans="1:9" s="212" customFormat="1">
      <c r="A745" s="75" t="s">
        <v>391</v>
      </c>
      <c r="B745" s="76" t="s">
        <v>392</v>
      </c>
      <c r="C745" s="76" t="s">
        <v>393</v>
      </c>
      <c r="D745" s="76" t="s">
        <v>394</v>
      </c>
      <c r="E745" s="76" t="s">
        <v>395</v>
      </c>
      <c r="F745" s="76" t="s">
        <v>396</v>
      </c>
      <c r="G745" s="76" t="s">
        <v>397</v>
      </c>
      <c r="H745" s="108"/>
      <c r="I745" s="71"/>
    </row>
    <row r="746" spans="1:9" s="212" customFormat="1" ht="16.5">
      <c r="A746" s="135">
        <v>2511</v>
      </c>
      <c r="B746" s="204" t="s">
        <v>534</v>
      </c>
      <c r="C746" s="127" t="s">
        <v>157</v>
      </c>
      <c r="D746" s="287">
        <v>56950</v>
      </c>
      <c r="E746" s="79">
        <v>4.0000000000000001E-3</v>
      </c>
      <c r="F746" s="79">
        <v>0</v>
      </c>
      <c r="G746" s="287">
        <f>(D746*E746)+((D746*E746)*F746/100)</f>
        <v>227.8</v>
      </c>
      <c r="H746" s="108"/>
      <c r="I746" s="71"/>
    </row>
    <row r="747" spans="1:9" s="212" customFormat="1" ht="16.5">
      <c r="A747" s="135">
        <v>3035</v>
      </c>
      <c r="B747" s="204" t="s">
        <v>538</v>
      </c>
      <c r="C747" s="127" t="s">
        <v>493</v>
      </c>
      <c r="D747" s="287">
        <v>19643</v>
      </c>
      <c r="E747" s="79">
        <v>1</v>
      </c>
      <c r="F747" s="79">
        <v>0.02</v>
      </c>
      <c r="G747" s="287">
        <f>(D747*E747)+((D747*E747)*F747/100)</f>
        <v>19646.928599999999</v>
      </c>
      <c r="H747" s="108"/>
      <c r="I747" s="71"/>
    </row>
    <row r="748" spans="1:9" s="212" customFormat="1" ht="16.5">
      <c r="A748" s="135">
        <v>4066</v>
      </c>
      <c r="B748" s="204" t="s">
        <v>535</v>
      </c>
      <c r="C748" s="127" t="s">
        <v>157</v>
      </c>
      <c r="D748" s="287">
        <v>23195</v>
      </c>
      <c r="E748" s="79">
        <v>4.0000000000000001E-3</v>
      </c>
      <c r="F748" s="79">
        <v>0</v>
      </c>
      <c r="G748" s="287">
        <f>(D748*E748)+((D748*E748)*F748/100)</f>
        <v>92.78</v>
      </c>
      <c r="H748" s="108"/>
      <c r="I748" s="71"/>
    </row>
    <row r="749" spans="1:9" s="212" customFormat="1">
      <c r="A749" s="90"/>
      <c r="B749" s="91"/>
      <c r="C749" s="91"/>
      <c r="D749" s="91"/>
      <c r="E749" s="91"/>
      <c r="F749"/>
      <c r="G749" s="85" t="s">
        <v>407</v>
      </c>
      <c r="H749" s="107">
        <f>SUM(G746:G748)</f>
        <v>19967.508599999997</v>
      </c>
      <c r="I749" s="71"/>
    </row>
    <row r="750" spans="1:9" s="212" customFormat="1">
      <c r="A750" s="72" t="s">
        <v>410</v>
      </c>
      <c r="B750" s="73"/>
      <c r="C750" s="73"/>
      <c r="D750" s="73"/>
      <c r="E750" s="73"/>
      <c r="F750"/>
      <c r="G750" s="74"/>
      <c r="H750" s="108"/>
      <c r="I750" s="71"/>
    </row>
    <row r="751" spans="1:9" s="212" customFormat="1">
      <c r="A751" s="75" t="s">
        <v>391</v>
      </c>
      <c r="B751" s="76" t="s">
        <v>392</v>
      </c>
      <c r="C751" s="76" t="s">
        <v>393</v>
      </c>
      <c r="D751" s="76" t="s">
        <v>394</v>
      </c>
      <c r="E751" s="76" t="s">
        <v>395</v>
      </c>
      <c r="F751" s="76" t="s">
        <v>396</v>
      </c>
      <c r="G751" s="76" t="s">
        <v>397</v>
      </c>
      <c r="H751" s="108"/>
      <c r="I751" s="71"/>
    </row>
    <row r="752" spans="1:9" s="212" customFormat="1" ht="25.5">
      <c r="A752" s="125" t="s">
        <v>494</v>
      </c>
      <c r="B752" s="78" t="s">
        <v>515</v>
      </c>
      <c r="C752" s="127" t="s">
        <v>426</v>
      </c>
      <c r="D752" s="287">
        <f>10300+5627</f>
        <v>15927</v>
      </c>
      <c r="E752" s="79">
        <v>0.25</v>
      </c>
      <c r="F752" s="79">
        <v>0</v>
      </c>
      <c r="G752" s="287">
        <f>(D752*E752)+((D752*E752)*F752/100)</f>
        <v>3981.75</v>
      </c>
      <c r="H752" s="108"/>
      <c r="I752" s="71"/>
    </row>
    <row r="753" spans="1:9" s="212" customFormat="1">
      <c r="A753" s="90"/>
      <c r="B753" s="91"/>
      <c r="C753" s="91"/>
      <c r="D753" s="91"/>
      <c r="E753" s="91"/>
      <c r="F753"/>
      <c r="G753" s="93" t="s">
        <v>407</v>
      </c>
      <c r="H753" s="107">
        <f>SUM(G752:G752)</f>
        <v>3981.75</v>
      </c>
      <c r="I753" s="71"/>
    </row>
    <row r="754" spans="1:9" s="212" customFormat="1">
      <c r="A754" s="72" t="s">
        <v>411</v>
      </c>
      <c r="B754" s="73"/>
      <c r="C754" s="73"/>
      <c r="D754" s="73"/>
      <c r="E754" s="73"/>
      <c r="F754"/>
      <c r="G754" s="74"/>
      <c r="H754" s="108"/>
      <c r="I754" s="71"/>
    </row>
    <row r="755" spans="1:9" s="212" customFormat="1">
      <c r="A755" s="75" t="s">
        <v>391</v>
      </c>
      <c r="B755" s="76" t="s">
        <v>392</v>
      </c>
      <c r="C755" s="76" t="s">
        <v>393</v>
      </c>
      <c r="D755" s="76" t="s">
        <v>394</v>
      </c>
      <c r="E755" s="76" t="s">
        <v>395</v>
      </c>
      <c r="F755" s="76" t="s">
        <v>396</v>
      </c>
      <c r="G755" s="76" t="s">
        <v>397</v>
      </c>
      <c r="H755" s="108"/>
      <c r="I755" s="71"/>
    </row>
    <row r="756" spans="1:9" s="212" customFormat="1">
      <c r="A756" s="87" t="s">
        <v>409</v>
      </c>
      <c r="B756" s="114" t="s">
        <v>409</v>
      </c>
      <c r="C756" s="114" t="s">
        <v>409</v>
      </c>
      <c r="D756" s="114" t="s">
        <v>409</v>
      </c>
      <c r="E756" s="114" t="s">
        <v>409</v>
      </c>
      <c r="F756" s="79" t="s">
        <v>409</v>
      </c>
      <c r="G756" s="89" t="s">
        <v>409</v>
      </c>
      <c r="H756" s="108"/>
      <c r="I756" s="71"/>
    </row>
    <row r="757" spans="1:9" s="212" customFormat="1">
      <c r="A757" s="94"/>
      <c r="B757" s="95"/>
      <c r="C757" s="95"/>
      <c r="D757" s="95"/>
      <c r="E757" s="95"/>
      <c r="F757"/>
      <c r="G757" s="93" t="s">
        <v>407</v>
      </c>
      <c r="H757" s="107">
        <f>SUM(G755:G756)</f>
        <v>0</v>
      </c>
      <c r="I757" s="71"/>
    </row>
    <row r="758" spans="1:9" s="212" customFormat="1">
      <c r="A758" s="94"/>
      <c r="B758" s="95"/>
      <c r="C758" s="95"/>
      <c r="D758" s="95"/>
      <c r="E758" s="95"/>
      <c r="F758"/>
      <c r="G758" s="74"/>
      <c r="H758" s="74"/>
      <c r="I758" s="71"/>
    </row>
    <row r="759" spans="1:9" s="212" customFormat="1">
      <c r="A759" s="96"/>
      <c r="B759" s="97"/>
      <c r="C759" s="98"/>
      <c r="D759" s="98"/>
      <c r="E759" s="98"/>
      <c r="F759"/>
      <c r="G759" s="99" t="s">
        <v>412</v>
      </c>
      <c r="H759" s="115">
        <f>SUM(H743:H757)</f>
        <v>24324.258599999997</v>
      </c>
      <c r="I759" s="71"/>
    </row>
    <row r="760" spans="1:9" s="212" customFormat="1">
      <c r="A760" s="96"/>
      <c r="B760" s="97"/>
      <c r="C760" s="98"/>
      <c r="D760" s="98"/>
      <c r="E760" s="98"/>
      <c r="F760" s="101"/>
      <c r="G760" s="116"/>
      <c r="H760" s="70"/>
      <c r="I760" s="71"/>
    </row>
    <row r="761" spans="1:9" s="212" customFormat="1" ht="15.75" thickBot="1">
      <c r="A761" s="624" t="s">
        <v>527</v>
      </c>
      <c r="B761" s="625"/>
      <c r="C761" s="625"/>
      <c r="D761" s="625"/>
      <c r="E761" s="625"/>
      <c r="F761" s="625"/>
      <c r="G761" s="626"/>
      <c r="H761" s="117">
        <f>+ROUND(H759,0)</f>
        <v>24324</v>
      </c>
      <c r="I761" s="103"/>
    </row>
    <row r="762" spans="1:9" s="212" customFormat="1" ht="15.75" thickBot="1">
      <c r="A762" s="633"/>
      <c r="B762" s="633"/>
      <c r="C762" s="633"/>
      <c r="D762" s="633"/>
      <c r="E762" s="633"/>
      <c r="F762" s="633"/>
      <c r="G762" s="633"/>
    </row>
    <row r="763" spans="1:9" s="212" customFormat="1">
      <c r="A763" s="627"/>
      <c r="B763" s="629" t="s">
        <v>1125</v>
      </c>
      <c r="C763" s="630"/>
      <c r="D763" s="630"/>
      <c r="E763" s="630"/>
      <c r="F763" s="630"/>
      <c r="G763" s="630"/>
      <c r="H763" s="630"/>
      <c r="I763" s="66" t="s">
        <v>389</v>
      </c>
    </row>
    <row r="764" spans="1:9" s="212" customFormat="1">
      <c r="A764" s="628"/>
      <c r="B764" s="631"/>
      <c r="C764" s="632"/>
      <c r="D764" s="632"/>
      <c r="E764" s="632"/>
      <c r="F764" s="632"/>
      <c r="G764" s="632"/>
      <c r="H764" s="632"/>
      <c r="I764" s="67" t="s">
        <v>526</v>
      </c>
    </row>
    <row r="765" spans="1:9" s="212" customFormat="1">
      <c r="A765" s="68"/>
      <c r="B765" s="69" t="s">
        <v>533</v>
      </c>
      <c r="C765" s="69"/>
      <c r="D765" s="69"/>
      <c r="E765" s="69"/>
      <c r="F765" s="70"/>
      <c r="G765" s="70"/>
      <c r="H765" s="70"/>
      <c r="I765" s="71"/>
    </row>
    <row r="766" spans="1:9" s="212" customFormat="1">
      <c r="A766" s="72" t="s">
        <v>390</v>
      </c>
      <c r="B766" s="73"/>
      <c r="C766" s="73"/>
      <c r="D766" s="73"/>
      <c r="E766" s="73"/>
      <c r="F766" s="74"/>
      <c r="G766" s="74"/>
      <c r="H766" s="70"/>
      <c r="I766" s="71"/>
    </row>
    <row r="767" spans="1:9" s="212" customFormat="1">
      <c r="A767" s="75" t="s">
        <v>391</v>
      </c>
      <c r="B767" s="76" t="s">
        <v>392</v>
      </c>
      <c r="C767" s="76" t="s">
        <v>393</v>
      </c>
      <c r="D767" s="76" t="s">
        <v>394</v>
      </c>
      <c r="E767" s="76" t="s">
        <v>395</v>
      </c>
      <c r="F767" s="76" t="s">
        <v>396</v>
      </c>
      <c r="G767" s="76" t="s">
        <v>397</v>
      </c>
      <c r="H767" s="74"/>
      <c r="I767" s="71"/>
    </row>
    <row r="768" spans="1:9" s="212" customFormat="1">
      <c r="A768" s="135" t="s">
        <v>404</v>
      </c>
      <c r="B768" s="78" t="s">
        <v>405</v>
      </c>
      <c r="C768" s="127" t="s">
        <v>523</v>
      </c>
      <c r="D768" s="287">
        <v>1250</v>
      </c>
      <c r="E768" s="79">
        <v>0.3</v>
      </c>
      <c r="F768" s="79">
        <v>0</v>
      </c>
      <c r="G768" s="287">
        <f>(D768*E768)+((D768*E768)*F768/100)</f>
        <v>375</v>
      </c>
      <c r="H768" s="74"/>
      <c r="I768" s="71"/>
    </row>
    <row r="769" spans="1:9" s="212" customFormat="1">
      <c r="A769" s="82"/>
      <c r="B769" s="83"/>
      <c r="C769" s="84"/>
      <c r="D769" s="84"/>
      <c r="E769" s="84"/>
      <c r="F769"/>
      <c r="G769" s="93" t="s">
        <v>407</v>
      </c>
      <c r="H769" s="107">
        <f>SUM(G768:G768)</f>
        <v>375</v>
      </c>
      <c r="I769" s="71"/>
    </row>
    <row r="770" spans="1:9" s="212" customFormat="1">
      <c r="A770" s="72" t="s">
        <v>408</v>
      </c>
      <c r="B770" s="73"/>
      <c r="C770" s="73"/>
      <c r="D770" s="73"/>
      <c r="E770" s="73"/>
      <c r="F770"/>
      <c r="G770" s="74"/>
      <c r="H770" s="108"/>
      <c r="I770" s="71"/>
    </row>
    <row r="771" spans="1:9" s="212" customFormat="1">
      <c r="A771" s="75" t="s">
        <v>391</v>
      </c>
      <c r="B771" s="76" t="s">
        <v>392</v>
      </c>
      <c r="C771" s="76" t="s">
        <v>393</v>
      </c>
      <c r="D771" s="76" t="s">
        <v>394</v>
      </c>
      <c r="E771" s="76" t="s">
        <v>395</v>
      </c>
      <c r="F771" s="76" t="s">
        <v>396</v>
      </c>
      <c r="G771" s="76" t="s">
        <v>397</v>
      </c>
      <c r="H771" s="108"/>
      <c r="I771" s="71"/>
    </row>
    <row r="772" spans="1:9" s="212" customFormat="1" ht="16.5">
      <c r="A772" s="135">
        <v>2511</v>
      </c>
      <c r="B772" s="204" t="s">
        <v>534</v>
      </c>
      <c r="C772" s="127" t="s">
        <v>157</v>
      </c>
      <c r="D772" s="287">
        <v>56950</v>
      </c>
      <c r="E772" s="79">
        <v>4.0000000000000001E-3</v>
      </c>
      <c r="F772" s="79">
        <v>0</v>
      </c>
      <c r="G772" s="287">
        <f>(D772*E772)+((D772*E772)*F772/100)</f>
        <v>227.8</v>
      </c>
      <c r="H772" s="108"/>
      <c r="I772" s="71"/>
    </row>
    <row r="773" spans="1:9" s="212" customFormat="1" ht="16.5">
      <c r="A773" s="135">
        <v>3035</v>
      </c>
      <c r="B773" s="204" t="s">
        <v>1126</v>
      </c>
      <c r="C773" s="127" t="s">
        <v>493</v>
      </c>
      <c r="D773" s="287">
        <f>274792*1.2/6</f>
        <v>54958.399999999994</v>
      </c>
      <c r="E773" s="79">
        <v>1</v>
      </c>
      <c r="F773" s="79">
        <v>0.02</v>
      </c>
      <c r="G773" s="287">
        <f>(D773*E773)+((D773*E773)*F773/100)</f>
        <v>54969.391679999993</v>
      </c>
      <c r="H773" s="108"/>
      <c r="I773" s="71"/>
    </row>
    <row r="774" spans="1:9" s="212" customFormat="1" ht="16.5">
      <c r="A774" s="135">
        <v>4066</v>
      </c>
      <c r="B774" s="204" t="s">
        <v>535</v>
      </c>
      <c r="C774" s="127" t="s">
        <v>157</v>
      </c>
      <c r="D774" s="287">
        <v>23195</v>
      </c>
      <c r="E774" s="79">
        <v>4.0000000000000001E-3</v>
      </c>
      <c r="F774" s="79">
        <v>0</v>
      </c>
      <c r="G774" s="287">
        <f>(D774*E774)+((D774*E774)*F774/100)</f>
        <v>92.78</v>
      </c>
      <c r="H774" s="108"/>
      <c r="I774" s="71"/>
    </row>
    <row r="775" spans="1:9" s="212" customFormat="1">
      <c r="A775" s="90"/>
      <c r="B775" s="91"/>
      <c r="C775" s="91"/>
      <c r="D775" s="91"/>
      <c r="E775" s="91"/>
      <c r="F775"/>
      <c r="G775" s="85" t="s">
        <v>407</v>
      </c>
      <c r="H775" s="107">
        <f>SUM(G772:G774)</f>
        <v>55289.971679999995</v>
      </c>
      <c r="I775" s="71"/>
    </row>
    <row r="776" spans="1:9" s="212" customFormat="1">
      <c r="A776" s="72" t="s">
        <v>410</v>
      </c>
      <c r="B776" s="73"/>
      <c r="C776" s="73"/>
      <c r="D776" s="73"/>
      <c r="E776" s="73"/>
      <c r="F776"/>
      <c r="G776" s="74"/>
      <c r="H776" s="108"/>
      <c r="I776" s="71"/>
    </row>
    <row r="777" spans="1:9" s="212" customFormat="1">
      <c r="A777" s="75" t="s">
        <v>391</v>
      </c>
      <c r="B777" s="76" t="s">
        <v>392</v>
      </c>
      <c r="C777" s="76" t="s">
        <v>393</v>
      </c>
      <c r="D777" s="76" t="s">
        <v>394</v>
      </c>
      <c r="E777" s="76" t="s">
        <v>395</v>
      </c>
      <c r="F777" s="76" t="s">
        <v>396</v>
      </c>
      <c r="G777" s="76" t="s">
        <v>397</v>
      </c>
      <c r="H777" s="108"/>
      <c r="I777" s="71"/>
    </row>
    <row r="778" spans="1:9" s="212" customFormat="1" ht="25.5">
      <c r="A778" s="125" t="s">
        <v>494</v>
      </c>
      <c r="B778" s="78" t="s">
        <v>515</v>
      </c>
      <c r="C778" s="127" t="s">
        <v>426</v>
      </c>
      <c r="D778" s="287">
        <f>10300+5627</f>
        <v>15927</v>
      </c>
      <c r="E778" s="79">
        <v>0.5</v>
      </c>
      <c r="F778" s="79">
        <v>0</v>
      </c>
      <c r="G778" s="287">
        <f>(D778*E778)+((D778*E778)*F778/100)</f>
        <v>7963.5</v>
      </c>
      <c r="H778" s="108"/>
      <c r="I778" s="71"/>
    </row>
    <row r="779" spans="1:9" s="212" customFormat="1">
      <c r="A779" s="90"/>
      <c r="B779" s="91"/>
      <c r="C779" s="91"/>
      <c r="D779" s="91"/>
      <c r="E779" s="91"/>
      <c r="F779"/>
      <c r="G779" s="93" t="s">
        <v>407</v>
      </c>
      <c r="H779" s="107">
        <f>SUM(G778:G778)</f>
        <v>7963.5</v>
      </c>
      <c r="I779" s="71"/>
    </row>
    <row r="780" spans="1:9" s="212" customFormat="1">
      <c r="A780" s="72" t="s">
        <v>411</v>
      </c>
      <c r="B780" s="73"/>
      <c r="C780" s="73"/>
      <c r="D780" s="73"/>
      <c r="E780" s="73"/>
      <c r="F780"/>
      <c r="G780" s="74"/>
      <c r="H780" s="108"/>
      <c r="I780" s="71"/>
    </row>
    <row r="781" spans="1:9" s="212" customFormat="1">
      <c r="A781" s="75" t="s">
        <v>391</v>
      </c>
      <c r="B781" s="76" t="s">
        <v>392</v>
      </c>
      <c r="C781" s="76" t="s">
        <v>393</v>
      </c>
      <c r="D781" s="76" t="s">
        <v>394</v>
      </c>
      <c r="E781" s="76" t="s">
        <v>395</v>
      </c>
      <c r="F781" s="76" t="s">
        <v>396</v>
      </c>
      <c r="G781" s="76" t="s">
        <v>397</v>
      </c>
      <c r="H781" s="108"/>
      <c r="I781" s="71"/>
    </row>
    <row r="782" spans="1:9" s="212" customFormat="1">
      <c r="A782" s="87" t="s">
        <v>409</v>
      </c>
      <c r="B782" s="114" t="s">
        <v>409</v>
      </c>
      <c r="C782" s="114" t="s">
        <v>409</v>
      </c>
      <c r="D782" s="114" t="s">
        <v>409</v>
      </c>
      <c r="E782" s="114" t="s">
        <v>409</v>
      </c>
      <c r="F782" s="79" t="s">
        <v>409</v>
      </c>
      <c r="G782" s="89" t="s">
        <v>409</v>
      </c>
      <c r="H782" s="108"/>
      <c r="I782" s="71"/>
    </row>
    <row r="783" spans="1:9" s="212" customFormat="1">
      <c r="A783" s="94"/>
      <c r="B783" s="95"/>
      <c r="C783" s="95"/>
      <c r="D783" s="95"/>
      <c r="E783" s="95"/>
      <c r="F783"/>
      <c r="G783" s="93" t="s">
        <v>407</v>
      </c>
      <c r="H783" s="107">
        <f>SUM(G781:G782)</f>
        <v>0</v>
      </c>
      <c r="I783" s="71"/>
    </row>
    <row r="784" spans="1:9" s="212" customFormat="1">
      <c r="A784" s="94"/>
      <c r="B784" s="95"/>
      <c r="C784" s="95"/>
      <c r="D784" s="95"/>
      <c r="E784" s="95"/>
      <c r="F784"/>
      <c r="G784" s="74"/>
      <c r="H784" s="74"/>
      <c r="I784" s="71"/>
    </row>
    <row r="785" spans="1:9" s="212" customFormat="1">
      <c r="A785" s="96"/>
      <c r="B785" s="97"/>
      <c r="C785" s="98"/>
      <c r="D785" s="98"/>
      <c r="E785" s="98"/>
      <c r="F785"/>
      <c r="G785" s="99" t="s">
        <v>412</v>
      </c>
      <c r="H785" s="115">
        <f>SUM(H769:H783)</f>
        <v>63628.471679999995</v>
      </c>
      <c r="I785" s="71"/>
    </row>
    <row r="786" spans="1:9" s="212" customFormat="1">
      <c r="A786" s="96"/>
      <c r="B786" s="97"/>
      <c r="C786" s="98"/>
      <c r="D786" s="98"/>
      <c r="E786" s="98"/>
      <c r="F786" s="101"/>
      <c r="G786" s="116"/>
      <c r="H786" s="70"/>
      <c r="I786" s="71"/>
    </row>
    <row r="787" spans="1:9" s="212" customFormat="1" ht="15.75" thickBot="1">
      <c r="A787" s="624" t="s">
        <v>527</v>
      </c>
      <c r="B787" s="625"/>
      <c r="C787" s="625"/>
      <c r="D787" s="625"/>
      <c r="E787" s="625"/>
      <c r="F787" s="625"/>
      <c r="G787" s="626"/>
      <c r="H787" s="117">
        <f>+ROUND(H785,0)</f>
        <v>63628</v>
      </c>
      <c r="I787" s="103"/>
    </row>
    <row r="788" spans="1:9" s="212" customFormat="1">
      <c r="A788" s="658"/>
      <c r="B788" s="227"/>
      <c r="C788" s="227"/>
      <c r="D788" s="227"/>
      <c r="E788" s="227"/>
      <c r="F788" s="227"/>
      <c r="G788" s="227"/>
      <c r="H788" s="227"/>
      <c r="I788" s="229"/>
    </row>
    <row r="789" spans="1:9" s="212" customFormat="1" ht="15.75" thickBot="1">
      <c r="A789" s="658"/>
      <c r="B789" s="227"/>
      <c r="C789" s="227"/>
      <c r="D789" s="227"/>
      <c r="E789" s="227"/>
      <c r="F789" s="227"/>
      <c r="G789" s="227"/>
    </row>
    <row r="790" spans="1:9" s="212" customFormat="1">
      <c r="A790" s="627"/>
      <c r="B790" s="634" t="s">
        <v>1058</v>
      </c>
      <c r="C790" s="635"/>
      <c r="D790" s="635"/>
      <c r="E790" s="635"/>
      <c r="F790" s="635"/>
      <c r="G790" s="635"/>
      <c r="H790" s="636"/>
      <c r="I790" s="66" t="s">
        <v>389</v>
      </c>
    </row>
    <row r="791" spans="1:9" s="212" customFormat="1">
      <c r="A791" s="628"/>
      <c r="B791" s="637"/>
      <c r="C791" s="638"/>
      <c r="D791" s="638"/>
      <c r="E791" s="638"/>
      <c r="F791" s="638"/>
      <c r="G791" s="638"/>
      <c r="H791" s="639"/>
      <c r="I791" s="67" t="s">
        <v>157</v>
      </c>
    </row>
    <row r="792" spans="1:9" s="212" customFormat="1">
      <c r="A792" s="68"/>
      <c r="B792" s="69"/>
      <c r="C792" s="69"/>
      <c r="D792" s="69"/>
      <c r="E792" s="69"/>
      <c r="F792" s="70"/>
      <c r="G792" s="70"/>
      <c r="H792" s="70"/>
      <c r="I792" s="71"/>
    </row>
    <row r="793" spans="1:9" s="212" customFormat="1">
      <c r="A793" s="72" t="s">
        <v>390</v>
      </c>
      <c r="B793" s="73"/>
      <c r="C793" s="73"/>
      <c r="D793" s="73"/>
      <c r="E793" s="73"/>
      <c r="F793" s="74"/>
      <c r="G793" s="74"/>
      <c r="H793" s="70"/>
      <c r="I793" s="71"/>
    </row>
    <row r="794" spans="1:9" s="212" customFormat="1">
      <c r="A794" s="75" t="s">
        <v>391</v>
      </c>
      <c r="B794" s="76" t="s">
        <v>392</v>
      </c>
      <c r="C794" s="76" t="s">
        <v>393</v>
      </c>
      <c r="D794" s="76" t="s">
        <v>394</v>
      </c>
      <c r="E794" s="76" t="s">
        <v>395</v>
      </c>
      <c r="F794" s="76" t="s">
        <v>396</v>
      </c>
      <c r="G794" s="76" t="s">
        <v>397</v>
      </c>
      <c r="H794" s="74"/>
      <c r="I794" s="71"/>
    </row>
    <row r="795" spans="1:9" s="212" customFormat="1">
      <c r="A795" s="77" t="s">
        <v>404</v>
      </c>
      <c r="B795" s="78" t="s">
        <v>405</v>
      </c>
      <c r="C795" s="79" t="s">
        <v>406</v>
      </c>
      <c r="D795" s="107">
        <v>1250</v>
      </c>
      <c r="E795" s="79">
        <v>5</v>
      </c>
      <c r="F795" s="79">
        <v>0</v>
      </c>
      <c r="G795" s="107">
        <f>(D795*E795)+((D795*E795)*F795/100)</f>
        <v>6250</v>
      </c>
      <c r="H795" s="74"/>
      <c r="I795" s="71"/>
    </row>
    <row r="796" spans="1:9" s="212" customFormat="1">
      <c r="A796" s="82"/>
      <c r="B796" s="83"/>
      <c r="C796" s="84"/>
      <c r="D796" s="84"/>
      <c r="E796" s="84"/>
      <c r="F796"/>
      <c r="G796" s="85" t="s">
        <v>407</v>
      </c>
      <c r="H796" s="107">
        <f>SUM(G795:G795)</f>
        <v>6250</v>
      </c>
      <c r="I796" s="71"/>
    </row>
    <row r="797" spans="1:9" s="212" customFormat="1">
      <c r="A797" s="72" t="s">
        <v>408</v>
      </c>
      <c r="B797" s="73"/>
      <c r="C797" s="73"/>
      <c r="D797" s="73"/>
      <c r="E797" s="73"/>
      <c r="F797"/>
      <c r="G797" s="74"/>
      <c r="H797" s="108"/>
      <c r="I797" s="71"/>
    </row>
    <row r="798" spans="1:9" s="212" customFormat="1">
      <c r="A798" s="75" t="s">
        <v>391</v>
      </c>
      <c r="B798" s="76" t="s">
        <v>392</v>
      </c>
      <c r="C798" s="76" t="s">
        <v>393</v>
      </c>
      <c r="D798" s="76" t="s">
        <v>394</v>
      </c>
      <c r="E798" s="76" t="s">
        <v>395</v>
      </c>
      <c r="F798" s="76" t="s">
        <v>396</v>
      </c>
      <c r="G798" s="76" t="s">
        <v>397</v>
      </c>
      <c r="H798" s="108"/>
      <c r="I798" s="71"/>
    </row>
    <row r="799" spans="1:9" s="212" customFormat="1">
      <c r="A799" s="135"/>
      <c r="B799" s="282" t="s">
        <v>207</v>
      </c>
      <c r="C799" s="127" t="s">
        <v>6</v>
      </c>
      <c r="D799" s="107">
        <v>6800</v>
      </c>
      <c r="E799" s="281">
        <v>1051</v>
      </c>
      <c r="F799" s="79">
        <v>0</v>
      </c>
      <c r="G799" s="107">
        <f>(D799*E799)+((D799*E799)*F799/100)</f>
        <v>7146800</v>
      </c>
      <c r="H799" s="108"/>
      <c r="I799" s="71"/>
    </row>
    <row r="800" spans="1:9" s="212" customFormat="1">
      <c r="A800" s="139"/>
      <c r="B800" s="282" t="s">
        <v>1059</v>
      </c>
      <c r="C800" s="127" t="s">
        <v>8</v>
      </c>
      <c r="D800" s="107">
        <v>70000</v>
      </c>
      <c r="E800" s="281">
        <v>12</v>
      </c>
      <c r="F800" s="79">
        <v>0</v>
      </c>
      <c r="G800" s="107">
        <f>(D800*E800)+((D800*E800)*F800/100)</f>
        <v>840000</v>
      </c>
      <c r="H800" s="108"/>
      <c r="I800" s="71"/>
    </row>
    <row r="801" spans="1:9" s="212" customFormat="1">
      <c r="A801" s="139"/>
      <c r="B801" s="282"/>
      <c r="C801" s="127"/>
      <c r="D801" s="107"/>
      <c r="E801" s="281"/>
      <c r="F801" s="79"/>
      <c r="G801" s="107"/>
      <c r="H801" s="108"/>
      <c r="I801" s="71"/>
    </row>
    <row r="802" spans="1:9" s="212" customFormat="1">
      <c r="A802" s="90"/>
      <c r="B802" s="91"/>
      <c r="C802" s="91"/>
      <c r="D802" s="91"/>
      <c r="E802" s="91"/>
      <c r="F802"/>
      <c r="G802" s="85" t="s">
        <v>407</v>
      </c>
      <c r="H802" s="107">
        <f>SUM(G799:G801)</f>
        <v>7986800</v>
      </c>
      <c r="I802" s="71"/>
    </row>
    <row r="803" spans="1:9" s="212" customFormat="1">
      <c r="A803" s="72" t="s">
        <v>410</v>
      </c>
      <c r="B803" s="73"/>
      <c r="C803" s="73"/>
      <c r="D803" s="73"/>
      <c r="E803" s="73"/>
      <c r="F803"/>
      <c r="G803" s="74"/>
      <c r="H803" s="108"/>
      <c r="I803" s="71"/>
    </row>
    <row r="804" spans="1:9" s="212" customFormat="1">
      <c r="A804" s="75" t="s">
        <v>391</v>
      </c>
      <c r="B804" s="76" t="s">
        <v>392</v>
      </c>
      <c r="C804" s="76" t="s">
        <v>393</v>
      </c>
      <c r="D804" s="76" t="s">
        <v>394</v>
      </c>
      <c r="E804" s="76" t="s">
        <v>395</v>
      </c>
      <c r="F804" s="76" t="s">
        <v>396</v>
      </c>
      <c r="G804" s="76" t="s">
        <v>397</v>
      </c>
      <c r="H804" s="108"/>
      <c r="I804" s="71"/>
    </row>
    <row r="805" spans="1:9" s="212" customFormat="1">
      <c r="A805" s="125" t="s">
        <v>478</v>
      </c>
      <c r="B805" s="126" t="s">
        <v>1029</v>
      </c>
      <c r="C805" s="127" t="s">
        <v>426</v>
      </c>
      <c r="D805" s="107">
        <f>10300+5927*2</f>
        <v>22154</v>
      </c>
      <c r="E805" s="79">
        <v>10</v>
      </c>
      <c r="F805" s="79">
        <v>0</v>
      </c>
      <c r="G805" s="107">
        <f>(D805*E805)+((D805*E805)*F805/100)</f>
        <v>221540</v>
      </c>
      <c r="H805" s="108"/>
      <c r="I805" s="149"/>
    </row>
    <row r="806" spans="1:9" s="212" customFormat="1">
      <c r="A806" s="90"/>
      <c r="B806" s="91"/>
      <c r="C806" s="91"/>
      <c r="D806" s="91"/>
      <c r="E806" s="91"/>
      <c r="F806"/>
      <c r="G806" s="93" t="s">
        <v>407</v>
      </c>
      <c r="H806" s="107">
        <f>SUM(G805:G805)</f>
        <v>221540</v>
      </c>
      <c r="I806" s="71"/>
    </row>
    <row r="807" spans="1:9" s="212" customFormat="1">
      <c r="A807" s="72" t="s">
        <v>411</v>
      </c>
      <c r="B807" s="73"/>
      <c r="C807" s="73"/>
      <c r="D807" s="73"/>
      <c r="E807" s="73"/>
      <c r="F807"/>
      <c r="G807" s="74"/>
      <c r="H807" s="108"/>
      <c r="I807" s="71"/>
    </row>
    <row r="808" spans="1:9" s="212" customFormat="1">
      <c r="A808" s="75" t="s">
        <v>391</v>
      </c>
      <c r="B808" s="76" t="s">
        <v>392</v>
      </c>
      <c r="C808" s="76" t="s">
        <v>393</v>
      </c>
      <c r="D808" s="76" t="s">
        <v>394</v>
      </c>
      <c r="E808" s="76" t="s">
        <v>395</v>
      </c>
      <c r="F808" s="76" t="s">
        <v>396</v>
      </c>
      <c r="G808" s="76" t="s">
        <v>397</v>
      </c>
      <c r="H808" s="108"/>
      <c r="I808" s="71"/>
    </row>
    <row r="809" spans="1:9" s="212" customFormat="1">
      <c r="A809" s="87" t="s">
        <v>409</v>
      </c>
      <c r="B809" s="114" t="s">
        <v>409</v>
      </c>
      <c r="C809" s="114" t="s">
        <v>409</v>
      </c>
      <c r="D809" s="114" t="s">
        <v>409</v>
      </c>
      <c r="E809" s="114" t="s">
        <v>409</v>
      </c>
      <c r="F809" s="79" t="s">
        <v>409</v>
      </c>
      <c r="G809" s="89" t="s">
        <v>409</v>
      </c>
      <c r="H809" s="108"/>
      <c r="I809" s="71"/>
    </row>
    <row r="810" spans="1:9" s="212" customFormat="1">
      <c r="A810" s="94"/>
      <c r="B810" s="95"/>
      <c r="C810" s="95"/>
      <c r="D810" s="95"/>
      <c r="E810" s="95"/>
      <c r="F810"/>
      <c r="G810" s="93" t="s">
        <v>407</v>
      </c>
      <c r="H810" s="107">
        <f>SUM(G808:G809)</f>
        <v>0</v>
      </c>
      <c r="I810" s="71"/>
    </row>
    <row r="811" spans="1:9" s="212" customFormat="1">
      <c r="A811" s="94"/>
      <c r="B811" s="95"/>
      <c r="C811" s="95"/>
      <c r="D811" s="95"/>
      <c r="E811" s="95"/>
      <c r="F811"/>
      <c r="G811" s="74"/>
      <c r="H811" s="74"/>
      <c r="I811" s="71"/>
    </row>
    <row r="812" spans="1:9" s="212" customFormat="1">
      <c r="A812" s="96"/>
      <c r="B812" s="97"/>
      <c r="C812" s="98"/>
      <c r="D812" s="98"/>
      <c r="E812" s="98"/>
      <c r="F812"/>
      <c r="G812" s="99" t="s">
        <v>412</v>
      </c>
      <c r="H812" s="115">
        <f>SUM(H796:H810)</f>
        <v>8214590</v>
      </c>
      <c r="I812" s="71"/>
    </row>
    <row r="813" spans="1:9" s="212" customFormat="1">
      <c r="A813" s="96"/>
      <c r="B813" s="97"/>
      <c r="C813" s="98"/>
      <c r="D813" s="98"/>
      <c r="E813" s="98"/>
      <c r="F813" s="101"/>
      <c r="G813" s="116"/>
      <c r="H813" s="70"/>
      <c r="I813" s="71"/>
    </row>
    <row r="814" spans="1:9" s="212" customFormat="1" ht="15.75" thickBot="1">
      <c r="A814" s="624" t="s">
        <v>761</v>
      </c>
      <c r="B814" s="625"/>
      <c r="C814" s="625"/>
      <c r="D814" s="625"/>
      <c r="E814" s="625"/>
      <c r="F814" s="625"/>
      <c r="G814" s="626"/>
      <c r="H814" s="117">
        <f>+ROUND(H812,0)</f>
        <v>8214590</v>
      </c>
      <c r="I814" s="103"/>
    </row>
    <row r="815" spans="1:9" s="212" customFormat="1">
      <c r="A815" s="120"/>
      <c r="B815" s="73"/>
      <c r="C815" s="73"/>
      <c r="D815" s="73"/>
      <c r="E815" s="73"/>
      <c r="F815" s="73"/>
      <c r="G815" s="73"/>
      <c r="H815" s="73"/>
    </row>
    <row r="816" spans="1:9" s="212" customFormat="1" ht="15.75" thickBot="1">
      <c r="A816" s="220"/>
      <c r="B816" s="141"/>
      <c r="C816" s="141"/>
      <c r="D816" s="141"/>
      <c r="E816" s="141"/>
      <c r="F816" s="141"/>
      <c r="G816" s="141"/>
      <c r="H816" s="73"/>
    </row>
    <row r="817" spans="1:9" s="212" customFormat="1">
      <c r="A817" s="627"/>
      <c r="B817" s="634" t="s">
        <v>1127</v>
      </c>
      <c r="C817" s="635"/>
      <c r="D817" s="635"/>
      <c r="E817" s="635"/>
      <c r="F817" s="635"/>
      <c r="G817" s="635"/>
      <c r="H817" s="636"/>
      <c r="I817" s="66" t="s">
        <v>389</v>
      </c>
    </row>
    <row r="818" spans="1:9" s="212" customFormat="1">
      <c r="A818" s="628"/>
      <c r="B818" s="637"/>
      <c r="C818" s="638"/>
      <c r="D818" s="638"/>
      <c r="E818" s="638"/>
      <c r="F818" s="638"/>
      <c r="G818" s="638"/>
      <c r="H818" s="639"/>
      <c r="I818" s="67" t="s">
        <v>526</v>
      </c>
    </row>
    <row r="819" spans="1:9" s="212" customFormat="1">
      <c r="A819" s="68"/>
      <c r="B819" s="69" t="s">
        <v>533</v>
      </c>
      <c r="C819" s="69"/>
      <c r="D819" s="69"/>
      <c r="E819" s="69"/>
      <c r="F819" s="70"/>
      <c r="G819" s="70"/>
      <c r="H819" s="70"/>
      <c r="I819" s="71"/>
    </row>
    <row r="820" spans="1:9" s="212" customFormat="1">
      <c r="A820" s="72" t="s">
        <v>390</v>
      </c>
      <c r="B820" s="73"/>
      <c r="C820" s="73"/>
      <c r="D820" s="73"/>
      <c r="E820" s="73"/>
      <c r="F820" s="74"/>
      <c r="G820" s="74"/>
      <c r="H820" s="70"/>
      <c r="I820" s="71"/>
    </row>
    <row r="821" spans="1:9" s="212" customFormat="1">
      <c r="A821" s="75" t="s">
        <v>391</v>
      </c>
      <c r="B821" s="76" t="s">
        <v>392</v>
      </c>
      <c r="C821" s="76" t="s">
        <v>393</v>
      </c>
      <c r="D821" s="76" t="s">
        <v>394</v>
      </c>
      <c r="E821" s="76" t="s">
        <v>395</v>
      </c>
      <c r="F821" s="76" t="s">
        <v>396</v>
      </c>
      <c r="G821" s="76" t="s">
        <v>397</v>
      </c>
      <c r="H821" s="74"/>
      <c r="I821" s="71"/>
    </row>
    <row r="822" spans="1:9" s="212" customFormat="1">
      <c r="A822" s="135" t="s">
        <v>404</v>
      </c>
      <c r="B822" s="78" t="s">
        <v>405</v>
      </c>
      <c r="C822" s="127" t="s">
        <v>523</v>
      </c>
      <c r="D822" s="107">
        <v>1250</v>
      </c>
      <c r="E822" s="79">
        <v>0.9</v>
      </c>
      <c r="F822" s="79">
        <v>0</v>
      </c>
      <c r="G822" s="107">
        <f>(D822*E822)+((D822*E822)*F822/100)</f>
        <v>1125</v>
      </c>
      <c r="H822" s="74"/>
      <c r="I822" s="71"/>
    </row>
    <row r="823" spans="1:9" s="212" customFormat="1">
      <c r="A823" s="82"/>
      <c r="B823" s="83"/>
      <c r="C823" s="84"/>
      <c r="D823" s="84"/>
      <c r="E823" s="84"/>
      <c r="F823"/>
      <c r="G823" s="93" t="s">
        <v>407</v>
      </c>
      <c r="H823" s="107">
        <f>SUM(G822:G822)</f>
        <v>1125</v>
      </c>
      <c r="I823" s="71"/>
    </row>
    <row r="824" spans="1:9" s="212" customFormat="1">
      <c r="A824" s="72" t="s">
        <v>408</v>
      </c>
      <c r="B824" s="73"/>
      <c r="C824" s="73"/>
      <c r="D824" s="73"/>
      <c r="E824" s="73"/>
      <c r="F824"/>
      <c r="G824" s="74"/>
      <c r="H824" s="108"/>
      <c r="I824" s="71"/>
    </row>
    <row r="825" spans="1:9" s="212" customFormat="1">
      <c r="A825" s="75" t="s">
        <v>391</v>
      </c>
      <c r="B825" s="76" t="s">
        <v>392</v>
      </c>
      <c r="C825" s="76" t="s">
        <v>393</v>
      </c>
      <c r="D825" s="76" t="s">
        <v>394</v>
      </c>
      <c r="E825" s="76" t="s">
        <v>395</v>
      </c>
      <c r="F825" s="76" t="s">
        <v>396</v>
      </c>
      <c r="G825" s="76" t="s">
        <v>397</v>
      </c>
      <c r="H825" s="108"/>
      <c r="I825" s="71"/>
    </row>
    <row r="826" spans="1:9" s="212" customFormat="1" ht="16.5">
      <c r="A826" s="135">
        <v>2511</v>
      </c>
      <c r="B826" s="204" t="s">
        <v>534</v>
      </c>
      <c r="C826" s="127" t="s">
        <v>157</v>
      </c>
      <c r="D826" s="107">
        <v>56950</v>
      </c>
      <c r="E826" s="79">
        <v>8.0000000000000002E-3</v>
      </c>
      <c r="F826" s="79">
        <v>0</v>
      </c>
      <c r="G826" s="107">
        <f>(D826*E826)+((D826*E826)*F826/100)</f>
        <v>455.6</v>
      </c>
      <c r="H826" s="108"/>
      <c r="I826" s="71"/>
    </row>
    <row r="827" spans="1:9" s="212" customFormat="1" ht="16.5">
      <c r="A827" s="135">
        <v>3035</v>
      </c>
      <c r="B827" s="204" t="s">
        <v>1128</v>
      </c>
      <c r="C827" s="127" t="s">
        <v>493</v>
      </c>
      <c r="D827" s="107">
        <f>465462*1.2/6</f>
        <v>93092.400000000009</v>
      </c>
      <c r="E827" s="79">
        <v>1</v>
      </c>
      <c r="F827" s="79">
        <v>0.02</v>
      </c>
      <c r="G827" s="107">
        <f>(D827*E827)+((D827*E827)*F827/100)</f>
        <v>93111.018480000013</v>
      </c>
      <c r="H827" s="108"/>
      <c r="I827" s="71"/>
    </row>
    <row r="828" spans="1:9" s="212" customFormat="1" ht="16.5">
      <c r="A828" s="135">
        <v>4066</v>
      </c>
      <c r="B828" s="204" t="s">
        <v>535</v>
      </c>
      <c r="C828" s="127" t="s">
        <v>157</v>
      </c>
      <c r="D828" s="107">
        <v>23195</v>
      </c>
      <c r="E828" s="79">
        <v>8.0000000000000002E-3</v>
      </c>
      <c r="F828" s="79">
        <v>0</v>
      </c>
      <c r="G828" s="107">
        <f>(D828*E828)+((D828*E828)*F828/100)</f>
        <v>185.56</v>
      </c>
      <c r="H828" s="108"/>
      <c r="I828" s="71"/>
    </row>
    <row r="829" spans="1:9" s="212" customFormat="1">
      <c r="A829" s="90"/>
      <c r="B829" s="91"/>
      <c r="C829" s="91"/>
      <c r="D829" s="91"/>
      <c r="E829" s="91"/>
      <c r="F829"/>
      <c r="G829" s="85" t="s">
        <v>407</v>
      </c>
      <c r="H829" s="107">
        <f>SUM(G826:G828)</f>
        <v>93752.178480000017</v>
      </c>
      <c r="I829" s="71"/>
    </row>
    <row r="830" spans="1:9" s="212" customFormat="1">
      <c r="A830" s="72" t="s">
        <v>410</v>
      </c>
      <c r="B830" s="73"/>
      <c r="C830" s="73"/>
      <c r="D830" s="73"/>
      <c r="E830" s="73"/>
      <c r="F830"/>
      <c r="G830" s="74"/>
      <c r="H830" s="108"/>
      <c r="I830" s="71"/>
    </row>
    <row r="831" spans="1:9" s="212" customFormat="1">
      <c r="A831" s="75" t="s">
        <v>391</v>
      </c>
      <c r="B831" s="76" t="s">
        <v>392</v>
      </c>
      <c r="C831" s="76" t="s">
        <v>393</v>
      </c>
      <c r="D831" s="76" t="s">
        <v>394</v>
      </c>
      <c r="E831" s="76" t="s">
        <v>395</v>
      </c>
      <c r="F831" s="76" t="s">
        <v>396</v>
      </c>
      <c r="G831" s="76" t="s">
        <v>397</v>
      </c>
      <c r="H831" s="108"/>
      <c r="I831" s="71"/>
    </row>
    <row r="832" spans="1:9" s="212" customFormat="1" ht="25.5">
      <c r="A832" s="125" t="s">
        <v>494</v>
      </c>
      <c r="B832" s="78" t="s">
        <v>515</v>
      </c>
      <c r="C832" s="127" t="s">
        <v>426</v>
      </c>
      <c r="D832" s="107">
        <f>10300+5627</f>
        <v>15927</v>
      </c>
      <c r="E832" s="79">
        <v>0.8</v>
      </c>
      <c r="F832" s="79">
        <v>0</v>
      </c>
      <c r="G832" s="107">
        <f>(D832*E832)+((D832*E832)*F832/100)</f>
        <v>12741.6</v>
      </c>
      <c r="H832" s="108"/>
      <c r="I832" s="71"/>
    </row>
    <row r="833" spans="1:9" s="212" customFormat="1">
      <c r="A833" s="90"/>
      <c r="B833" s="91"/>
      <c r="C833" s="91"/>
      <c r="D833" s="91"/>
      <c r="E833" s="91"/>
      <c r="F833"/>
      <c r="G833" s="93" t="s">
        <v>407</v>
      </c>
      <c r="H833" s="107">
        <f>SUM(G832:G832)</f>
        <v>12741.6</v>
      </c>
      <c r="I833" s="71"/>
    </row>
    <row r="834" spans="1:9" s="212" customFormat="1">
      <c r="A834" s="72" t="s">
        <v>411</v>
      </c>
      <c r="B834" s="73"/>
      <c r="C834" s="73"/>
      <c r="D834" s="73"/>
      <c r="E834" s="73"/>
      <c r="F834"/>
      <c r="G834" s="74"/>
      <c r="H834" s="108"/>
      <c r="I834" s="71"/>
    </row>
    <row r="835" spans="1:9" s="212" customFormat="1">
      <c r="A835" s="75" t="s">
        <v>391</v>
      </c>
      <c r="B835" s="76" t="s">
        <v>392</v>
      </c>
      <c r="C835" s="76" t="s">
        <v>393</v>
      </c>
      <c r="D835" s="76" t="s">
        <v>394</v>
      </c>
      <c r="E835" s="76" t="s">
        <v>395</v>
      </c>
      <c r="F835" s="76" t="s">
        <v>396</v>
      </c>
      <c r="G835" s="76" t="s">
        <v>397</v>
      </c>
      <c r="H835" s="108"/>
      <c r="I835" s="71"/>
    </row>
    <row r="836" spans="1:9" s="212" customFormat="1">
      <c r="A836" s="87" t="s">
        <v>409</v>
      </c>
      <c r="B836" s="114" t="s">
        <v>409</v>
      </c>
      <c r="C836" s="114" t="s">
        <v>409</v>
      </c>
      <c r="D836" s="114" t="s">
        <v>409</v>
      </c>
      <c r="E836" s="114" t="s">
        <v>409</v>
      </c>
      <c r="F836" s="79" t="s">
        <v>409</v>
      </c>
      <c r="G836" s="89" t="s">
        <v>409</v>
      </c>
      <c r="H836" s="108"/>
      <c r="I836" s="71"/>
    </row>
    <row r="837" spans="1:9" s="212" customFormat="1">
      <c r="A837" s="94"/>
      <c r="B837" s="95"/>
      <c r="C837" s="95"/>
      <c r="D837" s="95"/>
      <c r="E837" s="95"/>
      <c r="F837"/>
      <c r="G837" s="93" t="s">
        <v>407</v>
      </c>
      <c r="H837" s="107">
        <f>SUM(G835:G836)</f>
        <v>0</v>
      </c>
      <c r="I837" s="71"/>
    </row>
    <row r="838" spans="1:9" s="212" customFormat="1">
      <c r="A838" s="94"/>
      <c r="B838" s="95"/>
      <c r="C838" s="95"/>
      <c r="D838" s="95"/>
      <c r="E838" s="95"/>
      <c r="F838"/>
      <c r="G838" s="74"/>
      <c r="H838" s="74"/>
      <c r="I838" s="71"/>
    </row>
    <row r="839" spans="1:9" s="212" customFormat="1">
      <c r="A839" s="96"/>
      <c r="B839" s="97"/>
      <c r="C839" s="98"/>
      <c r="D839" s="98"/>
      <c r="E839" s="98"/>
      <c r="F839"/>
      <c r="G839" s="99" t="s">
        <v>412</v>
      </c>
      <c r="H839" s="115">
        <f>SUM(H823:H837)</f>
        <v>107618.77848000002</v>
      </c>
      <c r="I839" s="71"/>
    </row>
    <row r="840" spans="1:9" s="212" customFormat="1">
      <c r="A840" s="96"/>
      <c r="B840" s="97"/>
      <c r="C840" s="98"/>
      <c r="D840" s="98"/>
      <c r="E840" s="98"/>
      <c r="F840" s="101"/>
      <c r="G840" s="116"/>
      <c r="H840" s="70"/>
      <c r="I840" s="71"/>
    </row>
    <row r="841" spans="1:9" s="212" customFormat="1" ht="15.75" thickBot="1">
      <c r="A841" s="624" t="s">
        <v>527</v>
      </c>
      <c r="B841" s="625"/>
      <c r="C841" s="625"/>
      <c r="D841" s="625"/>
      <c r="E841" s="625"/>
      <c r="F841" s="625"/>
      <c r="G841" s="626"/>
      <c r="H841" s="117">
        <f>+ROUND(H839,0)</f>
        <v>107619</v>
      </c>
      <c r="I841" s="103"/>
    </row>
    <row r="842" spans="1:9" s="212" customFormat="1">
      <c r="A842" s="84"/>
      <c r="B842" s="83"/>
      <c r="C842" s="84"/>
      <c r="D842" s="84"/>
      <c r="E842" s="84"/>
      <c r="G842" s="213"/>
      <c r="H842" s="222"/>
    </row>
    <row r="843" spans="1:9" s="212" customFormat="1" ht="15.75" thickBot="1">
      <c r="A843" s="120"/>
      <c r="B843" s="73"/>
      <c r="C843" s="73"/>
      <c r="D843" s="73"/>
      <c r="E843" s="73"/>
      <c r="G843" s="73"/>
      <c r="H843" s="222"/>
    </row>
    <row r="844" spans="1:9" s="212" customFormat="1">
      <c r="A844" s="656"/>
      <c r="B844" s="659" t="s">
        <v>209</v>
      </c>
      <c r="C844" s="660"/>
      <c r="D844" s="660"/>
      <c r="E844" s="660"/>
      <c r="F844" s="660"/>
      <c r="G844" s="660"/>
      <c r="H844" s="660"/>
      <c r="I844" s="310" t="s">
        <v>389</v>
      </c>
    </row>
    <row r="845" spans="1:9" s="212" customFormat="1">
      <c r="A845" s="657"/>
      <c r="B845" s="661"/>
      <c r="C845" s="662"/>
      <c r="D845" s="662"/>
      <c r="E845" s="662"/>
      <c r="F845" s="662"/>
      <c r="G845" s="662"/>
      <c r="H845" s="662"/>
      <c r="I845" s="311" t="s">
        <v>432</v>
      </c>
    </row>
    <row r="846" spans="1:9" s="212" customFormat="1">
      <c r="A846" s="68"/>
      <c r="B846" s="69" t="s">
        <v>533</v>
      </c>
      <c r="C846" s="69"/>
      <c r="D846" s="69"/>
      <c r="E846" s="69"/>
      <c r="F846" s="70"/>
      <c r="G846" s="70"/>
      <c r="H846" s="70"/>
      <c r="I846" s="71"/>
    </row>
    <row r="847" spans="1:9" s="212" customFormat="1">
      <c r="A847" s="72" t="s">
        <v>390</v>
      </c>
      <c r="B847" s="73"/>
      <c r="C847" s="73"/>
      <c r="D847" s="73"/>
      <c r="E847" s="73"/>
      <c r="F847" s="74"/>
      <c r="G847" s="74"/>
      <c r="H847" s="70"/>
      <c r="I847" s="71"/>
    </row>
    <row r="848" spans="1:9" s="212" customFormat="1">
      <c r="A848" s="75" t="s">
        <v>391</v>
      </c>
      <c r="B848" s="76" t="s">
        <v>392</v>
      </c>
      <c r="C848" s="76" t="s">
        <v>393</v>
      </c>
      <c r="D848" s="76" t="s">
        <v>394</v>
      </c>
      <c r="E848" s="76" t="s">
        <v>395</v>
      </c>
      <c r="F848" s="76" t="s">
        <v>396</v>
      </c>
      <c r="G848" s="76" t="s">
        <v>397</v>
      </c>
      <c r="H848" s="74"/>
      <c r="I848" s="71"/>
    </row>
    <row r="849" spans="1:9" s="212" customFormat="1">
      <c r="A849" s="135" t="s">
        <v>409</v>
      </c>
      <c r="B849" s="79" t="s">
        <v>409</v>
      </c>
      <c r="C849" s="127" t="s">
        <v>409</v>
      </c>
      <c r="D849" s="79" t="s">
        <v>409</v>
      </c>
      <c r="E849" s="79" t="s">
        <v>409</v>
      </c>
      <c r="F849" s="79" t="s">
        <v>409</v>
      </c>
      <c r="G849" s="89" t="s">
        <v>409</v>
      </c>
      <c r="H849" s="74"/>
      <c r="I849" s="71"/>
    </row>
    <row r="850" spans="1:9" s="212" customFormat="1">
      <c r="A850" s="82"/>
      <c r="B850" s="83"/>
      <c r="C850" s="84"/>
      <c r="D850" s="84"/>
      <c r="E850" s="84"/>
      <c r="F850"/>
      <c r="G850" s="93" t="s">
        <v>407</v>
      </c>
      <c r="H850" s="107">
        <f>SUM(G849:G849)</f>
        <v>0</v>
      </c>
      <c r="I850" s="71"/>
    </row>
    <row r="851" spans="1:9" s="212" customFormat="1">
      <c r="A851" s="72" t="s">
        <v>408</v>
      </c>
      <c r="B851" s="73"/>
      <c r="C851" s="73"/>
      <c r="D851" s="73"/>
      <c r="E851" s="73"/>
      <c r="F851"/>
      <c r="G851" s="74"/>
      <c r="H851" s="108"/>
      <c r="I851" s="71"/>
    </row>
    <row r="852" spans="1:9" s="212" customFormat="1">
      <c r="A852" s="75" t="s">
        <v>391</v>
      </c>
      <c r="B852" s="76" t="s">
        <v>392</v>
      </c>
      <c r="C852" s="76" t="s">
        <v>393</v>
      </c>
      <c r="D852" s="76" t="s">
        <v>394</v>
      </c>
      <c r="E852" s="76" t="s">
        <v>395</v>
      </c>
      <c r="F852" s="76" t="s">
        <v>396</v>
      </c>
      <c r="G852" s="76" t="s">
        <v>397</v>
      </c>
      <c r="H852" s="108"/>
      <c r="I852" s="71"/>
    </row>
    <row r="853" spans="1:9" s="212" customFormat="1" ht="25.5">
      <c r="A853" s="135">
        <v>5797</v>
      </c>
      <c r="B853" s="78" t="s">
        <v>539</v>
      </c>
      <c r="C853" s="127" t="s">
        <v>157</v>
      </c>
      <c r="D853" s="206">
        <v>450</v>
      </c>
      <c r="E853" s="79">
        <v>815</v>
      </c>
      <c r="F853" s="79">
        <v>0</v>
      </c>
      <c r="G853" s="206">
        <f>(D853*E853)+((D853*E853)*F853/100)</f>
        <v>366750</v>
      </c>
      <c r="H853" s="108"/>
      <c r="I853" s="71"/>
    </row>
    <row r="854" spans="1:9" s="212" customFormat="1">
      <c r="A854" s="90"/>
      <c r="B854" s="91"/>
      <c r="C854" s="91"/>
      <c r="D854" s="91"/>
      <c r="E854" s="91"/>
      <c r="F854"/>
      <c r="G854" s="85" t="s">
        <v>407</v>
      </c>
      <c r="H854" s="107">
        <f>SUM(G853:G853)</f>
        <v>366750</v>
      </c>
      <c r="I854" s="71"/>
    </row>
    <row r="855" spans="1:9" s="212" customFormat="1">
      <c r="A855" s="72" t="s">
        <v>410</v>
      </c>
      <c r="B855" s="73"/>
      <c r="C855" s="73"/>
      <c r="D855" s="73"/>
      <c r="E855" s="73"/>
      <c r="F855"/>
      <c r="G855" s="74"/>
      <c r="H855" s="108"/>
      <c r="I855" s="71"/>
    </row>
    <row r="856" spans="1:9" s="212" customFormat="1">
      <c r="A856" s="75" t="s">
        <v>391</v>
      </c>
      <c r="B856" s="76" t="s">
        <v>392</v>
      </c>
      <c r="C856" s="76" t="s">
        <v>393</v>
      </c>
      <c r="D856" s="76" t="s">
        <v>394</v>
      </c>
      <c r="E856" s="76" t="s">
        <v>395</v>
      </c>
      <c r="F856" s="76" t="s">
        <v>396</v>
      </c>
      <c r="G856" s="76" t="s">
        <v>397</v>
      </c>
      <c r="H856" s="108"/>
      <c r="I856" s="71"/>
    </row>
    <row r="857" spans="1:9" s="212" customFormat="1" ht="25.5">
      <c r="A857" s="125" t="s">
        <v>494</v>
      </c>
      <c r="B857" s="78" t="s">
        <v>515</v>
      </c>
      <c r="C857" s="127" t="s">
        <v>426</v>
      </c>
      <c r="D857" s="206">
        <v>15927</v>
      </c>
      <c r="E857" s="79">
        <v>2</v>
      </c>
      <c r="F857" s="79">
        <v>0</v>
      </c>
      <c r="G857" s="206">
        <f>(D857*E857)+((D857*E857)*F857/100)</f>
        <v>31854</v>
      </c>
      <c r="H857" s="108"/>
      <c r="I857" s="71"/>
    </row>
    <row r="858" spans="1:9" s="212" customFormat="1">
      <c r="A858" s="90"/>
      <c r="B858" s="91"/>
      <c r="C858" s="91"/>
      <c r="D858" s="91"/>
      <c r="E858" s="91"/>
      <c r="F858"/>
      <c r="G858" s="93" t="s">
        <v>407</v>
      </c>
      <c r="H858" s="107">
        <f>SUM(G857:G857)</f>
        <v>31854</v>
      </c>
      <c r="I858" s="71"/>
    </row>
    <row r="859" spans="1:9" s="212" customFormat="1">
      <c r="A859" s="72" t="s">
        <v>411</v>
      </c>
      <c r="B859" s="73"/>
      <c r="C859" s="73"/>
      <c r="D859" s="73"/>
      <c r="E859" s="73"/>
      <c r="F859"/>
      <c r="G859" s="74"/>
      <c r="H859" s="108"/>
      <c r="I859" s="71"/>
    </row>
    <row r="860" spans="1:9" s="212" customFormat="1">
      <c r="A860" s="75" t="s">
        <v>391</v>
      </c>
      <c r="B860" s="76" t="s">
        <v>392</v>
      </c>
      <c r="C860" s="76" t="s">
        <v>393</v>
      </c>
      <c r="D860" s="76" t="s">
        <v>394</v>
      </c>
      <c r="E860" s="76" t="s">
        <v>395</v>
      </c>
      <c r="F860" s="76" t="s">
        <v>396</v>
      </c>
      <c r="G860" s="76" t="s">
        <v>397</v>
      </c>
      <c r="H860" s="108"/>
      <c r="I860" s="71"/>
    </row>
    <row r="861" spans="1:9" s="212" customFormat="1">
      <c r="A861" s="87" t="s">
        <v>409</v>
      </c>
      <c r="B861" s="114" t="s">
        <v>409</v>
      </c>
      <c r="C861" s="114" t="s">
        <v>409</v>
      </c>
      <c r="D861" s="114" t="s">
        <v>409</v>
      </c>
      <c r="E861" s="114" t="s">
        <v>409</v>
      </c>
      <c r="F861" s="79" t="s">
        <v>409</v>
      </c>
      <c r="G861" s="89" t="s">
        <v>409</v>
      </c>
      <c r="H861" s="108"/>
      <c r="I861" s="71"/>
    </row>
    <row r="862" spans="1:9" s="212" customFormat="1">
      <c r="A862" s="94"/>
      <c r="B862" s="95"/>
      <c r="C862" s="95"/>
      <c r="D862" s="95"/>
      <c r="E862" s="95"/>
      <c r="F862"/>
      <c r="G862" s="93" t="s">
        <v>407</v>
      </c>
      <c r="H862" s="107">
        <f>SUM(G860:G861)</f>
        <v>0</v>
      </c>
      <c r="I862" s="71"/>
    </row>
    <row r="863" spans="1:9" s="212" customFormat="1">
      <c r="A863" s="94"/>
      <c r="B863" s="95"/>
      <c r="C863" s="95"/>
      <c r="D863" s="95"/>
      <c r="E863" s="95"/>
      <c r="F863"/>
      <c r="G863" s="74"/>
      <c r="H863" s="74"/>
      <c r="I863" s="71"/>
    </row>
    <row r="864" spans="1:9" s="212" customFormat="1">
      <c r="A864" s="96"/>
      <c r="B864" s="97"/>
      <c r="C864" s="98"/>
      <c r="D864" s="98"/>
      <c r="E864" s="98"/>
      <c r="F864"/>
      <c r="G864" s="99" t="s">
        <v>412</v>
      </c>
      <c r="H864" s="115">
        <f>SUM(H850:H862)</f>
        <v>398604</v>
      </c>
      <c r="I864" s="71"/>
    </row>
    <row r="865" spans="1:9" s="212" customFormat="1">
      <c r="A865" s="96"/>
      <c r="B865" s="97"/>
      <c r="C865" s="98"/>
      <c r="D865" s="98"/>
      <c r="E865" s="98"/>
      <c r="F865" s="101"/>
      <c r="G865" s="116"/>
      <c r="H865" s="70"/>
      <c r="I865" s="71"/>
    </row>
    <row r="866" spans="1:9" s="212" customFormat="1" ht="15.75" thickBot="1">
      <c r="A866" s="624" t="s">
        <v>441</v>
      </c>
      <c r="B866" s="625"/>
      <c r="C866" s="625"/>
      <c r="D866" s="625"/>
      <c r="E866" s="625"/>
      <c r="F866" s="625"/>
      <c r="G866" s="626"/>
      <c r="H866" s="117">
        <f>H864</f>
        <v>398604</v>
      </c>
      <c r="I866" s="103"/>
    </row>
    <row r="867" spans="1:9" s="212" customFormat="1">
      <c r="A867"/>
      <c r="B867"/>
      <c r="C867"/>
      <c r="D867"/>
      <c r="E867"/>
      <c r="F867"/>
      <c r="G867"/>
      <c r="H867"/>
      <c r="I867"/>
    </row>
    <row r="868" spans="1:9" s="212" customFormat="1" ht="15.75" thickBot="1">
      <c r="A868" s="220"/>
      <c r="B868" s="141"/>
      <c r="C868" s="141"/>
      <c r="D868" s="141"/>
      <c r="E868" s="141"/>
      <c r="F868" s="141"/>
      <c r="G868" s="141"/>
      <c r="H868" s="222"/>
    </row>
    <row r="869" spans="1:9" s="212" customFormat="1">
      <c r="A869" s="678" t="s">
        <v>409</v>
      </c>
      <c r="B869" s="680" t="s">
        <v>208</v>
      </c>
      <c r="C869" s="681"/>
      <c r="D869" s="681"/>
      <c r="E869" s="681"/>
      <c r="F869" s="681"/>
      <c r="G869" s="681"/>
      <c r="H869" s="682"/>
      <c r="I869" s="200" t="s">
        <v>389</v>
      </c>
    </row>
    <row r="870" spans="1:9" s="212" customFormat="1">
      <c r="A870" s="679"/>
      <c r="B870" s="683"/>
      <c r="C870" s="684"/>
      <c r="D870" s="684"/>
      <c r="E870" s="684"/>
      <c r="F870" s="684"/>
      <c r="G870" s="684"/>
      <c r="H870" s="685"/>
      <c r="I870" s="201" t="s">
        <v>7</v>
      </c>
    </row>
    <row r="871" spans="1:9" s="212" customFormat="1">
      <c r="A871" s="68"/>
      <c r="B871" s="69" t="s">
        <v>533</v>
      </c>
      <c r="C871" s="69"/>
      <c r="D871" s="69"/>
      <c r="E871" s="69"/>
      <c r="F871" s="70"/>
      <c r="G871" s="70"/>
      <c r="H871" s="70"/>
      <c r="I871" s="71"/>
    </row>
    <row r="872" spans="1:9" s="212" customFormat="1">
      <c r="A872" s="72" t="s">
        <v>390</v>
      </c>
      <c r="B872" s="73"/>
      <c r="C872" s="73"/>
      <c r="D872" s="73"/>
      <c r="E872" s="73"/>
      <c r="F872" s="74"/>
      <c r="G872" s="74"/>
      <c r="H872" s="70"/>
      <c r="I872" s="71"/>
    </row>
    <row r="873" spans="1:9" s="212" customFormat="1">
      <c r="A873" s="75" t="s">
        <v>391</v>
      </c>
      <c r="B873" s="76" t="s">
        <v>392</v>
      </c>
      <c r="C873" s="76" t="s">
        <v>393</v>
      </c>
      <c r="D873" s="76" t="s">
        <v>394</v>
      </c>
      <c r="E873" s="76" t="s">
        <v>395</v>
      </c>
      <c r="F873" s="76" t="s">
        <v>396</v>
      </c>
      <c r="G873" s="76" t="s">
        <v>397</v>
      </c>
      <c r="H873" s="74"/>
      <c r="I873" s="71"/>
    </row>
    <row r="874" spans="1:9" s="212" customFormat="1">
      <c r="A874" s="135" t="s">
        <v>404</v>
      </c>
      <c r="B874" s="78" t="s">
        <v>405</v>
      </c>
      <c r="C874" s="127" t="s">
        <v>523</v>
      </c>
      <c r="D874" s="206">
        <v>1250</v>
      </c>
      <c r="E874" s="79">
        <v>2</v>
      </c>
      <c r="F874" s="79">
        <v>0</v>
      </c>
      <c r="G874" s="206">
        <f>(D874*E874)+((D874*E874)*F874/100)</f>
        <v>2500</v>
      </c>
      <c r="H874" s="74"/>
      <c r="I874" s="71"/>
    </row>
    <row r="875" spans="1:9" s="212" customFormat="1">
      <c r="A875" s="82"/>
      <c r="B875" s="83"/>
      <c r="C875" s="84"/>
      <c r="D875" s="84"/>
      <c r="E875" s="84"/>
      <c r="F875"/>
      <c r="G875" s="93" t="s">
        <v>407</v>
      </c>
      <c r="H875" s="107">
        <f>SUM(G874:G874)</f>
        <v>2500</v>
      </c>
      <c r="I875" s="71"/>
    </row>
    <row r="876" spans="1:9" s="212" customFormat="1">
      <c r="A876" s="72" t="s">
        <v>408</v>
      </c>
      <c r="B876" s="73"/>
      <c r="C876" s="73"/>
      <c r="D876" s="73"/>
      <c r="E876" s="73"/>
      <c r="F876"/>
      <c r="G876" s="74"/>
      <c r="H876" s="108"/>
      <c r="I876" s="71"/>
    </row>
    <row r="877" spans="1:9" s="212" customFormat="1">
      <c r="A877" s="75" t="s">
        <v>391</v>
      </c>
      <c r="B877" s="76" t="s">
        <v>392</v>
      </c>
      <c r="C877" s="76" t="s">
        <v>393</v>
      </c>
      <c r="D877" s="76" t="s">
        <v>394</v>
      </c>
      <c r="E877" s="76" t="s">
        <v>395</v>
      </c>
      <c r="F877" s="76" t="s">
        <v>396</v>
      </c>
      <c r="G877" s="76" t="s">
        <v>397</v>
      </c>
      <c r="H877" s="108"/>
      <c r="I877" s="71"/>
    </row>
    <row r="878" spans="1:9" s="212" customFormat="1" ht="16.5">
      <c r="A878" s="135" t="s">
        <v>409</v>
      </c>
      <c r="B878" s="204" t="s">
        <v>1129</v>
      </c>
      <c r="C878" s="127" t="s">
        <v>157</v>
      </c>
      <c r="D878" s="206">
        <v>150000</v>
      </c>
      <c r="E878" s="79">
        <v>1</v>
      </c>
      <c r="F878" s="79">
        <v>0</v>
      </c>
      <c r="G878" s="206">
        <f>(D878*E878)+((D878*E878)*F878/100)</f>
        <v>150000</v>
      </c>
      <c r="H878" s="108"/>
      <c r="I878" s="71"/>
    </row>
    <row r="879" spans="1:9" s="212" customFormat="1">
      <c r="A879" s="90"/>
      <c r="B879" s="91"/>
      <c r="C879" s="91"/>
      <c r="D879" s="91"/>
      <c r="E879" s="91"/>
      <c r="F879"/>
      <c r="G879" s="85" t="s">
        <v>407</v>
      </c>
      <c r="H879" s="107">
        <f>SUM(G878:G878)</f>
        <v>150000</v>
      </c>
      <c r="I879" s="71"/>
    </row>
    <row r="880" spans="1:9" s="212" customFormat="1">
      <c r="A880" s="72" t="s">
        <v>410</v>
      </c>
      <c r="B880" s="73"/>
      <c r="C880" s="73"/>
      <c r="D880" s="73"/>
      <c r="E880" s="73"/>
      <c r="F880"/>
      <c r="G880" s="74"/>
      <c r="H880" s="108"/>
      <c r="I880" s="71"/>
    </row>
    <row r="881" spans="1:11" s="212" customFormat="1">
      <c r="A881" s="75" t="s">
        <v>391</v>
      </c>
      <c r="B881" s="76" t="s">
        <v>392</v>
      </c>
      <c r="C881" s="76" t="s">
        <v>393</v>
      </c>
      <c r="D881" s="76" t="s">
        <v>394</v>
      </c>
      <c r="E881" s="76" t="s">
        <v>395</v>
      </c>
      <c r="F881" s="76" t="s">
        <v>396</v>
      </c>
      <c r="G881" s="76" t="s">
        <v>397</v>
      </c>
      <c r="H881" s="108"/>
      <c r="I881" s="71"/>
    </row>
    <row r="882" spans="1:11" s="212" customFormat="1" ht="25.5">
      <c r="A882" s="125" t="s">
        <v>494</v>
      </c>
      <c r="B882" s="78" t="s">
        <v>515</v>
      </c>
      <c r="C882" s="127" t="s">
        <v>426</v>
      </c>
      <c r="D882" s="206">
        <v>15927</v>
      </c>
      <c r="E882" s="79">
        <v>2</v>
      </c>
      <c r="F882" s="79">
        <v>0</v>
      </c>
      <c r="G882" s="206">
        <f>(D882*E882)+((D882*E882)*F882/100)</f>
        <v>31854</v>
      </c>
      <c r="H882" s="108"/>
      <c r="I882" s="71"/>
    </row>
    <row r="883" spans="1:11" s="212" customFormat="1">
      <c r="A883" s="90"/>
      <c r="B883" s="91"/>
      <c r="C883" s="91"/>
      <c r="D883" s="91"/>
      <c r="E883" s="91"/>
      <c r="F883"/>
      <c r="G883" s="93" t="s">
        <v>407</v>
      </c>
      <c r="H883" s="107">
        <f>SUM(G882:G882)</f>
        <v>31854</v>
      </c>
      <c r="I883" s="71"/>
    </row>
    <row r="884" spans="1:11" s="212" customFormat="1">
      <c r="A884" s="72" t="s">
        <v>411</v>
      </c>
      <c r="B884" s="73"/>
      <c r="C884" s="73"/>
      <c r="D884" s="73"/>
      <c r="E884" s="73"/>
      <c r="F884"/>
      <c r="G884" s="74"/>
      <c r="H884" s="108"/>
      <c r="I884" s="71"/>
    </row>
    <row r="885" spans="1:11" s="212" customFormat="1">
      <c r="A885" s="75" t="s">
        <v>391</v>
      </c>
      <c r="B885" s="76" t="s">
        <v>392</v>
      </c>
      <c r="C885" s="76" t="s">
        <v>393</v>
      </c>
      <c r="D885" s="76" t="s">
        <v>394</v>
      </c>
      <c r="E885" s="76" t="s">
        <v>395</v>
      </c>
      <c r="F885" s="76" t="s">
        <v>396</v>
      </c>
      <c r="G885" s="76" t="s">
        <v>397</v>
      </c>
      <c r="H885" s="108"/>
      <c r="I885" s="71"/>
    </row>
    <row r="886" spans="1:11" s="212" customFormat="1">
      <c r="A886" s="87" t="s">
        <v>409</v>
      </c>
      <c r="B886" s="114" t="s">
        <v>409</v>
      </c>
      <c r="C886" s="114" t="s">
        <v>409</v>
      </c>
      <c r="D886" s="114" t="s">
        <v>409</v>
      </c>
      <c r="E886" s="114" t="s">
        <v>409</v>
      </c>
      <c r="F886" s="79" t="s">
        <v>409</v>
      </c>
      <c r="G886" s="89" t="s">
        <v>409</v>
      </c>
      <c r="H886" s="108"/>
      <c r="I886" s="71"/>
    </row>
    <row r="887" spans="1:11" s="212" customFormat="1">
      <c r="A887" s="94"/>
      <c r="B887" s="95"/>
      <c r="C887" s="95"/>
      <c r="D887" s="95"/>
      <c r="E887" s="95"/>
      <c r="F887"/>
      <c r="G887" s="93" t="s">
        <v>407</v>
      </c>
      <c r="H887" s="107">
        <f>SUM(G885:G886)</f>
        <v>0</v>
      </c>
      <c r="I887" s="71"/>
    </row>
    <row r="888" spans="1:11" s="212" customFormat="1">
      <c r="A888" s="94"/>
      <c r="B888" s="95"/>
      <c r="C888" s="95"/>
      <c r="D888" s="95"/>
      <c r="E888" s="95"/>
      <c r="F888"/>
      <c r="G888" s="74"/>
      <c r="H888" s="74"/>
      <c r="I888" s="71"/>
      <c r="K888" s="230"/>
    </row>
    <row r="889" spans="1:11" s="212" customFormat="1">
      <c r="A889" s="96"/>
      <c r="B889" s="97"/>
      <c r="C889" s="98"/>
      <c r="D889" s="98"/>
      <c r="E889" s="98"/>
      <c r="F889"/>
      <c r="G889" s="99" t="s">
        <v>412</v>
      </c>
      <c r="H889" s="115">
        <f>SUM(H875:H887)</f>
        <v>184354</v>
      </c>
      <c r="I889" s="71"/>
    </row>
    <row r="890" spans="1:11" s="212" customFormat="1">
      <c r="A890" s="96"/>
      <c r="B890" s="97"/>
      <c r="C890" s="98"/>
      <c r="D890" s="98"/>
      <c r="E890" s="98"/>
      <c r="F890" s="101"/>
      <c r="G890" s="116"/>
      <c r="H890" s="70"/>
      <c r="I890" s="71"/>
    </row>
    <row r="891" spans="1:11" s="212" customFormat="1" ht="15.75" thickBot="1">
      <c r="A891" s="624" t="s">
        <v>502</v>
      </c>
      <c r="B891" s="625"/>
      <c r="C891" s="625"/>
      <c r="D891" s="625"/>
      <c r="E891" s="625"/>
      <c r="F891" s="625"/>
      <c r="G891" s="626"/>
      <c r="H891" s="117">
        <f>H889</f>
        <v>184354</v>
      </c>
      <c r="I891" s="103"/>
    </row>
    <row r="892" spans="1:11" s="212" customFormat="1">
      <c r="A892" s="220"/>
      <c r="B892" s="141"/>
      <c r="C892" s="141"/>
      <c r="D892" s="141"/>
      <c r="E892" s="141"/>
      <c r="F892" s="141"/>
      <c r="G892" s="141"/>
      <c r="H892" s="222"/>
    </row>
    <row r="893" spans="1:11" s="212" customFormat="1" ht="17.25" thickBot="1">
      <c r="A893" s="150"/>
      <c r="B893" s="161"/>
      <c r="C893" s="148"/>
      <c r="D893" s="160"/>
      <c r="E893" s="84"/>
      <c r="F893" s="84"/>
      <c r="G893" s="146"/>
      <c r="H893" s="221"/>
    </row>
    <row r="894" spans="1:11" s="212" customFormat="1">
      <c r="A894" s="678" t="s">
        <v>409</v>
      </c>
      <c r="B894" s="680" t="s">
        <v>214</v>
      </c>
      <c r="C894" s="681"/>
      <c r="D894" s="681"/>
      <c r="E894" s="681"/>
      <c r="F894" s="681"/>
      <c r="G894" s="681"/>
      <c r="H894" s="682"/>
      <c r="I894" s="200" t="s">
        <v>389</v>
      </c>
    </row>
    <row r="895" spans="1:11" s="212" customFormat="1">
      <c r="A895" s="679"/>
      <c r="B895" s="683"/>
      <c r="C895" s="684"/>
      <c r="D895" s="684"/>
      <c r="E895" s="684"/>
      <c r="F895" s="684"/>
      <c r="G895" s="684"/>
      <c r="H895" s="685"/>
      <c r="I895" s="201" t="s">
        <v>493</v>
      </c>
    </row>
    <row r="896" spans="1:11" s="212" customFormat="1">
      <c r="A896" s="68"/>
      <c r="B896" s="69"/>
      <c r="C896" s="69"/>
      <c r="D896" s="69"/>
      <c r="E896" s="69"/>
      <c r="F896" s="70"/>
      <c r="G896" s="70"/>
      <c r="H896" s="70"/>
      <c r="I896" s="71"/>
    </row>
    <row r="897" spans="1:9" s="212" customFormat="1">
      <c r="A897" s="72" t="s">
        <v>390</v>
      </c>
      <c r="B897" s="73"/>
      <c r="C897" s="73"/>
      <c r="D897" s="73"/>
      <c r="E897" s="73"/>
      <c r="F897" s="74"/>
      <c r="G897" s="74"/>
      <c r="H897" s="70"/>
      <c r="I897" s="71"/>
    </row>
    <row r="898" spans="1:9" s="212" customFormat="1">
      <c r="A898" s="75" t="s">
        <v>391</v>
      </c>
      <c r="B898" s="76" t="s">
        <v>392</v>
      </c>
      <c r="C898" s="76" t="s">
        <v>393</v>
      </c>
      <c r="D898" s="76" t="s">
        <v>394</v>
      </c>
      <c r="E898" s="76" t="s">
        <v>395</v>
      </c>
      <c r="F898" s="76" t="s">
        <v>396</v>
      </c>
      <c r="G898" s="76" t="s">
        <v>397</v>
      </c>
      <c r="H898" s="74"/>
      <c r="I898" s="71"/>
    </row>
    <row r="899" spans="1:9" s="212" customFormat="1">
      <c r="A899" s="135" t="s">
        <v>404</v>
      </c>
      <c r="B899" s="78" t="s">
        <v>405</v>
      </c>
      <c r="C899" s="127" t="s">
        <v>523</v>
      </c>
      <c r="D899" s="206">
        <v>1250</v>
      </c>
      <c r="E899" s="79">
        <v>4</v>
      </c>
      <c r="F899" s="79">
        <v>0</v>
      </c>
      <c r="G899" s="206">
        <f>(D899*E899)+((D899*E899)*F899/100)</f>
        <v>5000</v>
      </c>
      <c r="H899" s="74"/>
      <c r="I899" s="71"/>
    </row>
    <row r="900" spans="1:9" s="212" customFormat="1">
      <c r="A900" s="82"/>
      <c r="B900" s="83"/>
      <c r="C900" s="84"/>
      <c r="D900" s="84"/>
      <c r="E900" s="84"/>
      <c r="F900"/>
      <c r="G900" s="93" t="s">
        <v>407</v>
      </c>
      <c r="H900" s="107">
        <f>SUM(G899:G899)</f>
        <v>5000</v>
      </c>
      <c r="I900" s="71"/>
    </row>
    <row r="901" spans="1:9" s="212" customFormat="1">
      <c r="A901" s="72" t="s">
        <v>408</v>
      </c>
      <c r="B901" s="73"/>
      <c r="C901" s="73"/>
      <c r="D901" s="73"/>
      <c r="E901" s="73"/>
      <c r="F901"/>
      <c r="G901" s="74"/>
      <c r="H901" s="108"/>
      <c r="I901" s="71"/>
    </row>
    <row r="902" spans="1:9" s="212" customFormat="1">
      <c r="A902" s="75" t="s">
        <v>391</v>
      </c>
      <c r="B902" s="76" t="s">
        <v>392</v>
      </c>
      <c r="C902" s="76" t="s">
        <v>393</v>
      </c>
      <c r="D902" s="76" t="s">
        <v>394</v>
      </c>
      <c r="E902" s="76" t="s">
        <v>395</v>
      </c>
      <c r="F902" s="76" t="s">
        <v>396</v>
      </c>
      <c r="G902" s="76" t="s">
        <v>397</v>
      </c>
      <c r="H902" s="108"/>
      <c r="I902" s="71"/>
    </row>
    <row r="903" spans="1:9" s="212" customFormat="1" ht="33">
      <c r="A903" s="135" t="s">
        <v>409</v>
      </c>
      <c r="B903" s="204" t="s">
        <v>1131</v>
      </c>
      <c r="C903" s="127" t="s">
        <v>157</v>
      </c>
      <c r="D903" s="206">
        <v>40000</v>
      </c>
      <c r="E903" s="79">
        <v>1</v>
      </c>
      <c r="F903" s="79">
        <v>0</v>
      </c>
      <c r="G903" s="206">
        <f>(D903*E903)+((D903*E903)*F903/100)</f>
        <v>40000</v>
      </c>
      <c r="H903" s="108"/>
      <c r="I903" s="71"/>
    </row>
    <row r="904" spans="1:9" s="212" customFormat="1">
      <c r="A904" s="90"/>
      <c r="B904" s="91"/>
      <c r="C904" s="91"/>
      <c r="D904" s="91"/>
      <c r="E904" s="91"/>
      <c r="F904"/>
      <c r="G904" s="85" t="s">
        <v>407</v>
      </c>
      <c r="H904" s="107">
        <f>SUM(G903:G903)</f>
        <v>40000</v>
      </c>
      <c r="I904" s="71"/>
    </row>
    <row r="905" spans="1:9" s="212" customFormat="1">
      <c r="A905" s="72" t="s">
        <v>410</v>
      </c>
      <c r="B905" s="73"/>
      <c r="C905" s="73"/>
      <c r="D905" s="73"/>
      <c r="E905" s="73"/>
      <c r="F905"/>
      <c r="G905" s="74"/>
      <c r="H905" s="108"/>
      <c r="I905" s="71"/>
    </row>
    <row r="906" spans="1:9" s="212" customFormat="1">
      <c r="A906" s="75" t="s">
        <v>391</v>
      </c>
      <c r="B906" s="76" t="s">
        <v>392</v>
      </c>
      <c r="C906" s="76" t="s">
        <v>393</v>
      </c>
      <c r="D906" s="76" t="s">
        <v>394</v>
      </c>
      <c r="E906" s="76" t="s">
        <v>395</v>
      </c>
      <c r="F906" s="76" t="s">
        <v>396</v>
      </c>
      <c r="G906" s="76" t="s">
        <v>397</v>
      </c>
      <c r="H906" s="108"/>
      <c r="I906" s="71"/>
    </row>
    <row r="907" spans="1:9" s="212" customFormat="1">
      <c r="A907" s="125" t="s">
        <v>494</v>
      </c>
      <c r="B907" s="78" t="s">
        <v>1130</v>
      </c>
      <c r="C907" s="127" t="s">
        <v>426</v>
      </c>
      <c r="D907" s="206">
        <v>15927</v>
      </c>
      <c r="E907" s="79">
        <v>1.5</v>
      </c>
      <c r="F907" s="79">
        <v>0</v>
      </c>
      <c r="G907" s="206">
        <f>(D907*E907)+((D907*E907)*F907/100)</f>
        <v>23890.5</v>
      </c>
      <c r="H907" s="108"/>
      <c r="I907" s="71"/>
    </row>
    <row r="908" spans="1:9" s="212" customFormat="1">
      <c r="A908" s="90"/>
      <c r="B908" s="91"/>
      <c r="C908" s="91"/>
      <c r="D908" s="91"/>
      <c r="E908" s="91"/>
      <c r="F908"/>
      <c r="G908" s="93" t="s">
        <v>407</v>
      </c>
      <c r="H908" s="107">
        <f>SUM(G907:G907)</f>
        <v>23890.5</v>
      </c>
      <c r="I908" s="71"/>
    </row>
    <row r="909" spans="1:9" s="212" customFormat="1">
      <c r="A909" s="72" t="s">
        <v>411</v>
      </c>
      <c r="B909" s="73"/>
      <c r="C909" s="73"/>
      <c r="D909" s="73"/>
      <c r="E909" s="73"/>
      <c r="F909"/>
      <c r="G909" s="74"/>
      <c r="H909" s="108"/>
      <c r="I909" s="71"/>
    </row>
    <row r="910" spans="1:9" s="212" customFormat="1">
      <c r="A910" s="75" t="s">
        <v>391</v>
      </c>
      <c r="B910" s="76" t="s">
        <v>392</v>
      </c>
      <c r="C910" s="76" t="s">
        <v>393</v>
      </c>
      <c r="D910" s="76" t="s">
        <v>394</v>
      </c>
      <c r="E910" s="76" t="s">
        <v>395</v>
      </c>
      <c r="F910" s="76" t="s">
        <v>396</v>
      </c>
      <c r="G910" s="76" t="s">
        <v>397</v>
      </c>
      <c r="H910" s="108"/>
      <c r="I910" s="71"/>
    </row>
    <row r="911" spans="1:9" s="212" customFormat="1">
      <c r="A911" s="87" t="s">
        <v>409</v>
      </c>
      <c r="B911" s="114" t="s">
        <v>409</v>
      </c>
      <c r="C911" s="114" t="s">
        <v>409</v>
      </c>
      <c r="D911" s="114" t="s">
        <v>409</v>
      </c>
      <c r="E911" s="114" t="s">
        <v>409</v>
      </c>
      <c r="F911" s="79" t="s">
        <v>409</v>
      </c>
      <c r="G911" s="89" t="s">
        <v>409</v>
      </c>
      <c r="H911" s="108"/>
      <c r="I911" s="71"/>
    </row>
    <row r="912" spans="1:9" s="212" customFormat="1">
      <c r="A912" s="94"/>
      <c r="B912" s="95"/>
      <c r="C912" s="95"/>
      <c r="D912" s="95"/>
      <c r="E912" s="95"/>
      <c r="F912"/>
      <c r="G912" s="93" t="s">
        <v>407</v>
      </c>
      <c r="H912" s="107">
        <f>SUM(G910:G911)</f>
        <v>0</v>
      </c>
      <c r="I912" s="71"/>
    </row>
    <row r="913" spans="1:9" s="212" customFormat="1">
      <c r="A913" s="94"/>
      <c r="B913" s="95"/>
      <c r="C913" s="95"/>
      <c r="D913" s="95"/>
      <c r="E913" s="95"/>
      <c r="F913"/>
      <c r="G913" s="74"/>
      <c r="H913" s="74"/>
      <c r="I913" s="71"/>
    </row>
    <row r="914" spans="1:9" s="212" customFormat="1">
      <c r="A914" s="96"/>
      <c r="B914" s="97"/>
      <c r="C914" s="98"/>
      <c r="D914" s="98"/>
      <c r="E914" s="98"/>
      <c r="F914"/>
      <c r="G914" s="99" t="s">
        <v>412</v>
      </c>
      <c r="H914" s="115">
        <f>SUM(H900:H912)</f>
        <v>68890.5</v>
      </c>
      <c r="I914" s="71"/>
    </row>
    <row r="915" spans="1:9" s="212" customFormat="1">
      <c r="A915" s="96"/>
      <c r="B915" s="97"/>
      <c r="C915" s="98"/>
      <c r="D915" s="98"/>
      <c r="E915" s="98"/>
      <c r="F915" s="101"/>
      <c r="G915" s="116"/>
      <c r="H915" s="70"/>
      <c r="I915" s="71"/>
    </row>
    <row r="916" spans="1:9" s="212" customFormat="1" ht="15.75" thickBot="1">
      <c r="A916" s="624" t="s">
        <v>746</v>
      </c>
      <c r="B916" s="625"/>
      <c r="C916" s="625"/>
      <c r="D916" s="625"/>
      <c r="E916" s="625"/>
      <c r="F916" s="625"/>
      <c r="G916" s="626"/>
      <c r="H916" s="117">
        <f>H914</f>
        <v>68890.5</v>
      </c>
      <c r="I916" s="103"/>
    </row>
    <row r="917" spans="1:9" s="212" customFormat="1">
      <c r="A917" s="150"/>
      <c r="B917" s="83"/>
      <c r="C917" s="148"/>
      <c r="D917" s="160"/>
      <c r="E917" s="84"/>
      <c r="F917" s="84"/>
      <c r="G917" s="146"/>
      <c r="H917" s="221"/>
    </row>
    <row r="918" spans="1:9" s="212" customFormat="1">
      <c r="A918" s="91"/>
      <c r="B918" s="91"/>
      <c r="C918" s="91"/>
      <c r="D918" s="91"/>
      <c r="E918" s="91"/>
      <c r="G918" s="213"/>
      <c r="H918" s="222"/>
    </row>
    <row r="919" spans="1:9" s="212" customFormat="1">
      <c r="A919" s="120"/>
      <c r="B919" s="73"/>
      <c r="C919" s="73"/>
      <c r="D919" s="73"/>
      <c r="E919" s="73"/>
      <c r="G919" s="73"/>
      <c r="H919" s="222"/>
    </row>
    <row r="920" spans="1:9" s="212" customFormat="1">
      <c r="A920" s="220"/>
      <c r="B920" s="141"/>
      <c r="C920" s="141"/>
      <c r="D920" s="141"/>
      <c r="E920" s="141"/>
      <c r="F920" s="141"/>
      <c r="G920" s="141"/>
      <c r="H920" s="222"/>
    </row>
    <row r="921" spans="1:9" s="212" customFormat="1">
      <c r="A921" s="142"/>
      <c r="B921" s="143"/>
      <c r="C921" s="143"/>
      <c r="D921" s="143"/>
      <c r="E921" s="143"/>
      <c r="F921" s="84"/>
      <c r="G921" s="146"/>
      <c r="H921" s="221"/>
    </row>
    <row r="922" spans="1:9" s="212" customFormat="1">
      <c r="A922" s="91"/>
      <c r="B922" s="91"/>
      <c r="C922" s="91"/>
      <c r="D922" s="91"/>
      <c r="E922" s="91"/>
      <c r="G922" s="213"/>
      <c r="H922" s="222"/>
    </row>
    <row r="923" spans="1:9" s="212" customFormat="1">
      <c r="A923" s="120"/>
      <c r="B923" s="73"/>
      <c r="C923" s="73"/>
      <c r="D923" s="73"/>
      <c r="E923" s="73"/>
      <c r="G923" s="73"/>
      <c r="H923" s="222"/>
    </row>
    <row r="924" spans="1:9" s="212" customFormat="1">
      <c r="A924" s="220"/>
      <c r="B924" s="141"/>
      <c r="C924" s="141"/>
      <c r="D924" s="141"/>
      <c r="E924" s="141"/>
      <c r="F924" s="141"/>
      <c r="G924" s="141"/>
      <c r="H924" s="222"/>
    </row>
    <row r="925" spans="1:9" s="212" customFormat="1">
      <c r="A925" s="142"/>
      <c r="B925" s="143"/>
      <c r="C925" s="143"/>
      <c r="D925" s="143"/>
      <c r="E925" s="143"/>
      <c r="F925" s="84"/>
      <c r="G925" s="146"/>
      <c r="H925" s="221"/>
    </row>
    <row r="926" spans="1:9" s="212" customFormat="1">
      <c r="A926" s="123"/>
      <c r="B926" s="95"/>
      <c r="C926" s="95"/>
      <c r="D926" s="95"/>
      <c r="E926" s="95"/>
      <c r="G926" s="213"/>
      <c r="H926" s="73"/>
    </row>
    <row r="927" spans="1:9" s="212" customFormat="1">
      <c r="A927" s="123"/>
      <c r="B927" s="95"/>
      <c r="C927" s="95"/>
      <c r="D927" s="95"/>
      <c r="E927" s="95"/>
      <c r="G927" s="73"/>
      <c r="H927" s="225"/>
    </row>
    <row r="928" spans="1:9" s="212" customFormat="1">
      <c r="B928" s="97"/>
      <c r="C928" s="98"/>
      <c r="D928" s="98"/>
      <c r="E928" s="98"/>
      <c r="G928" s="220"/>
    </row>
    <row r="929" spans="1:9" s="212" customFormat="1">
      <c r="B929" s="97"/>
      <c r="C929" s="98"/>
      <c r="D929" s="98"/>
      <c r="E929" s="98"/>
      <c r="F929" s="220"/>
      <c r="G929" s="225"/>
      <c r="H929" s="226"/>
    </row>
    <row r="930" spans="1:9" s="212" customFormat="1">
      <c r="A930" s="633"/>
      <c r="B930" s="633"/>
      <c r="C930" s="633"/>
      <c r="D930" s="633"/>
      <c r="E930" s="633"/>
      <c r="F930" s="633"/>
      <c r="G930" s="633"/>
    </row>
    <row r="931" spans="1:9" s="212" customFormat="1">
      <c r="H931" s="227"/>
      <c r="I931" s="228"/>
    </row>
    <row r="932" spans="1:9" s="212" customFormat="1">
      <c r="A932" s="658"/>
      <c r="B932" s="227"/>
      <c r="C932" s="227"/>
      <c r="D932" s="227"/>
      <c r="E932" s="227"/>
      <c r="F932" s="227"/>
      <c r="G932" s="227"/>
      <c r="H932" s="227"/>
      <c r="I932" s="229"/>
    </row>
    <row r="933" spans="1:9" s="212" customFormat="1">
      <c r="A933" s="658"/>
      <c r="B933" s="227"/>
      <c r="C933" s="227"/>
      <c r="D933" s="227"/>
      <c r="E933" s="227"/>
      <c r="F933" s="227"/>
      <c r="G933" s="227"/>
    </row>
    <row r="934" spans="1:9" s="212" customFormat="1">
      <c r="A934" s="69"/>
      <c r="B934" s="69"/>
      <c r="C934" s="69"/>
      <c r="D934" s="69"/>
      <c r="E934" s="69"/>
    </row>
    <row r="935" spans="1:9" s="212" customFormat="1">
      <c r="A935" s="120"/>
      <c r="B935" s="73"/>
      <c r="C935" s="73"/>
      <c r="D935" s="73"/>
      <c r="E935" s="73"/>
      <c r="F935" s="73"/>
      <c r="G935" s="73"/>
      <c r="H935" s="73"/>
    </row>
    <row r="936" spans="1:9" s="212" customFormat="1">
      <c r="A936" s="220"/>
      <c r="B936" s="141"/>
      <c r="C936" s="141"/>
      <c r="D936" s="141"/>
      <c r="E936" s="141"/>
      <c r="F936" s="141"/>
      <c r="G936" s="141"/>
      <c r="H936" s="73"/>
    </row>
    <row r="937" spans="1:9" s="212" customFormat="1">
      <c r="A937" s="142"/>
      <c r="B937" s="143"/>
      <c r="C937" s="143"/>
      <c r="D937" s="143"/>
      <c r="E937" s="143"/>
      <c r="F937" s="84"/>
      <c r="G937" s="146"/>
      <c r="H937" s="221"/>
    </row>
    <row r="938" spans="1:9" s="212" customFormat="1">
      <c r="A938" s="84"/>
      <c r="B938" s="83"/>
      <c r="C938" s="84"/>
      <c r="D938" s="84"/>
      <c r="E938" s="84"/>
      <c r="G938" s="213"/>
      <c r="H938" s="222"/>
    </row>
    <row r="939" spans="1:9" s="212" customFormat="1">
      <c r="A939" s="120"/>
      <c r="B939" s="73"/>
      <c r="C939" s="73"/>
      <c r="D939" s="73"/>
      <c r="E939" s="73"/>
      <c r="G939" s="73"/>
      <c r="H939" s="222"/>
    </row>
    <row r="940" spans="1:9" s="212" customFormat="1">
      <c r="A940" s="220"/>
      <c r="B940" s="141"/>
      <c r="C940" s="141"/>
      <c r="D940" s="141"/>
      <c r="E940" s="141"/>
      <c r="F940" s="141"/>
      <c r="G940" s="141"/>
      <c r="H940" s="222"/>
    </row>
    <row r="941" spans="1:9" s="212" customFormat="1">
      <c r="A941" s="150"/>
      <c r="B941" s="83"/>
      <c r="C941" s="148"/>
      <c r="D941" s="160"/>
      <c r="E941" s="84"/>
      <c r="F941" s="84"/>
      <c r="G941" s="146"/>
      <c r="H941" s="221"/>
    </row>
    <row r="942" spans="1:9" s="212" customFormat="1">
      <c r="A942" s="91"/>
      <c r="B942" s="91"/>
      <c r="C942" s="91"/>
      <c r="D942" s="91"/>
      <c r="E942" s="91"/>
      <c r="G942" s="213"/>
      <c r="H942" s="222"/>
    </row>
    <row r="943" spans="1:9" s="212" customFormat="1">
      <c r="A943" s="120"/>
      <c r="B943" s="73"/>
      <c r="C943" s="73"/>
      <c r="D943" s="73"/>
      <c r="E943" s="73"/>
      <c r="G943" s="73"/>
      <c r="H943" s="222"/>
    </row>
    <row r="944" spans="1:9" s="212" customFormat="1">
      <c r="A944" s="220"/>
      <c r="B944" s="141"/>
      <c r="C944" s="141"/>
      <c r="D944" s="141"/>
      <c r="E944" s="141"/>
      <c r="F944" s="141"/>
      <c r="G944" s="141"/>
      <c r="H944" s="222"/>
    </row>
    <row r="945" spans="1:9" s="212" customFormat="1">
      <c r="A945" s="142"/>
      <c r="B945" s="143"/>
      <c r="C945" s="143"/>
      <c r="D945" s="143"/>
      <c r="E945" s="143"/>
      <c r="F945" s="84"/>
      <c r="G945" s="146"/>
      <c r="H945" s="221"/>
    </row>
    <row r="946" spans="1:9" s="212" customFormat="1">
      <c r="A946" s="91"/>
      <c r="B946" s="91"/>
      <c r="C946" s="91"/>
      <c r="D946" s="91"/>
      <c r="E946" s="91"/>
      <c r="G946" s="213"/>
      <c r="H946" s="222"/>
    </row>
    <row r="947" spans="1:9" s="212" customFormat="1">
      <c r="A947" s="120"/>
      <c r="B947" s="73"/>
      <c r="C947" s="73"/>
      <c r="D947" s="73"/>
      <c r="E947" s="73"/>
      <c r="G947" s="73"/>
      <c r="H947" s="222"/>
    </row>
    <row r="948" spans="1:9" s="212" customFormat="1">
      <c r="A948" s="220"/>
      <c r="B948" s="141"/>
      <c r="C948" s="141"/>
      <c r="D948" s="141"/>
      <c r="E948" s="141"/>
      <c r="F948" s="141"/>
      <c r="G948" s="141"/>
      <c r="H948" s="222"/>
    </row>
    <row r="949" spans="1:9" s="212" customFormat="1">
      <c r="A949" s="142"/>
      <c r="B949" s="143"/>
      <c r="C949" s="143"/>
      <c r="D949" s="143"/>
      <c r="E949" s="143"/>
      <c r="F949" s="84"/>
      <c r="G949" s="146"/>
      <c r="H949" s="221"/>
    </row>
    <row r="950" spans="1:9" s="212" customFormat="1">
      <c r="A950" s="123"/>
      <c r="B950" s="95"/>
      <c r="C950" s="95"/>
      <c r="D950" s="95"/>
      <c r="E950" s="95"/>
      <c r="G950" s="213"/>
      <c r="H950" s="73"/>
    </row>
    <row r="951" spans="1:9" s="212" customFormat="1">
      <c r="A951" s="123"/>
      <c r="B951" s="95"/>
      <c r="C951" s="95"/>
      <c r="D951" s="95"/>
      <c r="E951" s="95"/>
      <c r="G951" s="73"/>
      <c r="H951" s="225"/>
    </row>
    <row r="952" spans="1:9" s="212" customFormat="1">
      <c r="B952" s="97"/>
      <c r="C952" s="98"/>
      <c r="D952" s="98"/>
      <c r="E952" s="98"/>
      <c r="G952" s="220"/>
    </row>
    <row r="953" spans="1:9" s="212" customFormat="1">
      <c r="B953" s="97"/>
      <c r="C953" s="98"/>
      <c r="D953" s="98"/>
      <c r="E953" s="98"/>
      <c r="F953" s="220"/>
      <c r="G953" s="225"/>
      <c r="H953" s="226"/>
    </row>
    <row r="954" spans="1:9" s="212" customFormat="1">
      <c r="A954" s="633"/>
      <c r="B954" s="633"/>
      <c r="C954" s="633"/>
      <c r="D954" s="633"/>
      <c r="E954" s="633"/>
      <c r="F954" s="633"/>
      <c r="G954" s="633"/>
    </row>
    <row r="955" spans="1:9" s="212" customFormat="1">
      <c r="H955" s="227"/>
      <c r="I955" s="228"/>
    </row>
    <row r="956" spans="1:9" s="212" customFormat="1">
      <c r="A956" s="658"/>
      <c r="B956" s="227"/>
      <c r="C956" s="227"/>
      <c r="D956" s="227"/>
      <c r="E956" s="227"/>
      <c r="F956" s="227"/>
      <c r="G956" s="227"/>
      <c r="H956" s="227"/>
      <c r="I956" s="229"/>
    </row>
    <row r="957" spans="1:9" s="212" customFormat="1">
      <c r="A957" s="658"/>
      <c r="B957" s="227"/>
      <c r="C957" s="227"/>
      <c r="D957" s="227"/>
      <c r="E957" s="227"/>
      <c r="F957" s="227"/>
      <c r="G957" s="227"/>
    </row>
    <row r="958" spans="1:9" s="212" customFormat="1">
      <c r="A958" s="69"/>
      <c r="B958" s="69"/>
      <c r="C958" s="69"/>
      <c r="D958" s="69"/>
      <c r="E958" s="69"/>
    </row>
    <row r="959" spans="1:9" s="212" customFormat="1">
      <c r="A959" s="120"/>
      <c r="B959" s="73"/>
      <c r="C959" s="73"/>
      <c r="D959" s="73"/>
      <c r="E959" s="73"/>
      <c r="F959" s="73"/>
      <c r="G959" s="73"/>
      <c r="H959" s="73"/>
    </row>
    <row r="960" spans="1:9" s="212" customFormat="1">
      <c r="A960" s="220"/>
      <c r="B960" s="141"/>
      <c r="C960" s="141"/>
      <c r="D960" s="141"/>
      <c r="E960" s="141"/>
      <c r="F960" s="141"/>
      <c r="G960" s="141"/>
      <c r="H960" s="73"/>
    </row>
    <row r="961" spans="1:8" s="212" customFormat="1">
      <c r="A961" s="142"/>
      <c r="B961" s="143"/>
      <c r="C961" s="143"/>
      <c r="D961" s="143"/>
      <c r="E961" s="143"/>
      <c r="F961" s="84"/>
      <c r="G961" s="146"/>
      <c r="H961" s="221"/>
    </row>
    <row r="962" spans="1:8" s="212" customFormat="1">
      <c r="A962" s="84"/>
      <c r="B962" s="83"/>
      <c r="C962" s="84"/>
      <c r="D962" s="84"/>
      <c r="E962" s="84"/>
      <c r="G962" s="213"/>
      <c r="H962" s="222"/>
    </row>
    <row r="963" spans="1:8" s="212" customFormat="1">
      <c r="A963" s="120"/>
      <c r="B963" s="73"/>
      <c r="C963" s="73"/>
      <c r="D963" s="73"/>
      <c r="E963" s="73"/>
      <c r="G963" s="73"/>
      <c r="H963" s="222"/>
    </row>
    <row r="964" spans="1:8" s="212" customFormat="1">
      <c r="A964" s="220"/>
      <c r="B964" s="141"/>
      <c r="C964" s="141"/>
      <c r="D964" s="141"/>
      <c r="E964" s="141"/>
      <c r="F964" s="141"/>
      <c r="G964" s="141"/>
      <c r="H964" s="222"/>
    </row>
    <row r="965" spans="1:8" s="212" customFormat="1">
      <c r="A965" s="150"/>
      <c r="B965" s="83"/>
      <c r="C965" s="148"/>
      <c r="D965" s="160"/>
      <c r="E965" s="84"/>
      <c r="F965" s="84"/>
      <c r="G965" s="146"/>
      <c r="H965" s="221"/>
    </row>
    <row r="966" spans="1:8" s="212" customFormat="1">
      <c r="A966" s="91"/>
      <c r="B966" s="91"/>
      <c r="C966" s="91"/>
      <c r="D966" s="91"/>
      <c r="E966" s="91"/>
      <c r="G966" s="213"/>
      <c r="H966" s="222"/>
    </row>
    <row r="967" spans="1:8" s="212" customFormat="1">
      <c r="A967" s="120"/>
      <c r="B967" s="73"/>
      <c r="C967" s="73"/>
      <c r="D967" s="73"/>
      <c r="E967" s="73"/>
      <c r="G967" s="73"/>
      <c r="H967" s="222"/>
    </row>
    <row r="968" spans="1:8" s="212" customFormat="1">
      <c r="A968" s="220"/>
      <c r="B968" s="141"/>
      <c r="C968" s="141"/>
      <c r="D968" s="141"/>
      <c r="E968" s="141"/>
      <c r="F968" s="141"/>
      <c r="G968" s="141"/>
      <c r="H968" s="222"/>
    </row>
    <row r="969" spans="1:8" s="212" customFormat="1">
      <c r="A969" s="142"/>
      <c r="B969" s="143"/>
      <c r="C969" s="143"/>
      <c r="D969" s="143"/>
      <c r="E969" s="143"/>
      <c r="F969" s="84"/>
      <c r="G969" s="146"/>
      <c r="H969" s="221"/>
    </row>
    <row r="970" spans="1:8" s="212" customFormat="1">
      <c r="A970" s="91"/>
      <c r="B970" s="91"/>
      <c r="C970" s="91"/>
      <c r="D970" s="91"/>
      <c r="E970" s="91"/>
      <c r="G970" s="213"/>
      <c r="H970" s="222"/>
    </row>
    <row r="971" spans="1:8" s="212" customFormat="1">
      <c r="A971" s="120"/>
      <c r="B971" s="73"/>
      <c r="C971" s="73"/>
      <c r="D971" s="73"/>
      <c r="E971" s="73"/>
      <c r="G971" s="73"/>
      <c r="H971" s="222"/>
    </row>
    <row r="972" spans="1:8" s="212" customFormat="1">
      <c r="A972" s="220"/>
      <c r="B972" s="141"/>
      <c r="C972" s="141"/>
      <c r="D972" s="141"/>
      <c r="E972" s="141"/>
      <c r="F972" s="141"/>
      <c r="G972" s="141"/>
      <c r="H972" s="222"/>
    </row>
    <row r="973" spans="1:8" s="212" customFormat="1">
      <c r="A973" s="142"/>
      <c r="B973" s="143"/>
      <c r="C973" s="143"/>
      <c r="D973" s="143"/>
      <c r="E973" s="143"/>
      <c r="F973" s="84"/>
      <c r="G973" s="146"/>
      <c r="H973" s="221"/>
    </row>
    <row r="974" spans="1:8" s="212" customFormat="1">
      <c r="A974" s="123"/>
      <c r="B974" s="95"/>
      <c r="C974" s="95"/>
      <c r="D974" s="95"/>
      <c r="E974" s="95"/>
      <c r="G974" s="213"/>
      <c r="H974" s="73"/>
    </row>
    <row r="975" spans="1:8" s="212" customFormat="1">
      <c r="A975" s="123"/>
      <c r="B975" s="95"/>
      <c r="C975" s="95"/>
      <c r="D975" s="95"/>
      <c r="E975" s="95"/>
      <c r="G975" s="73"/>
      <c r="H975" s="225"/>
    </row>
    <row r="976" spans="1:8" s="212" customFormat="1">
      <c r="B976" s="97"/>
      <c r="C976" s="98"/>
      <c r="D976" s="98"/>
      <c r="E976" s="98"/>
      <c r="G976" s="220"/>
    </row>
    <row r="977" spans="1:9" s="212" customFormat="1">
      <c r="B977" s="97"/>
      <c r="C977" s="98"/>
      <c r="D977" s="98"/>
      <c r="E977" s="98"/>
      <c r="F977" s="220"/>
      <c r="G977" s="225"/>
      <c r="H977" s="226"/>
    </row>
    <row r="978" spans="1:9" s="212" customFormat="1">
      <c r="A978" s="633"/>
      <c r="B978" s="633"/>
      <c r="C978" s="633"/>
      <c r="D978" s="633"/>
      <c r="E978" s="633"/>
      <c r="F978" s="633"/>
      <c r="G978" s="633"/>
    </row>
    <row r="979" spans="1:9" s="212" customFormat="1">
      <c r="H979" s="227"/>
      <c r="I979" s="228"/>
    </row>
    <row r="980" spans="1:9" s="212" customFormat="1">
      <c r="A980" s="658"/>
      <c r="B980" s="227"/>
      <c r="C980" s="227"/>
      <c r="D980" s="227"/>
      <c r="E980" s="227"/>
      <c r="F980" s="227"/>
      <c r="G980" s="227"/>
      <c r="H980" s="227"/>
      <c r="I980" s="229"/>
    </row>
    <row r="981" spans="1:9" s="212" customFormat="1">
      <c r="A981" s="658"/>
      <c r="B981" s="227"/>
      <c r="C981" s="227"/>
      <c r="D981" s="227"/>
      <c r="E981" s="227"/>
      <c r="F981" s="227"/>
      <c r="G981" s="227"/>
    </row>
    <row r="982" spans="1:9" s="212" customFormat="1">
      <c r="A982" s="69"/>
      <c r="B982" s="69"/>
      <c r="C982" s="69"/>
      <c r="D982" s="69"/>
      <c r="E982" s="69"/>
    </row>
    <row r="983" spans="1:9" s="212" customFormat="1">
      <c r="A983" s="120"/>
      <c r="B983" s="73"/>
      <c r="C983" s="73"/>
      <c r="D983" s="73"/>
      <c r="E983" s="73"/>
      <c r="F983" s="73"/>
      <c r="G983" s="73"/>
      <c r="H983" s="73"/>
    </row>
    <row r="984" spans="1:9" s="212" customFormat="1">
      <c r="A984" s="220"/>
      <c r="B984" s="141"/>
      <c r="C984" s="141"/>
      <c r="D984" s="141"/>
      <c r="E984" s="141"/>
      <c r="F984" s="141"/>
      <c r="G984" s="141"/>
      <c r="H984" s="73"/>
    </row>
    <row r="985" spans="1:9" s="212" customFormat="1">
      <c r="A985" s="150"/>
      <c r="B985" s="83"/>
      <c r="C985" s="148"/>
      <c r="D985" s="84"/>
      <c r="E985" s="84"/>
      <c r="F985" s="84"/>
      <c r="G985" s="146"/>
      <c r="H985" s="221"/>
    </row>
    <row r="986" spans="1:9" s="212" customFormat="1">
      <c r="A986" s="84"/>
      <c r="B986" s="83"/>
      <c r="C986" s="84"/>
      <c r="D986" s="84"/>
      <c r="E986" s="84"/>
      <c r="G986" s="213"/>
      <c r="H986" s="222"/>
    </row>
    <row r="987" spans="1:9" s="212" customFormat="1">
      <c r="A987" s="120"/>
      <c r="B987" s="73"/>
      <c r="C987" s="73"/>
      <c r="D987" s="73"/>
      <c r="E987" s="73"/>
      <c r="G987" s="73"/>
      <c r="H987" s="222"/>
    </row>
    <row r="988" spans="1:9" s="212" customFormat="1">
      <c r="A988" s="220"/>
      <c r="B988" s="141"/>
      <c r="C988" s="141"/>
      <c r="D988" s="141"/>
      <c r="E988" s="141"/>
      <c r="F988" s="141"/>
      <c r="G988" s="141"/>
      <c r="H988" s="222"/>
    </row>
    <row r="989" spans="1:9" s="212" customFormat="1" ht="16.5">
      <c r="A989" s="150"/>
      <c r="B989" s="161"/>
      <c r="C989" s="148"/>
      <c r="D989" s="160"/>
      <c r="E989" s="84"/>
      <c r="F989" s="84"/>
      <c r="G989" s="146"/>
      <c r="H989" s="221"/>
    </row>
    <row r="990" spans="1:9" s="212" customFormat="1">
      <c r="A990" s="91"/>
      <c r="B990" s="91"/>
      <c r="C990" s="91"/>
      <c r="D990" s="91"/>
      <c r="E990" s="91"/>
      <c r="G990" s="213"/>
      <c r="H990" s="222"/>
    </row>
    <row r="991" spans="1:9" s="212" customFormat="1">
      <c r="A991" s="120"/>
      <c r="B991" s="73"/>
      <c r="C991" s="73"/>
      <c r="D991" s="73"/>
      <c r="E991" s="73"/>
      <c r="G991" s="73"/>
      <c r="H991" s="222"/>
    </row>
    <row r="992" spans="1:9" s="212" customFormat="1">
      <c r="A992" s="220"/>
      <c r="B992" s="141"/>
      <c r="C992" s="141"/>
      <c r="D992" s="141"/>
      <c r="E992" s="141"/>
      <c r="F992" s="141"/>
      <c r="G992" s="141"/>
      <c r="H992" s="222"/>
    </row>
    <row r="993" spans="1:9" s="212" customFormat="1">
      <c r="A993" s="146"/>
      <c r="B993" s="83"/>
      <c r="C993" s="148"/>
      <c r="D993" s="84"/>
      <c r="E993" s="84"/>
      <c r="F993" s="84"/>
      <c r="G993" s="146"/>
      <c r="H993" s="221"/>
    </row>
    <row r="994" spans="1:9" s="212" customFormat="1">
      <c r="A994" s="91"/>
      <c r="B994" s="91"/>
      <c r="C994" s="91"/>
      <c r="D994" s="91"/>
      <c r="E994" s="91"/>
      <c r="G994" s="213"/>
      <c r="H994" s="222"/>
    </row>
    <row r="995" spans="1:9" s="212" customFormat="1">
      <c r="A995" s="120"/>
      <c r="B995" s="73"/>
      <c r="C995" s="73"/>
      <c r="D995" s="73"/>
      <c r="E995" s="73"/>
      <c r="G995" s="73"/>
      <c r="H995" s="222"/>
    </row>
    <row r="996" spans="1:9" s="212" customFormat="1">
      <c r="A996" s="220"/>
      <c r="B996" s="141"/>
      <c r="C996" s="141"/>
      <c r="D996" s="141"/>
      <c r="E996" s="141"/>
      <c r="F996" s="141"/>
      <c r="G996" s="141"/>
      <c r="H996" s="222"/>
    </row>
    <row r="997" spans="1:9" s="212" customFormat="1">
      <c r="A997" s="142"/>
      <c r="B997" s="143"/>
      <c r="C997" s="143"/>
      <c r="D997" s="143"/>
      <c r="E997" s="143"/>
      <c r="F997" s="84"/>
      <c r="G997" s="146"/>
      <c r="H997" s="221"/>
    </row>
    <row r="998" spans="1:9" s="212" customFormat="1">
      <c r="A998" s="123"/>
      <c r="B998" s="95"/>
      <c r="C998" s="95"/>
      <c r="D998" s="95"/>
      <c r="E998" s="95"/>
      <c r="G998" s="213"/>
      <c r="H998" s="73"/>
    </row>
    <row r="999" spans="1:9" s="212" customFormat="1">
      <c r="A999" s="123"/>
      <c r="B999" s="95"/>
      <c r="C999" s="95"/>
      <c r="D999" s="95"/>
      <c r="E999" s="95"/>
      <c r="G999" s="73"/>
      <c r="H999" s="225"/>
    </row>
    <row r="1000" spans="1:9" s="212" customFormat="1">
      <c r="B1000" s="97"/>
      <c r="C1000" s="98"/>
      <c r="D1000" s="98"/>
      <c r="E1000" s="98"/>
      <c r="G1000" s="220"/>
    </row>
    <row r="1001" spans="1:9" s="212" customFormat="1">
      <c r="B1001" s="97"/>
      <c r="C1001" s="98"/>
      <c r="D1001" s="98"/>
      <c r="E1001" s="98"/>
      <c r="F1001" s="220"/>
      <c r="G1001" s="225"/>
      <c r="H1001" s="226"/>
    </row>
    <row r="1002" spans="1:9" s="212" customFormat="1">
      <c r="A1002" s="633"/>
      <c r="B1002" s="633"/>
      <c r="C1002" s="633"/>
      <c r="D1002" s="633"/>
      <c r="E1002" s="633"/>
      <c r="F1002" s="633"/>
      <c r="G1002" s="633"/>
      <c r="H1002" s="226"/>
    </row>
    <row r="1003" spans="1:9" s="212" customFormat="1">
      <c r="A1003" s="279"/>
      <c r="B1003" s="279"/>
      <c r="C1003" s="279"/>
      <c r="D1003" s="279"/>
      <c r="E1003" s="279"/>
      <c r="F1003" s="279"/>
      <c r="G1003" s="279"/>
      <c r="H1003" s="227"/>
      <c r="I1003" s="228"/>
    </row>
    <row r="1004" spans="1:9" s="212" customFormat="1">
      <c r="A1004" s="658"/>
      <c r="B1004" s="227"/>
      <c r="C1004" s="227"/>
      <c r="D1004" s="227"/>
      <c r="E1004" s="227"/>
      <c r="F1004" s="227"/>
      <c r="G1004" s="227"/>
      <c r="H1004" s="227"/>
      <c r="I1004" s="229"/>
    </row>
    <row r="1005" spans="1:9" s="212" customFormat="1">
      <c r="A1005" s="658"/>
      <c r="B1005" s="227"/>
      <c r="C1005" s="227"/>
      <c r="D1005" s="227"/>
      <c r="E1005" s="227"/>
      <c r="F1005" s="227"/>
      <c r="G1005" s="227"/>
    </row>
    <row r="1006" spans="1:9" s="212" customFormat="1">
      <c r="A1006" s="69"/>
      <c r="B1006" s="69"/>
      <c r="C1006" s="69"/>
      <c r="D1006" s="69"/>
      <c r="E1006" s="69"/>
    </row>
    <row r="1007" spans="1:9" s="212" customFormat="1">
      <c r="A1007" s="120"/>
      <c r="B1007" s="73"/>
      <c r="C1007" s="73"/>
      <c r="D1007" s="73"/>
      <c r="E1007" s="73"/>
      <c r="F1007" s="73"/>
      <c r="G1007" s="73"/>
      <c r="H1007" s="73"/>
    </row>
    <row r="1008" spans="1:9" s="212" customFormat="1">
      <c r="A1008" s="220"/>
      <c r="B1008" s="141"/>
      <c r="C1008" s="141"/>
      <c r="D1008" s="141"/>
      <c r="E1008" s="141"/>
      <c r="F1008" s="141"/>
      <c r="G1008" s="141"/>
      <c r="H1008" s="73"/>
    </row>
    <row r="1009" spans="1:8" s="212" customFormat="1">
      <c r="A1009" s="150"/>
      <c r="B1009" s="83"/>
      <c r="C1009" s="148"/>
      <c r="D1009" s="84"/>
      <c r="E1009" s="162"/>
      <c r="F1009" s="84"/>
      <c r="G1009" s="146"/>
      <c r="H1009" s="221"/>
    </row>
    <row r="1010" spans="1:8" s="212" customFormat="1">
      <c r="A1010" s="84"/>
      <c r="B1010" s="83"/>
      <c r="C1010" s="84"/>
      <c r="D1010" s="84"/>
      <c r="E1010" s="84"/>
      <c r="G1010" s="213"/>
      <c r="H1010" s="222"/>
    </row>
    <row r="1011" spans="1:8" s="212" customFormat="1">
      <c r="A1011" s="120"/>
      <c r="B1011" s="73"/>
      <c r="C1011" s="73"/>
      <c r="D1011" s="73"/>
      <c r="E1011" s="73"/>
      <c r="G1011" s="73"/>
      <c r="H1011" s="222"/>
    </row>
    <row r="1012" spans="1:8" s="212" customFormat="1">
      <c r="A1012" s="220"/>
      <c r="B1012" s="141"/>
      <c r="C1012" s="141"/>
      <c r="D1012" s="141"/>
      <c r="E1012" s="141"/>
      <c r="F1012" s="141"/>
      <c r="G1012" s="141"/>
      <c r="H1012" s="222"/>
    </row>
    <row r="1013" spans="1:8" s="212" customFormat="1">
      <c r="A1013" s="142"/>
      <c r="B1013" s="143"/>
      <c r="C1013" s="143"/>
      <c r="D1013" s="143"/>
      <c r="E1013" s="143"/>
      <c r="F1013" s="84"/>
      <c r="G1013" s="146"/>
      <c r="H1013" s="221"/>
    </row>
    <row r="1014" spans="1:8" s="212" customFormat="1">
      <c r="A1014" s="91"/>
      <c r="B1014" s="91"/>
      <c r="C1014" s="91"/>
      <c r="D1014" s="91"/>
      <c r="E1014" s="91"/>
      <c r="G1014" s="213"/>
      <c r="H1014" s="222"/>
    </row>
    <row r="1015" spans="1:8" s="212" customFormat="1">
      <c r="A1015" s="120"/>
      <c r="B1015" s="73"/>
      <c r="C1015" s="73"/>
      <c r="D1015" s="73"/>
      <c r="E1015" s="73"/>
      <c r="G1015" s="73"/>
      <c r="H1015" s="222"/>
    </row>
    <row r="1016" spans="1:8" s="212" customFormat="1">
      <c r="A1016" s="220"/>
      <c r="B1016" s="141"/>
      <c r="C1016" s="141"/>
      <c r="D1016" s="141"/>
      <c r="E1016" s="141"/>
      <c r="F1016" s="141"/>
      <c r="G1016" s="141"/>
      <c r="H1016" s="222"/>
    </row>
    <row r="1017" spans="1:8" s="212" customFormat="1">
      <c r="A1017" s="146"/>
      <c r="B1017" s="83"/>
      <c r="C1017" s="148"/>
      <c r="D1017" s="84"/>
      <c r="E1017" s="162"/>
      <c r="F1017" s="84"/>
      <c r="G1017" s="146"/>
      <c r="H1017" s="221"/>
    </row>
    <row r="1018" spans="1:8" s="212" customFormat="1">
      <c r="A1018" s="91"/>
      <c r="B1018" s="91"/>
      <c r="C1018" s="91"/>
      <c r="D1018" s="91"/>
      <c r="E1018" s="91"/>
      <c r="G1018" s="213"/>
      <c r="H1018" s="222"/>
    </row>
    <row r="1019" spans="1:8" s="212" customFormat="1">
      <c r="A1019" s="120"/>
      <c r="B1019" s="73"/>
      <c r="C1019" s="73"/>
      <c r="D1019" s="73"/>
      <c r="E1019" s="73"/>
      <c r="G1019" s="73"/>
      <c r="H1019" s="222"/>
    </row>
    <row r="1020" spans="1:8" s="212" customFormat="1">
      <c r="A1020" s="220"/>
      <c r="B1020" s="141"/>
      <c r="C1020" s="141"/>
      <c r="D1020" s="141"/>
      <c r="E1020" s="141"/>
      <c r="F1020" s="141"/>
      <c r="G1020" s="141"/>
      <c r="H1020" s="222"/>
    </row>
    <row r="1021" spans="1:8" s="212" customFormat="1">
      <c r="A1021" s="142"/>
      <c r="B1021" s="143"/>
      <c r="C1021" s="143"/>
      <c r="D1021" s="143"/>
      <c r="E1021" s="143"/>
      <c r="F1021" s="84"/>
      <c r="G1021" s="146"/>
      <c r="H1021" s="221"/>
    </row>
    <row r="1022" spans="1:8" s="212" customFormat="1">
      <c r="A1022" s="123"/>
      <c r="B1022" s="95"/>
      <c r="C1022" s="95"/>
      <c r="D1022" s="95"/>
      <c r="E1022" s="95"/>
      <c r="G1022" s="213"/>
      <c r="H1022" s="73"/>
    </row>
    <row r="1023" spans="1:8" s="212" customFormat="1">
      <c r="A1023" s="123"/>
      <c r="B1023" s="95"/>
      <c r="C1023" s="95"/>
      <c r="D1023" s="95"/>
      <c r="E1023" s="95"/>
      <c r="G1023" s="73"/>
      <c r="H1023" s="225"/>
    </row>
    <row r="1024" spans="1:8" s="212" customFormat="1">
      <c r="B1024" s="97"/>
      <c r="C1024" s="98"/>
      <c r="D1024" s="98"/>
      <c r="E1024" s="98"/>
      <c r="G1024" s="220"/>
    </row>
    <row r="1025" spans="1:9" s="212" customFormat="1">
      <c r="B1025" s="97"/>
      <c r="C1025" s="98"/>
      <c r="D1025" s="98"/>
      <c r="E1025" s="98"/>
      <c r="F1025" s="220"/>
      <c r="G1025" s="225"/>
      <c r="H1025" s="226"/>
    </row>
    <row r="1026" spans="1:9" s="212" customFormat="1">
      <c r="A1026" s="633"/>
      <c r="B1026" s="633"/>
      <c r="C1026" s="633"/>
      <c r="D1026" s="633"/>
      <c r="E1026" s="633"/>
      <c r="F1026" s="633"/>
      <c r="G1026" s="633"/>
      <c r="H1026" s="226"/>
    </row>
    <row r="1027" spans="1:9" s="212" customFormat="1">
      <c r="A1027" s="279"/>
      <c r="B1027" s="279"/>
      <c r="C1027" s="279"/>
      <c r="D1027" s="279"/>
      <c r="E1027" s="279"/>
      <c r="F1027" s="279"/>
      <c r="G1027" s="279"/>
      <c r="H1027" s="227"/>
      <c r="I1027" s="228"/>
    </row>
    <row r="1028" spans="1:9" s="212" customFormat="1">
      <c r="A1028" s="658"/>
      <c r="B1028" s="227"/>
      <c r="C1028" s="227"/>
      <c r="D1028" s="227"/>
      <c r="E1028" s="227"/>
      <c r="F1028" s="227"/>
      <c r="G1028" s="227"/>
      <c r="H1028" s="227"/>
      <c r="I1028" s="229"/>
    </row>
    <row r="1029" spans="1:9" s="212" customFormat="1">
      <c r="A1029" s="658"/>
      <c r="B1029" s="227"/>
      <c r="C1029" s="227"/>
      <c r="D1029" s="227"/>
      <c r="E1029" s="227"/>
      <c r="F1029" s="227"/>
      <c r="G1029" s="227"/>
    </row>
    <row r="1030" spans="1:9" s="212" customFormat="1">
      <c r="A1030" s="69"/>
      <c r="B1030" s="69"/>
      <c r="C1030" s="69"/>
      <c r="D1030" s="69"/>
      <c r="E1030" s="69"/>
    </row>
    <row r="1031" spans="1:9" s="212" customFormat="1">
      <c r="A1031" s="120"/>
      <c r="B1031" s="73"/>
      <c r="C1031" s="73"/>
      <c r="D1031" s="73"/>
      <c r="E1031" s="73"/>
      <c r="F1031" s="73"/>
      <c r="G1031" s="73"/>
      <c r="H1031" s="73"/>
    </row>
    <row r="1032" spans="1:9" s="212" customFormat="1">
      <c r="A1032" s="220"/>
      <c r="B1032" s="141"/>
      <c r="C1032" s="141"/>
      <c r="D1032" s="141"/>
      <c r="E1032" s="141"/>
      <c r="F1032" s="141"/>
      <c r="G1032" s="141"/>
      <c r="H1032" s="73"/>
    </row>
    <row r="1033" spans="1:9" s="212" customFormat="1">
      <c r="A1033" s="150"/>
      <c r="B1033" s="83"/>
      <c r="C1033" s="148"/>
      <c r="D1033" s="84"/>
      <c r="E1033" s="162"/>
      <c r="F1033" s="84"/>
      <c r="G1033" s="146"/>
      <c r="H1033" s="221"/>
    </row>
    <row r="1034" spans="1:9" s="212" customFormat="1">
      <c r="A1034" s="84"/>
      <c r="B1034" s="83"/>
      <c r="C1034" s="84"/>
      <c r="D1034" s="84"/>
      <c r="E1034" s="84"/>
      <c r="G1034" s="213"/>
      <c r="H1034" s="222"/>
    </row>
    <row r="1035" spans="1:9" s="212" customFormat="1">
      <c r="A1035" s="120"/>
      <c r="B1035" s="73"/>
      <c r="C1035" s="73"/>
      <c r="D1035" s="73"/>
      <c r="E1035" s="73"/>
      <c r="G1035" s="73"/>
      <c r="H1035" s="222"/>
    </row>
    <row r="1036" spans="1:9" s="212" customFormat="1">
      <c r="A1036" s="220"/>
      <c r="B1036" s="141"/>
      <c r="C1036" s="141"/>
      <c r="D1036" s="141"/>
      <c r="E1036" s="141"/>
      <c r="F1036" s="141"/>
      <c r="G1036" s="141"/>
      <c r="H1036" s="222"/>
    </row>
    <row r="1037" spans="1:9" s="212" customFormat="1">
      <c r="A1037" s="142"/>
      <c r="B1037" s="143"/>
      <c r="C1037" s="143"/>
      <c r="D1037" s="143"/>
      <c r="E1037" s="143"/>
      <c r="F1037" s="84"/>
      <c r="G1037" s="146"/>
      <c r="H1037" s="221"/>
    </row>
    <row r="1038" spans="1:9" s="212" customFormat="1">
      <c r="A1038" s="91"/>
      <c r="B1038" s="91"/>
      <c r="C1038" s="91"/>
      <c r="D1038" s="91"/>
      <c r="E1038" s="91"/>
      <c r="G1038" s="213"/>
      <c r="H1038" s="222"/>
    </row>
    <row r="1039" spans="1:9" s="212" customFormat="1">
      <c r="A1039" s="120"/>
      <c r="B1039" s="73"/>
      <c r="C1039" s="73"/>
      <c r="D1039" s="73"/>
      <c r="E1039" s="73"/>
      <c r="G1039" s="73"/>
      <c r="H1039" s="222"/>
    </row>
    <row r="1040" spans="1:9" s="212" customFormat="1">
      <c r="A1040" s="220"/>
      <c r="B1040" s="141"/>
      <c r="C1040" s="141"/>
      <c r="D1040" s="141"/>
      <c r="E1040" s="141"/>
      <c r="F1040" s="141"/>
      <c r="G1040" s="141"/>
      <c r="H1040" s="222"/>
    </row>
    <row r="1041" spans="1:9" s="212" customFormat="1">
      <c r="A1041" s="146"/>
      <c r="B1041" s="83"/>
      <c r="C1041" s="148"/>
      <c r="D1041" s="84"/>
      <c r="E1041" s="162"/>
      <c r="F1041" s="84"/>
      <c r="G1041" s="146"/>
      <c r="H1041" s="221"/>
    </row>
    <row r="1042" spans="1:9" s="212" customFormat="1">
      <c r="A1042" s="91"/>
      <c r="B1042" s="91"/>
      <c r="C1042" s="91"/>
      <c r="D1042" s="91"/>
      <c r="E1042" s="91"/>
      <c r="G1042" s="213"/>
      <c r="H1042" s="222"/>
    </row>
    <row r="1043" spans="1:9" s="212" customFormat="1">
      <c r="A1043" s="120"/>
      <c r="B1043" s="73"/>
      <c r="C1043" s="73"/>
      <c r="D1043" s="73"/>
      <c r="E1043" s="73"/>
      <c r="G1043" s="73"/>
      <c r="H1043" s="222"/>
    </row>
    <row r="1044" spans="1:9" s="212" customFormat="1">
      <c r="A1044" s="220"/>
      <c r="B1044" s="141"/>
      <c r="C1044" s="141"/>
      <c r="D1044" s="141"/>
      <c r="E1044" s="141"/>
      <c r="F1044" s="141"/>
      <c r="G1044" s="141"/>
      <c r="H1044" s="222"/>
    </row>
    <row r="1045" spans="1:9" s="212" customFormat="1">
      <c r="A1045" s="142"/>
      <c r="B1045" s="143"/>
      <c r="C1045" s="143"/>
      <c r="D1045" s="143"/>
      <c r="E1045" s="143"/>
      <c r="F1045" s="84"/>
      <c r="G1045" s="146"/>
      <c r="H1045" s="221"/>
    </row>
    <row r="1046" spans="1:9" s="212" customFormat="1">
      <c r="A1046" s="123"/>
      <c r="B1046" s="95"/>
      <c r="C1046" s="95"/>
      <c r="D1046" s="95"/>
      <c r="E1046" s="95"/>
      <c r="G1046" s="213"/>
      <c r="H1046" s="73"/>
    </row>
    <row r="1047" spans="1:9" s="212" customFormat="1">
      <c r="A1047" s="123"/>
      <c r="B1047" s="95"/>
      <c r="C1047" s="95"/>
      <c r="D1047" s="95"/>
      <c r="E1047" s="95"/>
      <c r="G1047" s="73"/>
      <c r="H1047" s="225"/>
    </row>
    <row r="1048" spans="1:9" s="212" customFormat="1">
      <c r="B1048" s="97"/>
      <c r="C1048" s="98"/>
      <c r="D1048" s="98"/>
      <c r="E1048" s="98"/>
      <c r="G1048" s="220"/>
    </row>
    <row r="1049" spans="1:9" s="212" customFormat="1">
      <c r="B1049" s="97"/>
      <c r="C1049" s="98"/>
      <c r="D1049" s="98"/>
      <c r="E1049" s="98"/>
      <c r="F1049" s="220"/>
      <c r="G1049" s="225"/>
      <c r="H1049" s="226"/>
    </row>
    <row r="1050" spans="1:9" s="212" customFormat="1">
      <c r="A1050" s="633"/>
      <c r="B1050" s="633"/>
      <c r="C1050" s="633"/>
      <c r="D1050" s="633"/>
      <c r="E1050" s="633"/>
      <c r="F1050" s="633"/>
      <c r="G1050" s="633"/>
      <c r="H1050" s="226"/>
    </row>
    <row r="1051" spans="1:9" s="212" customFormat="1">
      <c r="A1051" s="279"/>
      <c r="B1051" s="279"/>
      <c r="C1051" s="279"/>
      <c r="D1051" s="279"/>
      <c r="E1051" s="279"/>
      <c r="F1051" s="279"/>
      <c r="G1051" s="279"/>
      <c r="H1051" s="227"/>
      <c r="I1051" s="228"/>
    </row>
    <row r="1052" spans="1:9" s="212" customFormat="1">
      <c r="A1052" s="658"/>
      <c r="B1052" s="227"/>
      <c r="C1052" s="227"/>
      <c r="D1052" s="227"/>
      <c r="E1052" s="227"/>
      <c r="F1052" s="227"/>
      <c r="G1052" s="227"/>
      <c r="H1052" s="227"/>
      <c r="I1052" s="229"/>
    </row>
    <row r="1053" spans="1:9" s="212" customFormat="1">
      <c r="A1053" s="658"/>
      <c r="B1053" s="227"/>
      <c r="C1053" s="227"/>
      <c r="D1053" s="227"/>
      <c r="E1053" s="227"/>
      <c r="F1053" s="227"/>
      <c r="G1053" s="227"/>
    </row>
    <row r="1054" spans="1:9" s="212" customFormat="1">
      <c r="A1054" s="69"/>
      <c r="B1054" s="69"/>
      <c r="C1054" s="69"/>
      <c r="D1054" s="69"/>
      <c r="E1054" s="69"/>
    </row>
    <row r="1055" spans="1:9" s="212" customFormat="1">
      <c r="A1055" s="120"/>
      <c r="B1055" s="73"/>
      <c r="C1055" s="73"/>
      <c r="D1055" s="73"/>
      <c r="E1055" s="73"/>
      <c r="F1055" s="73"/>
      <c r="G1055" s="73"/>
      <c r="H1055" s="73"/>
    </row>
    <row r="1056" spans="1:9" s="212" customFormat="1">
      <c r="A1056" s="220"/>
      <c r="B1056" s="141"/>
      <c r="C1056" s="141"/>
      <c r="D1056" s="141"/>
      <c r="E1056" s="141"/>
      <c r="F1056" s="141"/>
      <c r="G1056" s="141"/>
      <c r="H1056" s="73"/>
    </row>
    <row r="1057" spans="1:8" s="212" customFormat="1">
      <c r="A1057" s="150"/>
      <c r="B1057" s="83"/>
      <c r="C1057" s="148"/>
      <c r="D1057" s="84"/>
      <c r="E1057" s="162"/>
      <c r="F1057" s="84"/>
      <c r="G1057" s="146"/>
      <c r="H1057" s="221"/>
    </row>
    <row r="1058" spans="1:8" s="212" customFormat="1">
      <c r="A1058" s="84"/>
      <c r="B1058" s="83"/>
      <c r="C1058" s="84"/>
      <c r="D1058" s="84"/>
      <c r="E1058" s="84"/>
      <c r="G1058" s="213"/>
      <c r="H1058" s="222"/>
    </row>
    <row r="1059" spans="1:8" s="212" customFormat="1">
      <c r="A1059" s="120"/>
      <c r="B1059" s="73"/>
      <c r="C1059" s="73"/>
      <c r="D1059" s="73"/>
      <c r="E1059" s="73"/>
      <c r="G1059" s="73"/>
      <c r="H1059" s="222"/>
    </row>
    <row r="1060" spans="1:8" s="212" customFormat="1">
      <c r="A1060" s="220"/>
      <c r="B1060" s="141"/>
      <c r="C1060" s="141"/>
      <c r="D1060" s="141"/>
      <c r="E1060" s="141"/>
      <c r="F1060" s="141"/>
      <c r="G1060" s="141"/>
      <c r="H1060" s="222"/>
    </row>
    <row r="1061" spans="1:8" s="212" customFormat="1">
      <c r="A1061" s="142"/>
      <c r="B1061" s="143"/>
      <c r="C1061" s="143"/>
      <c r="D1061" s="143"/>
      <c r="E1061" s="143"/>
      <c r="F1061" s="84"/>
      <c r="G1061" s="146"/>
      <c r="H1061" s="221"/>
    </row>
    <row r="1062" spans="1:8" s="212" customFormat="1">
      <c r="A1062" s="91"/>
      <c r="B1062" s="91"/>
      <c r="C1062" s="91"/>
      <c r="D1062" s="91"/>
      <c r="E1062" s="91"/>
      <c r="G1062" s="213"/>
      <c r="H1062" s="222"/>
    </row>
    <row r="1063" spans="1:8" s="212" customFormat="1">
      <c r="A1063" s="120"/>
      <c r="B1063" s="73"/>
      <c r="C1063" s="73"/>
      <c r="D1063" s="73"/>
      <c r="E1063" s="73"/>
      <c r="G1063" s="73"/>
      <c r="H1063" s="222"/>
    </row>
    <row r="1064" spans="1:8" s="212" customFormat="1">
      <c r="A1064" s="220"/>
      <c r="B1064" s="141"/>
      <c r="C1064" s="141"/>
      <c r="D1064" s="141"/>
      <c r="E1064" s="141"/>
      <c r="F1064" s="141"/>
      <c r="G1064" s="141"/>
      <c r="H1064" s="222"/>
    </row>
    <row r="1065" spans="1:8" s="212" customFormat="1">
      <c r="A1065" s="146"/>
      <c r="B1065" s="83"/>
      <c r="C1065" s="148"/>
      <c r="D1065" s="84"/>
      <c r="E1065" s="162"/>
      <c r="F1065" s="84"/>
      <c r="G1065" s="146"/>
      <c r="H1065" s="221"/>
    </row>
    <row r="1066" spans="1:8" s="212" customFormat="1">
      <c r="A1066" s="91"/>
      <c r="B1066" s="91"/>
      <c r="C1066" s="91"/>
      <c r="D1066" s="91"/>
      <c r="E1066" s="91"/>
      <c r="G1066" s="213"/>
      <c r="H1066" s="222"/>
    </row>
    <row r="1067" spans="1:8" s="212" customFormat="1">
      <c r="A1067" s="120"/>
      <c r="B1067" s="73"/>
      <c r="C1067" s="73"/>
      <c r="D1067" s="73"/>
      <c r="E1067" s="73"/>
      <c r="G1067" s="73"/>
      <c r="H1067" s="222"/>
    </row>
    <row r="1068" spans="1:8" s="212" customFormat="1">
      <c r="A1068" s="220"/>
      <c r="B1068" s="141"/>
      <c r="C1068" s="141"/>
      <c r="D1068" s="141"/>
      <c r="E1068" s="141"/>
      <c r="F1068" s="141"/>
      <c r="G1068" s="141"/>
      <c r="H1068" s="222"/>
    </row>
    <row r="1069" spans="1:8" s="212" customFormat="1">
      <c r="A1069" s="142"/>
      <c r="B1069" s="143"/>
      <c r="C1069" s="143"/>
      <c r="D1069" s="143"/>
      <c r="E1069" s="143"/>
      <c r="F1069" s="84"/>
      <c r="G1069" s="146"/>
      <c r="H1069" s="221"/>
    </row>
    <row r="1070" spans="1:8" s="212" customFormat="1">
      <c r="A1070" s="123"/>
      <c r="B1070" s="95"/>
      <c r="C1070" s="95"/>
      <c r="D1070" s="95"/>
      <c r="E1070" s="95"/>
      <c r="G1070" s="213"/>
      <c r="H1070" s="73"/>
    </row>
    <row r="1071" spans="1:8" s="212" customFormat="1">
      <c r="A1071" s="123"/>
      <c r="B1071" s="95"/>
      <c r="C1071" s="95"/>
      <c r="D1071" s="95"/>
      <c r="E1071" s="95"/>
      <c r="G1071" s="73"/>
      <c r="H1071" s="225"/>
    </row>
    <row r="1072" spans="1:8" s="212" customFormat="1">
      <c r="B1072" s="97"/>
      <c r="C1072" s="98"/>
      <c r="D1072" s="98"/>
      <c r="E1072" s="98"/>
      <c r="G1072" s="220"/>
    </row>
    <row r="1073" spans="1:9" s="212" customFormat="1">
      <c r="B1073" s="97"/>
      <c r="C1073" s="98"/>
      <c r="D1073" s="98"/>
      <c r="E1073" s="98"/>
      <c r="F1073" s="220"/>
      <c r="G1073" s="225"/>
      <c r="H1073" s="226"/>
    </row>
    <row r="1074" spans="1:9" s="212" customFormat="1">
      <c r="A1074" s="633"/>
      <c r="B1074" s="633"/>
      <c r="C1074" s="633"/>
      <c r="D1074" s="633"/>
      <c r="E1074" s="633"/>
      <c r="F1074" s="633"/>
      <c r="G1074" s="633"/>
      <c r="H1074" s="226"/>
    </row>
    <row r="1075" spans="1:9" s="212" customFormat="1">
      <c r="A1075" s="279"/>
      <c r="B1075" s="279"/>
      <c r="C1075" s="279"/>
      <c r="D1075" s="279"/>
      <c r="E1075" s="279"/>
      <c r="F1075" s="279"/>
      <c r="G1075" s="279"/>
      <c r="H1075" s="227"/>
      <c r="I1075" s="228"/>
    </row>
    <row r="1076" spans="1:9" s="212" customFormat="1" ht="40.5" customHeight="1">
      <c r="A1076" s="658"/>
      <c r="B1076" s="227"/>
      <c r="C1076" s="227"/>
      <c r="D1076" s="227"/>
      <c r="E1076" s="227"/>
      <c r="F1076" s="227"/>
      <c r="G1076" s="227"/>
      <c r="H1076" s="227"/>
      <c r="I1076" s="229"/>
    </row>
    <row r="1077" spans="1:9" s="212" customFormat="1">
      <c r="A1077" s="658"/>
      <c r="B1077" s="227"/>
      <c r="C1077" s="227"/>
      <c r="D1077" s="227"/>
      <c r="E1077" s="227"/>
      <c r="F1077" s="227"/>
      <c r="G1077" s="227"/>
    </row>
    <row r="1078" spans="1:9" s="212" customFormat="1">
      <c r="A1078" s="69"/>
      <c r="B1078" s="69"/>
      <c r="C1078" s="69"/>
      <c r="D1078" s="69"/>
      <c r="E1078" s="69"/>
    </row>
    <row r="1079" spans="1:9" s="212" customFormat="1">
      <c r="A1079" s="120"/>
      <c r="B1079" s="73"/>
      <c r="C1079" s="73"/>
      <c r="D1079" s="73"/>
      <c r="E1079" s="73"/>
      <c r="F1079" s="73"/>
      <c r="G1079" s="73"/>
      <c r="H1079" s="73"/>
    </row>
    <row r="1080" spans="1:9" s="212" customFormat="1">
      <c r="A1080" s="220"/>
      <c r="B1080" s="141"/>
      <c r="C1080" s="141"/>
      <c r="D1080" s="141"/>
      <c r="E1080" s="141"/>
      <c r="F1080" s="141"/>
      <c r="G1080" s="141"/>
      <c r="H1080" s="73"/>
    </row>
    <row r="1081" spans="1:9" s="212" customFormat="1">
      <c r="A1081" s="150"/>
      <c r="B1081" s="83"/>
      <c r="C1081" s="148"/>
      <c r="D1081" s="84"/>
      <c r="E1081" s="162"/>
      <c r="F1081" s="84"/>
      <c r="G1081" s="146"/>
      <c r="H1081" s="221"/>
    </row>
    <row r="1082" spans="1:9" s="212" customFormat="1">
      <c r="A1082" s="84"/>
      <c r="B1082" s="83"/>
      <c r="C1082" s="84"/>
      <c r="D1082" s="84"/>
      <c r="E1082" s="84"/>
      <c r="G1082" s="213"/>
      <c r="H1082" s="222"/>
    </row>
    <row r="1083" spans="1:9" s="212" customFormat="1">
      <c r="A1083" s="120"/>
      <c r="B1083" s="73"/>
      <c r="C1083" s="73"/>
      <c r="D1083" s="73"/>
      <c r="E1083" s="73"/>
      <c r="G1083" s="73"/>
      <c r="H1083" s="222"/>
    </row>
    <row r="1084" spans="1:9" s="212" customFormat="1">
      <c r="A1084" s="220"/>
      <c r="B1084" s="141"/>
      <c r="C1084" s="141"/>
      <c r="D1084" s="141"/>
      <c r="E1084" s="141"/>
      <c r="F1084" s="141"/>
      <c r="G1084" s="141"/>
      <c r="H1084" s="222"/>
    </row>
    <row r="1085" spans="1:9" s="212" customFormat="1">
      <c r="A1085" s="142"/>
      <c r="B1085" s="143"/>
      <c r="C1085" s="143"/>
      <c r="D1085" s="143"/>
      <c r="E1085" s="143"/>
      <c r="F1085" s="84"/>
      <c r="G1085" s="146"/>
      <c r="H1085" s="221"/>
    </row>
    <row r="1086" spans="1:9" s="212" customFormat="1">
      <c r="A1086" s="91"/>
      <c r="B1086" s="91"/>
      <c r="C1086" s="91"/>
      <c r="D1086" s="91"/>
      <c r="E1086" s="91"/>
      <c r="G1086" s="213"/>
      <c r="H1086" s="222"/>
    </row>
    <row r="1087" spans="1:9" s="212" customFormat="1">
      <c r="A1087" s="120"/>
      <c r="B1087" s="73"/>
      <c r="C1087" s="73"/>
      <c r="D1087" s="73"/>
      <c r="E1087" s="73"/>
      <c r="G1087" s="73"/>
      <c r="H1087" s="222"/>
    </row>
    <row r="1088" spans="1:9" s="212" customFormat="1">
      <c r="A1088" s="220"/>
      <c r="B1088" s="141"/>
      <c r="C1088" s="141"/>
      <c r="D1088" s="141"/>
      <c r="E1088" s="141"/>
      <c r="F1088" s="141"/>
      <c r="G1088" s="141"/>
      <c r="H1088" s="222"/>
    </row>
    <row r="1089" spans="1:9" s="212" customFormat="1">
      <c r="A1089" s="146"/>
      <c r="B1089" s="83"/>
      <c r="C1089" s="148"/>
      <c r="D1089" s="84"/>
      <c r="E1089" s="162"/>
      <c r="F1089" s="84"/>
      <c r="G1089" s="146"/>
      <c r="H1089" s="221"/>
    </row>
    <row r="1090" spans="1:9" s="212" customFormat="1">
      <c r="A1090" s="91"/>
      <c r="B1090" s="91"/>
      <c r="C1090" s="91"/>
      <c r="D1090" s="91"/>
      <c r="E1090" s="91"/>
      <c r="G1090" s="213"/>
      <c r="H1090" s="222"/>
    </row>
    <row r="1091" spans="1:9" s="212" customFormat="1">
      <c r="A1091" s="120"/>
      <c r="B1091" s="73"/>
      <c r="C1091" s="73"/>
      <c r="D1091" s="73"/>
      <c r="E1091" s="73"/>
      <c r="G1091" s="73"/>
      <c r="H1091" s="222"/>
    </row>
    <row r="1092" spans="1:9" s="212" customFormat="1">
      <c r="A1092" s="220"/>
      <c r="B1092" s="141"/>
      <c r="C1092" s="141"/>
      <c r="D1092" s="141"/>
      <c r="E1092" s="141"/>
      <c r="F1092" s="141"/>
      <c r="G1092" s="141"/>
      <c r="H1092" s="222"/>
    </row>
    <row r="1093" spans="1:9" s="212" customFormat="1">
      <c r="A1093" s="142"/>
      <c r="B1093" s="143"/>
      <c r="C1093" s="143"/>
      <c r="D1093" s="143"/>
      <c r="E1093" s="143"/>
      <c r="F1093" s="84"/>
      <c r="G1093" s="146"/>
      <c r="H1093" s="221"/>
    </row>
    <row r="1094" spans="1:9" s="212" customFormat="1">
      <c r="A1094" s="123"/>
      <c r="B1094" s="95"/>
      <c r="C1094" s="95"/>
      <c r="D1094" s="95"/>
      <c r="E1094" s="95"/>
      <c r="G1094" s="213"/>
      <c r="H1094" s="73"/>
    </row>
    <row r="1095" spans="1:9" s="212" customFormat="1">
      <c r="A1095" s="123"/>
      <c r="B1095" s="95"/>
      <c r="C1095" s="95"/>
      <c r="D1095" s="95"/>
      <c r="E1095" s="95"/>
      <c r="G1095" s="73"/>
      <c r="H1095" s="225"/>
    </row>
    <row r="1096" spans="1:9" s="212" customFormat="1">
      <c r="B1096" s="97"/>
      <c r="C1096" s="98"/>
      <c r="D1096" s="98"/>
      <c r="E1096" s="98"/>
      <c r="G1096" s="220"/>
    </row>
    <row r="1097" spans="1:9" s="212" customFormat="1">
      <c r="B1097" s="97"/>
      <c r="C1097" s="98"/>
      <c r="D1097" s="98"/>
      <c r="E1097" s="98"/>
      <c r="F1097" s="220"/>
      <c r="G1097" s="225"/>
      <c r="H1097" s="226"/>
    </row>
    <row r="1098" spans="1:9" s="212" customFormat="1">
      <c r="A1098" s="633"/>
      <c r="B1098" s="633"/>
      <c r="C1098" s="633"/>
      <c r="D1098" s="633"/>
      <c r="E1098" s="633"/>
      <c r="F1098" s="633"/>
      <c r="G1098" s="633"/>
      <c r="H1098" s="226"/>
    </row>
    <row r="1099" spans="1:9" s="212" customFormat="1">
      <c r="A1099" s="279"/>
      <c r="B1099" s="279"/>
      <c r="C1099" s="279"/>
      <c r="D1099" s="279"/>
      <c r="E1099" s="279"/>
      <c r="F1099" s="279"/>
      <c r="G1099" s="279"/>
      <c r="H1099" s="227"/>
      <c r="I1099" s="228"/>
    </row>
    <row r="1100" spans="1:9" s="212" customFormat="1">
      <c r="A1100" s="658"/>
      <c r="B1100" s="227"/>
      <c r="C1100" s="227"/>
      <c r="D1100" s="227"/>
      <c r="E1100" s="227"/>
      <c r="F1100" s="227"/>
      <c r="G1100" s="227"/>
      <c r="H1100" s="227"/>
      <c r="I1100" s="229"/>
    </row>
    <row r="1101" spans="1:9" s="212" customFormat="1">
      <c r="A1101" s="658"/>
      <c r="B1101" s="227"/>
      <c r="C1101" s="227"/>
      <c r="D1101" s="227"/>
      <c r="E1101" s="227"/>
      <c r="F1101" s="227"/>
      <c r="G1101" s="227"/>
    </row>
    <row r="1102" spans="1:9" s="212" customFormat="1">
      <c r="A1102" s="69"/>
      <c r="B1102" s="69"/>
      <c r="C1102" s="69"/>
      <c r="D1102" s="69"/>
      <c r="E1102" s="69"/>
    </row>
    <row r="1103" spans="1:9" s="212" customFormat="1">
      <c r="A1103" s="120"/>
      <c r="B1103" s="73"/>
      <c r="C1103" s="73"/>
      <c r="D1103" s="73"/>
      <c r="E1103" s="73"/>
      <c r="F1103" s="73"/>
      <c r="G1103" s="73"/>
      <c r="H1103" s="73"/>
    </row>
    <row r="1104" spans="1:9" s="212" customFormat="1">
      <c r="A1104" s="220"/>
      <c r="B1104" s="141"/>
      <c r="C1104" s="141"/>
      <c r="D1104" s="141"/>
      <c r="E1104" s="141"/>
      <c r="F1104" s="141"/>
      <c r="G1104" s="141"/>
      <c r="H1104" s="73"/>
    </row>
    <row r="1105" spans="1:8" s="212" customFormat="1">
      <c r="A1105" s="150"/>
      <c r="B1105" s="83"/>
      <c r="C1105" s="148"/>
      <c r="D1105" s="84"/>
      <c r="E1105" s="162"/>
      <c r="F1105" s="84"/>
      <c r="G1105" s="146"/>
      <c r="H1105" s="221"/>
    </row>
    <row r="1106" spans="1:8" s="212" customFormat="1">
      <c r="A1106" s="84"/>
      <c r="B1106" s="83"/>
      <c r="C1106" s="84"/>
      <c r="D1106" s="84"/>
      <c r="E1106" s="84"/>
      <c r="G1106" s="213"/>
      <c r="H1106" s="222"/>
    </row>
    <row r="1107" spans="1:8" s="212" customFormat="1">
      <c r="A1107" s="120"/>
      <c r="B1107" s="73"/>
      <c r="C1107" s="73"/>
      <c r="D1107" s="73"/>
      <c r="E1107" s="73"/>
      <c r="G1107" s="73"/>
      <c r="H1107" s="222"/>
    </row>
    <row r="1108" spans="1:8" s="212" customFormat="1">
      <c r="A1108" s="220"/>
      <c r="B1108" s="141"/>
      <c r="C1108" s="141"/>
      <c r="D1108" s="141"/>
      <c r="E1108" s="141"/>
      <c r="F1108" s="141"/>
      <c r="G1108" s="141"/>
      <c r="H1108" s="222"/>
    </row>
    <row r="1109" spans="1:8" s="212" customFormat="1">
      <c r="A1109" s="142"/>
      <c r="B1109" s="143"/>
      <c r="C1109" s="143"/>
      <c r="D1109" s="143"/>
      <c r="E1109" s="143"/>
      <c r="F1109" s="84"/>
      <c r="G1109" s="146"/>
      <c r="H1109" s="221"/>
    </row>
    <row r="1110" spans="1:8" s="212" customFormat="1">
      <c r="A1110" s="91"/>
      <c r="B1110" s="91"/>
      <c r="C1110" s="91"/>
      <c r="D1110" s="91"/>
      <c r="E1110" s="91"/>
      <c r="G1110" s="213"/>
      <c r="H1110" s="222"/>
    </row>
    <row r="1111" spans="1:8" s="212" customFormat="1">
      <c r="A1111" s="120"/>
      <c r="B1111" s="73"/>
      <c r="C1111" s="73"/>
      <c r="D1111" s="73"/>
      <c r="E1111" s="73"/>
      <c r="G1111" s="73"/>
      <c r="H1111" s="222"/>
    </row>
    <row r="1112" spans="1:8" s="212" customFormat="1">
      <c r="A1112" s="220"/>
      <c r="B1112" s="141"/>
      <c r="C1112" s="141"/>
      <c r="D1112" s="141"/>
      <c r="E1112" s="141"/>
      <c r="F1112" s="141"/>
      <c r="G1112" s="141"/>
      <c r="H1112" s="222"/>
    </row>
    <row r="1113" spans="1:8" s="212" customFormat="1">
      <c r="A1113" s="146"/>
      <c r="B1113" s="83"/>
      <c r="C1113" s="148"/>
      <c r="D1113" s="84"/>
      <c r="E1113" s="162"/>
      <c r="F1113" s="84"/>
      <c r="G1113" s="146"/>
      <c r="H1113" s="221"/>
    </row>
    <row r="1114" spans="1:8" s="212" customFormat="1">
      <c r="A1114" s="91"/>
      <c r="B1114" s="91"/>
      <c r="C1114" s="91"/>
      <c r="D1114" s="91"/>
      <c r="E1114" s="91"/>
      <c r="G1114" s="213"/>
      <c r="H1114" s="222"/>
    </row>
    <row r="1115" spans="1:8" s="212" customFormat="1">
      <c r="A1115" s="120"/>
      <c r="B1115" s="73"/>
      <c r="C1115" s="73"/>
      <c r="D1115" s="73"/>
      <c r="E1115" s="73"/>
      <c r="G1115" s="73"/>
      <c r="H1115" s="222"/>
    </row>
    <row r="1116" spans="1:8" s="212" customFormat="1">
      <c r="A1116" s="220"/>
      <c r="B1116" s="141"/>
      <c r="C1116" s="141"/>
      <c r="D1116" s="141"/>
      <c r="E1116" s="141"/>
      <c r="F1116" s="141"/>
      <c r="G1116" s="141"/>
      <c r="H1116" s="222"/>
    </row>
    <row r="1117" spans="1:8" s="212" customFormat="1">
      <c r="A1117" s="142"/>
      <c r="B1117" s="143"/>
      <c r="C1117" s="143"/>
      <c r="D1117" s="143"/>
      <c r="E1117" s="143"/>
      <c r="F1117" s="84"/>
      <c r="G1117" s="146"/>
      <c r="H1117" s="221"/>
    </row>
    <row r="1118" spans="1:8" s="212" customFormat="1">
      <c r="A1118" s="123"/>
      <c r="B1118" s="95"/>
      <c r="C1118" s="95"/>
      <c r="D1118" s="95"/>
      <c r="E1118" s="95"/>
      <c r="G1118" s="213"/>
      <c r="H1118" s="73"/>
    </row>
    <row r="1119" spans="1:8" s="212" customFormat="1">
      <c r="A1119" s="123"/>
      <c r="B1119" s="95"/>
      <c r="C1119" s="95"/>
      <c r="D1119" s="95"/>
      <c r="E1119" s="95"/>
      <c r="G1119" s="73"/>
      <c r="H1119" s="225"/>
    </row>
    <row r="1120" spans="1:8" s="212" customFormat="1">
      <c r="B1120" s="97"/>
      <c r="C1120" s="98"/>
      <c r="D1120" s="98"/>
      <c r="E1120" s="98"/>
      <c r="G1120" s="220"/>
    </row>
    <row r="1121" spans="1:9" s="212" customFormat="1">
      <c r="B1121" s="97"/>
      <c r="C1121" s="98"/>
      <c r="D1121" s="98"/>
      <c r="E1121" s="98"/>
      <c r="F1121" s="220"/>
      <c r="G1121" s="225"/>
      <c r="H1121" s="226"/>
    </row>
    <row r="1122" spans="1:9" s="212" customFormat="1">
      <c r="A1122" s="633"/>
      <c r="B1122" s="633"/>
      <c r="C1122" s="633"/>
      <c r="D1122" s="633"/>
      <c r="E1122" s="633"/>
      <c r="F1122" s="633"/>
      <c r="G1122" s="633"/>
      <c r="H1122" s="226"/>
    </row>
    <row r="1123" spans="1:9" s="212" customFormat="1">
      <c r="A1123" s="279"/>
      <c r="B1123" s="279"/>
      <c r="C1123" s="279"/>
      <c r="D1123" s="279"/>
      <c r="E1123" s="279"/>
      <c r="F1123" s="279"/>
      <c r="G1123" s="279"/>
      <c r="H1123" s="227"/>
      <c r="I1123" s="228"/>
    </row>
    <row r="1124" spans="1:9" s="212" customFormat="1">
      <c r="A1124" s="658"/>
      <c r="B1124" s="227"/>
      <c r="C1124" s="227"/>
      <c r="D1124" s="227"/>
      <c r="E1124" s="227"/>
      <c r="F1124" s="227"/>
      <c r="G1124" s="227"/>
      <c r="H1124" s="227"/>
      <c r="I1124" s="229"/>
    </row>
    <row r="1125" spans="1:9" s="212" customFormat="1">
      <c r="A1125" s="658"/>
      <c r="B1125" s="227"/>
      <c r="C1125" s="227"/>
      <c r="D1125" s="227"/>
      <c r="E1125" s="227"/>
      <c r="F1125" s="227"/>
      <c r="G1125" s="227"/>
    </row>
    <row r="1126" spans="1:9" s="212" customFormat="1">
      <c r="A1126" s="69"/>
      <c r="B1126" s="69"/>
      <c r="C1126" s="69"/>
      <c r="D1126" s="69"/>
      <c r="E1126" s="69"/>
    </row>
    <row r="1127" spans="1:9" s="212" customFormat="1">
      <c r="A1127" s="120"/>
      <c r="B1127" s="73"/>
      <c r="C1127" s="73"/>
      <c r="D1127" s="73"/>
      <c r="E1127" s="73"/>
      <c r="F1127" s="73"/>
      <c r="G1127" s="73"/>
      <c r="H1127" s="73"/>
    </row>
    <row r="1128" spans="1:9" s="212" customFormat="1">
      <c r="A1128" s="220"/>
      <c r="B1128" s="141"/>
      <c r="C1128" s="141"/>
      <c r="D1128" s="141"/>
      <c r="E1128" s="141"/>
      <c r="F1128" s="141"/>
      <c r="G1128" s="141"/>
      <c r="H1128" s="73"/>
    </row>
    <row r="1129" spans="1:9" s="212" customFormat="1">
      <c r="A1129" s="150"/>
      <c r="B1129" s="83"/>
      <c r="C1129" s="148"/>
      <c r="D1129" s="84"/>
      <c r="E1129" s="162"/>
      <c r="F1129" s="84"/>
      <c r="G1129" s="146"/>
      <c r="H1129" s="221"/>
    </row>
    <row r="1130" spans="1:9" s="212" customFormat="1">
      <c r="A1130" s="84"/>
      <c r="B1130" s="83"/>
      <c r="C1130" s="84"/>
      <c r="D1130" s="84"/>
      <c r="E1130" s="84"/>
      <c r="G1130" s="213"/>
      <c r="H1130" s="222"/>
    </row>
    <row r="1131" spans="1:9" s="212" customFormat="1">
      <c r="A1131" s="120"/>
      <c r="B1131" s="73"/>
      <c r="C1131" s="73"/>
      <c r="D1131" s="73"/>
      <c r="E1131" s="73"/>
      <c r="G1131" s="73"/>
      <c r="H1131" s="222"/>
    </row>
    <row r="1132" spans="1:9" s="212" customFormat="1">
      <c r="A1132" s="220"/>
      <c r="B1132" s="141"/>
      <c r="C1132" s="141"/>
      <c r="D1132" s="141"/>
      <c r="E1132" s="141"/>
      <c r="F1132" s="141"/>
      <c r="G1132" s="141"/>
      <c r="H1132" s="222"/>
    </row>
    <row r="1133" spans="1:9" s="212" customFormat="1">
      <c r="A1133" s="142"/>
      <c r="B1133" s="143"/>
      <c r="C1133" s="143"/>
      <c r="D1133" s="143"/>
      <c r="E1133" s="143"/>
      <c r="F1133" s="84"/>
      <c r="G1133" s="146"/>
      <c r="H1133" s="221"/>
    </row>
    <row r="1134" spans="1:9" s="212" customFormat="1">
      <c r="A1134" s="91"/>
      <c r="B1134" s="91"/>
      <c r="C1134" s="91"/>
      <c r="D1134" s="91"/>
      <c r="E1134" s="91"/>
      <c r="G1134" s="213"/>
      <c r="H1134" s="222"/>
    </row>
    <row r="1135" spans="1:9" s="212" customFormat="1">
      <c r="A1135" s="120"/>
      <c r="B1135" s="73"/>
      <c r="C1135" s="73"/>
      <c r="D1135" s="73"/>
      <c r="E1135" s="73"/>
      <c r="G1135" s="73"/>
      <c r="H1135" s="222"/>
    </row>
    <row r="1136" spans="1:9" s="212" customFormat="1">
      <c r="A1136" s="220"/>
      <c r="B1136" s="141"/>
      <c r="C1136" s="141"/>
      <c r="D1136" s="141"/>
      <c r="E1136" s="141"/>
      <c r="F1136" s="141"/>
      <c r="G1136" s="141"/>
      <c r="H1136" s="222"/>
    </row>
    <row r="1137" spans="1:9" s="212" customFormat="1">
      <c r="A1137" s="146"/>
      <c r="B1137" s="83"/>
      <c r="C1137" s="148"/>
      <c r="D1137" s="84"/>
      <c r="E1137" s="162"/>
      <c r="F1137" s="84"/>
      <c r="G1137" s="146"/>
      <c r="H1137" s="221"/>
    </row>
    <row r="1138" spans="1:9" s="212" customFormat="1">
      <c r="A1138" s="91"/>
      <c r="B1138" s="91"/>
      <c r="C1138" s="91"/>
      <c r="D1138" s="91"/>
      <c r="E1138" s="91"/>
      <c r="G1138" s="213"/>
      <c r="H1138" s="222"/>
    </row>
    <row r="1139" spans="1:9" s="212" customFormat="1">
      <c r="A1139" s="120"/>
      <c r="B1139" s="73"/>
      <c r="C1139" s="73"/>
      <c r="D1139" s="73"/>
      <c r="E1139" s="73"/>
      <c r="G1139" s="73"/>
      <c r="H1139" s="222"/>
    </row>
    <row r="1140" spans="1:9" s="212" customFormat="1">
      <c r="A1140" s="220"/>
      <c r="B1140" s="141"/>
      <c r="C1140" s="141"/>
      <c r="D1140" s="141"/>
      <c r="E1140" s="141"/>
      <c r="F1140" s="141"/>
      <c r="G1140" s="141"/>
      <c r="H1140" s="222"/>
    </row>
    <row r="1141" spans="1:9" s="212" customFormat="1">
      <c r="A1141" s="142"/>
      <c r="B1141" s="143"/>
      <c r="C1141" s="143"/>
      <c r="D1141" s="143"/>
      <c r="E1141" s="143"/>
      <c r="F1141" s="84"/>
      <c r="G1141" s="146"/>
      <c r="H1141" s="221"/>
    </row>
    <row r="1142" spans="1:9" s="212" customFormat="1">
      <c r="A1142" s="123"/>
      <c r="B1142" s="95"/>
      <c r="C1142" s="95"/>
      <c r="D1142" s="95"/>
      <c r="E1142" s="95"/>
      <c r="G1142" s="213"/>
      <c r="H1142" s="73"/>
    </row>
    <row r="1143" spans="1:9" s="212" customFormat="1">
      <c r="A1143" s="123"/>
      <c r="B1143" s="95"/>
      <c r="C1143" s="95"/>
      <c r="D1143" s="95"/>
      <c r="E1143" s="95"/>
      <c r="G1143" s="73"/>
      <c r="H1143" s="225"/>
    </row>
    <row r="1144" spans="1:9" s="212" customFormat="1">
      <c r="B1144" s="97"/>
      <c r="C1144" s="98"/>
      <c r="D1144" s="98"/>
      <c r="E1144" s="98"/>
      <c r="G1144" s="220"/>
    </row>
    <row r="1145" spans="1:9" s="212" customFormat="1">
      <c r="B1145" s="97"/>
      <c r="C1145" s="98"/>
      <c r="D1145" s="98"/>
      <c r="E1145" s="98"/>
      <c r="F1145" s="220"/>
      <c r="G1145" s="225"/>
      <c r="H1145" s="226"/>
    </row>
    <row r="1146" spans="1:9" s="212" customFormat="1">
      <c r="A1146" s="633"/>
      <c r="B1146" s="633"/>
      <c r="C1146" s="633"/>
      <c r="D1146" s="633"/>
      <c r="E1146" s="633"/>
      <c r="F1146" s="633"/>
      <c r="G1146" s="633"/>
      <c r="H1146" s="226"/>
    </row>
    <row r="1147" spans="1:9" s="212" customFormat="1">
      <c r="A1147" s="279"/>
      <c r="B1147" s="279"/>
      <c r="C1147" s="279"/>
      <c r="D1147" s="279"/>
      <c r="E1147" s="279"/>
      <c r="F1147" s="279"/>
      <c r="G1147" s="279"/>
      <c r="H1147" s="227"/>
      <c r="I1147" s="228"/>
    </row>
    <row r="1148" spans="1:9" s="212" customFormat="1">
      <c r="A1148" s="658"/>
      <c r="B1148" s="227"/>
      <c r="C1148" s="227"/>
      <c r="D1148" s="227"/>
      <c r="E1148" s="227"/>
      <c r="F1148" s="227"/>
      <c r="G1148" s="227"/>
      <c r="H1148" s="227"/>
      <c r="I1148" s="229"/>
    </row>
    <row r="1149" spans="1:9" s="212" customFormat="1">
      <c r="A1149" s="658"/>
      <c r="B1149" s="227"/>
      <c r="C1149" s="227"/>
      <c r="D1149" s="227"/>
      <c r="E1149" s="227"/>
      <c r="F1149" s="227"/>
      <c r="G1149" s="227"/>
    </row>
    <row r="1150" spans="1:9" s="212" customFormat="1">
      <c r="A1150" s="69"/>
      <c r="B1150" s="69"/>
      <c r="C1150" s="69"/>
      <c r="D1150" s="69"/>
      <c r="E1150" s="69"/>
    </row>
    <row r="1151" spans="1:9" s="212" customFormat="1">
      <c r="A1151" s="120"/>
      <c r="B1151" s="73"/>
      <c r="C1151" s="73"/>
      <c r="D1151" s="73"/>
      <c r="E1151" s="73"/>
      <c r="F1151" s="73"/>
      <c r="G1151" s="73"/>
      <c r="H1151" s="73"/>
    </row>
    <row r="1152" spans="1:9" s="212" customFormat="1">
      <c r="A1152" s="220"/>
      <c r="B1152" s="141"/>
      <c r="C1152" s="141"/>
      <c r="D1152" s="141"/>
      <c r="E1152" s="141"/>
      <c r="F1152" s="141"/>
      <c r="G1152" s="141"/>
      <c r="H1152" s="73"/>
    </row>
    <row r="1153" spans="1:8" s="212" customFormat="1">
      <c r="A1153" s="150"/>
      <c r="B1153" s="84"/>
      <c r="C1153" s="148"/>
      <c r="D1153" s="84"/>
      <c r="E1153" s="84"/>
      <c r="F1153" s="84"/>
      <c r="G1153" s="146"/>
      <c r="H1153" s="221"/>
    </row>
    <row r="1154" spans="1:8" s="212" customFormat="1">
      <c r="A1154" s="84"/>
      <c r="B1154" s="83"/>
      <c r="C1154" s="84"/>
      <c r="D1154" s="84"/>
      <c r="E1154" s="84"/>
      <c r="G1154" s="213"/>
      <c r="H1154" s="222"/>
    </row>
    <row r="1155" spans="1:8" s="212" customFormat="1">
      <c r="A1155" s="120"/>
      <c r="B1155" s="73"/>
      <c r="C1155" s="73"/>
      <c r="D1155" s="73"/>
      <c r="E1155" s="73"/>
      <c r="G1155" s="73"/>
      <c r="H1155" s="222"/>
    </row>
    <row r="1156" spans="1:8" s="212" customFormat="1">
      <c r="A1156" s="220"/>
      <c r="B1156" s="141"/>
      <c r="C1156" s="141"/>
      <c r="D1156" s="141"/>
      <c r="E1156" s="141"/>
      <c r="F1156" s="141"/>
      <c r="G1156" s="141"/>
      <c r="H1156" s="222"/>
    </row>
    <row r="1157" spans="1:8" s="212" customFormat="1">
      <c r="A1157" s="150"/>
      <c r="B1157" s="83"/>
      <c r="C1157" s="148"/>
      <c r="D1157" s="160"/>
      <c r="E1157" s="84"/>
      <c r="F1157" s="84"/>
      <c r="G1157" s="146"/>
      <c r="H1157" s="221"/>
    </row>
    <row r="1158" spans="1:8" s="212" customFormat="1">
      <c r="A1158" s="91"/>
      <c r="B1158" s="91"/>
      <c r="C1158" s="91"/>
      <c r="D1158" s="91"/>
      <c r="E1158" s="91"/>
      <c r="G1158" s="213"/>
      <c r="H1158" s="222"/>
    </row>
    <row r="1159" spans="1:8" s="212" customFormat="1">
      <c r="A1159" s="120"/>
      <c r="B1159" s="73"/>
      <c r="C1159" s="73"/>
      <c r="D1159" s="73"/>
      <c r="E1159" s="73"/>
      <c r="G1159" s="73"/>
      <c r="H1159" s="222"/>
    </row>
    <row r="1160" spans="1:8" s="212" customFormat="1">
      <c r="A1160" s="220"/>
      <c r="B1160" s="141"/>
      <c r="C1160" s="141"/>
      <c r="D1160" s="141"/>
      <c r="E1160" s="141"/>
      <c r="F1160" s="141"/>
      <c r="G1160" s="141"/>
      <c r="H1160" s="222"/>
    </row>
    <row r="1161" spans="1:8" s="212" customFormat="1">
      <c r="A1161" s="150"/>
      <c r="B1161" s="84"/>
      <c r="C1161" s="148"/>
      <c r="D1161" s="84"/>
      <c r="E1161" s="84"/>
      <c r="F1161" s="84"/>
      <c r="G1161" s="146"/>
      <c r="H1161" s="221"/>
    </row>
    <row r="1162" spans="1:8" s="212" customFormat="1">
      <c r="A1162" s="91"/>
      <c r="B1162" s="91"/>
      <c r="C1162" s="91"/>
      <c r="D1162" s="91"/>
      <c r="E1162" s="91"/>
      <c r="G1162" s="213"/>
      <c r="H1162" s="222"/>
    </row>
    <row r="1163" spans="1:8" s="212" customFormat="1">
      <c r="A1163" s="120"/>
      <c r="B1163" s="73"/>
      <c r="C1163" s="73"/>
      <c r="D1163" s="73"/>
      <c r="E1163" s="73"/>
      <c r="G1163" s="73"/>
      <c r="H1163" s="222"/>
    </row>
    <row r="1164" spans="1:8" s="212" customFormat="1">
      <c r="A1164" s="220"/>
      <c r="B1164" s="141"/>
      <c r="C1164" s="141"/>
      <c r="D1164" s="141"/>
      <c r="E1164" s="141"/>
      <c r="F1164" s="141"/>
      <c r="G1164" s="141"/>
      <c r="H1164" s="222"/>
    </row>
    <row r="1165" spans="1:8" s="212" customFormat="1">
      <c r="A1165" s="142"/>
      <c r="B1165" s="143"/>
      <c r="C1165" s="143"/>
      <c r="D1165" s="143"/>
      <c r="E1165" s="143"/>
      <c r="F1165" s="84"/>
      <c r="G1165" s="146"/>
      <c r="H1165" s="221"/>
    </row>
    <row r="1166" spans="1:8" s="212" customFormat="1">
      <c r="A1166" s="123"/>
      <c r="B1166" s="95"/>
      <c r="C1166" s="95"/>
      <c r="D1166" s="95"/>
      <c r="E1166" s="95"/>
      <c r="G1166" s="213"/>
      <c r="H1166" s="73"/>
    </row>
    <row r="1167" spans="1:8" s="212" customFormat="1">
      <c r="A1167" s="123"/>
      <c r="B1167" s="95"/>
      <c r="C1167" s="95"/>
      <c r="D1167" s="95"/>
      <c r="E1167" s="95"/>
      <c r="G1167" s="73"/>
      <c r="H1167" s="225"/>
    </row>
    <row r="1168" spans="1:8" s="212" customFormat="1">
      <c r="B1168" s="97"/>
      <c r="C1168" s="98"/>
      <c r="D1168" s="98"/>
      <c r="E1168" s="98"/>
      <c r="G1168" s="220"/>
    </row>
    <row r="1169" spans="1:9" s="212" customFormat="1">
      <c r="B1169" s="97"/>
      <c r="C1169" s="98"/>
      <c r="D1169" s="98"/>
      <c r="E1169" s="98"/>
      <c r="F1169" s="220"/>
      <c r="G1169" s="225"/>
      <c r="H1169" s="226"/>
    </row>
    <row r="1170" spans="1:9" s="212" customFormat="1">
      <c r="A1170" s="633"/>
      <c r="B1170" s="633"/>
      <c r="C1170" s="633"/>
      <c r="D1170" s="633"/>
      <c r="E1170" s="633"/>
      <c r="F1170" s="633"/>
      <c r="G1170" s="633"/>
    </row>
    <row r="1171" spans="1:9" s="212" customFormat="1">
      <c r="H1171" s="227"/>
      <c r="I1171" s="228"/>
    </row>
    <row r="1172" spans="1:9" s="212" customFormat="1" ht="41.25" customHeight="1">
      <c r="A1172" s="658"/>
      <c r="B1172" s="227"/>
      <c r="C1172" s="227"/>
      <c r="D1172" s="227"/>
      <c r="E1172" s="227"/>
      <c r="F1172" s="227"/>
      <c r="G1172" s="227"/>
      <c r="H1172" s="227"/>
      <c r="I1172" s="229"/>
    </row>
    <row r="1173" spans="1:9" s="212" customFormat="1">
      <c r="A1173" s="658"/>
      <c r="B1173" s="227"/>
      <c r="C1173" s="227"/>
      <c r="D1173" s="227"/>
      <c r="E1173" s="227"/>
      <c r="F1173" s="227"/>
      <c r="G1173" s="227"/>
    </row>
    <row r="1174" spans="1:9" s="212" customFormat="1">
      <c r="A1174" s="69"/>
      <c r="B1174" s="69"/>
      <c r="C1174" s="69"/>
      <c r="D1174" s="69"/>
      <c r="E1174" s="69"/>
    </row>
    <row r="1175" spans="1:9" s="212" customFormat="1">
      <c r="A1175" s="120"/>
      <c r="B1175" s="73"/>
      <c r="C1175" s="73"/>
      <c r="D1175" s="73"/>
      <c r="E1175" s="73"/>
      <c r="F1175" s="73"/>
      <c r="G1175" s="73"/>
      <c r="H1175" s="73"/>
    </row>
    <row r="1176" spans="1:9" s="212" customFormat="1">
      <c r="A1176" s="220"/>
      <c r="B1176" s="141"/>
      <c r="C1176" s="141"/>
      <c r="D1176" s="141"/>
      <c r="E1176" s="141"/>
      <c r="F1176" s="141"/>
      <c r="G1176" s="141"/>
      <c r="H1176" s="73"/>
    </row>
    <row r="1177" spans="1:9" s="212" customFormat="1">
      <c r="A1177" s="150"/>
      <c r="B1177" s="84"/>
      <c r="C1177" s="148"/>
      <c r="D1177" s="84"/>
      <c r="E1177" s="84"/>
      <c r="F1177" s="84"/>
      <c r="G1177" s="146"/>
      <c r="H1177" s="221"/>
    </row>
    <row r="1178" spans="1:9" s="212" customFormat="1">
      <c r="A1178" s="84"/>
      <c r="B1178" s="83"/>
      <c r="C1178" s="84"/>
      <c r="D1178" s="84"/>
      <c r="E1178" s="84"/>
      <c r="G1178" s="213"/>
      <c r="H1178" s="222"/>
    </row>
    <row r="1179" spans="1:9" s="212" customFormat="1">
      <c r="A1179" s="120"/>
      <c r="B1179" s="73"/>
      <c r="C1179" s="73"/>
      <c r="D1179" s="73"/>
      <c r="E1179" s="73"/>
      <c r="G1179" s="73"/>
      <c r="H1179" s="222"/>
    </row>
    <row r="1180" spans="1:9" s="212" customFormat="1">
      <c r="A1180" s="220"/>
      <c r="B1180" s="141"/>
      <c r="C1180" s="141"/>
      <c r="D1180" s="141"/>
      <c r="E1180" s="141"/>
      <c r="F1180" s="141"/>
      <c r="G1180" s="141"/>
      <c r="H1180" s="222"/>
    </row>
    <row r="1181" spans="1:9" s="212" customFormat="1">
      <c r="A1181" s="150"/>
      <c r="B1181" s="83"/>
      <c r="C1181" s="148"/>
      <c r="D1181" s="160"/>
      <c r="E1181" s="84"/>
      <c r="F1181" s="84"/>
      <c r="G1181" s="146"/>
      <c r="H1181" s="221"/>
    </row>
    <row r="1182" spans="1:9" s="212" customFormat="1">
      <c r="A1182" s="91"/>
      <c r="B1182" s="91"/>
      <c r="C1182" s="91"/>
      <c r="D1182" s="91"/>
      <c r="E1182" s="91"/>
      <c r="G1182" s="213"/>
      <c r="H1182" s="222"/>
    </row>
    <row r="1183" spans="1:9" s="212" customFormat="1">
      <c r="A1183" s="120"/>
      <c r="B1183" s="73"/>
      <c r="C1183" s="73"/>
      <c r="D1183" s="73"/>
      <c r="E1183" s="73"/>
      <c r="G1183" s="73"/>
      <c r="H1183" s="222"/>
    </row>
    <row r="1184" spans="1:9" s="212" customFormat="1">
      <c r="A1184" s="220"/>
      <c r="B1184" s="141"/>
      <c r="C1184" s="141"/>
      <c r="D1184" s="141"/>
      <c r="E1184" s="141"/>
      <c r="F1184" s="141"/>
      <c r="G1184" s="141"/>
      <c r="H1184" s="222"/>
    </row>
    <row r="1185" spans="1:9" s="212" customFormat="1">
      <c r="A1185" s="150"/>
      <c r="B1185" s="84"/>
      <c r="C1185" s="148"/>
      <c r="D1185" s="84"/>
      <c r="E1185" s="84"/>
      <c r="F1185" s="84"/>
      <c r="G1185" s="146"/>
      <c r="H1185" s="221"/>
    </row>
    <row r="1186" spans="1:9" s="212" customFormat="1">
      <c r="A1186" s="91"/>
      <c r="B1186" s="91"/>
      <c r="C1186" s="91"/>
      <c r="D1186" s="91"/>
      <c r="E1186" s="91"/>
      <c r="G1186" s="213"/>
      <c r="H1186" s="222"/>
    </row>
    <row r="1187" spans="1:9" s="212" customFormat="1">
      <c r="A1187" s="120"/>
      <c r="B1187" s="73"/>
      <c r="C1187" s="73"/>
      <c r="D1187" s="73"/>
      <c r="E1187" s="73"/>
      <c r="G1187" s="73"/>
      <c r="H1187" s="222"/>
    </row>
    <row r="1188" spans="1:9" s="212" customFormat="1">
      <c r="A1188" s="220"/>
      <c r="B1188" s="141"/>
      <c r="C1188" s="141"/>
      <c r="D1188" s="141"/>
      <c r="E1188" s="141"/>
      <c r="F1188" s="141"/>
      <c r="G1188" s="141"/>
      <c r="H1188" s="222"/>
    </row>
    <row r="1189" spans="1:9" s="212" customFormat="1">
      <c r="A1189" s="142"/>
      <c r="B1189" s="143"/>
      <c r="C1189" s="143"/>
      <c r="D1189" s="143"/>
      <c r="E1189" s="143"/>
      <c r="F1189" s="84"/>
      <c r="G1189" s="146"/>
      <c r="H1189" s="221"/>
    </row>
    <row r="1190" spans="1:9" s="212" customFormat="1">
      <c r="A1190" s="123"/>
      <c r="B1190" s="95"/>
      <c r="C1190" s="95"/>
      <c r="D1190" s="95"/>
      <c r="E1190" s="95"/>
      <c r="G1190" s="213"/>
      <c r="H1190" s="73"/>
    </row>
    <row r="1191" spans="1:9" s="212" customFormat="1">
      <c r="A1191" s="123"/>
      <c r="B1191" s="95"/>
      <c r="C1191" s="95"/>
      <c r="D1191" s="95"/>
      <c r="E1191" s="95"/>
      <c r="G1191" s="73"/>
      <c r="H1191" s="225"/>
    </row>
    <row r="1192" spans="1:9" s="212" customFormat="1">
      <c r="B1192" s="97"/>
      <c r="C1192" s="98"/>
      <c r="D1192" s="98"/>
      <c r="E1192" s="98"/>
      <c r="G1192" s="220"/>
    </row>
    <row r="1193" spans="1:9" s="212" customFormat="1">
      <c r="B1193" s="97"/>
      <c r="C1193" s="98"/>
      <c r="D1193" s="98"/>
      <c r="E1193" s="98"/>
      <c r="F1193" s="220"/>
      <c r="G1193" s="225"/>
      <c r="H1193" s="226"/>
    </row>
    <row r="1194" spans="1:9" s="212" customFormat="1">
      <c r="A1194" s="633"/>
      <c r="B1194" s="633"/>
      <c r="C1194" s="633"/>
      <c r="D1194" s="633"/>
      <c r="E1194" s="633"/>
      <c r="F1194" s="633"/>
      <c r="G1194" s="633"/>
    </row>
    <row r="1195" spans="1:9" s="212" customFormat="1">
      <c r="H1195" s="227"/>
      <c r="I1195" s="228"/>
    </row>
    <row r="1196" spans="1:9" s="212" customFormat="1">
      <c r="A1196" s="658"/>
      <c r="B1196" s="227"/>
      <c r="C1196" s="227"/>
      <c r="D1196" s="227"/>
      <c r="E1196" s="227"/>
      <c r="F1196" s="227"/>
      <c r="G1196" s="227"/>
      <c r="H1196" s="227"/>
      <c r="I1196" s="229"/>
    </row>
    <row r="1197" spans="1:9" s="212" customFormat="1">
      <c r="A1197" s="658"/>
      <c r="B1197" s="227"/>
      <c r="C1197" s="227"/>
      <c r="D1197" s="227"/>
      <c r="E1197" s="227"/>
      <c r="F1197" s="227"/>
      <c r="G1197" s="227"/>
    </row>
    <row r="1198" spans="1:9" s="212" customFormat="1">
      <c r="A1198" s="69"/>
      <c r="B1198" s="69"/>
      <c r="C1198" s="69"/>
      <c r="D1198" s="69"/>
      <c r="E1198" s="69"/>
    </row>
    <row r="1199" spans="1:9" s="212" customFormat="1">
      <c r="A1199" s="120"/>
      <c r="B1199" s="73"/>
      <c r="C1199" s="73"/>
      <c r="D1199" s="73"/>
      <c r="E1199" s="73"/>
      <c r="F1199" s="73"/>
      <c r="G1199" s="73"/>
      <c r="H1199" s="73"/>
    </row>
    <row r="1200" spans="1:9" s="212" customFormat="1">
      <c r="A1200" s="220"/>
      <c r="B1200" s="141"/>
      <c r="C1200" s="141"/>
      <c r="D1200" s="141"/>
      <c r="E1200" s="141"/>
      <c r="F1200" s="141"/>
      <c r="G1200" s="141"/>
      <c r="H1200" s="73"/>
    </row>
    <row r="1201" spans="1:8" s="212" customFormat="1">
      <c r="A1201" s="150"/>
      <c r="B1201" s="84"/>
      <c r="C1201" s="148"/>
      <c r="D1201" s="84"/>
      <c r="E1201" s="84"/>
      <c r="F1201" s="84"/>
      <c r="G1201" s="146"/>
      <c r="H1201" s="221"/>
    </row>
    <row r="1202" spans="1:8" s="212" customFormat="1">
      <c r="A1202" s="84"/>
      <c r="B1202" s="83"/>
      <c r="C1202" s="84"/>
      <c r="D1202" s="84"/>
      <c r="E1202" s="84"/>
      <c r="G1202" s="213"/>
      <c r="H1202" s="222"/>
    </row>
    <row r="1203" spans="1:8" s="212" customFormat="1">
      <c r="A1203" s="120"/>
      <c r="B1203" s="73"/>
      <c r="C1203" s="73"/>
      <c r="D1203" s="73"/>
      <c r="E1203" s="73"/>
      <c r="G1203" s="73"/>
      <c r="H1203" s="222"/>
    </row>
    <row r="1204" spans="1:8" s="212" customFormat="1">
      <c r="A1204" s="220"/>
      <c r="B1204" s="141"/>
      <c r="C1204" s="141"/>
      <c r="D1204" s="141"/>
      <c r="E1204" s="141"/>
      <c r="F1204" s="141"/>
      <c r="G1204" s="141"/>
      <c r="H1204" s="222"/>
    </row>
    <row r="1205" spans="1:8" s="212" customFormat="1">
      <c r="A1205" s="150"/>
      <c r="B1205" s="83"/>
      <c r="C1205" s="148"/>
      <c r="D1205" s="160"/>
      <c r="E1205" s="84"/>
      <c r="F1205" s="84"/>
      <c r="G1205" s="146"/>
      <c r="H1205" s="221"/>
    </row>
    <row r="1206" spans="1:8" s="212" customFormat="1">
      <c r="A1206" s="91"/>
      <c r="B1206" s="91"/>
      <c r="C1206" s="91"/>
      <c r="D1206" s="91"/>
      <c r="E1206" s="91"/>
      <c r="G1206" s="213"/>
      <c r="H1206" s="222"/>
    </row>
    <row r="1207" spans="1:8" s="212" customFormat="1">
      <c r="A1207" s="120"/>
      <c r="B1207" s="73"/>
      <c r="C1207" s="73"/>
      <c r="D1207" s="73"/>
      <c r="E1207" s="73"/>
      <c r="G1207" s="73"/>
      <c r="H1207" s="222"/>
    </row>
    <row r="1208" spans="1:8" s="212" customFormat="1">
      <c r="A1208" s="220"/>
      <c r="B1208" s="141"/>
      <c r="C1208" s="141"/>
      <c r="D1208" s="141"/>
      <c r="E1208" s="141"/>
      <c r="F1208" s="141"/>
      <c r="G1208" s="141"/>
      <c r="H1208" s="222"/>
    </row>
    <row r="1209" spans="1:8" s="212" customFormat="1">
      <c r="A1209" s="150"/>
      <c r="B1209" s="84"/>
      <c r="C1209" s="148"/>
      <c r="D1209" s="84"/>
      <c r="E1209" s="84"/>
      <c r="F1209" s="84"/>
      <c r="G1209" s="146"/>
      <c r="H1209" s="221"/>
    </row>
    <row r="1210" spans="1:8" s="212" customFormat="1">
      <c r="A1210" s="91"/>
      <c r="B1210" s="91"/>
      <c r="C1210" s="91"/>
      <c r="D1210" s="91"/>
      <c r="E1210" s="91"/>
      <c r="G1210" s="213"/>
      <c r="H1210" s="222"/>
    </row>
    <row r="1211" spans="1:8" s="212" customFormat="1">
      <c r="A1211" s="120"/>
      <c r="B1211" s="73"/>
      <c r="C1211" s="73"/>
      <c r="D1211" s="73"/>
      <c r="E1211" s="73"/>
      <c r="G1211" s="73"/>
      <c r="H1211" s="222"/>
    </row>
    <row r="1212" spans="1:8" s="212" customFormat="1">
      <c r="A1212" s="220"/>
      <c r="B1212" s="141"/>
      <c r="C1212" s="141"/>
      <c r="D1212" s="141"/>
      <c r="E1212" s="141"/>
      <c r="F1212" s="141"/>
      <c r="G1212" s="141"/>
      <c r="H1212" s="222"/>
    </row>
    <row r="1213" spans="1:8" s="212" customFormat="1">
      <c r="A1213" s="142"/>
      <c r="B1213" s="143"/>
      <c r="C1213" s="143"/>
      <c r="D1213" s="143"/>
      <c r="E1213" s="143"/>
      <c r="F1213" s="84"/>
      <c r="G1213" s="146"/>
      <c r="H1213" s="221"/>
    </row>
    <row r="1214" spans="1:8" s="212" customFormat="1">
      <c r="A1214" s="123"/>
      <c r="B1214" s="95"/>
      <c r="C1214" s="95"/>
      <c r="D1214" s="95"/>
      <c r="E1214" s="95"/>
      <c r="G1214" s="213"/>
      <c r="H1214" s="73"/>
    </row>
    <row r="1215" spans="1:8" s="212" customFormat="1">
      <c r="A1215" s="123"/>
      <c r="B1215" s="95"/>
      <c r="C1215" s="95"/>
      <c r="D1215" s="95"/>
      <c r="E1215" s="95"/>
      <c r="G1215" s="73"/>
      <c r="H1215" s="225"/>
    </row>
    <row r="1216" spans="1:8" s="212" customFormat="1">
      <c r="B1216" s="97"/>
      <c r="C1216" s="98"/>
      <c r="D1216" s="98"/>
      <c r="E1216" s="98"/>
      <c r="G1216" s="220"/>
    </row>
    <row r="1217" spans="1:9" s="212" customFormat="1">
      <c r="B1217" s="97"/>
      <c r="C1217" s="98"/>
      <c r="D1217" s="98"/>
      <c r="E1217" s="98"/>
      <c r="F1217" s="220"/>
      <c r="G1217" s="225"/>
      <c r="H1217" s="226"/>
    </row>
    <row r="1218" spans="1:9" s="212" customFormat="1">
      <c r="A1218" s="633"/>
      <c r="B1218" s="633"/>
      <c r="C1218" s="633"/>
      <c r="D1218" s="633"/>
      <c r="E1218" s="633"/>
      <c r="F1218" s="633"/>
      <c r="G1218" s="633"/>
    </row>
    <row r="1219" spans="1:9" s="212" customFormat="1">
      <c r="H1219" s="227"/>
      <c r="I1219" s="228"/>
    </row>
    <row r="1220" spans="1:9" s="212" customFormat="1">
      <c r="A1220" s="658"/>
      <c r="B1220" s="227"/>
      <c r="C1220" s="227"/>
      <c r="D1220" s="227"/>
      <c r="E1220" s="227"/>
      <c r="F1220" s="227"/>
      <c r="G1220" s="227"/>
      <c r="H1220" s="227"/>
      <c r="I1220" s="229"/>
    </row>
    <row r="1221" spans="1:9" s="212" customFormat="1">
      <c r="A1221" s="658"/>
      <c r="B1221" s="227"/>
      <c r="C1221" s="227"/>
      <c r="D1221" s="227"/>
      <c r="E1221" s="227"/>
      <c r="F1221" s="227"/>
      <c r="G1221" s="227"/>
    </row>
    <row r="1222" spans="1:9" s="212" customFormat="1">
      <c r="A1222" s="69"/>
      <c r="B1222" s="69"/>
      <c r="C1222" s="69"/>
      <c r="D1222" s="69"/>
      <c r="E1222" s="69"/>
    </row>
    <row r="1223" spans="1:9" s="212" customFormat="1">
      <c r="A1223" s="120"/>
      <c r="B1223" s="73"/>
      <c r="C1223" s="73"/>
      <c r="D1223" s="73"/>
      <c r="E1223" s="73"/>
      <c r="F1223" s="73"/>
      <c r="G1223" s="73"/>
      <c r="H1223" s="73"/>
    </row>
    <row r="1224" spans="1:9" s="212" customFormat="1">
      <c r="A1224" s="220"/>
      <c r="B1224" s="141"/>
      <c r="C1224" s="141"/>
      <c r="D1224" s="141"/>
      <c r="E1224" s="141"/>
      <c r="F1224" s="141"/>
      <c r="G1224" s="141"/>
      <c r="H1224" s="73"/>
    </row>
    <row r="1225" spans="1:9" s="212" customFormat="1">
      <c r="A1225" s="150"/>
      <c r="B1225" s="84"/>
      <c r="C1225" s="148"/>
      <c r="D1225" s="84"/>
      <c r="E1225" s="84"/>
      <c r="F1225" s="84"/>
      <c r="G1225" s="146"/>
      <c r="H1225" s="221"/>
    </row>
    <row r="1226" spans="1:9" s="212" customFormat="1">
      <c r="A1226" s="84"/>
      <c r="B1226" s="83"/>
      <c r="C1226" s="84"/>
      <c r="D1226" s="84"/>
      <c r="E1226" s="84"/>
      <c r="G1226" s="213"/>
      <c r="H1226" s="222"/>
    </row>
    <row r="1227" spans="1:9" s="212" customFormat="1">
      <c r="A1227" s="120"/>
      <c r="B1227" s="73"/>
      <c r="C1227" s="73"/>
      <c r="D1227" s="73"/>
      <c r="E1227" s="73"/>
      <c r="G1227" s="73"/>
      <c r="H1227" s="222"/>
    </row>
    <row r="1228" spans="1:9" s="212" customFormat="1">
      <c r="A1228" s="220"/>
      <c r="B1228" s="141"/>
      <c r="C1228" s="141"/>
      <c r="D1228" s="141"/>
      <c r="E1228" s="141"/>
      <c r="F1228" s="141"/>
      <c r="G1228" s="141"/>
      <c r="H1228" s="222"/>
    </row>
    <row r="1229" spans="1:9" s="212" customFormat="1">
      <c r="A1229" s="150"/>
      <c r="B1229" s="83"/>
      <c r="C1229" s="148"/>
      <c r="D1229" s="160"/>
      <c r="E1229" s="84"/>
      <c r="F1229" s="84"/>
      <c r="G1229" s="146"/>
      <c r="H1229" s="221"/>
    </row>
    <row r="1230" spans="1:9" s="212" customFormat="1">
      <c r="A1230" s="91"/>
      <c r="B1230" s="91"/>
      <c r="C1230" s="91"/>
      <c r="D1230" s="91"/>
      <c r="E1230" s="91"/>
      <c r="G1230" s="213"/>
      <c r="H1230" s="222"/>
    </row>
    <row r="1231" spans="1:9" s="212" customFormat="1">
      <c r="A1231" s="120"/>
      <c r="B1231" s="73"/>
      <c r="C1231" s="73"/>
      <c r="D1231" s="73"/>
      <c r="E1231" s="73"/>
      <c r="G1231" s="73"/>
      <c r="H1231" s="222"/>
    </row>
    <row r="1232" spans="1:9" s="212" customFormat="1">
      <c r="A1232" s="220"/>
      <c r="B1232" s="141"/>
      <c r="C1232" s="141"/>
      <c r="D1232" s="141"/>
      <c r="E1232" s="141"/>
      <c r="F1232" s="141"/>
      <c r="G1232" s="141"/>
      <c r="H1232" s="222"/>
    </row>
    <row r="1233" spans="1:9" s="212" customFormat="1">
      <c r="A1233" s="150"/>
      <c r="B1233" s="83"/>
      <c r="C1233" s="148"/>
      <c r="D1233" s="84"/>
      <c r="E1233" s="84"/>
      <c r="F1233" s="84"/>
      <c r="G1233" s="146"/>
      <c r="H1233" s="221"/>
    </row>
    <row r="1234" spans="1:9" s="212" customFormat="1">
      <c r="A1234" s="91"/>
      <c r="B1234" s="91"/>
      <c r="C1234" s="91"/>
      <c r="D1234" s="91"/>
      <c r="E1234" s="91"/>
      <c r="G1234" s="213"/>
      <c r="H1234" s="222"/>
    </row>
    <row r="1235" spans="1:9" s="212" customFormat="1">
      <c r="A1235" s="120"/>
      <c r="B1235" s="73"/>
      <c r="C1235" s="73"/>
      <c r="D1235" s="73"/>
      <c r="E1235" s="73"/>
      <c r="G1235" s="73"/>
      <c r="H1235" s="222"/>
    </row>
    <row r="1236" spans="1:9" s="212" customFormat="1">
      <c r="A1236" s="220"/>
      <c r="B1236" s="141"/>
      <c r="C1236" s="141"/>
      <c r="D1236" s="141"/>
      <c r="E1236" s="141"/>
      <c r="F1236" s="141"/>
      <c r="G1236" s="141"/>
      <c r="H1236" s="222"/>
    </row>
    <row r="1237" spans="1:9" s="212" customFormat="1">
      <c r="A1237" s="142"/>
      <c r="B1237" s="143"/>
      <c r="C1237" s="143"/>
      <c r="D1237" s="143"/>
      <c r="E1237" s="143"/>
      <c r="F1237" s="84"/>
      <c r="G1237" s="146"/>
      <c r="H1237" s="221"/>
    </row>
    <row r="1238" spans="1:9" s="212" customFormat="1">
      <c r="A1238" s="123"/>
      <c r="B1238" s="95"/>
      <c r="C1238" s="95"/>
      <c r="D1238" s="95"/>
      <c r="E1238" s="95"/>
      <c r="G1238" s="213"/>
      <c r="H1238" s="73"/>
    </row>
    <row r="1239" spans="1:9" s="212" customFormat="1">
      <c r="A1239" s="123"/>
      <c r="B1239" s="95"/>
      <c r="C1239" s="95"/>
      <c r="D1239" s="95"/>
      <c r="E1239" s="95"/>
      <c r="G1239" s="73"/>
      <c r="H1239" s="225"/>
    </row>
    <row r="1240" spans="1:9" s="212" customFormat="1">
      <c r="B1240" s="97"/>
      <c r="C1240" s="98"/>
      <c r="D1240" s="98"/>
      <c r="E1240" s="98"/>
      <c r="G1240" s="220"/>
    </row>
    <row r="1241" spans="1:9" s="212" customFormat="1">
      <c r="B1241" s="97"/>
      <c r="C1241" s="98"/>
      <c r="D1241" s="98"/>
      <c r="E1241" s="98"/>
      <c r="F1241" s="220"/>
      <c r="G1241" s="225"/>
      <c r="H1241" s="226"/>
    </row>
    <row r="1242" spans="1:9" s="212" customFormat="1">
      <c r="A1242" s="633"/>
      <c r="B1242" s="633"/>
      <c r="C1242" s="633"/>
      <c r="D1242" s="633"/>
      <c r="E1242" s="633"/>
      <c r="F1242" s="633"/>
      <c r="G1242" s="633"/>
    </row>
    <row r="1243" spans="1:9" s="212" customFormat="1">
      <c r="H1243" s="227"/>
      <c r="I1243" s="228"/>
    </row>
    <row r="1244" spans="1:9" s="212" customFormat="1">
      <c r="A1244" s="658"/>
      <c r="B1244" s="227"/>
      <c r="C1244" s="227"/>
      <c r="D1244" s="227"/>
      <c r="E1244" s="227"/>
      <c r="F1244" s="227"/>
      <c r="G1244" s="227"/>
      <c r="H1244" s="227"/>
      <c r="I1244" s="229"/>
    </row>
    <row r="1245" spans="1:9" s="212" customFormat="1">
      <c r="A1245" s="658"/>
      <c r="B1245" s="227"/>
      <c r="C1245" s="227"/>
      <c r="D1245" s="227"/>
      <c r="E1245" s="227"/>
      <c r="F1245" s="227"/>
      <c r="G1245" s="227"/>
    </row>
    <row r="1246" spans="1:9" s="212" customFormat="1">
      <c r="A1246" s="69"/>
      <c r="B1246" s="69"/>
      <c r="C1246" s="69"/>
      <c r="D1246" s="69"/>
      <c r="E1246" s="69"/>
    </row>
    <row r="1247" spans="1:9" s="212" customFormat="1">
      <c r="A1247" s="120"/>
      <c r="B1247" s="73"/>
      <c r="C1247" s="73"/>
      <c r="D1247" s="73"/>
      <c r="E1247" s="73"/>
      <c r="F1247" s="73"/>
      <c r="G1247" s="73"/>
      <c r="H1247" s="73"/>
    </row>
    <row r="1248" spans="1:9" s="212" customFormat="1">
      <c r="A1248" s="220"/>
      <c r="B1248" s="141"/>
      <c r="C1248" s="141"/>
      <c r="D1248" s="141"/>
      <c r="E1248" s="141"/>
      <c r="F1248" s="141"/>
      <c r="G1248" s="141"/>
      <c r="H1248" s="73"/>
    </row>
    <row r="1249" spans="1:8" s="212" customFormat="1">
      <c r="A1249" s="150"/>
      <c r="B1249" s="84"/>
      <c r="C1249" s="148"/>
      <c r="D1249" s="84"/>
      <c r="E1249" s="84"/>
      <c r="F1249" s="84"/>
      <c r="G1249" s="146"/>
      <c r="H1249" s="221"/>
    </row>
    <row r="1250" spans="1:8" s="212" customFormat="1">
      <c r="A1250" s="84"/>
      <c r="B1250" s="83"/>
      <c r="C1250" s="84"/>
      <c r="D1250" s="84"/>
      <c r="E1250" s="84"/>
      <c r="G1250" s="213"/>
      <c r="H1250" s="222"/>
    </row>
    <row r="1251" spans="1:8" s="212" customFormat="1">
      <c r="A1251" s="120"/>
      <c r="B1251" s="73"/>
      <c r="C1251" s="73"/>
      <c r="D1251" s="73"/>
      <c r="E1251" s="73"/>
      <c r="G1251" s="73"/>
      <c r="H1251" s="222"/>
    </row>
    <row r="1252" spans="1:8" s="212" customFormat="1">
      <c r="A1252" s="220"/>
      <c r="B1252" s="141"/>
      <c r="C1252" s="141"/>
      <c r="D1252" s="141"/>
      <c r="E1252" s="141"/>
      <c r="F1252" s="141"/>
      <c r="G1252" s="141"/>
      <c r="H1252" s="222"/>
    </row>
    <row r="1253" spans="1:8" s="212" customFormat="1" ht="16.5">
      <c r="A1253" s="150"/>
      <c r="B1253" s="161"/>
      <c r="C1253" s="148"/>
      <c r="D1253" s="84"/>
      <c r="E1253" s="84"/>
      <c r="F1253" s="84"/>
      <c r="G1253" s="146"/>
      <c r="H1253" s="222"/>
    </row>
    <row r="1254" spans="1:8" s="212" customFormat="1" ht="16.5">
      <c r="A1254" s="150"/>
      <c r="B1254" s="161"/>
      <c r="C1254" s="148"/>
      <c r="D1254" s="84"/>
      <c r="E1254" s="84"/>
      <c r="F1254" s="84"/>
      <c r="G1254" s="146"/>
      <c r="H1254" s="222"/>
    </row>
    <row r="1255" spans="1:8" s="212" customFormat="1" ht="16.5">
      <c r="A1255" s="150"/>
      <c r="B1255" s="161"/>
      <c r="C1255" s="148"/>
      <c r="D1255" s="84"/>
      <c r="E1255" s="84"/>
      <c r="F1255" s="84"/>
      <c r="G1255" s="150"/>
      <c r="H1255" s="222"/>
    </row>
    <row r="1256" spans="1:8" s="212" customFormat="1" ht="16.5">
      <c r="A1256" s="150"/>
      <c r="B1256" s="161"/>
      <c r="C1256" s="148"/>
      <c r="D1256" s="84"/>
      <c r="E1256" s="84"/>
      <c r="F1256" s="84"/>
      <c r="G1256" s="150"/>
      <c r="H1256" s="222"/>
    </row>
    <row r="1257" spans="1:8" s="212" customFormat="1" ht="16.5">
      <c r="A1257" s="150"/>
      <c r="B1257" s="161"/>
      <c r="C1257" s="148"/>
      <c r="D1257" s="84"/>
      <c r="E1257" s="84"/>
      <c r="F1257" s="84"/>
      <c r="G1257" s="146"/>
      <c r="H1257" s="221"/>
    </row>
    <row r="1258" spans="1:8" s="212" customFormat="1">
      <c r="A1258" s="91"/>
      <c r="B1258" s="91"/>
      <c r="C1258" s="91"/>
      <c r="D1258" s="91"/>
      <c r="E1258" s="91"/>
      <c r="G1258" s="213"/>
      <c r="H1258" s="222"/>
    </row>
    <row r="1259" spans="1:8" s="212" customFormat="1">
      <c r="A1259" s="120"/>
      <c r="B1259" s="73"/>
      <c r="C1259" s="73"/>
      <c r="D1259" s="73"/>
      <c r="E1259" s="73"/>
      <c r="G1259" s="73"/>
      <c r="H1259" s="222"/>
    </row>
    <row r="1260" spans="1:8" s="212" customFormat="1">
      <c r="A1260" s="220"/>
      <c r="B1260" s="141"/>
      <c r="C1260" s="141"/>
      <c r="D1260" s="141"/>
      <c r="E1260" s="141"/>
      <c r="F1260" s="141"/>
      <c r="G1260" s="141"/>
      <c r="H1260" s="222"/>
    </row>
    <row r="1261" spans="1:8" s="212" customFormat="1">
      <c r="A1261" s="150"/>
      <c r="B1261" s="83"/>
      <c r="C1261" s="148"/>
      <c r="D1261" s="84"/>
      <c r="E1261" s="84"/>
      <c r="F1261" s="84"/>
      <c r="G1261" s="146"/>
      <c r="H1261" s="221"/>
    </row>
    <row r="1262" spans="1:8" s="212" customFormat="1">
      <c r="A1262" s="91"/>
      <c r="B1262" s="91"/>
      <c r="C1262" s="91"/>
      <c r="D1262" s="91"/>
      <c r="E1262" s="91"/>
      <c r="G1262" s="213"/>
      <c r="H1262" s="222"/>
    </row>
    <row r="1263" spans="1:8" s="212" customFormat="1">
      <c r="A1263" s="120"/>
      <c r="B1263" s="73"/>
      <c r="C1263" s="73"/>
      <c r="D1263" s="73"/>
      <c r="E1263" s="73"/>
      <c r="G1263" s="73"/>
      <c r="H1263" s="222"/>
    </row>
    <row r="1264" spans="1:8" s="212" customFormat="1">
      <c r="A1264" s="220"/>
      <c r="B1264" s="141"/>
      <c r="C1264" s="141"/>
      <c r="D1264" s="141"/>
      <c r="E1264" s="141"/>
      <c r="F1264" s="141"/>
      <c r="G1264" s="141"/>
      <c r="H1264" s="222"/>
    </row>
    <row r="1265" spans="1:9" s="212" customFormat="1">
      <c r="A1265" s="142"/>
      <c r="B1265" s="143"/>
      <c r="C1265" s="143"/>
      <c r="D1265" s="143"/>
      <c r="E1265" s="143"/>
      <c r="F1265" s="84"/>
      <c r="G1265" s="146"/>
      <c r="H1265" s="221"/>
    </row>
    <row r="1266" spans="1:9" s="212" customFormat="1">
      <c r="A1266" s="123"/>
      <c r="B1266" s="95"/>
      <c r="C1266" s="95"/>
      <c r="D1266" s="95"/>
      <c r="E1266" s="95"/>
      <c r="G1266" s="213"/>
      <c r="H1266" s="73"/>
    </row>
    <row r="1267" spans="1:9" s="212" customFormat="1">
      <c r="A1267" s="123"/>
      <c r="B1267" s="95"/>
      <c r="C1267" s="95"/>
      <c r="D1267" s="95"/>
      <c r="E1267" s="95"/>
      <c r="G1267" s="73"/>
      <c r="H1267" s="225"/>
    </row>
    <row r="1268" spans="1:9" s="212" customFormat="1">
      <c r="B1268" s="97"/>
      <c r="C1268" s="98"/>
      <c r="D1268" s="98"/>
      <c r="E1268" s="98"/>
      <c r="G1268" s="220"/>
    </row>
    <row r="1269" spans="1:9" s="212" customFormat="1">
      <c r="B1269" s="97"/>
      <c r="C1269" s="98"/>
      <c r="D1269" s="98"/>
      <c r="E1269" s="98"/>
      <c r="F1269" s="220"/>
      <c r="G1269" s="225"/>
      <c r="H1269" s="226"/>
    </row>
    <row r="1270" spans="1:9" s="212" customFormat="1">
      <c r="A1270" s="633"/>
      <c r="B1270" s="633"/>
      <c r="C1270" s="633"/>
      <c r="D1270" s="633"/>
      <c r="E1270" s="633"/>
      <c r="F1270" s="633"/>
      <c r="G1270" s="633"/>
    </row>
    <row r="1271" spans="1:9" s="212" customFormat="1">
      <c r="H1271" s="227"/>
      <c r="I1271" s="228"/>
    </row>
    <row r="1272" spans="1:9" s="212" customFormat="1">
      <c r="A1272" s="658"/>
      <c r="B1272" s="227"/>
      <c r="C1272" s="227"/>
      <c r="D1272" s="227"/>
      <c r="E1272" s="227"/>
      <c r="F1272" s="227"/>
      <c r="G1272" s="227"/>
      <c r="H1272" s="227"/>
      <c r="I1272" s="229"/>
    </row>
    <row r="1273" spans="1:9" s="212" customFormat="1">
      <c r="A1273" s="658"/>
      <c r="B1273" s="227"/>
      <c r="C1273" s="227"/>
      <c r="D1273" s="227"/>
      <c r="E1273" s="227"/>
      <c r="F1273" s="227"/>
      <c r="G1273" s="227"/>
    </row>
    <row r="1274" spans="1:9" s="212" customFormat="1">
      <c r="A1274" s="69"/>
      <c r="B1274" s="69"/>
      <c r="C1274" s="69"/>
      <c r="D1274" s="69"/>
      <c r="E1274" s="69"/>
    </row>
    <row r="1275" spans="1:9" s="212" customFormat="1">
      <c r="A1275" s="120"/>
      <c r="B1275" s="73"/>
      <c r="C1275" s="73"/>
      <c r="D1275" s="73"/>
      <c r="E1275" s="73"/>
      <c r="F1275" s="73"/>
      <c r="G1275" s="73"/>
      <c r="H1275" s="73"/>
    </row>
    <row r="1276" spans="1:9" s="212" customFormat="1">
      <c r="A1276" s="220"/>
      <c r="B1276" s="141"/>
      <c r="C1276" s="141"/>
      <c r="D1276" s="141"/>
      <c r="E1276" s="141"/>
      <c r="F1276" s="141"/>
      <c r="G1276" s="141"/>
      <c r="H1276" s="73"/>
    </row>
    <row r="1277" spans="1:9" s="212" customFormat="1">
      <c r="A1277" s="142"/>
      <c r="B1277" s="143"/>
      <c r="C1277" s="143"/>
      <c r="D1277" s="143"/>
      <c r="E1277" s="143"/>
      <c r="F1277" s="84"/>
      <c r="G1277" s="146"/>
      <c r="H1277" s="221"/>
    </row>
    <row r="1278" spans="1:9" s="212" customFormat="1">
      <c r="A1278" s="84"/>
      <c r="B1278" s="83"/>
      <c r="C1278" s="84"/>
      <c r="D1278" s="84"/>
      <c r="E1278" s="84"/>
      <c r="G1278" s="213"/>
      <c r="H1278" s="222"/>
    </row>
    <row r="1279" spans="1:9" s="212" customFormat="1">
      <c r="A1279" s="120"/>
      <c r="B1279" s="73"/>
      <c r="C1279" s="73"/>
      <c r="D1279" s="73"/>
      <c r="E1279" s="73"/>
      <c r="G1279" s="73"/>
      <c r="H1279" s="222"/>
    </row>
    <row r="1280" spans="1:9" s="212" customFormat="1">
      <c r="A1280" s="220"/>
      <c r="B1280" s="141"/>
      <c r="C1280" s="141"/>
      <c r="D1280" s="141"/>
      <c r="E1280" s="141"/>
      <c r="F1280" s="141"/>
      <c r="G1280" s="141"/>
      <c r="H1280" s="222"/>
    </row>
    <row r="1281" spans="1:9" s="212" customFormat="1">
      <c r="A1281" s="150"/>
      <c r="B1281" s="83"/>
      <c r="C1281" s="148"/>
      <c r="D1281" s="165"/>
      <c r="E1281" s="84"/>
      <c r="F1281" s="84"/>
      <c r="G1281" s="146"/>
      <c r="H1281" s="221"/>
    </row>
    <row r="1282" spans="1:9" s="212" customFormat="1">
      <c r="A1282" s="91"/>
      <c r="B1282" s="91"/>
      <c r="C1282" s="91"/>
      <c r="D1282" s="91"/>
      <c r="E1282" s="91"/>
      <c r="G1282" s="213"/>
      <c r="H1282" s="222"/>
    </row>
    <row r="1283" spans="1:9" s="212" customFormat="1">
      <c r="A1283" s="120"/>
      <c r="B1283" s="73"/>
      <c r="C1283" s="73"/>
      <c r="D1283" s="73"/>
      <c r="E1283" s="73"/>
      <c r="G1283" s="73"/>
      <c r="H1283" s="222"/>
    </row>
    <row r="1284" spans="1:9" s="212" customFormat="1">
      <c r="A1284" s="220"/>
      <c r="B1284" s="141"/>
      <c r="C1284" s="141"/>
      <c r="D1284" s="141"/>
      <c r="E1284" s="141"/>
      <c r="F1284" s="141"/>
      <c r="G1284" s="141"/>
      <c r="H1284" s="222"/>
    </row>
    <row r="1285" spans="1:9" s="212" customFormat="1">
      <c r="A1285" s="142"/>
      <c r="B1285" s="143"/>
      <c r="C1285" s="143"/>
      <c r="D1285" s="143"/>
      <c r="E1285" s="143"/>
      <c r="F1285" s="84"/>
      <c r="G1285" s="146"/>
      <c r="H1285" s="221"/>
    </row>
    <row r="1286" spans="1:9" s="212" customFormat="1">
      <c r="A1286" s="91"/>
      <c r="B1286" s="91"/>
      <c r="C1286" s="91"/>
      <c r="D1286" s="91"/>
      <c r="E1286" s="91"/>
      <c r="G1286" s="213"/>
      <c r="H1286" s="222"/>
    </row>
    <row r="1287" spans="1:9" s="212" customFormat="1">
      <c r="A1287" s="120"/>
      <c r="B1287" s="73"/>
      <c r="C1287" s="73"/>
      <c r="D1287" s="73"/>
      <c r="E1287" s="73"/>
      <c r="G1287" s="73"/>
      <c r="H1287" s="222"/>
    </row>
    <row r="1288" spans="1:9" s="212" customFormat="1">
      <c r="A1288" s="220"/>
      <c r="B1288" s="141"/>
      <c r="C1288" s="141"/>
      <c r="D1288" s="141"/>
      <c r="E1288" s="141"/>
      <c r="F1288" s="141"/>
      <c r="G1288" s="141"/>
      <c r="H1288" s="222"/>
    </row>
    <row r="1289" spans="1:9" s="212" customFormat="1">
      <c r="A1289" s="142"/>
      <c r="B1289" s="143"/>
      <c r="C1289" s="143"/>
      <c r="D1289" s="143"/>
      <c r="E1289" s="143"/>
      <c r="F1289" s="84"/>
      <c r="G1289" s="146"/>
      <c r="H1289" s="221"/>
    </row>
    <row r="1290" spans="1:9" s="212" customFormat="1">
      <c r="A1290" s="123"/>
      <c r="B1290" s="95"/>
      <c r="C1290" s="95"/>
      <c r="D1290" s="95"/>
      <c r="E1290" s="95"/>
      <c r="G1290" s="213"/>
      <c r="H1290" s="73"/>
    </row>
    <row r="1291" spans="1:9" s="212" customFormat="1">
      <c r="A1291" s="123"/>
      <c r="B1291" s="95"/>
      <c r="C1291" s="95"/>
      <c r="D1291" s="95"/>
      <c r="E1291" s="95"/>
      <c r="G1291" s="73"/>
      <c r="H1291" s="225"/>
    </row>
    <row r="1292" spans="1:9" s="212" customFormat="1">
      <c r="B1292" s="97"/>
      <c r="C1292" s="98"/>
      <c r="D1292" s="98"/>
      <c r="E1292" s="98"/>
      <c r="G1292" s="220"/>
    </row>
    <row r="1293" spans="1:9" s="212" customFormat="1">
      <c r="B1293" s="97"/>
      <c r="C1293" s="98"/>
      <c r="D1293" s="98"/>
      <c r="E1293" s="98"/>
      <c r="F1293" s="220"/>
      <c r="G1293" s="225"/>
      <c r="H1293" s="226"/>
    </row>
    <row r="1294" spans="1:9" s="212" customFormat="1">
      <c r="A1294" s="633"/>
      <c r="B1294" s="633"/>
      <c r="C1294" s="633"/>
      <c r="D1294" s="633"/>
      <c r="E1294" s="633"/>
      <c r="F1294" s="633"/>
      <c r="G1294" s="633"/>
    </row>
    <row r="1295" spans="1:9" s="212" customFormat="1">
      <c r="H1295" s="227"/>
      <c r="I1295" s="228"/>
    </row>
    <row r="1296" spans="1:9" s="212" customFormat="1">
      <c r="A1296" s="658"/>
      <c r="B1296" s="227"/>
      <c r="C1296" s="227"/>
      <c r="D1296" s="227"/>
      <c r="E1296" s="227"/>
      <c r="F1296" s="227"/>
      <c r="G1296" s="227"/>
      <c r="H1296" s="227"/>
      <c r="I1296" s="229"/>
    </row>
    <row r="1297" spans="1:8" s="212" customFormat="1">
      <c r="A1297" s="658"/>
      <c r="B1297" s="227"/>
      <c r="C1297" s="227"/>
      <c r="D1297" s="227"/>
      <c r="E1297" s="227"/>
      <c r="F1297" s="227"/>
      <c r="G1297" s="227"/>
    </row>
    <row r="1298" spans="1:8" s="212" customFormat="1">
      <c r="A1298" s="69"/>
      <c r="B1298" s="69"/>
      <c r="C1298" s="69"/>
      <c r="D1298" s="69"/>
      <c r="E1298" s="69"/>
    </row>
    <row r="1299" spans="1:8" s="212" customFormat="1">
      <c r="A1299" s="120"/>
      <c r="B1299" s="73"/>
      <c r="C1299" s="73"/>
      <c r="D1299" s="73"/>
      <c r="E1299" s="73"/>
      <c r="F1299" s="73"/>
      <c r="G1299" s="73"/>
      <c r="H1299" s="73"/>
    </row>
    <row r="1300" spans="1:8" s="212" customFormat="1">
      <c r="A1300" s="220"/>
      <c r="B1300" s="141"/>
      <c r="C1300" s="141"/>
      <c r="D1300" s="141"/>
      <c r="E1300" s="141"/>
      <c r="F1300" s="141"/>
      <c r="G1300" s="141"/>
      <c r="H1300" s="73"/>
    </row>
    <row r="1301" spans="1:8" s="212" customFormat="1">
      <c r="A1301" s="142"/>
      <c r="B1301" s="143"/>
      <c r="C1301" s="143"/>
      <c r="D1301" s="143"/>
      <c r="E1301" s="143"/>
      <c r="F1301" s="84"/>
      <c r="G1301" s="146"/>
      <c r="H1301" s="221"/>
    </row>
    <row r="1302" spans="1:8" s="212" customFormat="1">
      <c r="A1302" s="84"/>
      <c r="B1302" s="83"/>
      <c r="C1302" s="84"/>
      <c r="D1302" s="84"/>
      <c r="E1302" s="84"/>
      <c r="G1302" s="213"/>
      <c r="H1302" s="222"/>
    </row>
    <row r="1303" spans="1:8" s="212" customFormat="1">
      <c r="A1303" s="120"/>
      <c r="B1303" s="73"/>
      <c r="C1303" s="73"/>
      <c r="D1303" s="73"/>
      <c r="E1303" s="73"/>
      <c r="G1303" s="73"/>
      <c r="H1303" s="222"/>
    </row>
    <row r="1304" spans="1:8" s="212" customFormat="1">
      <c r="A1304" s="220"/>
      <c r="B1304" s="141"/>
      <c r="C1304" s="141"/>
      <c r="D1304" s="141"/>
      <c r="E1304" s="141"/>
      <c r="F1304" s="141"/>
      <c r="G1304" s="141"/>
      <c r="H1304" s="222"/>
    </row>
    <row r="1305" spans="1:8" s="212" customFormat="1">
      <c r="A1305" s="150"/>
      <c r="B1305" s="83"/>
      <c r="C1305" s="148"/>
      <c r="D1305" s="160"/>
      <c r="E1305" s="84"/>
      <c r="F1305" s="84"/>
      <c r="G1305" s="146"/>
      <c r="H1305" s="221"/>
    </row>
    <row r="1306" spans="1:8" s="212" customFormat="1">
      <c r="A1306" s="91"/>
      <c r="B1306" s="91"/>
      <c r="C1306" s="91"/>
      <c r="D1306" s="91"/>
      <c r="E1306" s="91"/>
      <c r="G1306" s="213"/>
      <c r="H1306" s="222"/>
    </row>
    <row r="1307" spans="1:8" s="212" customFormat="1">
      <c r="A1307" s="120"/>
      <c r="B1307" s="73"/>
      <c r="C1307" s="73"/>
      <c r="D1307" s="73"/>
      <c r="E1307" s="73"/>
      <c r="G1307" s="73"/>
      <c r="H1307" s="222"/>
    </row>
    <row r="1308" spans="1:8" s="212" customFormat="1">
      <c r="A1308" s="220"/>
      <c r="B1308" s="141"/>
      <c r="C1308" s="141"/>
      <c r="D1308" s="141"/>
      <c r="E1308" s="141"/>
      <c r="F1308" s="141"/>
      <c r="G1308" s="141"/>
      <c r="H1308" s="222"/>
    </row>
    <row r="1309" spans="1:8" s="212" customFormat="1">
      <c r="A1309" s="142"/>
      <c r="B1309" s="143"/>
      <c r="C1309" s="143"/>
      <c r="D1309" s="143"/>
      <c r="E1309" s="143"/>
      <c r="F1309" s="84"/>
      <c r="G1309" s="146"/>
      <c r="H1309" s="221"/>
    </row>
    <row r="1310" spans="1:8" s="212" customFormat="1">
      <c r="A1310" s="91"/>
      <c r="B1310" s="91"/>
      <c r="C1310" s="91"/>
      <c r="D1310" s="91"/>
      <c r="E1310" s="91"/>
      <c r="G1310" s="213"/>
      <c r="H1310" s="222"/>
    </row>
    <row r="1311" spans="1:8" s="212" customFormat="1">
      <c r="A1311" s="120"/>
      <c r="B1311" s="73"/>
      <c r="C1311" s="73"/>
      <c r="D1311" s="73"/>
      <c r="E1311" s="73"/>
      <c r="G1311" s="73"/>
      <c r="H1311" s="222"/>
    </row>
    <row r="1312" spans="1:8" s="212" customFormat="1">
      <c r="A1312" s="220"/>
      <c r="B1312" s="141"/>
      <c r="C1312" s="141"/>
      <c r="D1312" s="141"/>
      <c r="E1312" s="141"/>
      <c r="F1312" s="141"/>
      <c r="G1312" s="141"/>
      <c r="H1312" s="222"/>
    </row>
    <row r="1313" spans="1:9" s="212" customFormat="1">
      <c r="A1313" s="142"/>
      <c r="B1313" s="143"/>
      <c r="C1313" s="143"/>
      <c r="D1313" s="143"/>
      <c r="E1313" s="143"/>
      <c r="F1313" s="84"/>
      <c r="G1313" s="146"/>
      <c r="H1313" s="221"/>
    </row>
    <row r="1314" spans="1:9" s="212" customFormat="1">
      <c r="A1314" s="123"/>
      <c r="B1314" s="95"/>
      <c r="C1314" s="95"/>
      <c r="D1314" s="95"/>
      <c r="E1314" s="95"/>
      <c r="G1314" s="213"/>
      <c r="H1314" s="73"/>
    </row>
    <row r="1315" spans="1:9" s="212" customFormat="1">
      <c r="A1315" s="123"/>
      <c r="B1315" s="95"/>
      <c r="C1315" s="95"/>
      <c r="D1315" s="95"/>
      <c r="E1315" s="95"/>
      <c r="G1315" s="73"/>
      <c r="H1315" s="225"/>
    </row>
    <row r="1316" spans="1:9" s="212" customFormat="1">
      <c r="B1316" s="97"/>
      <c r="C1316" s="98"/>
      <c r="D1316" s="98"/>
      <c r="E1316" s="98"/>
      <c r="G1316" s="220"/>
    </row>
    <row r="1317" spans="1:9" s="212" customFormat="1">
      <c r="B1317" s="97"/>
      <c r="C1317" s="98"/>
      <c r="D1317" s="98"/>
      <c r="E1317" s="98"/>
      <c r="F1317" s="220"/>
      <c r="G1317" s="225"/>
      <c r="H1317" s="226"/>
    </row>
    <row r="1318" spans="1:9" s="212" customFormat="1">
      <c r="A1318" s="633"/>
      <c r="B1318" s="633"/>
      <c r="C1318" s="633"/>
      <c r="D1318" s="633"/>
      <c r="E1318" s="633"/>
      <c r="F1318" s="633"/>
      <c r="G1318" s="633"/>
    </row>
    <row r="1319" spans="1:9" s="212" customFormat="1">
      <c r="H1319" s="227"/>
      <c r="I1319" s="228"/>
    </row>
    <row r="1320" spans="1:9" s="212" customFormat="1">
      <c r="A1320" s="658"/>
      <c r="B1320" s="227"/>
      <c r="C1320" s="227"/>
      <c r="D1320" s="227"/>
      <c r="E1320" s="227"/>
      <c r="F1320" s="227"/>
      <c r="G1320" s="227"/>
      <c r="H1320" s="227"/>
      <c r="I1320" s="229"/>
    </row>
    <row r="1321" spans="1:9" s="212" customFormat="1">
      <c r="A1321" s="658"/>
      <c r="B1321" s="227"/>
      <c r="C1321" s="227"/>
      <c r="D1321" s="227"/>
      <c r="E1321" s="227"/>
      <c r="F1321" s="227"/>
      <c r="G1321" s="227"/>
    </row>
    <row r="1322" spans="1:9" s="212" customFormat="1">
      <c r="A1322" s="69"/>
      <c r="B1322" s="69"/>
      <c r="C1322" s="69"/>
      <c r="D1322" s="69"/>
      <c r="E1322" s="69"/>
    </row>
    <row r="1323" spans="1:9" s="212" customFormat="1">
      <c r="A1323" s="120"/>
      <c r="B1323" s="73"/>
      <c r="C1323" s="73"/>
      <c r="D1323" s="73"/>
      <c r="E1323" s="73"/>
      <c r="F1323" s="73"/>
      <c r="G1323" s="73"/>
      <c r="H1323" s="73"/>
    </row>
    <row r="1324" spans="1:9" s="212" customFormat="1">
      <c r="A1324" s="220"/>
      <c r="B1324" s="141"/>
      <c r="C1324" s="141"/>
      <c r="D1324" s="141"/>
      <c r="E1324" s="141"/>
      <c r="F1324" s="141"/>
      <c r="G1324" s="141"/>
      <c r="H1324" s="73"/>
    </row>
    <row r="1325" spans="1:9" s="212" customFormat="1">
      <c r="A1325" s="142"/>
      <c r="B1325" s="143"/>
      <c r="C1325" s="143"/>
      <c r="D1325" s="143"/>
      <c r="E1325" s="143"/>
      <c r="F1325" s="84"/>
      <c r="G1325" s="146"/>
      <c r="H1325" s="221"/>
    </row>
    <row r="1326" spans="1:9" s="212" customFormat="1">
      <c r="A1326" s="84"/>
      <c r="B1326" s="83"/>
      <c r="C1326" s="84"/>
      <c r="D1326" s="84"/>
      <c r="E1326" s="84"/>
      <c r="G1326" s="213"/>
      <c r="H1326" s="222"/>
    </row>
    <row r="1327" spans="1:9" s="212" customFormat="1">
      <c r="A1327" s="120"/>
      <c r="B1327" s="73"/>
      <c r="C1327" s="73"/>
      <c r="D1327" s="73"/>
      <c r="E1327" s="73"/>
      <c r="G1327" s="73"/>
      <c r="H1327" s="222"/>
    </row>
    <row r="1328" spans="1:9" s="212" customFormat="1">
      <c r="A1328" s="220"/>
      <c r="B1328" s="141"/>
      <c r="C1328" s="141"/>
      <c r="D1328" s="141"/>
      <c r="E1328" s="141"/>
      <c r="F1328" s="141"/>
      <c r="G1328" s="141"/>
      <c r="H1328" s="222"/>
    </row>
    <row r="1329" spans="1:9" s="212" customFormat="1">
      <c r="A1329" s="150"/>
      <c r="B1329" s="83"/>
      <c r="C1329" s="148"/>
      <c r="D1329" s="160"/>
      <c r="E1329" s="84"/>
      <c r="F1329" s="84"/>
      <c r="G1329" s="146"/>
      <c r="H1329" s="221"/>
    </row>
    <row r="1330" spans="1:9" s="212" customFormat="1">
      <c r="A1330" s="91"/>
      <c r="B1330" s="91"/>
      <c r="C1330" s="91"/>
      <c r="D1330" s="91"/>
      <c r="E1330" s="91"/>
      <c r="G1330" s="213"/>
      <c r="H1330" s="222"/>
    </row>
    <row r="1331" spans="1:9" s="212" customFormat="1">
      <c r="A1331" s="120"/>
      <c r="B1331" s="73"/>
      <c r="C1331" s="73"/>
      <c r="D1331" s="73"/>
      <c r="E1331" s="73"/>
      <c r="G1331" s="73"/>
      <c r="H1331" s="222"/>
    </row>
    <row r="1332" spans="1:9" s="212" customFormat="1">
      <c r="A1332" s="220"/>
      <c r="B1332" s="141"/>
      <c r="C1332" s="141"/>
      <c r="D1332" s="141"/>
      <c r="E1332" s="141"/>
      <c r="F1332" s="141"/>
      <c r="G1332" s="141"/>
      <c r="H1332" s="222"/>
    </row>
    <row r="1333" spans="1:9" s="212" customFormat="1">
      <c r="A1333" s="142"/>
      <c r="B1333" s="143"/>
      <c r="C1333" s="143"/>
      <c r="D1333" s="143"/>
      <c r="E1333" s="143"/>
      <c r="F1333" s="84"/>
      <c r="G1333" s="146"/>
      <c r="H1333" s="221"/>
    </row>
    <row r="1334" spans="1:9" s="212" customFormat="1">
      <c r="A1334" s="91"/>
      <c r="B1334" s="91"/>
      <c r="C1334" s="91"/>
      <c r="D1334" s="91"/>
      <c r="E1334" s="91"/>
      <c r="G1334" s="213"/>
      <c r="H1334" s="222"/>
    </row>
    <row r="1335" spans="1:9" s="212" customFormat="1">
      <c r="A1335" s="120"/>
      <c r="B1335" s="73"/>
      <c r="C1335" s="73"/>
      <c r="D1335" s="73"/>
      <c r="E1335" s="73"/>
      <c r="G1335" s="73"/>
      <c r="H1335" s="222"/>
    </row>
    <row r="1336" spans="1:9" s="212" customFormat="1">
      <c r="A1336" s="220"/>
      <c r="B1336" s="141"/>
      <c r="C1336" s="141"/>
      <c r="D1336" s="141"/>
      <c r="E1336" s="141"/>
      <c r="F1336" s="141"/>
      <c r="G1336" s="141"/>
      <c r="H1336" s="222"/>
    </row>
    <row r="1337" spans="1:9" s="212" customFormat="1">
      <c r="A1337" s="142"/>
      <c r="B1337" s="143"/>
      <c r="C1337" s="143"/>
      <c r="D1337" s="143"/>
      <c r="E1337" s="143"/>
      <c r="F1337" s="84"/>
      <c r="G1337" s="146"/>
      <c r="H1337" s="221"/>
    </row>
    <row r="1338" spans="1:9" s="212" customFormat="1">
      <c r="A1338" s="123"/>
      <c r="B1338" s="95"/>
      <c r="C1338" s="95"/>
      <c r="D1338" s="95"/>
      <c r="E1338" s="95"/>
      <c r="G1338" s="213"/>
      <c r="H1338" s="73"/>
    </row>
    <row r="1339" spans="1:9" s="212" customFormat="1">
      <c r="A1339" s="123"/>
      <c r="B1339" s="95"/>
      <c r="C1339" s="95"/>
      <c r="D1339" s="95"/>
      <c r="E1339" s="95"/>
      <c r="G1339" s="73"/>
      <c r="H1339" s="225"/>
    </row>
    <row r="1340" spans="1:9" s="212" customFormat="1">
      <c r="B1340" s="97"/>
      <c r="C1340" s="98"/>
      <c r="D1340" s="98"/>
      <c r="E1340" s="98"/>
      <c r="G1340" s="220"/>
    </row>
    <row r="1341" spans="1:9" s="212" customFormat="1">
      <c r="B1341" s="97"/>
      <c r="C1341" s="98"/>
      <c r="D1341" s="98"/>
      <c r="E1341" s="98"/>
      <c r="F1341" s="220"/>
      <c r="G1341" s="225"/>
      <c r="H1341" s="226"/>
    </row>
    <row r="1342" spans="1:9" s="212" customFormat="1">
      <c r="A1342" s="633"/>
      <c r="B1342" s="633"/>
      <c r="C1342" s="633"/>
      <c r="D1342" s="633"/>
      <c r="E1342" s="633"/>
      <c r="F1342" s="633"/>
      <c r="G1342" s="633"/>
    </row>
    <row r="1343" spans="1:9" s="212" customFormat="1">
      <c r="H1343" s="227"/>
      <c r="I1343" s="228"/>
    </row>
    <row r="1344" spans="1:9" s="212" customFormat="1">
      <c r="A1344" s="658"/>
      <c r="B1344" s="227"/>
      <c r="C1344" s="227"/>
      <c r="D1344" s="227"/>
      <c r="E1344" s="227"/>
      <c r="F1344" s="227"/>
      <c r="G1344" s="227"/>
      <c r="H1344" s="227"/>
      <c r="I1344" s="229"/>
    </row>
    <row r="1345" spans="1:8" s="212" customFormat="1">
      <c r="A1345" s="658"/>
      <c r="B1345" s="227"/>
      <c r="C1345" s="227"/>
      <c r="D1345" s="227"/>
      <c r="E1345" s="227"/>
      <c r="F1345" s="227"/>
      <c r="G1345" s="227"/>
    </row>
    <row r="1346" spans="1:8" s="212" customFormat="1">
      <c r="A1346" s="69"/>
      <c r="B1346" s="69"/>
      <c r="C1346" s="69"/>
      <c r="D1346" s="69"/>
      <c r="E1346" s="69"/>
    </row>
    <row r="1347" spans="1:8" s="212" customFormat="1">
      <c r="A1347" s="120"/>
      <c r="B1347" s="73"/>
      <c r="C1347" s="73"/>
      <c r="D1347" s="73"/>
      <c r="E1347" s="73"/>
      <c r="F1347" s="73"/>
      <c r="G1347" s="73"/>
      <c r="H1347" s="73"/>
    </row>
    <row r="1348" spans="1:8" s="212" customFormat="1">
      <c r="A1348" s="220"/>
      <c r="B1348" s="141"/>
      <c r="C1348" s="141"/>
      <c r="D1348" s="141"/>
      <c r="E1348" s="141"/>
      <c r="F1348" s="141"/>
      <c r="G1348" s="141"/>
      <c r="H1348" s="73"/>
    </row>
    <row r="1349" spans="1:8" s="212" customFormat="1">
      <c r="A1349" s="142"/>
      <c r="B1349" s="143"/>
      <c r="C1349" s="143"/>
      <c r="D1349" s="143"/>
      <c r="E1349" s="143"/>
      <c r="F1349" s="84"/>
      <c r="G1349" s="146"/>
      <c r="H1349" s="221"/>
    </row>
    <row r="1350" spans="1:8" s="212" customFormat="1">
      <c r="A1350" s="84"/>
      <c r="B1350" s="83"/>
      <c r="C1350" s="84"/>
      <c r="D1350" s="84"/>
      <c r="E1350" s="84"/>
      <c r="G1350" s="213"/>
      <c r="H1350" s="222"/>
    </row>
    <row r="1351" spans="1:8" s="212" customFormat="1">
      <c r="A1351" s="120"/>
      <c r="B1351" s="73"/>
      <c r="C1351" s="73"/>
      <c r="D1351" s="73"/>
      <c r="E1351" s="73"/>
      <c r="G1351" s="73"/>
      <c r="H1351" s="222"/>
    </row>
    <row r="1352" spans="1:8" s="212" customFormat="1">
      <c r="A1352" s="220"/>
      <c r="B1352" s="141"/>
      <c r="C1352" s="141"/>
      <c r="D1352" s="141"/>
      <c r="E1352" s="141"/>
      <c r="F1352" s="141"/>
      <c r="G1352" s="141"/>
      <c r="H1352" s="222"/>
    </row>
    <row r="1353" spans="1:8" s="212" customFormat="1">
      <c r="A1353" s="150"/>
      <c r="B1353" s="83"/>
      <c r="C1353" s="148"/>
      <c r="D1353" s="160"/>
      <c r="E1353" s="84"/>
      <c r="F1353" s="84"/>
      <c r="G1353" s="146"/>
      <c r="H1353" s="221"/>
    </row>
    <row r="1354" spans="1:8" s="212" customFormat="1">
      <c r="A1354" s="91"/>
      <c r="B1354" s="91"/>
      <c r="C1354" s="91"/>
      <c r="D1354" s="91"/>
      <c r="E1354" s="91"/>
      <c r="G1354" s="213"/>
      <c r="H1354" s="222"/>
    </row>
    <row r="1355" spans="1:8" s="212" customFormat="1">
      <c r="A1355" s="120"/>
      <c r="B1355" s="73"/>
      <c r="C1355" s="73"/>
      <c r="D1355" s="73"/>
      <c r="E1355" s="73"/>
      <c r="G1355" s="73"/>
      <c r="H1355" s="222"/>
    </row>
    <row r="1356" spans="1:8" s="212" customFormat="1">
      <c r="A1356" s="220"/>
      <c r="B1356" s="141"/>
      <c r="C1356" s="141"/>
      <c r="D1356" s="141"/>
      <c r="E1356" s="141"/>
      <c r="F1356" s="141"/>
      <c r="G1356" s="141"/>
      <c r="H1356" s="222"/>
    </row>
    <row r="1357" spans="1:8" s="212" customFormat="1">
      <c r="A1357" s="142"/>
      <c r="B1357" s="143"/>
      <c r="C1357" s="143"/>
      <c r="D1357" s="143"/>
      <c r="E1357" s="143"/>
      <c r="F1357" s="84"/>
      <c r="G1357" s="146"/>
      <c r="H1357" s="221"/>
    </row>
    <row r="1358" spans="1:8" s="212" customFormat="1">
      <c r="A1358" s="91"/>
      <c r="B1358" s="91"/>
      <c r="C1358" s="91"/>
      <c r="D1358" s="91"/>
      <c r="E1358" s="91"/>
      <c r="G1358" s="213"/>
      <c r="H1358" s="222"/>
    </row>
    <row r="1359" spans="1:8" s="212" customFormat="1">
      <c r="A1359" s="120"/>
      <c r="B1359" s="73"/>
      <c r="C1359" s="73"/>
      <c r="D1359" s="73"/>
      <c r="E1359" s="73"/>
      <c r="G1359" s="73"/>
      <c r="H1359" s="222"/>
    </row>
    <row r="1360" spans="1:8" s="212" customFormat="1">
      <c r="A1360" s="220"/>
      <c r="B1360" s="141"/>
      <c r="C1360" s="141"/>
      <c r="D1360" s="141"/>
      <c r="E1360" s="141"/>
      <c r="F1360" s="141"/>
      <c r="G1360" s="141"/>
      <c r="H1360" s="222"/>
    </row>
    <row r="1361" spans="1:9" s="212" customFormat="1">
      <c r="A1361" s="142"/>
      <c r="B1361" s="143"/>
      <c r="C1361" s="143"/>
      <c r="D1361" s="143"/>
      <c r="E1361" s="143"/>
      <c r="F1361" s="84"/>
      <c r="G1361" s="146"/>
      <c r="H1361" s="221"/>
    </row>
    <row r="1362" spans="1:9" s="212" customFormat="1">
      <c r="A1362" s="123"/>
      <c r="B1362" s="95"/>
      <c r="C1362" s="95"/>
      <c r="D1362" s="95"/>
      <c r="E1362" s="95"/>
      <c r="G1362" s="213"/>
      <c r="H1362" s="73"/>
    </row>
    <row r="1363" spans="1:9" s="212" customFormat="1">
      <c r="A1363" s="123"/>
      <c r="B1363" s="95"/>
      <c r="C1363" s="95"/>
      <c r="D1363" s="95"/>
      <c r="E1363" s="95"/>
      <c r="G1363" s="73"/>
      <c r="H1363" s="225"/>
    </row>
    <row r="1364" spans="1:9" s="212" customFormat="1">
      <c r="B1364" s="97"/>
      <c r="C1364" s="98"/>
      <c r="D1364" s="98"/>
      <c r="E1364" s="98"/>
      <c r="G1364" s="220"/>
    </row>
    <row r="1365" spans="1:9" s="212" customFormat="1">
      <c r="B1365" s="97"/>
      <c r="C1365" s="98"/>
      <c r="D1365" s="98"/>
      <c r="E1365" s="98"/>
      <c r="F1365" s="220"/>
      <c r="G1365" s="225"/>
      <c r="H1365" s="226"/>
    </row>
    <row r="1366" spans="1:9" s="212" customFormat="1">
      <c r="A1366" s="633"/>
      <c r="B1366" s="633"/>
      <c r="C1366" s="633"/>
      <c r="D1366" s="633"/>
      <c r="E1366" s="633"/>
      <c r="F1366" s="633"/>
      <c r="G1366" s="633"/>
    </row>
    <row r="1367" spans="1:9" s="212" customFormat="1">
      <c r="H1367" s="227"/>
      <c r="I1367" s="228"/>
    </row>
    <row r="1368" spans="1:9" s="212" customFormat="1">
      <c r="A1368" s="658"/>
      <c r="B1368" s="227"/>
      <c r="C1368" s="227"/>
      <c r="D1368" s="227"/>
      <c r="E1368" s="227"/>
      <c r="F1368" s="227"/>
      <c r="G1368" s="227"/>
      <c r="H1368" s="227"/>
      <c r="I1368" s="229"/>
    </row>
    <row r="1369" spans="1:9" s="212" customFormat="1">
      <c r="A1369" s="658"/>
      <c r="B1369" s="227"/>
      <c r="C1369" s="227"/>
      <c r="D1369" s="227"/>
      <c r="E1369" s="227"/>
      <c r="F1369" s="227"/>
      <c r="G1369" s="227"/>
    </row>
    <row r="1370" spans="1:9" s="212" customFormat="1">
      <c r="A1370" s="69"/>
      <c r="B1370" s="69"/>
      <c r="C1370" s="69"/>
      <c r="D1370" s="69"/>
      <c r="E1370" s="69"/>
    </row>
    <row r="1371" spans="1:9" s="212" customFormat="1">
      <c r="A1371" s="120"/>
      <c r="B1371" s="73"/>
      <c r="C1371" s="73"/>
      <c r="D1371" s="73"/>
      <c r="E1371" s="73"/>
      <c r="F1371" s="73"/>
      <c r="G1371" s="73"/>
      <c r="H1371" s="73"/>
    </row>
    <row r="1372" spans="1:9" s="212" customFormat="1">
      <c r="A1372" s="220"/>
      <c r="B1372" s="141"/>
      <c r="C1372" s="141"/>
      <c r="D1372" s="141"/>
      <c r="E1372" s="141"/>
      <c r="F1372" s="141"/>
      <c r="G1372" s="141"/>
      <c r="H1372" s="73"/>
    </row>
    <row r="1373" spans="1:9" s="212" customFormat="1">
      <c r="A1373" s="142"/>
      <c r="B1373" s="143"/>
      <c r="C1373" s="143"/>
      <c r="D1373" s="143"/>
      <c r="E1373" s="143"/>
      <c r="F1373" s="84"/>
      <c r="G1373" s="146"/>
      <c r="H1373" s="221"/>
    </row>
    <row r="1374" spans="1:9" s="212" customFormat="1">
      <c r="A1374" s="84"/>
      <c r="B1374" s="83"/>
      <c r="C1374" s="84"/>
      <c r="D1374" s="84"/>
      <c r="E1374" s="84"/>
      <c r="G1374" s="213"/>
      <c r="H1374" s="222"/>
    </row>
    <row r="1375" spans="1:9" s="212" customFormat="1">
      <c r="A1375" s="120"/>
      <c r="B1375" s="73"/>
      <c r="C1375" s="73"/>
      <c r="D1375" s="73"/>
      <c r="E1375" s="73"/>
      <c r="G1375" s="73"/>
      <c r="H1375" s="222"/>
    </row>
    <row r="1376" spans="1:9" s="212" customFormat="1">
      <c r="A1376" s="220"/>
      <c r="B1376" s="141"/>
      <c r="C1376" s="141"/>
      <c r="D1376" s="141"/>
      <c r="E1376" s="141"/>
      <c r="F1376" s="141"/>
      <c r="G1376" s="141"/>
      <c r="H1376" s="222"/>
    </row>
    <row r="1377" spans="1:9" s="212" customFormat="1">
      <c r="A1377" s="150"/>
      <c r="B1377" s="83"/>
      <c r="C1377" s="148"/>
      <c r="D1377" s="160"/>
      <c r="E1377" s="84"/>
      <c r="F1377" s="84"/>
      <c r="G1377" s="146"/>
      <c r="H1377" s="221"/>
    </row>
    <row r="1378" spans="1:9" s="212" customFormat="1">
      <c r="A1378" s="91"/>
      <c r="B1378" s="91"/>
      <c r="C1378" s="91"/>
      <c r="D1378" s="91"/>
      <c r="E1378" s="91"/>
      <c r="G1378" s="213"/>
      <c r="H1378" s="222"/>
    </row>
    <row r="1379" spans="1:9" s="212" customFormat="1">
      <c r="A1379" s="120"/>
      <c r="B1379" s="73"/>
      <c r="C1379" s="73"/>
      <c r="D1379" s="73"/>
      <c r="E1379" s="73"/>
      <c r="G1379" s="73"/>
      <c r="H1379" s="222"/>
    </row>
    <row r="1380" spans="1:9" s="212" customFormat="1">
      <c r="A1380" s="220"/>
      <c r="B1380" s="141"/>
      <c r="C1380" s="141"/>
      <c r="D1380" s="141"/>
      <c r="E1380" s="141"/>
      <c r="F1380" s="141"/>
      <c r="G1380" s="141"/>
      <c r="H1380" s="222"/>
    </row>
    <row r="1381" spans="1:9" s="212" customFormat="1">
      <c r="A1381" s="142"/>
      <c r="B1381" s="143"/>
      <c r="C1381" s="143"/>
      <c r="D1381" s="143"/>
      <c r="E1381" s="143"/>
      <c r="F1381" s="84"/>
      <c r="G1381" s="146"/>
      <c r="H1381" s="221"/>
    </row>
    <row r="1382" spans="1:9" s="212" customFormat="1">
      <c r="A1382" s="91"/>
      <c r="B1382" s="91"/>
      <c r="C1382" s="91"/>
      <c r="D1382" s="91"/>
      <c r="E1382" s="91"/>
      <c r="G1382" s="213"/>
      <c r="H1382" s="222"/>
    </row>
    <row r="1383" spans="1:9" s="212" customFormat="1">
      <c r="A1383" s="120"/>
      <c r="B1383" s="73"/>
      <c r="C1383" s="73"/>
      <c r="D1383" s="73"/>
      <c r="E1383" s="73"/>
      <c r="G1383" s="73"/>
      <c r="H1383" s="222"/>
    </row>
    <row r="1384" spans="1:9" s="212" customFormat="1">
      <c r="A1384" s="220"/>
      <c r="B1384" s="141"/>
      <c r="C1384" s="141"/>
      <c r="D1384" s="141"/>
      <c r="E1384" s="141"/>
      <c r="F1384" s="141"/>
      <c r="G1384" s="141"/>
      <c r="H1384" s="222"/>
    </row>
    <row r="1385" spans="1:9" s="212" customFormat="1">
      <c r="A1385" s="142"/>
      <c r="B1385" s="143"/>
      <c r="C1385" s="143"/>
      <c r="D1385" s="143"/>
      <c r="E1385" s="143"/>
      <c r="F1385" s="84"/>
      <c r="G1385" s="146"/>
      <c r="H1385" s="221"/>
    </row>
    <row r="1386" spans="1:9" s="212" customFormat="1">
      <c r="A1386" s="123"/>
      <c r="B1386" s="95"/>
      <c r="C1386" s="95"/>
      <c r="D1386" s="95"/>
      <c r="E1386" s="95"/>
      <c r="G1386" s="213"/>
      <c r="H1386" s="73"/>
    </row>
    <row r="1387" spans="1:9" s="212" customFormat="1">
      <c r="A1387" s="123"/>
      <c r="B1387" s="95"/>
      <c r="C1387" s="95"/>
      <c r="D1387" s="95"/>
      <c r="E1387" s="95"/>
      <c r="G1387" s="73"/>
      <c r="H1387" s="225"/>
    </row>
    <row r="1388" spans="1:9" s="212" customFormat="1">
      <c r="B1388" s="97"/>
      <c r="C1388" s="98"/>
      <c r="D1388" s="98"/>
      <c r="E1388" s="98"/>
      <c r="G1388" s="220"/>
    </row>
    <row r="1389" spans="1:9" s="212" customFormat="1">
      <c r="B1389" s="97"/>
      <c r="C1389" s="98"/>
      <c r="D1389" s="98"/>
      <c r="E1389" s="98"/>
      <c r="F1389" s="220"/>
      <c r="G1389" s="225"/>
      <c r="H1389" s="226"/>
    </row>
    <row r="1390" spans="1:9" s="212" customFormat="1">
      <c r="A1390" s="633"/>
      <c r="B1390" s="633"/>
      <c r="C1390" s="633"/>
      <c r="D1390" s="633"/>
      <c r="E1390" s="633"/>
      <c r="F1390" s="633"/>
      <c r="G1390" s="633"/>
    </row>
    <row r="1391" spans="1:9" s="212" customFormat="1">
      <c r="H1391" s="227"/>
      <c r="I1391" s="228"/>
    </row>
    <row r="1392" spans="1:9" s="212" customFormat="1">
      <c r="A1392" s="658"/>
      <c r="B1392" s="227"/>
      <c r="C1392" s="227"/>
      <c r="D1392" s="227"/>
      <c r="E1392" s="227"/>
      <c r="F1392" s="227"/>
      <c r="G1392" s="227"/>
      <c r="H1392" s="227"/>
      <c r="I1392" s="229"/>
    </row>
    <row r="1393" spans="1:8" s="212" customFormat="1">
      <c r="A1393" s="658"/>
      <c r="B1393" s="227"/>
      <c r="C1393" s="227"/>
      <c r="D1393" s="227"/>
      <c r="E1393" s="227"/>
      <c r="F1393" s="227"/>
      <c r="G1393" s="227"/>
    </row>
    <row r="1394" spans="1:8" s="212" customFormat="1">
      <c r="A1394" s="69"/>
      <c r="B1394" s="69"/>
      <c r="C1394" s="69"/>
      <c r="D1394" s="69"/>
      <c r="E1394" s="69"/>
    </row>
    <row r="1395" spans="1:8" s="212" customFormat="1">
      <c r="A1395" s="120"/>
      <c r="B1395" s="73"/>
      <c r="C1395" s="73"/>
      <c r="D1395" s="73"/>
      <c r="E1395" s="73"/>
      <c r="F1395" s="73"/>
      <c r="G1395" s="73"/>
      <c r="H1395" s="73"/>
    </row>
    <row r="1396" spans="1:8" s="212" customFormat="1">
      <c r="A1396" s="220"/>
      <c r="B1396" s="141"/>
      <c r="C1396" s="141"/>
      <c r="D1396" s="141"/>
      <c r="E1396" s="141"/>
      <c r="F1396" s="141"/>
      <c r="G1396" s="141"/>
      <c r="H1396" s="73"/>
    </row>
    <row r="1397" spans="1:8" s="212" customFormat="1">
      <c r="A1397" s="142"/>
      <c r="B1397" s="143"/>
      <c r="C1397" s="143"/>
      <c r="D1397" s="143"/>
      <c r="E1397" s="143"/>
      <c r="F1397" s="84"/>
      <c r="G1397" s="146"/>
      <c r="H1397" s="221"/>
    </row>
    <row r="1398" spans="1:8" s="212" customFormat="1">
      <c r="A1398" s="84"/>
      <c r="B1398" s="83"/>
      <c r="C1398" s="84"/>
      <c r="D1398" s="84"/>
      <c r="E1398" s="84"/>
      <c r="G1398" s="213"/>
      <c r="H1398" s="222"/>
    </row>
    <row r="1399" spans="1:8" s="212" customFormat="1">
      <c r="A1399" s="120"/>
      <c r="B1399" s="73"/>
      <c r="C1399" s="73"/>
      <c r="D1399" s="73"/>
      <c r="E1399" s="73"/>
      <c r="G1399" s="73"/>
      <c r="H1399" s="222"/>
    </row>
    <row r="1400" spans="1:8" s="212" customFormat="1">
      <c r="A1400" s="220"/>
      <c r="B1400" s="141"/>
      <c r="C1400" s="141"/>
      <c r="D1400" s="141"/>
      <c r="E1400" s="141"/>
      <c r="F1400" s="141"/>
      <c r="G1400" s="141"/>
      <c r="H1400" s="222"/>
    </row>
    <row r="1401" spans="1:8" s="212" customFormat="1">
      <c r="A1401" s="150"/>
      <c r="B1401" s="83"/>
      <c r="C1401" s="148"/>
      <c r="D1401" s="160"/>
      <c r="E1401" s="84"/>
      <c r="F1401" s="84"/>
      <c r="G1401" s="146"/>
      <c r="H1401" s="221"/>
    </row>
    <row r="1402" spans="1:8" s="212" customFormat="1">
      <c r="A1402" s="91"/>
      <c r="B1402" s="91"/>
      <c r="C1402" s="91"/>
      <c r="D1402" s="91"/>
      <c r="E1402" s="91"/>
      <c r="G1402" s="213"/>
      <c r="H1402" s="222"/>
    </row>
    <row r="1403" spans="1:8" s="212" customFormat="1">
      <c r="A1403" s="120"/>
      <c r="B1403" s="73"/>
      <c r="C1403" s="73"/>
      <c r="D1403" s="73"/>
      <c r="E1403" s="73"/>
      <c r="G1403" s="73"/>
      <c r="H1403" s="222"/>
    </row>
    <row r="1404" spans="1:8" s="212" customFormat="1">
      <c r="A1404" s="220"/>
      <c r="B1404" s="141"/>
      <c r="C1404" s="141"/>
      <c r="D1404" s="141"/>
      <c r="E1404" s="141"/>
      <c r="F1404" s="141"/>
      <c r="G1404" s="141"/>
      <c r="H1404" s="222"/>
    </row>
    <row r="1405" spans="1:8" s="212" customFormat="1">
      <c r="A1405" s="142"/>
      <c r="B1405" s="143"/>
      <c r="C1405" s="143"/>
      <c r="D1405" s="143"/>
      <c r="E1405" s="143"/>
      <c r="F1405" s="84"/>
      <c r="G1405" s="146"/>
      <c r="H1405" s="221"/>
    </row>
    <row r="1406" spans="1:8" s="212" customFormat="1">
      <c r="A1406" s="91"/>
      <c r="B1406" s="91"/>
      <c r="C1406" s="91"/>
      <c r="D1406" s="91"/>
      <c r="E1406" s="91"/>
      <c r="G1406" s="213"/>
      <c r="H1406" s="222"/>
    </row>
    <row r="1407" spans="1:8" s="212" customFormat="1">
      <c r="A1407" s="120"/>
      <c r="B1407" s="73"/>
      <c r="C1407" s="73"/>
      <c r="D1407" s="73"/>
      <c r="E1407" s="73"/>
      <c r="G1407" s="73"/>
      <c r="H1407" s="222"/>
    </row>
    <row r="1408" spans="1:8" s="212" customFormat="1">
      <c r="A1408" s="220"/>
      <c r="B1408" s="141"/>
      <c r="C1408" s="141"/>
      <c r="D1408" s="141"/>
      <c r="E1408" s="141"/>
      <c r="F1408" s="141"/>
      <c r="G1408" s="141"/>
      <c r="H1408" s="222"/>
    </row>
    <row r="1409" spans="1:9" s="212" customFormat="1">
      <c r="A1409" s="142"/>
      <c r="B1409" s="143"/>
      <c r="C1409" s="143"/>
      <c r="D1409" s="143"/>
      <c r="E1409" s="143"/>
      <c r="F1409" s="84"/>
      <c r="G1409" s="146"/>
      <c r="H1409" s="221"/>
    </row>
    <row r="1410" spans="1:9" s="212" customFormat="1">
      <c r="A1410" s="123"/>
      <c r="B1410" s="95"/>
      <c r="C1410" s="95"/>
      <c r="D1410" s="95"/>
      <c r="E1410" s="95"/>
      <c r="G1410" s="213"/>
      <c r="H1410" s="73"/>
    </row>
    <row r="1411" spans="1:9" s="212" customFormat="1">
      <c r="A1411" s="123"/>
      <c r="B1411" s="95"/>
      <c r="C1411" s="95"/>
      <c r="D1411" s="95"/>
      <c r="E1411" s="95"/>
      <c r="G1411" s="73"/>
      <c r="H1411" s="225"/>
    </row>
    <row r="1412" spans="1:9" s="212" customFormat="1">
      <c r="B1412" s="97"/>
      <c r="C1412" s="98"/>
      <c r="D1412" s="98"/>
      <c r="E1412" s="98"/>
      <c r="G1412" s="220"/>
    </row>
    <row r="1413" spans="1:9" s="212" customFormat="1">
      <c r="B1413" s="97"/>
      <c r="C1413" s="98"/>
      <c r="D1413" s="98"/>
      <c r="E1413" s="98"/>
      <c r="F1413" s="220"/>
      <c r="G1413" s="225"/>
      <c r="H1413" s="226"/>
    </row>
    <row r="1414" spans="1:9" s="212" customFormat="1">
      <c r="A1414" s="633"/>
      <c r="B1414" s="633"/>
      <c r="C1414" s="633"/>
      <c r="D1414" s="633"/>
      <c r="E1414" s="633"/>
      <c r="F1414" s="633"/>
      <c r="G1414" s="633"/>
    </row>
    <row r="1415" spans="1:9" s="212" customFormat="1">
      <c r="H1415" s="227"/>
      <c r="I1415" s="228"/>
    </row>
    <row r="1416" spans="1:9" s="212" customFormat="1">
      <c r="A1416" s="658"/>
      <c r="B1416" s="227"/>
      <c r="C1416" s="227"/>
      <c r="D1416" s="227"/>
      <c r="E1416" s="227"/>
      <c r="F1416" s="227"/>
      <c r="G1416" s="227"/>
      <c r="H1416" s="227"/>
      <c r="I1416" s="229"/>
    </row>
    <row r="1417" spans="1:9" s="212" customFormat="1">
      <c r="A1417" s="658"/>
      <c r="B1417" s="227"/>
      <c r="C1417" s="227"/>
      <c r="D1417" s="227"/>
      <c r="E1417" s="227"/>
      <c r="F1417" s="227"/>
      <c r="G1417" s="227"/>
    </row>
    <row r="1418" spans="1:9" s="212" customFormat="1">
      <c r="A1418" s="69"/>
      <c r="B1418" s="69"/>
      <c r="C1418" s="69"/>
      <c r="D1418" s="69"/>
      <c r="E1418" s="69"/>
    </row>
    <row r="1419" spans="1:9" s="212" customFormat="1">
      <c r="A1419" s="120"/>
      <c r="B1419" s="73"/>
      <c r="C1419" s="73"/>
      <c r="D1419" s="73"/>
      <c r="E1419" s="73"/>
      <c r="F1419" s="73"/>
      <c r="G1419" s="73"/>
      <c r="H1419" s="73"/>
    </row>
    <row r="1420" spans="1:9" s="212" customFormat="1">
      <c r="A1420" s="220"/>
      <c r="B1420" s="141"/>
      <c r="C1420" s="141"/>
      <c r="D1420" s="141"/>
      <c r="E1420" s="141"/>
      <c r="F1420" s="141"/>
      <c r="G1420" s="141"/>
      <c r="H1420" s="73"/>
    </row>
    <row r="1421" spans="1:9" s="212" customFormat="1">
      <c r="A1421" s="142"/>
      <c r="B1421" s="143"/>
      <c r="C1421" s="143"/>
      <c r="D1421" s="143"/>
      <c r="E1421" s="143"/>
      <c r="F1421" s="84"/>
      <c r="G1421" s="146"/>
      <c r="H1421" s="221"/>
    </row>
    <row r="1422" spans="1:9" s="212" customFormat="1">
      <c r="A1422" s="84"/>
      <c r="B1422" s="83"/>
      <c r="C1422" s="84"/>
      <c r="D1422" s="84"/>
      <c r="E1422" s="84"/>
      <c r="G1422" s="213"/>
      <c r="H1422" s="222"/>
    </row>
    <row r="1423" spans="1:9" s="212" customFormat="1">
      <c r="A1423" s="120"/>
      <c r="B1423" s="73"/>
      <c r="C1423" s="73"/>
      <c r="D1423" s="73"/>
      <c r="E1423" s="73"/>
      <c r="G1423" s="73"/>
      <c r="H1423" s="222"/>
    </row>
    <row r="1424" spans="1:9" s="212" customFormat="1">
      <c r="A1424" s="220"/>
      <c r="B1424" s="141"/>
      <c r="C1424" s="141"/>
      <c r="D1424" s="141"/>
      <c r="E1424" s="141"/>
      <c r="F1424" s="141"/>
      <c r="G1424" s="141"/>
      <c r="H1424" s="222"/>
    </row>
    <row r="1425" spans="1:9" s="212" customFormat="1">
      <c r="A1425" s="150"/>
      <c r="B1425" s="83"/>
      <c r="C1425" s="148"/>
      <c r="D1425" s="160"/>
      <c r="E1425" s="84"/>
      <c r="F1425" s="84"/>
      <c r="G1425" s="146"/>
      <c r="H1425" s="221"/>
    </row>
    <row r="1426" spans="1:9" s="212" customFormat="1">
      <c r="A1426" s="91"/>
      <c r="B1426" s="91"/>
      <c r="C1426" s="91"/>
      <c r="D1426" s="91"/>
      <c r="E1426" s="91"/>
      <c r="G1426" s="213"/>
      <c r="H1426" s="222"/>
    </row>
    <row r="1427" spans="1:9" s="212" customFormat="1">
      <c r="A1427" s="120"/>
      <c r="B1427" s="73"/>
      <c r="C1427" s="73"/>
      <c r="D1427" s="73"/>
      <c r="E1427" s="73"/>
      <c r="G1427" s="73"/>
      <c r="H1427" s="222"/>
    </row>
    <row r="1428" spans="1:9" s="212" customFormat="1">
      <c r="A1428" s="220"/>
      <c r="B1428" s="141"/>
      <c r="C1428" s="141"/>
      <c r="D1428" s="141"/>
      <c r="E1428" s="141"/>
      <c r="F1428" s="141"/>
      <c r="G1428" s="141"/>
      <c r="H1428" s="222"/>
    </row>
    <row r="1429" spans="1:9" s="212" customFormat="1">
      <c r="A1429" s="142"/>
      <c r="B1429" s="143"/>
      <c r="C1429" s="143"/>
      <c r="D1429" s="143"/>
      <c r="E1429" s="143"/>
      <c r="F1429" s="84"/>
      <c r="G1429" s="146"/>
      <c r="H1429" s="221"/>
    </row>
    <row r="1430" spans="1:9" s="212" customFormat="1">
      <c r="A1430" s="91"/>
      <c r="B1430" s="91"/>
      <c r="C1430" s="91"/>
      <c r="D1430" s="91"/>
      <c r="E1430" s="91"/>
      <c r="G1430" s="213"/>
      <c r="H1430" s="222"/>
    </row>
    <row r="1431" spans="1:9" s="212" customFormat="1">
      <c r="A1431" s="120"/>
      <c r="B1431" s="73"/>
      <c r="C1431" s="73"/>
      <c r="D1431" s="73"/>
      <c r="E1431" s="73"/>
      <c r="G1431" s="73"/>
      <c r="H1431" s="222"/>
    </row>
    <row r="1432" spans="1:9" s="212" customFormat="1">
      <c r="A1432" s="220"/>
      <c r="B1432" s="141"/>
      <c r="C1432" s="141"/>
      <c r="D1432" s="141"/>
      <c r="E1432" s="141"/>
      <c r="F1432" s="141"/>
      <c r="G1432" s="141"/>
      <c r="H1432" s="222"/>
    </row>
    <row r="1433" spans="1:9" s="212" customFormat="1">
      <c r="A1433" s="142"/>
      <c r="B1433" s="143"/>
      <c r="C1433" s="143"/>
      <c r="D1433" s="143"/>
      <c r="E1433" s="143"/>
      <c r="F1433" s="84"/>
      <c r="G1433" s="146"/>
      <c r="H1433" s="221"/>
    </row>
    <row r="1434" spans="1:9" s="212" customFormat="1">
      <c r="A1434" s="123"/>
      <c r="B1434" s="95"/>
      <c r="C1434" s="95"/>
      <c r="D1434" s="95"/>
      <c r="E1434" s="95"/>
      <c r="G1434" s="213"/>
      <c r="H1434" s="73"/>
    </row>
    <row r="1435" spans="1:9" s="212" customFormat="1">
      <c r="A1435" s="123"/>
      <c r="B1435" s="95"/>
      <c r="C1435" s="95"/>
      <c r="D1435" s="95"/>
      <c r="E1435" s="95"/>
      <c r="G1435" s="73"/>
      <c r="H1435" s="225"/>
    </row>
    <row r="1436" spans="1:9" s="212" customFormat="1">
      <c r="B1436" s="97"/>
      <c r="C1436" s="98"/>
      <c r="D1436" s="98"/>
      <c r="E1436" s="98"/>
      <c r="G1436" s="220"/>
    </row>
    <row r="1437" spans="1:9" s="212" customFormat="1">
      <c r="B1437" s="97"/>
      <c r="C1437" s="98"/>
      <c r="D1437" s="98"/>
      <c r="E1437" s="98"/>
      <c r="F1437" s="220"/>
      <c r="G1437" s="225"/>
      <c r="H1437" s="226"/>
    </row>
    <row r="1438" spans="1:9" s="212" customFormat="1">
      <c r="A1438" s="633"/>
      <c r="B1438" s="633"/>
      <c r="C1438" s="633"/>
      <c r="D1438" s="633"/>
      <c r="E1438" s="633"/>
      <c r="F1438" s="633"/>
      <c r="G1438" s="633"/>
    </row>
    <row r="1439" spans="1:9" s="212" customFormat="1">
      <c r="H1439" s="227"/>
      <c r="I1439" s="228"/>
    </row>
    <row r="1440" spans="1:9" s="212" customFormat="1">
      <c r="A1440" s="658"/>
      <c r="B1440" s="227"/>
      <c r="C1440" s="227"/>
      <c r="D1440" s="227"/>
      <c r="E1440" s="227"/>
      <c r="F1440" s="227"/>
      <c r="G1440" s="227"/>
      <c r="H1440" s="227"/>
      <c r="I1440" s="229"/>
    </row>
    <row r="1441" spans="1:8" s="212" customFormat="1">
      <c r="A1441" s="658"/>
      <c r="B1441" s="227"/>
      <c r="C1441" s="227"/>
      <c r="D1441" s="227"/>
      <c r="E1441" s="227"/>
      <c r="F1441" s="227"/>
      <c r="G1441" s="227"/>
    </row>
    <row r="1442" spans="1:8" s="212" customFormat="1">
      <c r="A1442" s="69"/>
      <c r="B1442" s="69"/>
      <c r="C1442" s="69"/>
      <c r="D1442" s="69"/>
      <c r="E1442" s="69"/>
    </row>
    <row r="1443" spans="1:8" s="212" customFormat="1">
      <c r="A1443" s="120"/>
      <c r="B1443" s="73"/>
      <c r="C1443" s="73"/>
      <c r="D1443" s="73"/>
      <c r="E1443" s="73"/>
      <c r="F1443" s="73"/>
      <c r="G1443" s="73"/>
      <c r="H1443" s="73"/>
    </row>
    <row r="1444" spans="1:8" s="212" customFormat="1">
      <c r="A1444" s="220"/>
      <c r="B1444" s="141"/>
      <c r="C1444" s="141"/>
      <c r="D1444" s="141"/>
      <c r="E1444" s="141"/>
      <c r="F1444" s="141"/>
      <c r="G1444" s="141"/>
      <c r="H1444" s="73"/>
    </row>
    <row r="1445" spans="1:8" s="212" customFormat="1">
      <c r="A1445" s="142"/>
      <c r="B1445" s="143"/>
      <c r="C1445" s="143"/>
      <c r="D1445" s="143"/>
      <c r="E1445" s="143"/>
      <c r="F1445" s="84"/>
      <c r="G1445" s="146"/>
      <c r="H1445" s="221"/>
    </row>
    <row r="1446" spans="1:8" s="212" customFormat="1">
      <c r="A1446" s="84"/>
      <c r="B1446" s="83"/>
      <c r="C1446" s="84"/>
      <c r="D1446" s="84"/>
      <c r="E1446" s="84"/>
      <c r="G1446" s="213"/>
      <c r="H1446" s="222"/>
    </row>
    <row r="1447" spans="1:8" s="212" customFormat="1">
      <c r="A1447" s="120"/>
      <c r="B1447" s="73"/>
      <c r="C1447" s="73"/>
      <c r="D1447" s="73"/>
      <c r="E1447" s="73"/>
      <c r="G1447" s="73"/>
      <c r="H1447" s="222"/>
    </row>
    <row r="1448" spans="1:8" s="212" customFormat="1">
      <c r="A1448" s="220"/>
      <c r="B1448" s="141"/>
      <c r="C1448" s="141"/>
      <c r="D1448" s="141"/>
      <c r="E1448" s="141"/>
      <c r="F1448" s="141"/>
      <c r="G1448" s="141"/>
      <c r="H1448" s="222"/>
    </row>
    <row r="1449" spans="1:8" s="212" customFormat="1">
      <c r="A1449" s="150"/>
      <c r="B1449" s="83"/>
      <c r="C1449" s="148"/>
      <c r="D1449" s="160"/>
      <c r="E1449" s="84"/>
      <c r="F1449" s="84"/>
      <c r="G1449" s="146"/>
      <c r="H1449" s="221"/>
    </row>
    <row r="1450" spans="1:8" s="212" customFormat="1">
      <c r="A1450" s="91"/>
      <c r="B1450" s="91"/>
      <c r="C1450" s="91"/>
      <c r="D1450" s="91"/>
      <c r="E1450" s="91"/>
      <c r="G1450" s="213"/>
      <c r="H1450" s="222"/>
    </row>
    <row r="1451" spans="1:8" s="212" customFormat="1">
      <c r="A1451" s="120"/>
      <c r="B1451" s="73"/>
      <c r="C1451" s="73"/>
      <c r="D1451" s="73"/>
      <c r="E1451" s="73"/>
      <c r="G1451" s="73"/>
      <c r="H1451" s="222"/>
    </row>
    <row r="1452" spans="1:8" s="212" customFormat="1">
      <c r="A1452" s="220"/>
      <c r="B1452" s="141"/>
      <c r="C1452" s="141"/>
      <c r="D1452" s="141"/>
      <c r="E1452" s="141"/>
      <c r="F1452" s="141"/>
      <c r="G1452" s="141"/>
      <c r="H1452" s="222"/>
    </row>
    <row r="1453" spans="1:8" s="212" customFormat="1">
      <c r="A1453" s="142"/>
      <c r="B1453" s="143"/>
      <c r="C1453" s="143"/>
      <c r="D1453" s="143"/>
      <c r="E1453" s="143"/>
      <c r="F1453" s="84"/>
      <c r="G1453" s="146"/>
      <c r="H1453" s="221"/>
    </row>
    <row r="1454" spans="1:8" s="212" customFormat="1">
      <c r="A1454" s="91"/>
      <c r="B1454" s="91"/>
      <c r="C1454" s="91"/>
      <c r="D1454" s="91"/>
      <c r="E1454" s="91"/>
      <c r="G1454" s="213"/>
      <c r="H1454" s="222"/>
    </row>
    <row r="1455" spans="1:8" s="212" customFormat="1">
      <c r="A1455" s="120"/>
      <c r="B1455" s="73"/>
      <c r="C1455" s="73"/>
      <c r="D1455" s="73"/>
      <c r="E1455" s="73"/>
      <c r="G1455" s="73"/>
      <c r="H1455" s="222"/>
    </row>
    <row r="1456" spans="1:8" s="212" customFormat="1">
      <c r="A1456" s="220"/>
      <c r="B1456" s="141"/>
      <c r="C1456" s="141"/>
      <c r="D1456" s="141"/>
      <c r="E1456" s="141"/>
      <c r="F1456" s="141"/>
      <c r="G1456" s="141"/>
      <c r="H1456" s="222"/>
    </row>
    <row r="1457" spans="1:9" s="212" customFormat="1">
      <c r="A1457" s="142"/>
      <c r="B1457" s="143"/>
      <c r="C1457" s="143"/>
      <c r="D1457" s="143"/>
      <c r="E1457" s="143"/>
      <c r="F1457" s="84"/>
      <c r="G1457" s="146"/>
      <c r="H1457" s="221"/>
    </row>
    <row r="1458" spans="1:9" s="212" customFormat="1">
      <c r="A1458" s="123"/>
      <c r="B1458" s="95"/>
      <c r="C1458" s="95"/>
      <c r="D1458" s="95"/>
      <c r="E1458" s="95"/>
      <c r="G1458" s="213"/>
      <c r="H1458" s="73"/>
    </row>
    <row r="1459" spans="1:9" s="212" customFormat="1">
      <c r="A1459" s="123"/>
      <c r="B1459" s="95"/>
      <c r="C1459" s="95"/>
      <c r="D1459" s="95"/>
      <c r="E1459" s="95"/>
      <c r="G1459" s="73"/>
      <c r="H1459" s="225"/>
    </row>
    <row r="1460" spans="1:9" s="212" customFormat="1">
      <c r="B1460" s="97"/>
      <c r="C1460" s="98"/>
      <c r="D1460" s="98"/>
      <c r="E1460" s="98"/>
      <c r="G1460" s="220"/>
    </row>
    <row r="1461" spans="1:9" s="212" customFormat="1">
      <c r="B1461" s="97"/>
      <c r="C1461" s="98"/>
      <c r="D1461" s="98"/>
      <c r="E1461" s="98"/>
      <c r="F1461" s="220"/>
      <c r="G1461" s="225"/>
      <c r="H1461" s="226"/>
    </row>
    <row r="1462" spans="1:9" s="212" customFormat="1">
      <c r="A1462" s="633"/>
      <c r="B1462" s="633"/>
      <c r="C1462" s="633"/>
      <c r="D1462" s="633"/>
      <c r="E1462" s="633"/>
      <c r="F1462" s="633"/>
      <c r="G1462" s="633"/>
    </row>
    <row r="1463" spans="1:9" s="212" customFormat="1">
      <c r="H1463" s="227"/>
      <c r="I1463" s="228"/>
    </row>
    <row r="1464" spans="1:9" s="212" customFormat="1">
      <c r="A1464" s="658"/>
      <c r="B1464" s="227"/>
      <c r="C1464" s="227"/>
      <c r="D1464" s="227"/>
      <c r="E1464" s="227"/>
      <c r="F1464" s="227"/>
      <c r="G1464" s="227"/>
      <c r="H1464" s="227"/>
      <c r="I1464" s="229"/>
    </row>
    <row r="1465" spans="1:9" s="212" customFormat="1">
      <c r="A1465" s="658"/>
      <c r="B1465" s="227"/>
      <c r="C1465" s="227"/>
      <c r="D1465" s="227"/>
      <c r="E1465" s="227"/>
      <c r="F1465" s="227"/>
      <c r="G1465" s="227"/>
    </row>
    <row r="1466" spans="1:9" s="212" customFormat="1">
      <c r="A1466" s="69"/>
      <c r="B1466" s="69"/>
      <c r="C1466" s="69"/>
      <c r="D1466" s="69"/>
      <c r="E1466" s="69"/>
    </row>
    <row r="1467" spans="1:9" s="212" customFormat="1">
      <c r="A1467" s="120"/>
      <c r="B1467" s="73"/>
      <c r="C1467" s="73"/>
      <c r="D1467" s="73"/>
      <c r="E1467" s="73"/>
      <c r="F1467" s="73"/>
      <c r="G1467" s="73"/>
      <c r="H1467" s="73"/>
    </row>
    <row r="1468" spans="1:9" s="212" customFormat="1">
      <c r="A1468" s="220"/>
      <c r="B1468" s="141"/>
      <c r="C1468" s="141"/>
      <c r="D1468" s="141"/>
      <c r="E1468" s="141"/>
      <c r="F1468" s="141"/>
      <c r="G1468" s="141"/>
      <c r="H1468" s="73"/>
    </row>
    <row r="1469" spans="1:9" s="212" customFormat="1">
      <c r="A1469" s="142"/>
      <c r="B1469" s="143"/>
      <c r="C1469" s="143"/>
      <c r="D1469" s="143"/>
      <c r="E1469" s="143"/>
      <c r="F1469" s="84"/>
      <c r="G1469" s="146"/>
      <c r="H1469" s="221"/>
    </row>
    <row r="1470" spans="1:9" s="212" customFormat="1">
      <c r="A1470" s="84"/>
      <c r="B1470" s="83"/>
      <c r="C1470" s="84"/>
      <c r="D1470" s="84"/>
      <c r="E1470" s="84"/>
      <c r="G1470" s="213"/>
      <c r="H1470" s="222"/>
    </row>
    <row r="1471" spans="1:9" s="212" customFormat="1">
      <c r="A1471" s="120"/>
      <c r="B1471" s="73"/>
      <c r="C1471" s="73"/>
      <c r="D1471" s="73"/>
      <c r="E1471" s="73"/>
      <c r="G1471" s="73"/>
      <c r="H1471" s="222"/>
    </row>
    <row r="1472" spans="1:9" s="212" customFormat="1">
      <c r="A1472" s="220"/>
      <c r="B1472" s="141"/>
      <c r="C1472" s="141"/>
      <c r="D1472" s="141"/>
      <c r="E1472" s="141"/>
      <c r="F1472" s="141"/>
      <c r="G1472" s="141"/>
      <c r="H1472" s="222"/>
    </row>
    <row r="1473" spans="1:9" s="212" customFormat="1">
      <c r="A1473" s="150"/>
      <c r="B1473" s="83"/>
      <c r="C1473" s="148"/>
      <c r="D1473" s="160"/>
      <c r="E1473" s="84"/>
      <c r="F1473" s="84"/>
      <c r="G1473" s="146"/>
      <c r="H1473" s="221"/>
    </row>
    <row r="1474" spans="1:9" s="212" customFormat="1">
      <c r="A1474" s="91"/>
      <c r="B1474" s="91"/>
      <c r="C1474" s="91"/>
      <c r="D1474" s="91"/>
      <c r="E1474" s="91"/>
      <c r="G1474" s="213"/>
      <c r="H1474" s="222"/>
    </row>
    <row r="1475" spans="1:9" s="212" customFormat="1">
      <c r="A1475" s="120"/>
      <c r="B1475" s="73"/>
      <c r="C1475" s="73"/>
      <c r="D1475" s="73"/>
      <c r="E1475" s="73"/>
      <c r="G1475" s="73"/>
      <c r="H1475" s="222"/>
    </row>
    <row r="1476" spans="1:9" s="212" customFormat="1">
      <c r="A1476" s="220"/>
      <c r="B1476" s="141"/>
      <c r="C1476" s="141"/>
      <c r="D1476" s="141"/>
      <c r="E1476" s="141"/>
      <c r="F1476" s="141"/>
      <c r="G1476" s="141"/>
      <c r="H1476" s="222"/>
    </row>
    <row r="1477" spans="1:9" s="212" customFormat="1">
      <c r="A1477" s="142"/>
      <c r="B1477" s="143"/>
      <c r="C1477" s="143"/>
      <c r="D1477" s="143"/>
      <c r="E1477" s="143"/>
      <c r="F1477" s="84"/>
      <c r="G1477" s="146"/>
      <c r="H1477" s="221"/>
    </row>
    <row r="1478" spans="1:9" s="212" customFormat="1">
      <c r="A1478" s="91"/>
      <c r="B1478" s="91"/>
      <c r="C1478" s="91"/>
      <c r="D1478" s="91"/>
      <c r="E1478" s="91"/>
      <c r="G1478" s="213"/>
      <c r="H1478" s="222"/>
    </row>
    <row r="1479" spans="1:9" s="212" customFormat="1">
      <c r="A1479" s="120"/>
      <c r="B1479" s="73"/>
      <c r="C1479" s="73"/>
      <c r="D1479" s="73"/>
      <c r="E1479" s="73"/>
      <c r="G1479" s="73"/>
      <c r="H1479" s="222"/>
    </row>
    <row r="1480" spans="1:9" s="212" customFormat="1">
      <c r="A1480" s="220"/>
      <c r="B1480" s="141"/>
      <c r="C1480" s="141"/>
      <c r="D1480" s="141"/>
      <c r="E1480" s="141"/>
      <c r="F1480" s="141"/>
      <c r="G1480" s="141"/>
      <c r="H1480" s="222"/>
    </row>
    <row r="1481" spans="1:9" s="212" customFormat="1">
      <c r="A1481" s="142"/>
      <c r="B1481" s="143"/>
      <c r="C1481" s="143"/>
      <c r="D1481" s="143"/>
      <c r="E1481" s="143"/>
      <c r="F1481" s="84"/>
      <c r="G1481" s="146"/>
      <c r="H1481" s="221"/>
    </row>
    <row r="1482" spans="1:9" s="212" customFormat="1">
      <c r="A1482" s="123"/>
      <c r="B1482" s="95"/>
      <c r="C1482" s="95"/>
      <c r="D1482" s="95"/>
      <c r="E1482" s="95"/>
      <c r="G1482" s="213"/>
      <c r="H1482" s="73"/>
    </row>
    <row r="1483" spans="1:9" s="212" customFormat="1">
      <c r="A1483" s="123"/>
      <c r="B1483" s="95"/>
      <c r="C1483" s="95"/>
      <c r="D1483" s="95"/>
      <c r="E1483" s="95"/>
      <c r="G1483" s="73"/>
      <c r="H1483" s="225"/>
    </row>
    <row r="1484" spans="1:9" s="212" customFormat="1">
      <c r="B1484" s="97"/>
      <c r="C1484" s="98"/>
      <c r="D1484" s="98"/>
      <c r="E1484" s="98"/>
      <c r="G1484" s="220"/>
    </row>
    <row r="1485" spans="1:9" s="212" customFormat="1">
      <c r="B1485" s="97"/>
      <c r="C1485" s="98"/>
      <c r="D1485" s="98"/>
      <c r="E1485" s="98"/>
      <c r="F1485" s="220"/>
      <c r="G1485" s="225"/>
      <c r="H1485" s="226"/>
    </row>
    <row r="1486" spans="1:9" s="212" customFormat="1">
      <c r="A1486" s="633"/>
      <c r="B1486" s="633"/>
      <c r="C1486" s="633"/>
      <c r="D1486" s="633"/>
      <c r="E1486" s="633"/>
      <c r="F1486" s="633"/>
      <c r="G1486" s="633"/>
    </row>
    <row r="1487" spans="1:9" s="212" customFormat="1">
      <c r="H1487" s="227"/>
      <c r="I1487" s="228"/>
    </row>
    <row r="1488" spans="1:9" s="212" customFormat="1">
      <c r="A1488" s="658"/>
      <c r="B1488" s="227"/>
      <c r="C1488" s="227"/>
      <c r="D1488" s="227"/>
      <c r="E1488" s="227"/>
      <c r="F1488" s="227"/>
      <c r="G1488" s="227"/>
      <c r="H1488" s="227"/>
      <c r="I1488" s="229"/>
    </row>
    <row r="1489" spans="1:8" s="212" customFormat="1">
      <c r="A1489" s="658"/>
      <c r="B1489" s="227"/>
      <c r="C1489" s="227"/>
      <c r="D1489" s="227"/>
      <c r="E1489" s="227"/>
      <c r="F1489" s="227"/>
      <c r="G1489" s="227"/>
    </row>
    <row r="1490" spans="1:8" s="212" customFormat="1">
      <c r="A1490" s="69"/>
      <c r="B1490" s="69"/>
      <c r="C1490" s="69"/>
      <c r="D1490" s="69"/>
      <c r="E1490" s="69"/>
    </row>
    <row r="1491" spans="1:8" s="212" customFormat="1">
      <c r="A1491" s="120"/>
      <c r="B1491" s="73"/>
      <c r="C1491" s="73"/>
      <c r="D1491" s="73"/>
      <c r="E1491" s="73"/>
      <c r="F1491" s="73"/>
      <c r="G1491" s="73"/>
      <c r="H1491" s="73"/>
    </row>
    <row r="1492" spans="1:8" s="212" customFormat="1">
      <c r="A1492" s="220"/>
      <c r="B1492" s="141"/>
      <c r="C1492" s="141"/>
      <c r="D1492" s="141"/>
      <c r="E1492" s="141"/>
      <c r="F1492" s="141"/>
      <c r="G1492" s="141"/>
      <c r="H1492" s="73"/>
    </row>
    <row r="1493" spans="1:8" s="212" customFormat="1">
      <c r="A1493" s="142"/>
      <c r="B1493" s="143"/>
      <c r="C1493" s="143"/>
      <c r="D1493" s="143"/>
      <c r="E1493" s="143"/>
      <c r="F1493" s="84"/>
      <c r="G1493" s="146"/>
      <c r="H1493" s="221"/>
    </row>
    <row r="1494" spans="1:8" s="212" customFormat="1">
      <c r="A1494" s="84"/>
      <c r="B1494" s="83"/>
      <c r="C1494" s="84"/>
      <c r="D1494" s="84"/>
      <c r="E1494" s="84"/>
      <c r="G1494" s="213"/>
      <c r="H1494" s="222"/>
    </row>
    <row r="1495" spans="1:8" s="212" customFormat="1">
      <c r="A1495" s="120"/>
      <c r="B1495" s="73"/>
      <c r="C1495" s="73"/>
      <c r="D1495" s="73"/>
      <c r="E1495" s="73"/>
      <c r="G1495" s="73"/>
      <c r="H1495" s="222"/>
    </row>
    <row r="1496" spans="1:8" s="212" customFormat="1">
      <c r="A1496" s="220"/>
      <c r="B1496" s="141"/>
      <c r="C1496" s="141"/>
      <c r="D1496" s="141"/>
      <c r="E1496" s="141"/>
      <c r="F1496" s="141"/>
      <c r="G1496" s="141"/>
      <c r="H1496" s="222"/>
    </row>
    <row r="1497" spans="1:8" s="212" customFormat="1">
      <c r="A1497" s="150"/>
      <c r="B1497" s="83"/>
      <c r="C1497" s="148"/>
      <c r="D1497" s="160"/>
      <c r="E1497" s="84"/>
      <c r="F1497" s="84"/>
      <c r="G1497" s="146"/>
      <c r="H1497" s="221"/>
    </row>
    <row r="1498" spans="1:8" s="212" customFormat="1">
      <c r="A1498" s="91"/>
      <c r="B1498" s="91"/>
      <c r="C1498" s="91"/>
      <c r="D1498" s="91"/>
      <c r="E1498" s="91"/>
      <c r="G1498" s="213"/>
      <c r="H1498" s="222"/>
    </row>
    <row r="1499" spans="1:8" s="212" customFormat="1">
      <c r="A1499" s="120"/>
      <c r="B1499" s="73"/>
      <c r="C1499" s="73"/>
      <c r="D1499" s="73"/>
      <c r="E1499" s="73"/>
      <c r="G1499" s="73"/>
      <c r="H1499" s="222"/>
    </row>
    <row r="1500" spans="1:8" s="212" customFormat="1">
      <c r="A1500" s="220"/>
      <c r="B1500" s="141"/>
      <c r="C1500" s="141"/>
      <c r="D1500" s="141"/>
      <c r="E1500" s="141"/>
      <c r="F1500" s="141"/>
      <c r="G1500" s="141"/>
      <c r="H1500" s="222"/>
    </row>
    <row r="1501" spans="1:8" s="212" customFormat="1">
      <c r="A1501" s="142"/>
      <c r="B1501" s="143"/>
      <c r="C1501" s="143"/>
      <c r="D1501" s="143"/>
      <c r="E1501" s="143"/>
      <c r="F1501" s="84"/>
      <c r="G1501" s="146"/>
      <c r="H1501" s="221"/>
    </row>
    <row r="1502" spans="1:8" s="212" customFormat="1">
      <c r="A1502" s="91"/>
      <c r="B1502" s="91"/>
      <c r="C1502" s="91"/>
      <c r="D1502" s="91"/>
      <c r="E1502" s="91"/>
      <c r="G1502" s="213"/>
      <c r="H1502" s="222"/>
    </row>
    <row r="1503" spans="1:8" s="212" customFormat="1">
      <c r="A1503" s="120"/>
      <c r="B1503" s="73"/>
      <c r="C1503" s="73"/>
      <c r="D1503" s="73"/>
      <c r="E1503" s="73"/>
      <c r="G1503" s="73"/>
      <c r="H1503" s="222"/>
    </row>
    <row r="1504" spans="1:8" s="212" customFormat="1">
      <c r="A1504" s="220"/>
      <c r="B1504" s="141"/>
      <c r="C1504" s="141"/>
      <c r="D1504" s="141"/>
      <c r="E1504" s="141"/>
      <c r="F1504" s="141"/>
      <c r="G1504" s="141"/>
      <c r="H1504" s="222"/>
    </row>
    <row r="1505" spans="1:9" s="212" customFormat="1">
      <c r="A1505" s="142"/>
      <c r="B1505" s="143"/>
      <c r="C1505" s="143"/>
      <c r="D1505" s="143"/>
      <c r="E1505" s="143"/>
      <c r="F1505" s="84"/>
      <c r="G1505" s="146"/>
      <c r="H1505" s="221"/>
    </row>
    <row r="1506" spans="1:9" s="212" customFormat="1">
      <c r="A1506" s="123"/>
      <c r="B1506" s="95"/>
      <c r="C1506" s="95"/>
      <c r="D1506" s="95"/>
      <c r="E1506" s="95"/>
      <c r="G1506" s="213"/>
      <c r="H1506" s="73"/>
    </row>
    <row r="1507" spans="1:9" s="212" customFormat="1">
      <c r="A1507" s="123"/>
      <c r="B1507" s="95"/>
      <c r="C1507" s="95"/>
      <c r="D1507" s="95"/>
      <c r="E1507" s="95"/>
      <c r="G1507" s="73"/>
      <c r="H1507" s="225"/>
    </row>
    <row r="1508" spans="1:9" s="212" customFormat="1">
      <c r="B1508" s="97"/>
      <c r="C1508" s="98"/>
      <c r="D1508" s="98"/>
      <c r="E1508" s="98"/>
      <c r="G1508" s="220"/>
    </row>
    <row r="1509" spans="1:9" s="212" customFormat="1">
      <c r="B1509" s="97"/>
      <c r="C1509" s="98"/>
      <c r="D1509" s="98"/>
      <c r="E1509" s="98"/>
      <c r="F1509" s="220"/>
      <c r="G1509" s="225"/>
      <c r="H1509" s="226"/>
    </row>
    <row r="1510" spans="1:9" s="212" customFormat="1">
      <c r="A1510" s="633"/>
      <c r="B1510" s="633"/>
      <c r="C1510" s="633"/>
      <c r="D1510" s="633"/>
      <c r="E1510" s="633"/>
      <c r="F1510" s="633"/>
      <c r="G1510" s="633"/>
    </row>
    <row r="1511" spans="1:9" s="212" customFormat="1">
      <c r="H1511" s="227"/>
      <c r="I1511" s="228"/>
    </row>
    <row r="1512" spans="1:9" s="212" customFormat="1">
      <c r="A1512" s="658"/>
      <c r="B1512" s="227"/>
      <c r="C1512" s="227"/>
      <c r="D1512" s="227"/>
      <c r="E1512" s="227"/>
      <c r="F1512" s="227"/>
      <c r="G1512" s="227"/>
      <c r="H1512" s="227"/>
      <c r="I1512" s="229"/>
    </row>
    <row r="1513" spans="1:9" s="212" customFormat="1">
      <c r="A1513" s="658"/>
      <c r="B1513" s="227"/>
      <c r="C1513" s="227"/>
      <c r="D1513" s="227"/>
      <c r="E1513" s="227"/>
      <c r="F1513" s="227"/>
      <c r="G1513" s="227"/>
    </row>
    <row r="1514" spans="1:9" s="212" customFormat="1">
      <c r="A1514" s="69"/>
      <c r="B1514" s="69"/>
      <c r="C1514" s="69"/>
      <c r="D1514" s="69"/>
      <c r="E1514" s="69"/>
    </row>
    <row r="1515" spans="1:9" s="212" customFormat="1">
      <c r="A1515" s="120"/>
      <c r="B1515" s="73"/>
      <c r="C1515" s="73"/>
      <c r="D1515" s="73"/>
      <c r="E1515" s="73"/>
      <c r="F1515" s="73"/>
      <c r="G1515" s="73"/>
      <c r="H1515" s="73"/>
    </row>
    <row r="1516" spans="1:9" s="212" customFormat="1">
      <c r="A1516" s="220"/>
      <c r="B1516" s="141"/>
      <c r="C1516" s="141"/>
      <c r="D1516" s="141"/>
      <c r="E1516" s="141"/>
      <c r="F1516" s="141"/>
      <c r="G1516" s="141"/>
      <c r="H1516" s="73"/>
    </row>
    <row r="1517" spans="1:9" s="212" customFormat="1">
      <c r="A1517" s="142"/>
      <c r="B1517" s="143"/>
      <c r="C1517" s="143"/>
      <c r="D1517" s="143"/>
      <c r="E1517" s="143"/>
      <c r="F1517" s="84"/>
      <c r="G1517" s="146"/>
      <c r="H1517" s="221"/>
    </row>
    <row r="1518" spans="1:9" s="212" customFormat="1">
      <c r="A1518" s="84"/>
      <c r="B1518" s="83"/>
      <c r="C1518" s="84"/>
      <c r="D1518" s="84"/>
      <c r="E1518" s="84"/>
      <c r="G1518" s="213"/>
      <c r="H1518" s="222"/>
    </row>
    <row r="1519" spans="1:9" s="212" customFormat="1">
      <c r="A1519" s="120"/>
      <c r="B1519" s="73"/>
      <c r="C1519" s="73"/>
      <c r="D1519" s="73"/>
      <c r="E1519" s="73"/>
      <c r="G1519" s="73"/>
      <c r="H1519" s="222"/>
    </row>
    <row r="1520" spans="1:9" s="212" customFormat="1">
      <c r="A1520" s="220"/>
      <c r="B1520" s="141"/>
      <c r="C1520" s="141"/>
      <c r="D1520" s="141"/>
      <c r="E1520" s="141"/>
      <c r="F1520" s="141"/>
      <c r="G1520" s="141"/>
      <c r="H1520" s="222"/>
    </row>
    <row r="1521" spans="1:9" s="212" customFormat="1">
      <c r="A1521" s="150"/>
      <c r="B1521" s="83"/>
      <c r="C1521" s="148"/>
      <c r="D1521" s="160"/>
      <c r="E1521" s="84"/>
      <c r="F1521" s="84"/>
      <c r="G1521" s="146"/>
      <c r="H1521" s="221"/>
    </row>
    <row r="1522" spans="1:9" s="212" customFormat="1">
      <c r="A1522" s="91"/>
      <c r="B1522" s="91"/>
      <c r="C1522" s="91"/>
      <c r="D1522" s="91"/>
      <c r="E1522" s="91"/>
      <c r="G1522" s="213"/>
      <c r="H1522" s="222"/>
    </row>
    <row r="1523" spans="1:9" s="212" customFormat="1">
      <c r="A1523" s="120"/>
      <c r="B1523" s="73"/>
      <c r="C1523" s="73"/>
      <c r="D1523" s="73"/>
      <c r="E1523" s="73"/>
      <c r="G1523" s="73"/>
      <c r="H1523" s="222"/>
    </row>
    <row r="1524" spans="1:9" s="212" customFormat="1">
      <c r="A1524" s="220"/>
      <c r="B1524" s="141"/>
      <c r="C1524" s="141"/>
      <c r="D1524" s="141"/>
      <c r="E1524" s="141"/>
      <c r="F1524" s="141"/>
      <c r="G1524" s="141"/>
      <c r="H1524" s="222"/>
    </row>
    <row r="1525" spans="1:9" s="212" customFormat="1">
      <c r="A1525" s="142"/>
      <c r="B1525" s="143"/>
      <c r="C1525" s="143"/>
      <c r="D1525" s="143"/>
      <c r="E1525" s="143"/>
      <c r="F1525" s="84"/>
      <c r="G1525" s="146"/>
      <c r="H1525" s="221"/>
    </row>
    <row r="1526" spans="1:9" s="212" customFormat="1">
      <c r="A1526" s="91"/>
      <c r="B1526" s="91"/>
      <c r="C1526" s="91"/>
      <c r="D1526" s="91"/>
      <c r="E1526" s="91"/>
      <c r="G1526" s="213"/>
      <c r="H1526" s="222"/>
    </row>
    <row r="1527" spans="1:9" s="212" customFormat="1">
      <c r="A1527" s="120"/>
      <c r="B1527" s="73"/>
      <c r="C1527" s="73"/>
      <c r="D1527" s="73"/>
      <c r="E1527" s="73"/>
      <c r="G1527" s="73"/>
      <c r="H1527" s="222"/>
    </row>
    <row r="1528" spans="1:9" s="212" customFormat="1">
      <c r="A1528" s="220"/>
      <c r="B1528" s="141"/>
      <c r="C1528" s="141"/>
      <c r="D1528" s="141"/>
      <c r="E1528" s="141"/>
      <c r="F1528" s="141"/>
      <c r="G1528" s="141"/>
      <c r="H1528" s="222"/>
    </row>
    <row r="1529" spans="1:9" s="212" customFormat="1">
      <c r="A1529" s="142"/>
      <c r="B1529" s="143"/>
      <c r="C1529" s="143"/>
      <c r="D1529" s="143"/>
      <c r="E1529" s="143"/>
      <c r="F1529" s="84"/>
      <c r="G1529" s="146"/>
      <c r="H1529" s="221"/>
    </row>
    <row r="1530" spans="1:9" s="212" customFormat="1">
      <c r="A1530" s="123"/>
      <c r="B1530" s="95"/>
      <c r="C1530" s="95"/>
      <c r="D1530" s="95"/>
      <c r="E1530" s="95"/>
      <c r="G1530" s="213"/>
      <c r="H1530" s="73"/>
    </row>
    <row r="1531" spans="1:9" s="212" customFormat="1">
      <c r="A1531" s="123"/>
      <c r="B1531" s="95"/>
      <c r="C1531" s="95"/>
      <c r="D1531" s="95"/>
      <c r="E1531" s="95"/>
      <c r="G1531" s="73"/>
      <c r="H1531" s="225"/>
    </row>
    <row r="1532" spans="1:9" s="212" customFormat="1">
      <c r="B1532" s="97"/>
      <c r="C1532" s="98"/>
      <c r="D1532" s="98"/>
      <c r="E1532" s="98"/>
      <c r="G1532" s="220"/>
    </row>
    <row r="1533" spans="1:9" s="212" customFormat="1">
      <c r="B1533" s="97"/>
      <c r="C1533" s="98"/>
      <c r="D1533" s="98"/>
      <c r="E1533" s="98"/>
      <c r="F1533" s="220"/>
      <c r="G1533" s="225"/>
      <c r="H1533" s="226"/>
    </row>
    <row r="1534" spans="1:9" s="212" customFormat="1">
      <c r="A1534" s="633"/>
      <c r="B1534" s="633"/>
      <c r="C1534" s="633"/>
      <c r="D1534" s="633"/>
      <c r="E1534" s="633"/>
      <c r="F1534" s="633"/>
      <c r="G1534" s="633"/>
    </row>
    <row r="1535" spans="1:9" s="212" customFormat="1">
      <c r="H1535" s="227"/>
      <c r="I1535" s="228"/>
    </row>
    <row r="1536" spans="1:9" s="212" customFormat="1">
      <c r="A1536" s="658"/>
      <c r="B1536" s="227"/>
      <c r="C1536" s="227"/>
      <c r="D1536" s="227"/>
      <c r="E1536" s="227"/>
      <c r="F1536" s="227"/>
      <c r="G1536" s="227"/>
      <c r="H1536" s="227"/>
      <c r="I1536" s="229"/>
    </row>
    <row r="1537" spans="1:8" s="212" customFormat="1">
      <c r="A1537" s="658"/>
      <c r="B1537" s="227"/>
      <c r="C1537" s="227"/>
      <c r="D1537" s="227"/>
      <c r="E1537" s="227"/>
      <c r="F1537" s="227"/>
      <c r="G1537" s="227"/>
    </row>
    <row r="1538" spans="1:8" s="212" customFormat="1">
      <c r="A1538" s="69"/>
      <c r="B1538" s="69"/>
      <c r="C1538" s="69"/>
      <c r="D1538" s="69"/>
      <c r="E1538" s="69"/>
    </row>
    <row r="1539" spans="1:8" s="212" customFormat="1">
      <c r="A1539" s="120"/>
      <c r="B1539" s="73"/>
      <c r="C1539" s="73"/>
      <c r="D1539" s="73"/>
      <c r="E1539" s="73"/>
      <c r="F1539" s="73"/>
      <c r="G1539" s="73"/>
      <c r="H1539" s="73"/>
    </row>
    <row r="1540" spans="1:8" s="212" customFormat="1">
      <c r="A1540" s="220"/>
      <c r="B1540" s="141"/>
      <c r="C1540" s="141"/>
      <c r="D1540" s="141"/>
      <c r="E1540" s="141"/>
      <c r="F1540" s="141"/>
      <c r="G1540" s="141"/>
      <c r="H1540" s="73"/>
    </row>
    <row r="1541" spans="1:8" s="212" customFormat="1">
      <c r="A1541" s="142"/>
      <c r="B1541" s="143"/>
      <c r="C1541" s="143"/>
      <c r="D1541" s="143"/>
      <c r="E1541" s="143"/>
      <c r="F1541" s="84"/>
      <c r="G1541" s="146"/>
      <c r="H1541" s="221"/>
    </row>
    <row r="1542" spans="1:8" s="212" customFormat="1">
      <c r="A1542" s="84"/>
      <c r="B1542" s="83"/>
      <c r="C1542" s="84"/>
      <c r="D1542" s="84"/>
      <c r="E1542" s="84"/>
      <c r="G1542" s="213"/>
      <c r="H1542" s="222"/>
    </row>
    <row r="1543" spans="1:8" s="212" customFormat="1">
      <c r="A1543" s="120"/>
      <c r="B1543" s="73"/>
      <c r="C1543" s="73"/>
      <c r="D1543" s="73"/>
      <c r="E1543" s="73"/>
      <c r="G1543" s="73"/>
      <c r="H1543" s="222"/>
    </row>
    <row r="1544" spans="1:8" s="212" customFormat="1">
      <c r="A1544" s="220"/>
      <c r="B1544" s="141"/>
      <c r="C1544" s="141"/>
      <c r="D1544" s="141"/>
      <c r="E1544" s="141"/>
      <c r="F1544" s="141"/>
      <c r="G1544" s="141"/>
      <c r="H1544" s="222"/>
    </row>
    <row r="1545" spans="1:8" s="212" customFormat="1">
      <c r="A1545" s="150"/>
      <c r="B1545" s="83"/>
      <c r="C1545" s="148"/>
      <c r="D1545" s="160"/>
      <c r="E1545" s="84"/>
      <c r="F1545" s="84"/>
      <c r="G1545" s="146"/>
      <c r="H1545" s="221"/>
    </row>
    <row r="1546" spans="1:8" s="212" customFormat="1">
      <c r="A1546" s="91"/>
      <c r="B1546" s="91"/>
      <c r="C1546" s="91"/>
      <c r="D1546" s="91"/>
      <c r="E1546" s="91"/>
      <c r="G1546" s="213"/>
      <c r="H1546" s="222"/>
    </row>
    <row r="1547" spans="1:8" s="212" customFormat="1">
      <c r="A1547" s="120"/>
      <c r="B1547" s="73"/>
      <c r="C1547" s="73"/>
      <c r="D1547" s="73"/>
      <c r="E1547" s="73"/>
      <c r="G1547" s="73"/>
      <c r="H1547" s="222"/>
    </row>
    <row r="1548" spans="1:8" s="212" customFormat="1">
      <c r="A1548" s="220"/>
      <c r="B1548" s="141"/>
      <c r="C1548" s="141"/>
      <c r="D1548" s="141"/>
      <c r="E1548" s="141"/>
      <c r="F1548" s="141"/>
      <c r="G1548" s="141"/>
      <c r="H1548" s="222"/>
    </row>
    <row r="1549" spans="1:8" s="212" customFormat="1">
      <c r="A1549" s="142"/>
      <c r="B1549" s="143"/>
      <c r="C1549" s="143"/>
      <c r="D1549" s="143"/>
      <c r="E1549" s="143"/>
      <c r="F1549" s="84"/>
      <c r="G1549" s="146"/>
      <c r="H1549" s="221"/>
    </row>
    <row r="1550" spans="1:8" s="212" customFormat="1">
      <c r="A1550" s="91"/>
      <c r="B1550" s="91"/>
      <c r="C1550" s="91"/>
      <c r="D1550" s="91"/>
      <c r="E1550" s="91"/>
      <c r="G1550" s="213"/>
      <c r="H1550" s="222"/>
    </row>
    <row r="1551" spans="1:8" s="212" customFormat="1">
      <c r="A1551" s="120"/>
      <c r="B1551" s="73"/>
      <c r="C1551" s="73"/>
      <c r="D1551" s="73"/>
      <c r="E1551" s="73"/>
      <c r="G1551" s="73"/>
      <c r="H1551" s="222"/>
    </row>
    <row r="1552" spans="1:8" s="212" customFormat="1">
      <c r="A1552" s="220"/>
      <c r="B1552" s="141"/>
      <c r="C1552" s="141"/>
      <c r="D1552" s="141"/>
      <c r="E1552" s="141"/>
      <c r="F1552" s="141"/>
      <c r="G1552" s="141"/>
      <c r="H1552" s="222"/>
    </row>
    <row r="1553" spans="1:9" s="212" customFormat="1">
      <c r="A1553" s="142"/>
      <c r="B1553" s="143"/>
      <c r="C1553" s="143"/>
      <c r="D1553" s="143"/>
      <c r="E1553" s="143"/>
      <c r="F1553" s="84"/>
      <c r="G1553" s="146"/>
      <c r="H1553" s="221"/>
    </row>
    <row r="1554" spans="1:9" s="212" customFormat="1">
      <c r="A1554" s="123"/>
      <c r="B1554" s="95"/>
      <c r="C1554" s="95"/>
      <c r="D1554" s="95"/>
      <c r="E1554" s="95"/>
      <c r="G1554" s="213"/>
      <c r="H1554" s="73"/>
    </row>
    <row r="1555" spans="1:9" s="212" customFormat="1">
      <c r="A1555" s="123"/>
      <c r="B1555" s="95"/>
      <c r="C1555" s="95"/>
      <c r="D1555" s="95"/>
      <c r="E1555" s="95"/>
      <c r="G1555" s="73"/>
      <c r="H1555" s="225"/>
    </row>
    <row r="1556" spans="1:9" s="212" customFormat="1">
      <c r="B1556" s="97"/>
      <c r="C1556" s="98"/>
      <c r="D1556" s="98"/>
      <c r="E1556" s="98"/>
      <c r="G1556" s="220"/>
    </row>
    <row r="1557" spans="1:9" s="212" customFormat="1">
      <c r="B1557" s="97"/>
      <c r="C1557" s="98"/>
      <c r="D1557" s="98"/>
      <c r="E1557" s="98"/>
      <c r="F1557" s="220"/>
      <c r="G1557" s="225"/>
      <c r="H1557" s="226"/>
    </row>
    <row r="1558" spans="1:9" s="212" customFormat="1">
      <c r="A1558" s="633"/>
      <c r="B1558" s="633"/>
      <c r="C1558" s="633"/>
      <c r="D1558" s="633"/>
      <c r="E1558" s="633"/>
      <c r="F1558" s="633"/>
      <c r="G1558" s="633"/>
    </row>
    <row r="1559" spans="1:9" s="212" customFormat="1"/>
    <row r="1560" spans="1:9" s="212" customFormat="1">
      <c r="H1560" s="227"/>
      <c r="I1560" s="228"/>
    </row>
    <row r="1561" spans="1:9" s="212" customFormat="1">
      <c r="A1561" s="658"/>
      <c r="B1561" s="227"/>
      <c r="C1561" s="227"/>
      <c r="D1561" s="227"/>
      <c r="E1561" s="227"/>
      <c r="F1561" s="227"/>
      <c r="G1561" s="227"/>
      <c r="H1561" s="227"/>
      <c r="I1561" s="229"/>
    </row>
    <row r="1562" spans="1:9" s="212" customFormat="1">
      <c r="A1562" s="658"/>
      <c r="B1562" s="227"/>
      <c r="C1562" s="227"/>
      <c r="D1562" s="227"/>
      <c r="E1562" s="227"/>
      <c r="F1562" s="227"/>
      <c r="G1562" s="227"/>
    </row>
    <row r="1563" spans="1:9" s="212" customFormat="1">
      <c r="A1563" s="69"/>
      <c r="B1563" s="69"/>
      <c r="C1563" s="69"/>
      <c r="D1563" s="69"/>
      <c r="E1563" s="69"/>
    </row>
    <row r="1564" spans="1:9" s="212" customFormat="1">
      <c r="A1564" s="120"/>
      <c r="B1564" s="73"/>
      <c r="C1564" s="73"/>
      <c r="D1564" s="73"/>
      <c r="E1564" s="73"/>
      <c r="F1564" s="73"/>
      <c r="G1564" s="73"/>
      <c r="H1564" s="73"/>
    </row>
    <row r="1565" spans="1:9" s="212" customFormat="1">
      <c r="A1565" s="220"/>
      <c r="B1565" s="141"/>
      <c r="C1565" s="141"/>
      <c r="D1565" s="141"/>
      <c r="E1565" s="141"/>
      <c r="F1565" s="141"/>
      <c r="G1565" s="141"/>
      <c r="H1565" s="73"/>
    </row>
    <row r="1566" spans="1:9" s="212" customFormat="1">
      <c r="A1566" s="142"/>
      <c r="B1566" s="143"/>
      <c r="C1566" s="143"/>
      <c r="D1566" s="143"/>
      <c r="E1566" s="143"/>
      <c r="F1566" s="84"/>
      <c r="G1566" s="146"/>
      <c r="H1566" s="221"/>
    </row>
    <row r="1567" spans="1:9" s="212" customFormat="1">
      <c r="A1567" s="84"/>
      <c r="B1567" s="83"/>
      <c r="C1567" s="84"/>
      <c r="D1567" s="84"/>
      <c r="E1567" s="84"/>
      <c r="G1567" s="213"/>
      <c r="H1567" s="222"/>
    </row>
    <row r="1568" spans="1:9" s="212" customFormat="1">
      <c r="A1568" s="120"/>
      <c r="B1568" s="73"/>
      <c r="C1568" s="73"/>
      <c r="D1568" s="73"/>
      <c r="E1568" s="73"/>
      <c r="G1568" s="73"/>
      <c r="H1568" s="222"/>
    </row>
    <row r="1569" spans="1:9" s="212" customFormat="1">
      <c r="A1569" s="220"/>
      <c r="B1569" s="141"/>
      <c r="C1569" s="141"/>
      <c r="D1569" s="141"/>
      <c r="E1569" s="141"/>
      <c r="F1569" s="141"/>
      <c r="G1569" s="141"/>
      <c r="H1569" s="222"/>
    </row>
    <row r="1570" spans="1:9" s="212" customFormat="1">
      <c r="A1570" s="150"/>
      <c r="B1570" s="83"/>
      <c r="C1570" s="148"/>
      <c r="D1570" s="160"/>
      <c r="E1570" s="84"/>
      <c r="F1570" s="84"/>
      <c r="G1570" s="146"/>
      <c r="H1570" s="221"/>
    </row>
    <row r="1571" spans="1:9" s="212" customFormat="1">
      <c r="A1571" s="91"/>
      <c r="B1571" s="91"/>
      <c r="C1571" s="91"/>
      <c r="D1571" s="91"/>
      <c r="E1571" s="91"/>
      <c r="G1571" s="213"/>
      <c r="H1571" s="222"/>
    </row>
    <row r="1572" spans="1:9" s="212" customFormat="1">
      <c r="A1572" s="120"/>
      <c r="B1572" s="73"/>
      <c r="C1572" s="73"/>
      <c r="D1572" s="73"/>
      <c r="E1572" s="73"/>
      <c r="G1572" s="73"/>
      <c r="H1572" s="222"/>
    </row>
    <row r="1573" spans="1:9" s="212" customFormat="1">
      <c r="A1573" s="220"/>
      <c r="B1573" s="141"/>
      <c r="C1573" s="141"/>
      <c r="D1573" s="141"/>
      <c r="E1573" s="141"/>
      <c r="F1573" s="141"/>
      <c r="G1573" s="141"/>
      <c r="H1573" s="222"/>
    </row>
    <row r="1574" spans="1:9" s="212" customFormat="1">
      <c r="A1574" s="142"/>
      <c r="B1574" s="143"/>
      <c r="C1574" s="143"/>
      <c r="D1574" s="143"/>
      <c r="E1574" s="143"/>
      <c r="F1574" s="84"/>
      <c r="G1574" s="146"/>
      <c r="H1574" s="221"/>
    </row>
    <row r="1575" spans="1:9" s="212" customFormat="1">
      <c r="A1575" s="91"/>
      <c r="B1575" s="91"/>
      <c r="C1575" s="91"/>
      <c r="D1575" s="91"/>
      <c r="E1575" s="91"/>
      <c r="G1575" s="213"/>
      <c r="H1575" s="222"/>
    </row>
    <row r="1576" spans="1:9" s="212" customFormat="1">
      <c r="A1576" s="120"/>
      <c r="B1576" s="73"/>
      <c r="C1576" s="73"/>
      <c r="D1576" s="73"/>
      <c r="E1576" s="73"/>
      <c r="G1576" s="73"/>
      <c r="H1576" s="222"/>
    </row>
    <row r="1577" spans="1:9" s="212" customFormat="1">
      <c r="A1577" s="220"/>
      <c r="B1577" s="141"/>
      <c r="C1577" s="141"/>
      <c r="D1577" s="141"/>
      <c r="E1577" s="141"/>
      <c r="F1577" s="141"/>
      <c r="G1577" s="141"/>
      <c r="H1577" s="222"/>
    </row>
    <row r="1578" spans="1:9" s="212" customFormat="1">
      <c r="A1578" s="142"/>
      <c r="B1578" s="143"/>
      <c r="C1578" s="143"/>
      <c r="D1578" s="143"/>
      <c r="E1578" s="143"/>
      <c r="F1578" s="84"/>
      <c r="G1578" s="146"/>
      <c r="H1578" s="221"/>
    </row>
    <row r="1579" spans="1:9" s="212" customFormat="1">
      <c r="A1579" s="123"/>
      <c r="B1579" s="95"/>
      <c r="C1579" s="95"/>
      <c r="D1579" s="95"/>
      <c r="E1579" s="95"/>
      <c r="G1579" s="213"/>
      <c r="H1579" s="73"/>
    </row>
    <row r="1580" spans="1:9" s="212" customFormat="1">
      <c r="A1580" s="123"/>
      <c r="B1580" s="95"/>
      <c r="C1580" s="95"/>
      <c r="D1580" s="95"/>
      <c r="E1580" s="95"/>
      <c r="G1580" s="73"/>
      <c r="H1580" s="225"/>
    </row>
    <row r="1581" spans="1:9" s="212" customFormat="1">
      <c r="B1581" s="97"/>
      <c r="C1581" s="98"/>
      <c r="D1581" s="98"/>
      <c r="E1581" s="98"/>
      <c r="G1581" s="220"/>
    </row>
    <row r="1582" spans="1:9" s="212" customFormat="1">
      <c r="B1582" s="97"/>
      <c r="C1582" s="98"/>
      <c r="D1582" s="98"/>
      <c r="E1582" s="98"/>
      <c r="F1582" s="220"/>
      <c r="G1582" s="225"/>
      <c r="H1582" s="226"/>
    </row>
    <row r="1583" spans="1:9" s="212" customFormat="1">
      <c r="A1583" s="633"/>
      <c r="B1583" s="633"/>
      <c r="C1583" s="633"/>
      <c r="D1583" s="633"/>
      <c r="E1583" s="633"/>
      <c r="F1583" s="633"/>
      <c r="G1583" s="633"/>
    </row>
    <row r="1584" spans="1:9" s="212" customFormat="1">
      <c r="H1584" s="227"/>
      <c r="I1584" s="228"/>
    </row>
    <row r="1585" spans="1:9" s="212" customFormat="1">
      <c r="A1585" s="658"/>
      <c r="B1585" s="227"/>
      <c r="C1585" s="227"/>
      <c r="D1585" s="227"/>
      <c r="E1585" s="227"/>
      <c r="F1585" s="227"/>
      <c r="G1585" s="227"/>
      <c r="H1585" s="227"/>
      <c r="I1585" s="229"/>
    </row>
    <row r="1586" spans="1:9" s="212" customFormat="1">
      <c r="A1586" s="658"/>
      <c r="B1586" s="227"/>
      <c r="C1586" s="227"/>
      <c r="D1586" s="227"/>
      <c r="E1586" s="227"/>
      <c r="F1586" s="227"/>
      <c r="G1586" s="227"/>
    </row>
    <row r="1587" spans="1:9" s="212" customFormat="1">
      <c r="A1587" s="69"/>
      <c r="B1587" s="69"/>
      <c r="C1587" s="69"/>
      <c r="D1587" s="69"/>
      <c r="E1587" s="69"/>
    </row>
    <row r="1588" spans="1:9" s="212" customFormat="1">
      <c r="A1588" s="120"/>
      <c r="B1588" s="73"/>
      <c r="C1588" s="73"/>
      <c r="D1588" s="73"/>
      <c r="E1588" s="73"/>
      <c r="F1588" s="73"/>
      <c r="G1588" s="73"/>
      <c r="H1588" s="73"/>
    </row>
    <row r="1589" spans="1:9" s="212" customFormat="1">
      <c r="A1589" s="220"/>
      <c r="B1589" s="141"/>
      <c r="C1589" s="141"/>
      <c r="D1589" s="141"/>
      <c r="E1589" s="141"/>
      <c r="F1589" s="141"/>
      <c r="G1589" s="141"/>
      <c r="H1589" s="73"/>
    </row>
    <row r="1590" spans="1:9" s="212" customFormat="1">
      <c r="A1590" s="142"/>
      <c r="B1590" s="143"/>
      <c r="C1590" s="143"/>
      <c r="D1590" s="143"/>
      <c r="E1590" s="143"/>
      <c r="F1590" s="84"/>
      <c r="G1590" s="146"/>
      <c r="H1590" s="221"/>
    </row>
    <row r="1591" spans="1:9" s="212" customFormat="1">
      <c r="A1591" s="84"/>
      <c r="B1591" s="83"/>
      <c r="C1591" s="84"/>
      <c r="D1591" s="84"/>
      <c r="E1591" s="84"/>
      <c r="G1591" s="213"/>
      <c r="H1591" s="222"/>
    </row>
    <row r="1592" spans="1:9" s="212" customFormat="1">
      <c r="A1592" s="120"/>
      <c r="B1592" s="73"/>
      <c r="C1592" s="73"/>
      <c r="D1592" s="73"/>
      <c r="E1592" s="73"/>
      <c r="G1592" s="73"/>
      <c r="H1592" s="222"/>
    </row>
    <row r="1593" spans="1:9" s="212" customFormat="1">
      <c r="A1593" s="220"/>
      <c r="B1593" s="141"/>
      <c r="C1593" s="141"/>
      <c r="D1593" s="141"/>
      <c r="E1593" s="141"/>
      <c r="F1593" s="141"/>
      <c r="G1593" s="141"/>
      <c r="H1593" s="222"/>
    </row>
    <row r="1594" spans="1:9" s="212" customFormat="1">
      <c r="A1594" s="150"/>
      <c r="B1594" s="83"/>
      <c r="C1594" s="148"/>
      <c r="D1594" s="160"/>
      <c r="E1594" s="84"/>
      <c r="F1594" s="84"/>
      <c r="G1594" s="146"/>
      <c r="H1594" s="221"/>
    </row>
    <row r="1595" spans="1:9" s="212" customFormat="1">
      <c r="A1595" s="91"/>
      <c r="B1595" s="91"/>
      <c r="C1595" s="91"/>
      <c r="D1595" s="91"/>
      <c r="E1595" s="91"/>
      <c r="G1595" s="213"/>
      <c r="H1595" s="222"/>
    </row>
    <row r="1596" spans="1:9" s="212" customFormat="1">
      <c r="A1596" s="120"/>
      <c r="B1596" s="73"/>
      <c r="C1596" s="73"/>
      <c r="D1596" s="73"/>
      <c r="E1596" s="73"/>
      <c r="G1596" s="73"/>
      <c r="H1596" s="222"/>
    </row>
    <row r="1597" spans="1:9" s="212" customFormat="1">
      <c r="A1597" s="220"/>
      <c r="B1597" s="141"/>
      <c r="C1597" s="141"/>
      <c r="D1597" s="141"/>
      <c r="E1597" s="141"/>
      <c r="F1597" s="141"/>
      <c r="G1597" s="141"/>
      <c r="H1597" s="222"/>
    </row>
    <row r="1598" spans="1:9" s="212" customFormat="1">
      <c r="A1598" s="142"/>
      <c r="B1598" s="143"/>
      <c r="C1598" s="143"/>
      <c r="D1598" s="143"/>
      <c r="E1598" s="143"/>
      <c r="F1598" s="84"/>
      <c r="G1598" s="146"/>
      <c r="H1598" s="221"/>
    </row>
    <row r="1599" spans="1:9" s="212" customFormat="1">
      <c r="A1599" s="91"/>
      <c r="B1599" s="91"/>
      <c r="C1599" s="91"/>
      <c r="D1599" s="91"/>
      <c r="E1599" s="91"/>
      <c r="G1599" s="213"/>
      <c r="H1599" s="222"/>
    </row>
    <row r="1600" spans="1:9" s="212" customFormat="1">
      <c r="A1600" s="120"/>
      <c r="B1600" s="73"/>
      <c r="C1600" s="73"/>
      <c r="D1600" s="73"/>
      <c r="E1600" s="73"/>
      <c r="G1600" s="73"/>
      <c r="H1600" s="222"/>
    </row>
    <row r="1601" spans="1:9" s="212" customFormat="1">
      <c r="A1601" s="220"/>
      <c r="B1601" s="141"/>
      <c r="C1601" s="141"/>
      <c r="D1601" s="141"/>
      <c r="E1601" s="141"/>
      <c r="F1601" s="141"/>
      <c r="G1601" s="141"/>
      <c r="H1601" s="222"/>
    </row>
    <row r="1602" spans="1:9" s="212" customFormat="1">
      <c r="A1602" s="142"/>
      <c r="B1602" s="143"/>
      <c r="C1602" s="143"/>
      <c r="D1602" s="143"/>
      <c r="E1602" s="143"/>
      <c r="F1602" s="84"/>
      <c r="G1602" s="146"/>
      <c r="H1602" s="221"/>
    </row>
    <row r="1603" spans="1:9" s="212" customFormat="1">
      <c r="A1603" s="123"/>
      <c r="B1603" s="95"/>
      <c r="C1603" s="95"/>
      <c r="D1603" s="95"/>
      <c r="E1603" s="95"/>
      <c r="G1603" s="213"/>
      <c r="H1603" s="73"/>
    </row>
    <row r="1604" spans="1:9" s="212" customFormat="1">
      <c r="A1604" s="123"/>
      <c r="B1604" s="95"/>
      <c r="C1604" s="95"/>
      <c r="D1604" s="95"/>
      <c r="E1604" s="95"/>
      <c r="G1604" s="73"/>
      <c r="H1604" s="225"/>
    </row>
    <row r="1605" spans="1:9" s="212" customFormat="1">
      <c r="B1605" s="97"/>
      <c r="C1605" s="98"/>
      <c r="D1605" s="98"/>
      <c r="E1605" s="98"/>
      <c r="G1605" s="220"/>
    </row>
    <row r="1606" spans="1:9" s="212" customFormat="1">
      <c r="B1606" s="97"/>
      <c r="C1606" s="98"/>
      <c r="D1606" s="98"/>
      <c r="E1606" s="98"/>
      <c r="F1606" s="220"/>
      <c r="G1606" s="225"/>
      <c r="H1606" s="226"/>
    </row>
    <row r="1607" spans="1:9" s="212" customFormat="1">
      <c r="A1607" s="633"/>
      <c r="B1607" s="633"/>
      <c r="C1607" s="633"/>
      <c r="D1607" s="633"/>
      <c r="E1607" s="633"/>
      <c r="F1607" s="633"/>
      <c r="G1607" s="633"/>
    </row>
    <row r="1608" spans="1:9" s="212" customFormat="1">
      <c r="H1608" s="227"/>
      <c r="I1608" s="228"/>
    </row>
    <row r="1609" spans="1:9" s="212" customFormat="1">
      <c r="A1609" s="658"/>
      <c r="B1609" s="227"/>
      <c r="C1609" s="227"/>
      <c r="D1609" s="227"/>
      <c r="E1609" s="227"/>
      <c r="F1609" s="227"/>
      <c r="G1609" s="227"/>
      <c r="H1609" s="227"/>
      <c r="I1609" s="229"/>
    </row>
    <row r="1610" spans="1:9" s="212" customFormat="1">
      <c r="A1610" s="658"/>
      <c r="B1610" s="227"/>
      <c r="C1610" s="227"/>
      <c r="D1610" s="227"/>
      <c r="E1610" s="227"/>
      <c r="F1610" s="227"/>
      <c r="G1610" s="227"/>
    </row>
    <row r="1611" spans="1:9" s="212" customFormat="1">
      <c r="A1611" s="69"/>
      <c r="B1611" s="69"/>
      <c r="C1611" s="69"/>
      <c r="D1611" s="69"/>
      <c r="E1611" s="69"/>
    </row>
    <row r="1612" spans="1:9" s="212" customFormat="1">
      <c r="A1612" s="120"/>
      <c r="B1612" s="73"/>
      <c r="C1612" s="73"/>
      <c r="D1612" s="73"/>
      <c r="E1612" s="73"/>
      <c r="F1612" s="73"/>
      <c r="G1612" s="73"/>
      <c r="H1612" s="73"/>
    </row>
    <row r="1613" spans="1:9" s="212" customFormat="1">
      <c r="A1613" s="220"/>
      <c r="B1613" s="141"/>
      <c r="C1613" s="141"/>
      <c r="D1613" s="141"/>
      <c r="E1613" s="141"/>
      <c r="F1613" s="141"/>
      <c r="G1613" s="141"/>
      <c r="H1613" s="73"/>
    </row>
    <row r="1614" spans="1:9" s="212" customFormat="1">
      <c r="A1614" s="142"/>
      <c r="B1614" s="143"/>
      <c r="C1614" s="143"/>
      <c r="D1614" s="143"/>
      <c r="E1614" s="143"/>
      <c r="F1614" s="84"/>
      <c r="G1614" s="146"/>
      <c r="H1614" s="221"/>
    </row>
    <row r="1615" spans="1:9" s="212" customFormat="1">
      <c r="A1615" s="84"/>
      <c r="B1615" s="83"/>
      <c r="C1615" s="84"/>
      <c r="D1615" s="84"/>
      <c r="E1615" s="84"/>
      <c r="G1615" s="213"/>
      <c r="H1615" s="222"/>
    </row>
    <row r="1616" spans="1:9" s="212" customFormat="1">
      <c r="A1616" s="120"/>
      <c r="B1616" s="73"/>
      <c r="C1616" s="73"/>
      <c r="D1616" s="73"/>
      <c r="E1616" s="73"/>
      <c r="G1616" s="73"/>
      <c r="H1616" s="222"/>
    </row>
    <row r="1617" spans="1:9" s="212" customFormat="1">
      <c r="A1617" s="220"/>
      <c r="B1617" s="141"/>
      <c r="C1617" s="141"/>
      <c r="D1617" s="141"/>
      <c r="E1617" s="141"/>
      <c r="F1617" s="141"/>
      <c r="G1617" s="141"/>
      <c r="H1617" s="222"/>
    </row>
    <row r="1618" spans="1:9" s="212" customFormat="1">
      <c r="A1618" s="150"/>
      <c r="B1618" s="83"/>
      <c r="C1618" s="148"/>
      <c r="D1618" s="160"/>
      <c r="E1618" s="84"/>
      <c r="F1618" s="84"/>
      <c r="G1618" s="146"/>
      <c r="H1618" s="221"/>
    </row>
    <row r="1619" spans="1:9" s="212" customFormat="1">
      <c r="A1619" s="91"/>
      <c r="B1619" s="91"/>
      <c r="C1619" s="91"/>
      <c r="D1619" s="91"/>
      <c r="E1619" s="91"/>
      <c r="G1619" s="213"/>
      <c r="H1619" s="222"/>
    </row>
    <row r="1620" spans="1:9" s="212" customFormat="1">
      <c r="A1620" s="120"/>
      <c r="B1620" s="73"/>
      <c r="C1620" s="73"/>
      <c r="D1620" s="73"/>
      <c r="E1620" s="73"/>
      <c r="G1620" s="73"/>
      <c r="H1620" s="222"/>
    </row>
    <row r="1621" spans="1:9" s="212" customFormat="1">
      <c r="A1621" s="220"/>
      <c r="B1621" s="141"/>
      <c r="C1621" s="141"/>
      <c r="D1621" s="141"/>
      <c r="E1621" s="141"/>
      <c r="F1621" s="141"/>
      <c r="G1621" s="141"/>
      <c r="H1621" s="222"/>
    </row>
    <row r="1622" spans="1:9" s="212" customFormat="1">
      <c r="A1622" s="142"/>
      <c r="B1622" s="143"/>
      <c r="C1622" s="143"/>
      <c r="D1622" s="143"/>
      <c r="E1622" s="143"/>
      <c r="F1622" s="84"/>
      <c r="G1622" s="146"/>
      <c r="H1622" s="221"/>
    </row>
    <row r="1623" spans="1:9" s="212" customFormat="1">
      <c r="A1623" s="91"/>
      <c r="B1623" s="91"/>
      <c r="C1623" s="91"/>
      <c r="D1623" s="91"/>
      <c r="E1623" s="91"/>
      <c r="G1623" s="213"/>
      <c r="H1623" s="222"/>
    </row>
    <row r="1624" spans="1:9" s="212" customFormat="1">
      <c r="A1624" s="120"/>
      <c r="B1624" s="73"/>
      <c r="C1624" s="73"/>
      <c r="D1624" s="73"/>
      <c r="E1624" s="73"/>
      <c r="G1624" s="73"/>
      <c r="H1624" s="222"/>
    </row>
    <row r="1625" spans="1:9" s="212" customFormat="1">
      <c r="A1625" s="220"/>
      <c r="B1625" s="141"/>
      <c r="C1625" s="141"/>
      <c r="D1625" s="141"/>
      <c r="E1625" s="141"/>
      <c r="F1625" s="141"/>
      <c r="G1625" s="141"/>
      <c r="H1625" s="222"/>
    </row>
    <row r="1626" spans="1:9" s="212" customFormat="1">
      <c r="A1626" s="142"/>
      <c r="B1626" s="143"/>
      <c r="C1626" s="143"/>
      <c r="D1626" s="143"/>
      <c r="E1626" s="143"/>
      <c r="F1626" s="84"/>
      <c r="G1626" s="146"/>
      <c r="H1626" s="221"/>
    </row>
    <row r="1627" spans="1:9" s="212" customFormat="1">
      <c r="A1627" s="123"/>
      <c r="B1627" s="95"/>
      <c r="C1627" s="95"/>
      <c r="D1627" s="95"/>
      <c r="E1627" s="95"/>
      <c r="G1627" s="213"/>
      <c r="H1627" s="73"/>
    </row>
    <row r="1628" spans="1:9" s="212" customFormat="1">
      <c r="A1628" s="123"/>
      <c r="B1628" s="95"/>
      <c r="C1628" s="95"/>
      <c r="D1628" s="95"/>
      <c r="E1628" s="95"/>
      <c r="G1628" s="73"/>
      <c r="H1628" s="225"/>
    </row>
    <row r="1629" spans="1:9" s="212" customFormat="1">
      <c r="B1629" s="97"/>
      <c r="C1629" s="98"/>
      <c r="D1629" s="98"/>
      <c r="E1629" s="98"/>
      <c r="G1629" s="220"/>
    </row>
    <row r="1630" spans="1:9" s="212" customFormat="1">
      <c r="B1630" s="97"/>
      <c r="C1630" s="98"/>
      <c r="D1630" s="98"/>
      <c r="E1630" s="98"/>
      <c r="F1630" s="220"/>
      <c r="G1630" s="225"/>
      <c r="H1630" s="226"/>
    </row>
    <row r="1631" spans="1:9" s="212" customFormat="1">
      <c r="A1631" s="633"/>
      <c r="B1631" s="633"/>
      <c r="C1631" s="633"/>
      <c r="D1631" s="633"/>
      <c r="E1631" s="633"/>
      <c r="F1631" s="633"/>
      <c r="G1631" s="633"/>
    </row>
    <row r="1632" spans="1:9" s="212" customFormat="1">
      <c r="H1632" s="227"/>
      <c r="I1632" s="228"/>
    </row>
    <row r="1633" spans="1:9" s="212" customFormat="1">
      <c r="A1633" s="658"/>
      <c r="B1633" s="227"/>
      <c r="C1633" s="227"/>
      <c r="D1633" s="227"/>
      <c r="E1633" s="227"/>
      <c r="F1633" s="227"/>
      <c r="G1633" s="227"/>
      <c r="H1633" s="227"/>
      <c r="I1633" s="229"/>
    </row>
    <row r="1634" spans="1:9" s="212" customFormat="1">
      <c r="A1634" s="658"/>
      <c r="B1634" s="227"/>
      <c r="C1634" s="227"/>
      <c r="D1634" s="227"/>
      <c r="E1634" s="227"/>
      <c r="F1634" s="227"/>
      <c r="G1634" s="227"/>
    </row>
    <row r="1635" spans="1:9" s="212" customFormat="1">
      <c r="A1635" s="69"/>
      <c r="B1635" s="69"/>
      <c r="C1635" s="69"/>
      <c r="D1635" s="69"/>
      <c r="E1635" s="69"/>
    </row>
    <row r="1636" spans="1:9" s="212" customFormat="1">
      <c r="A1636" s="120"/>
      <c r="B1636" s="73"/>
      <c r="C1636" s="73"/>
      <c r="D1636" s="73"/>
      <c r="E1636" s="73"/>
      <c r="F1636" s="73"/>
      <c r="G1636" s="73"/>
      <c r="H1636" s="73"/>
    </row>
    <row r="1637" spans="1:9" s="212" customFormat="1">
      <c r="A1637" s="220"/>
      <c r="B1637" s="141"/>
      <c r="C1637" s="141"/>
      <c r="D1637" s="141"/>
      <c r="E1637" s="141"/>
      <c r="F1637" s="141"/>
      <c r="G1637" s="141"/>
      <c r="H1637" s="73"/>
    </row>
    <row r="1638" spans="1:9" s="212" customFormat="1">
      <c r="A1638" s="142"/>
      <c r="B1638" s="143"/>
      <c r="C1638" s="143"/>
      <c r="D1638" s="143"/>
      <c r="E1638" s="143"/>
      <c r="F1638" s="84"/>
      <c r="G1638" s="146"/>
      <c r="H1638" s="221"/>
    </row>
    <row r="1639" spans="1:9" s="212" customFormat="1">
      <c r="A1639" s="84"/>
      <c r="B1639" s="83"/>
      <c r="C1639" s="84"/>
      <c r="D1639" s="84"/>
      <c r="E1639" s="84"/>
      <c r="G1639" s="213"/>
      <c r="H1639" s="222"/>
    </row>
    <row r="1640" spans="1:9" s="212" customFormat="1">
      <c r="A1640" s="120"/>
      <c r="B1640" s="73"/>
      <c r="C1640" s="73"/>
      <c r="D1640" s="73"/>
      <c r="E1640" s="73"/>
      <c r="G1640" s="73"/>
      <c r="H1640" s="222"/>
    </row>
    <row r="1641" spans="1:9" s="212" customFormat="1">
      <c r="A1641" s="220"/>
      <c r="B1641" s="141"/>
      <c r="C1641" s="141"/>
      <c r="D1641" s="141"/>
      <c r="E1641" s="141"/>
      <c r="F1641" s="141"/>
      <c r="G1641" s="141"/>
      <c r="H1641" s="222"/>
    </row>
    <row r="1642" spans="1:9" s="212" customFormat="1">
      <c r="A1642" s="150"/>
      <c r="B1642" s="83"/>
      <c r="C1642" s="148"/>
      <c r="D1642" s="160"/>
      <c r="E1642" s="84"/>
      <c r="F1642" s="84"/>
      <c r="G1642" s="146"/>
      <c r="H1642" s="221"/>
    </row>
    <row r="1643" spans="1:9" s="212" customFormat="1">
      <c r="A1643" s="91"/>
      <c r="B1643" s="91"/>
      <c r="C1643" s="91"/>
      <c r="D1643" s="91"/>
      <c r="E1643" s="91"/>
      <c r="G1643" s="213"/>
      <c r="H1643" s="222"/>
    </row>
    <row r="1644" spans="1:9" s="212" customFormat="1">
      <c r="A1644" s="120"/>
      <c r="B1644" s="73"/>
      <c r="C1644" s="73"/>
      <c r="D1644" s="73"/>
      <c r="E1644" s="73"/>
      <c r="G1644" s="73"/>
      <c r="H1644" s="222"/>
    </row>
    <row r="1645" spans="1:9" s="212" customFormat="1">
      <c r="A1645" s="220"/>
      <c r="B1645" s="141"/>
      <c r="C1645" s="141"/>
      <c r="D1645" s="141"/>
      <c r="E1645" s="141"/>
      <c r="F1645" s="141"/>
      <c r="G1645" s="141"/>
      <c r="H1645" s="222"/>
    </row>
    <row r="1646" spans="1:9" s="212" customFormat="1">
      <c r="A1646" s="142"/>
      <c r="B1646" s="143"/>
      <c r="C1646" s="143"/>
      <c r="D1646" s="143"/>
      <c r="E1646" s="143"/>
      <c r="F1646" s="84"/>
      <c r="G1646" s="146"/>
      <c r="H1646" s="221"/>
    </row>
    <row r="1647" spans="1:9" s="212" customFormat="1">
      <c r="A1647" s="91"/>
      <c r="B1647" s="91"/>
      <c r="C1647" s="91"/>
      <c r="D1647" s="91"/>
      <c r="E1647" s="91"/>
      <c r="G1647" s="213"/>
      <c r="H1647" s="222"/>
    </row>
    <row r="1648" spans="1:9" s="212" customFormat="1">
      <c r="A1648" s="120"/>
      <c r="B1648" s="73"/>
      <c r="C1648" s="73"/>
      <c r="D1648" s="73"/>
      <c r="E1648" s="73"/>
      <c r="G1648" s="73"/>
      <c r="H1648" s="222"/>
    </row>
    <row r="1649" spans="1:9" s="212" customFormat="1">
      <c r="A1649" s="220"/>
      <c r="B1649" s="141"/>
      <c r="C1649" s="141"/>
      <c r="D1649" s="141"/>
      <c r="E1649" s="141"/>
      <c r="F1649" s="141"/>
      <c r="G1649" s="141"/>
      <c r="H1649" s="222"/>
    </row>
    <row r="1650" spans="1:9" s="212" customFormat="1">
      <c r="A1650" s="142"/>
      <c r="B1650" s="143"/>
      <c r="C1650" s="143"/>
      <c r="D1650" s="143"/>
      <c r="E1650" s="143"/>
      <c r="F1650" s="84"/>
      <c r="G1650" s="146"/>
      <c r="H1650" s="221"/>
    </row>
    <row r="1651" spans="1:9" s="212" customFormat="1">
      <c r="A1651" s="123"/>
      <c r="B1651" s="95"/>
      <c r="C1651" s="95"/>
      <c r="D1651" s="95"/>
      <c r="E1651" s="95"/>
      <c r="G1651" s="213"/>
      <c r="H1651" s="73"/>
    </row>
    <row r="1652" spans="1:9" s="212" customFormat="1">
      <c r="A1652" s="123"/>
      <c r="B1652" s="95"/>
      <c r="C1652" s="95"/>
      <c r="D1652" s="95"/>
      <c r="E1652" s="95"/>
      <c r="G1652" s="73"/>
      <c r="H1652" s="225"/>
    </row>
    <row r="1653" spans="1:9" s="212" customFormat="1">
      <c r="B1653" s="97"/>
      <c r="C1653" s="98"/>
      <c r="D1653" s="98"/>
      <c r="E1653" s="98"/>
      <c r="G1653" s="220"/>
    </row>
    <row r="1654" spans="1:9" s="212" customFormat="1">
      <c r="B1654" s="97"/>
      <c r="C1654" s="98"/>
      <c r="D1654" s="98"/>
      <c r="E1654" s="98"/>
      <c r="F1654" s="220"/>
      <c r="G1654" s="225"/>
      <c r="H1654" s="226"/>
    </row>
    <row r="1655" spans="1:9" s="212" customFormat="1">
      <c r="A1655" s="633"/>
      <c r="B1655" s="633"/>
      <c r="C1655" s="633"/>
      <c r="D1655" s="633"/>
      <c r="E1655" s="633"/>
      <c r="F1655" s="633"/>
      <c r="G1655" s="633"/>
    </row>
    <row r="1656" spans="1:9" s="212" customFormat="1">
      <c r="H1656" s="227"/>
      <c r="I1656" s="228"/>
    </row>
    <row r="1657" spans="1:9" s="212" customFormat="1">
      <c r="A1657" s="658"/>
      <c r="B1657" s="227"/>
      <c r="C1657" s="227"/>
      <c r="D1657" s="227"/>
      <c r="E1657" s="227"/>
      <c r="F1657" s="227"/>
      <c r="G1657" s="227"/>
      <c r="H1657" s="227"/>
      <c r="I1657" s="229"/>
    </row>
    <row r="1658" spans="1:9" s="212" customFormat="1">
      <c r="A1658" s="658"/>
      <c r="B1658" s="227"/>
      <c r="C1658" s="227"/>
      <c r="D1658" s="227"/>
      <c r="E1658" s="227"/>
      <c r="F1658" s="227"/>
      <c r="G1658" s="227"/>
    </row>
    <row r="1659" spans="1:9" s="212" customFormat="1">
      <c r="A1659" s="69"/>
      <c r="B1659" s="69"/>
      <c r="C1659" s="69"/>
      <c r="D1659" s="69"/>
      <c r="E1659" s="69"/>
    </row>
    <row r="1660" spans="1:9" s="212" customFormat="1">
      <c r="A1660" s="120"/>
      <c r="B1660" s="73"/>
      <c r="C1660" s="73"/>
      <c r="D1660" s="73"/>
      <c r="E1660" s="73"/>
      <c r="F1660" s="73"/>
      <c r="G1660" s="73"/>
      <c r="H1660" s="73"/>
    </row>
    <row r="1661" spans="1:9" s="212" customFormat="1">
      <c r="A1661" s="220"/>
      <c r="B1661" s="141"/>
      <c r="C1661" s="141"/>
      <c r="D1661" s="141"/>
      <c r="E1661" s="141"/>
      <c r="F1661" s="141"/>
      <c r="G1661" s="141"/>
      <c r="H1661" s="73"/>
    </row>
    <row r="1662" spans="1:9" s="212" customFormat="1">
      <c r="A1662" s="142"/>
      <c r="B1662" s="143"/>
      <c r="C1662" s="143"/>
      <c r="D1662" s="143"/>
      <c r="E1662" s="143"/>
      <c r="F1662" s="84"/>
      <c r="G1662" s="146"/>
      <c r="H1662" s="221"/>
    </row>
    <row r="1663" spans="1:9" s="212" customFormat="1">
      <c r="A1663" s="84"/>
      <c r="B1663" s="83"/>
      <c r="C1663" s="84"/>
      <c r="D1663" s="84"/>
      <c r="E1663" s="84"/>
      <c r="G1663" s="213"/>
      <c r="H1663" s="222"/>
    </row>
    <row r="1664" spans="1:9" s="212" customFormat="1">
      <c r="A1664" s="120"/>
      <c r="B1664" s="73"/>
      <c r="C1664" s="73"/>
      <c r="D1664" s="73"/>
      <c r="E1664" s="73"/>
      <c r="G1664" s="73"/>
      <c r="H1664" s="222"/>
    </row>
    <row r="1665" spans="1:9" s="212" customFormat="1">
      <c r="A1665" s="220"/>
      <c r="B1665" s="141"/>
      <c r="C1665" s="141"/>
      <c r="D1665" s="141"/>
      <c r="E1665" s="141"/>
      <c r="F1665" s="141"/>
      <c r="G1665" s="141"/>
      <c r="H1665" s="222"/>
    </row>
    <row r="1666" spans="1:9" s="212" customFormat="1">
      <c r="A1666" s="150"/>
      <c r="B1666" s="83"/>
      <c r="C1666" s="148"/>
      <c r="D1666" s="160"/>
      <c r="E1666" s="84"/>
      <c r="F1666" s="84"/>
      <c r="G1666" s="146"/>
      <c r="H1666" s="221"/>
    </row>
    <row r="1667" spans="1:9" s="212" customFormat="1">
      <c r="A1667" s="91"/>
      <c r="B1667" s="91"/>
      <c r="C1667" s="91"/>
      <c r="D1667" s="91"/>
      <c r="E1667" s="91"/>
      <c r="G1667" s="213"/>
      <c r="H1667" s="222"/>
    </row>
    <row r="1668" spans="1:9" s="212" customFormat="1">
      <c r="A1668" s="120"/>
      <c r="B1668" s="73"/>
      <c r="C1668" s="73"/>
      <c r="D1668" s="73"/>
      <c r="E1668" s="73"/>
      <c r="G1668" s="73"/>
      <c r="H1668" s="222"/>
    </row>
    <row r="1669" spans="1:9" s="212" customFormat="1">
      <c r="A1669" s="220"/>
      <c r="B1669" s="141"/>
      <c r="C1669" s="141"/>
      <c r="D1669" s="141"/>
      <c r="E1669" s="141"/>
      <c r="F1669" s="141"/>
      <c r="G1669" s="141"/>
      <c r="H1669" s="222"/>
    </row>
    <row r="1670" spans="1:9" s="212" customFormat="1">
      <c r="A1670" s="142"/>
      <c r="B1670" s="143"/>
      <c r="C1670" s="143"/>
      <c r="D1670" s="143"/>
      <c r="E1670" s="143"/>
      <c r="F1670" s="84"/>
      <c r="G1670" s="146"/>
      <c r="H1670" s="221"/>
    </row>
    <row r="1671" spans="1:9" s="212" customFormat="1">
      <c r="A1671" s="91"/>
      <c r="B1671" s="91"/>
      <c r="C1671" s="91"/>
      <c r="D1671" s="91"/>
      <c r="E1671" s="91"/>
      <c r="G1671" s="213"/>
      <c r="H1671" s="222"/>
    </row>
    <row r="1672" spans="1:9" s="212" customFormat="1">
      <c r="A1672" s="120"/>
      <c r="B1672" s="73"/>
      <c r="C1672" s="73"/>
      <c r="D1672" s="73"/>
      <c r="E1672" s="73"/>
      <c r="G1672" s="73"/>
      <c r="H1672" s="222"/>
    </row>
    <row r="1673" spans="1:9" s="212" customFormat="1">
      <c r="A1673" s="220"/>
      <c r="B1673" s="141"/>
      <c r="C1673" s="141"/>
      <c r="D1673" s="141"/>
      <c r="E1673" s="141"/>
      <c r="F1673" s="141"/>
      <c r="G1673" s="141"/>
      <c r="H1673" s="222"/>
    </row>
    <row r="1674" spans="1:9" s="212" customFormat="1">
      <c r="A1674" s="142"/>
      <c r="B1674" s="143"/>
      <c r="C1674" s="143"/>
      <c r="D1674" s="143"/>
      <c r="E1674" s="143"/>
      <c r="F1674" s="84"/>
      <c r="G1674" s="146"/>
      <c r="H1674" s="221"/>
    </row>
    <row r="1675" spans="1:9" s="212" customFormat="1">
      <c r="A1675" s="123"/>
      <c r="B1675" s="95"/>
      <c r="C1675" s="95"/>
      <c r="D1675" s="95"/>
      <c r="E1675" s="95"/>
      <c r="G1675" s="213"/>
      <c r="H1675" s="73"/>
    </row>
    <row r="1676" spans="1:9" s="212" customFormat="1">
      <c r="A1676" s="123"/>
      <c r="B1676" s="95"/>
      <c r="C1676" s="95"/>
      <c r="D1676" s="95"/>
      <c r="E1676" s="95"/>
      <c r="G1676" s="73"/>
      <c r="H1676" s="225"/>
    </row>
    <row r="1677" spans="1:9" s="212" customFormat="1">
      <c r="B1677" s="97"/>
      <c r="C1677" s="98"/>
      <c r="D1677" s="98"/>
      <c r="E1677" s="98"/>
      <c r="G1677" s="220"/>
    </row>
    <row r="1678" spans="1:9" s="212" customFormat="1">
      <c r="B1678" s="97"/>
      <c r="C1678" s="98"/>
      <c r="D1678" s="98"/>
      <c r="E1678" s="98"/>
      <c r="F1678" s="220"/>
      <c r="G1678" s="225"/>
      <c r="H1678" s="226"/>
    </row>
    <row r="1679" spans="1:9" s="212" customFormat="1">
      <c r="A1679" s="633"/>
      <c r="B1679" s="633"/>
      <c r="C1679" s="633"/>
      <c r="D1679" s="633"/>
      <c r="E1679" s="633"/>
      <c r="F1679" s="633"/>
      <c r="G1679" s="633"/>
    </row>
    <row r="1680" spans="1:9" s="212" customFormat="1">
      <c r="H1680" s="227"/>
      <c r="I1680" s="228"/>
    </row>
    <row r="1681" spans="1:9" s="212" customFormat="1">
      <c r="A1681" s="658"/>
      <c r="B1681" s="227"/>
      <c r="C1681" s="227"/>
      <c r="D1681" s="227"/>
      <c r="E1681" s="227"/>
      <c r="F1681" s="227"/>
      <c r="G1681" s="227"/>
      <c r="H1681" s="227"/>
      <c r="I1681" s="229"/>
    </row>
    <row r="1682" spans="1:9" s="212" customFormat="1">
      <c r="A1682" s="658"/>
      <c r="B1682" s="227"/>
      <c r="C1682" s="227"/>
      <c r="D1682" s="227"/>
      <c r="E1682" s="227"/>
      <c r="F1682" s="227"/>
      <c r="G1682" s="227"/>
    </row>
    <row r="1683" spans="1:9" s="212" customFormat="1">
      <c r="A1683" s="69"/>
      <c r="B1683" s="69"/>
      <c r="C1683" s="69"/>
      <c r="D1683" s="69"/>
      <c r="E1683" s="69"/>
    </row>
    <row r="1684" spans="1:9" s="212" customFormat="1">
      <c r="A1684" s="120"/>
      <c r="B1684" s="73"/>
      <c r="C1684" s="73"/>
      <c r="D1684" s="73"/>
      <c r="E1684" s="73"/>
      <c r="F1684" s="73"/>
      <c r="G1684" s="73"/>
      <c r="H1684" s="73"/>
    </row>
    <row r="1685" spans="1:9" s="212" customFormat="1">
      <c r="A1685" s="220"/>
      <c r="B1685" s="141"/>
      <c r="C1685" s="141"/>
      <c r="D1685" s="141"/>
      <c r="E1685" s="141"/>
      <c r="F1685" s="141"/>
      <c r="G1685" s="141"/>
      <c r="H1685" s="73"/>
    </row>
    <row r="1686" spans="1:9" s="212" customFormat="1">
      <c r="A1686" s="142"/>
      <c r="B1686" s="143"/>
      <c r="C1686" s="143"/>
      <c r="D1686" s="143"/>
      <c r="E1686" s="143"/>
      <c r="F1686" s="84"/>
      <c r="G1686" s="146"/>
      <c r="H1686" s="221"/>
    </row>
    <row r="1687" spans="1:9" s="212" customFormat="1">
      <c r="A1687" s="84"/>
      <c r="B1687" s="83"/>
      <c r="C1687" s="84"/>
      <c r="D1687" s="84"/>
      <c r="E1687" s="84"/>
      <c r="G1687" s="213"/>
      <c r="H1687" s="222"/>
    </row>
    <row r="1688" spans="1:9" s="212" customFormat="1">
      <c r="A1688" s="120"/>
      <c r="B1688" s="73"/>
      <c r="C1688" s="73"/>
      <c r="D1688" s="73"/>
      <c r="E1688" s="73"/>
      <c r="G1688" s="73"/>
      <c r="H1688" s="222"/>
    </row>
    <row r="1689" spans="1:9" s="212" customFormat="1">
      <c r="A1689" s="220"/>
      <c r="B1689" s="141"/>
      <c r="C1689" s="141"/>
      <c r="D1689" s="141"/>
      <c r="E1689" s="141"/>
      <c r="F1689" s="141"/>
      <c r="G1689" s="141"/>
      <c r="H1689" s="222"/>
    </row>
    <row r="1690" spans="1:9" s="212" customFormat="1">
      <c r="A1690" s="150"/>
      <c r="B1690" s="83"/>
      <c r="C1690" s="148"/>
      <c r="D1690" s="160"/>
      <c r="E1690" s="84"/>
      <c r="F1690" s="84"/>
      <c r="G1690" s="146"/>
      <c r="H1690" s="221"/>
    </row>
    <row r="1691" spans="1:9" s="212" customFormat="1">
      <c r="A1691" s="91"/>
      <c r="B1691" s="91"/>
      <c r="C1691" s="91"/>
      <c r="D1691" s="91"/>
      <c r="E1691" s="91"/>
      <c r="G1691" s="213"/>
      <c r="H1691" s="222"/>
    </row>
    <row r="1692" spans="1:9" s="212" customFormat="1">
      <c r="A1692" s="120"/>
      <c r="B1692" s="73"/>
      <c r="C1692" s="73"/>
      <c r="D1692" s="73"/>
      <c r="E1692" s="73"/>
      <c r="G1692" s="73"/>
      <c r="H1692" s="222"/>
    </row>
    <row r="1693" spans="1:9" s="212" customFormat="1">
      <c r="A1693" s="220"/>
      <c r="B1693" s="141"/>
      <c r="C1693" s="141"/>
      <c r="D1693" s="141"/>
      <c r="E1693" s="141"/>
      <c r="F1693" s="141"/>
      <c r="G1693" s="141"/>
      <c r="H1693" s="222"/>
    </row>
    <row r="1694" spans="1:9" s="212" customFormat="1">
      <c r="A1694" s="142"/>
      <c r="B1694" s="143"/>
      <c r="C1694" s="143"/>
      <c r="D1694" s="143"/>
      <c r="E1694" s="143"/>
      <c r="F1694" s="84"/>
      <c r="G1694" s="146"/>
      <c r="H1694" s="221"/>
    </row>
    <row r="1695" spans="1:9" s="212" customFormat="1">
      <c r="A1695" s="91"/>
      <c r="B1695" s="91"/>
      <c r="C1695" s="91"/>
      <c r="D1695" s="91"/>
      <c r="E1695" s="91"/>
      <c r="G1695" s="213"/>
      <c r="H1695" s="222"/>
    </row>
    <row r="1696" spans="1:9" s="212" customFormat="1">
      <c r="A1696" s="120"/>
      <c r="B1696" s="73"/>
      <c r="C1696" s="73"/>
      <c r="D1696" s="73"/>
      <c r="E1696" s="73"/>
      <c r="G1696" s="73"/>
      <c r="H1696" s="222"/>
    </row>
    <row r="1697" spans="1:9" s="212" customFormat="1">
      <c r="A1697" s="220"/>
      <c r="B1697" s="141"/>
      <c r="C1697" s="141"/>
      <c r="D1697" s="141"/>
      <c r="E1697" s="141"/>
      <c r="F1697" s="141"/>
      <c r="G1697" s="141"/>
      <c r="H1697" s="222"/>
    </row>
    <row r="1698" spans="1:9" s="212" customFormat="1">
      <c r="A1698" s="142"/>
      <c r="B1698" s="143"/>
      <c r="C1698" s="143"/>
      <c r="D1698" s="143"/>
      <c r="E1698" s="143"/>
      <c r="F1698" s="84"/>
      <c r="G1698" s="146"/>
      <c r="H1698" s="221"/>
    </row>
    <row r="1699" spans="1:9" s="212" customFormat="1">
      <c r="A1699" s="123"/>
      <c r="B1699" s="95"/>
      <c r="C1699" s="95"/>
      <c r="D1699" s="95"/>
      <c r="E1699" s="95"/>
      <c r="G1699" s="213"/>
      <c r="H1699" s="73"/>
    </row>
    <row r="1700" spans="1:9" s="212" customFormat="1">
      <c r="A1700" s="123"/>
      <c r="B1700" s="95"/>
      <c r="C1700" s="95"/>
      <c r="D1700" s="95"/>
      <c r="E1700" s="95"/>
      <c r="G1700" s="73"/>
      <c r="H1700" s="225"/>
    </row>
    <row r="1701" spans="1:9" s="212" customFormat="1">
      <c r="B1701" s="97"/>
      <c r="C1701" s="98"/>
      <c r="D1701" s="98"/>
      <c r="E1701" s="98"/>
      <c r="G1701" s="220"/>
    </row>
    <row r="1702" spans="1:9" s="212" customFormat="1">
      <c r="B1702" s="97"/>
      <c r="C1702" s="98"/>
      <c r="D1702" s="98"/>
      <c r="E1702" s="98"/>
      <c r="F1702" s="220"/>
      <c r="G1702" s="225"/>
      <c r="H1702" s="226"/>
    </row>
    <row r="1703" spans="1:9" s="212" customFormat="1">
      <c r="A1703" s="633"/>
      <c r="B1703" s="633"/>
      <c r="C1703" s="633"/>
      <c r="D1703" s="633"/>
      <c r="E1703" s="633"/>
      <c r="F1703" s="633"/>
      <c r="G1703" s="633"/>
    </row>
    <row r="1704" spans="1:9" s="212" customFormat="1">
      <c r="H1704" s="227"/>
      <c r="I1704" s="228"/>
    </row>
    <row r="1705" spans="1:9" s="212" customFormat="1">
      <c r="A1705" s="658"/>
      <c r="B1705" s="227"/>
      <c r="C1705" s="227"/>
      <c r="D1705" s="227"/>
      <c r="E1705" s="227"/>
      <c r="F1705" s="227"/>
      <c r="G1705" s="227"/>
      <c r="H1705" s="227"/>
      <c r="I1705" s="229"/>
    </row>
    <row r="1706" spans="1:9" s="212" customFormat="1">
      <c r="A1706" s="658"/>
      <c r="B1706" s="227"/>
      <c r="C1706" s="227"/>
      <c r="D1706" s="227"/>
      <c r="E1706" s="227"/>
      <c r="F1706" s="227"/>
      <c r="G1706" s="227"/>
    </row>
    <row r="1707" spans="1:9" s="212" customFormat="1">
      <c r="A1707" s="69"/>
      <c r="B1707" s="69"/>
      <c r="C1707" s="69"/>
      <c r="D1707" s="69"/>
      <c r="E1707" s="69"/>
    </row>
    <row r="1708" spans="1:9" s="212" customFormat="1">
      <c r="A1708" s="120"/>
      <c r="B1708" s="73"/>
      <c r="C1708" s="73"/>
      <c r="D1708" s="73"/>
      <c r="E1708" s="73"/>
      <c r="F1708" s="73"/>
      <c r="G1708" s="73"/>
      <c r="H1708" s="73"/>
    </row>
    <row r="1709" spans="1:9" s="212" customFormat="1">
      <c r="A1709" s="220"/>
      <c r="B1709" s="141"/>
      <c r="C1709" s="141"/>
      <c r="D1709" s="141"/>
      <c r="E1709" s="141"/>
      <c r="F1709" s="141"/>
      <c r="G1709" s="141"/>
      <c r="H1709" s="73"/>
    </row>
    <row r="1710" spans="1:9" s="212" customFormat="1">
      <c r="A1710" s="142"/>
      <c r="B1710" s="143"/>
      <c r="C1710" s="143"/>
      <c r="D1710" s="143"/>
      <c r="E1710" s="143"/>
      <c r="F1710" s="84"/>
      <c r="G1710" s="146"/>
      <c r="H1710" s="221"/>
    </row>
    <row r="1711" spans="1:9" s="212" customFormat="1">
      <c r="A1711" s="84"/>
      <c r="B1711" s="83"/>
      <c r="C1711" s="84"/>
      <c r="D1711" s="84"/>
      <c r="E1711" s="84"/>
      <c r="G1711" s="213"/>
      <c r="H1711" s="222"/>
    </row>
    <row r="1712" spans="1:9" s="212" customFormat="1">
      <c r="A1712" s="120"/>
      <c r="B1712" s="73"/>
      <c r="C1712" s="73"/>
      <c r="D1712" s="73"/>
      <c r="E1712" s="73"/>
      <c r="G1712" s="73"/>
      <c r="H1712" s="222"/>
    </row>
    <row r="1713" spans="1:9" s="212" customFormat="1">
      <c r="A1713" s="220"/>
      <c r="B1713" s="141"/>
      <c r="C1713" s="141"/>
      <c r="D1713" s="141"/>
      <c r="E1713" s="141"/>
      <c r="F1713" s="141"/>
      <c r="G1713" s="141"/>
      <c r="H1713" s="222"/>
    </row>
    <row r="1714" spans="1:9" s="212" customFormat="1">
      <c r="A1714" s="150"/>
      <c r="B1714" s="83"/>
      <c r="C1714" s="148"/>
      <c r="D1714" s="160"/>
      <c r="E1714" s="84"/>
      <c r="F1714" s="84"/>
      <c r="G1714" s="146"/>
      <c r="H1714" s="221"/>
    </row>
    <row r="1715" spans="1:9" s="212" customFormat="1">
      <c r="A1715" s="91"/>
      <c r="B1715" s="91"/>
      <c r="C1715" s="91"/>
      <c r="D1715" s="91"/>
      <c r="E1715" s="91"/>
      <c r="G1715" s="213"/>
      <c r="H1715" s="222"/>
    </row>
    <row r="1716" spans="1:9" s="212" customFormat="1">
      <c r="A1716" s="120"/>
      <c r="B1716" s="73"/>
      <c r="C1716" s="73"/>
      <c r="D1716" s="73"/>
      <c r="E1716" s="73"/>
      <c r="G1716" s="73"/>
      <c r="H1716" s="222"/>
    </row>
    <row r="1717" spans="1:9" s="212" customFormat="1">
      <c r="A1717" s="220"/>
      <c r="B1717" s="141"/>
      <c r="C1717" s="141"/>
      <c r="D1717" s="141"/>
      <c r="E1717" s="141"/>
      <c r="F1717" s="141"/>
      <c r="G1717" s="141"/>
      <c r="H1717" s="222"/>
    </row>
    <row r="1718" spans="1:9" s="212" customFormat="1">
      <c r="A1718" s="142"/>
      <c r="B1718" s="143"/>
      <c r="C1718" s="143"/>
      <c r="D1718" s="143"/>
      <c r="E1718" s="143"/>
      <c r="F1718" s="84"/>
      <c r="G1718" s="146"/>
      <c r="H1718" s="221"/>
    </row>
    <row r="1719" spans="1:9" s="212" customFormat="1">
      <c r="A1719" s="91"/>
      <c r="B1719" s="91"/>
      <c r="C1719" s="91"/>
      <c r="D1719" s="91"/>
      <c r="E1719" s="91"/>
      <c r="G1719" s="213"/>
      <c r="H1719" s="222"/>
    </row>
    <row r="1720" spans="1:9" s="212" customFormat="1">
      <c r="A1720" s="120"/>
      <c r="B1720" s="73"/>
      <c r="C1720" s="73"/>
      <c r="D1720" s="73"/>
      <c r="E1720" s="73"/>
      <c r="G1720" s="73"/>
      <c r="H1720" s="222"/>
    </row>
    <row r="1721" spans="1:9" s="212" customFormat="1">
      <c r="A1721" s="220"/>
      <c r="B1721" s="141"/>
      <c r="C1721" s="141"/>
      <c r="D1721" s="141"/>
      <c r="E1721" s="141"/>
      <c r="F1721" s="141"/>
      <c r="G1721" s="141"/>
      <c r="H1721" s="222"/>
    </row>
    <row r="1722" spans="1:9" s="212" customFormat="1">
      <c r="A1722" s="142"/>
      <c r="B1722" s="143"/>
      <c r="C1722" s="143"/>
      <c r="D1722" s="143"/>
      <c r="E1722" s="143"/>
      <c r="F1722" s="84"/>
      <c r="G1722" s="146"/>
      <c r="H1722" s="221"/>
    </row>
    <row r="1723" spans="1:9" s="212" customFormat="1">
      <c r="A1723" s="123"/>
      <c r="B1723" s="95"/>
      <c r="C1723" s="95"/>
      <c r="D1723" s="95"/>
      <c r="E1723" s="95"/>
      <c r="G1723" s="213"/>
      <c r="H1723" s="73"/>
    </row>
    <row r="1724" spans="1:9" s="212" customFormat="1">
      <c r="A1724" s="123"/>
      <c r="B1724" s="95"/>
      <c r="C1724" s="95"/>
      <c r="D1724" s="95"/>
      <c r="E1724" s="95"/>
      <c r="G1724" s="73"/>
      <c r="H1724" s="225"/>
    </row>
    <row r="1725" spans="1:9" s="212" customFormat="1">
      <c r="B1725" s="97"/>
      <c r="C1725" s="98"/>
      <c r="D1725" s="98"/>
      <c r="E1725" s="98"/>
      <c r="G1725" s="220"/>
    </row>
    <row r="1726" spans="1:9" s="212" customFormat="1">
      <c r="B1726" s="97"/>
      <c r="C1726" s="98"/>
      <c r="D1726" s="98"/>
      <c r="E1726" s="98"/>
      <c r="F1726" s="220"/>
      <c r="G1726" s="225"/>
      <c r="H1726" s="226"/>
    </row>
    <row r="1727" spans="1:9" s="212" customFormat="1">
      <c r="A1727" s="633"/>
      <c r="B1727" s="633"/>
      <c r="C1727" s="633"/>
      <c r="D1727" s="633"/>
      <c r="E1727" s="633"/>
      <c r="F1727" s="633"/>
      <c r="G1727" s="633"/>
    </row>
    <row r="1728" spans="1:9" s="212" customFormat="1">
      <c r="H1728" s="227"/>
      <c r="I1728" s="228"/>
    </row>
    <row r="1729" spans="1:9" s="212" customFormat="1">
      <c r="A1729" s="658"/>
      <c r="B1729" s="227"/>
      <c r="C1729" s="227"/>
      <c r="D1729" s="227"/>
      <c r="E1729" s="227"/>
      <c r="F1729" s="227"/>
      <c r="G1729" s="227"/>
      <c r="H1729" s="227"/>
      <c r="I1729" s="229"/>
    </row>
    <row r="1730" spans="1:9" s="212" customFormat="1">
      <c r="A1730" s="658"/>
      <c r="B1730" s="227"/>
      <c r="C1730" s="227"/>
      <c r="D1730" s="227"/>
      <c r="E1730" s="227"/>
      <c r="F1730" s="227"/>
      <c r="G1730" s="227"/>
    </row>
    <row r="1731" spans="1:9" s="212" customFormat="1">
      <c r="A1731" s="69"/>
      <c r="B1731" s="69"/>
      <c r="C1731" s="69"/>
      <c r="D1731" s="69"/>
      <c r="E1731" s="69"/>
    </row>
    <row r="1732" spans="1:9" s="212" customFormat="1">
      <c r="A1732" s="120"/>
      <c r="B1732" s="73"/>
      <c r="C1732" s="73"/>
      <c r="D1732" s="73"/>
      <c r="E1732" s="73"/>
      <c r="F1732" s="73"/>
      <c r="G1732" s="73"/>
      <c r="H1732" s="73"/>
    </row>
    <row r="1733" spans="1:9" s="212" customFormat="1">
      <c r="A1733" s="220"/>
      <c r="B1733" s="141"/>
      <c r="C1733" s="141"/>
      <c r="D1733" s="141"/>
      <c r="E1733" s="141"/>
      <c r="F1733" s="141"/>
      <c r="G1733" s="141"/>
      <c r="H1733" s="73"/>
    </row>
    <row r="1734" spans="1:9" s="212" customFormat="1">
      <c r="A1734" s="150"/>
      <c r="B1734" s="83"/>
      <c r="C1734" s="148"/>
      <c r="D1734" s="84"/>
      <c r="E1734" s="84"/>
      <c r="F1734" s="84"/>
      <c r="G1734" s="146"/>
      <c r="H1734" s="221"/>
    </row>
    <row r="1735" spans="1:9" s="212" customFormat="1">
      <c r="A1735" s="84"/>
      <c r="B1735" s="83"/>
      <c r="C1735" s="84"/>
      <c r="D1735" s="84"/>
      <c r="E1735" s="84"/>
      <c r="G1735" s="213"/>
      <c r="H1735" s="222"/>
    </row>
    <row r="1736" spans="1:9" s="212" customFormat="1">
      <c r="A1736" s="120"/>
      <c r="B1736" s="73"/>
      <c r="C1736" s="73"/>
      <c r="D1736" s="73"/>
      <c r="E1736" s="73"/>
      <c r="G1736" s="73"/>
      <c r="H1736" s="222"/>
    </row>
    <row r="1737" spans="1:9" s="212" customFormat="1">
      <c r="A1737" s="220"/>
      <c r="B1737" s="141"/>
      <c r="C1737" s="141"/>
      <c r="D1737" s="141"/>
      <c r="E1737" s="141"/>
      <c r="F1737" s="141"/>
      <c r="G1737" s="141"/>
      <c r="H1737" s="222"/>
    </row>
    <row r="1738" spans="1:9" s="212" customFormat="1" ht="16.5">
      <c r="A1738" s="150"/>
      <c r="B1738" s="161"/>
      <c r="C1738" s="148"/>
      <c r="D1738" s="84"/>
      <c r="E1738" s="84"/>
      <c r="F1738" s="84"/>
      <c r="G1738" s="146"/>
      <c r="H1738" s="222"/>
    </row>
    <row r="1739" spans="1:9" s="212" customFormat="1" ht="16.5">
      <c r="A1739" s="150"/>
      <c r="B1739" s="161"/>
      <c r="C1739" s="148"/>
      <c r="D1739" s="84"/>
      <c r="E1739" s="84"/>
      <c r="F1739" s="84"/>
      <c r="G1739" s="146"/>
      <c r="H1739" s="222"/>
    </row>
    <row r="1740" spans="1:9" s="212" customFormat="1" ht="16.5">
      <c r="A1740" s="150"/>
      <c r="B1740" s="161"/>
      <c r="C1740" s="148"/>
      <c r="D1740" s="84"/>
      <c r="E1740" s="84"/>
      <c r="F1740" s="84"/>
      <c r="G1740" s="146"/>
      <c r="H1740" s="221"/>
    </row>
    <row r="1741" spans="1:9" s="212" customFormat="1">
      <c r="A1741" s="91"/>
      <c r="B1741" s="91"/>
      <c r="C1741" s="91"/>
      <c r="D1741" s="91"/>
      <c r="E1741" s="91"/>
      <c r="G1741" s="213"/>
      <c r="H1741" s="222"/>
    </row>
    <row r="1742" spans="1:9" s="212" customFormat="1">
      <c r="A1742" s="120"/>
      <c r="B1742" s="73"/>
      <c r="C1742" s="73"/>
      <c r="D1742" s="73"/>
      <c r="E1742" s="73"/>
      <c r="G1742" s="73"/>
      <c r="H1742" s="222"/>
    </row>
    <row r="1743" spans="1:9" s="212" customFormat="1">
      <c r="A1743" s="220"/>
      <c r="B1743" s="141"/>
      <c r="C1743" s="141"/>
      <c r="D1743" s="141"/>
      <c r="E1743" s="141"/>
      <c r="F1743" s="141"/>
      <c r="G1743" s="141"/>
      <c r="H1743" s="222"/>
    </row>
    <row r="1744" spans="1:9" s="212" customFormat="1">
      <c r="A1744" s="146"/>
      <c r="B1744" s="83"/>
      <c r="C1744" s="148"/>
      <c r="D1744" s="84"/>
      <c r="E1744" s="84"/>
      <c r="F1744" s="84"/>
      <c r="G1744" s="146"/>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33"/>
      <c r="B1753" s="633"/>
      <c r="C1753" s="633"/>
      <c r="D1753" s="633"/>
      <c r="E1753" s="633"/>
      <c r="F1753" s="633"/>
      <c r="G1753" s="633"/>
    </row>
    <row r="1754" spans="1:9" s="212" customFormat="1">
      <c r="H1754" s="227"/>
      <c r="I1754" s="228"/>
    </row>
    <row r="1755" spans="1:9" s="212" customFormat="1">
      <c r="A1755" s="658"/>
      <c r="B1755" s="227"/>
      <c r="C1755" s="227"/>
      <c r="D1755" s="227"/>
      <c r="E1755" s="227"/>
      <c r="F1755" s="227"/>
      <c r="G1755" s="227"/>
      <c r="H1755" s="227"/>
      <c r="I1755" s="229"/>
    </row>
    <row r="1756" spans="1:9" s="212" customFormat="1">
      <c r="A1756" s="658"/>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c r="A1760" s="150"/>
      <c r="B1760" s="83"/>
      <c r="C1760" s="148"/>
      <c r="D1760" s="84"/>
      <c r="E1760" s="84"/>
      <c r="F1760" s="84"/>
      <c r="G1760" s="146"/>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ht="16.5">
      <c r="A1764" s="150"/>
      <c r="B1764" s="161"/>
      <c r="C1764" s="148"/>
      <c r="D1764" s="84"/>
      <c r="E1764" s="84"/>
      <c r="F1764" s="84"/>
      <c r="G1764" s="146"/>
      <c r="H1764" s="222"/>
    </row>
    <row r="1765" spans="1:8" s="212" customFormat="1" ht="16.5">
      <c r="A1765" s="150"/>
      <c r="B1765" s="161"/>
      <c r="C1765" s="148"/>
      <c r="D1765" s="84"/>
      <c r="E1765" s="84"/>
      <c r="F1765" s="84"/>
      <c r="G1765" s="146"/>
      <c r="H1765" s="222"/>
    </row>
    <row r="1766" spans="1:8" s="212" customFormat="1" ht="16.5">
      <c r="A1766" s="150"/>
      <c r="B1766" s="161"/>
      <c r="C1766" s="148"/>
      <c r="D1766" s="84"/>
      <c r="E1766" s="84"/>
      <c r="F1766" s="84"/>
      <c r="G1766" s="146"/>
      <c r="H1766" s="221"/>
    </row>
    <row r="1767" spans="1:8" s="212" customFormat="1">
      <c r="A1767" s="91"/>
      <c r="B1767" s="91"/>
      <c r="C1767" s="91"/>
      <c r="D1767" s="91"/>
      <c r="E1767" s="91"/>
      <c r="G1767" s="213"/>
      <c r="H1767" s="222"/>
    </row>
    <row r="1768" spans="1:8" s="212" customFormat="1">
      <c r="A1768" s="120"/>
      <c r="B1768" s="73"/>
      <c r="C1768" s="73"/>
      <c r="D1768" s="73"/>
      <c r="E1768" s="73"/>
      <c r="G1768" s="73"/>
      <c r="H1768" s="222"/>
    </row>
    <row r="1769" spans="1:8" s="212" customFormat="1">
      <c r="A1769" s="220"/>
      <c r="B1769" s="141"/>
      <c r="C1769" s="141"/>
      <c r="D1769" s="141"/>
      <c r="E1769" s="141"/>
      <c r="F1769" s="141"/>
      <c r="G1769" s="141"/>
      <c r="H1769" s="222"/>
    </row>
    <row r="1770" spans="1:8" s="212" customFormat="1">
      <c r="A1770" s="146"/>
      <c r="B1770" s="83"/>
      <c r="C1770" s="148"/>
      <c r="D1770" s="84"/>
      <c r="E1770" s="84"/>
      <c r="F1770" s="84"/>
      <c r="G1770" s="146"/>
      <c r="H1770" s="221"/>
    </row>
    <row r="1771" spans="1:8" s="212" customFormat="1">
      <c r="A1771" s="91"/>
      <c r="B1771" s="91"/>
      <c r="C1771" s="91"/>
      <c r="D1771" s="91"/>
      <c r="E1771" s="91"/>
      <c r="G1771" s="213"/>
      <c r="H1771" s="222"/>
    </row>
    <row r="1772" spans="1:8" s="212" customFormat="1">
      <c r="A1772" s="120"/>
      <c r="B1772" s="73"/>
      <c r="C1772" s="73"/>
      <c r="D1772" s="73"/>
      <c r="E1772" s="73"/>
      <c r="G1772" s="73"/>
      <c r="H1772" s="222"/>
    </row>
    <row r="1773" spans="1:8" s="212" customFormat="1">
      <c r="A1773" s="220"/>
      <c r="B1773" s="141"/>
      <c r="C1773" s="141"/>
      <c r="D1773" s="141"/>
      <c r="E1773" s="141"/>
      <c r="F1773" s="141"/>
      <c r="G1773" s="141"/>
      <c r="H1773" s="222"/>
    </row>
    <row r="1774" spans="1:8" s="212" customFormat="1">
      <c r="A1774" s="142"/>
      <c r="B1774" s="143"/>
      <c r="C1774" s="143"/>
      <c r="D1774" s="143"/>
      <c r="E1774" s="143"/>
      <c r="F1774" s="84"/>
      <c r="G1774" s="146"/>
      <c r="H1774" s="221"/>
    </row>
    <row r="1775" spans="1:8" s="212" customFormat="1">
      <c r="A1775" s="123"/>
      <c r="B1775" s="95"/>
      <c r="C1775" s="95"/>
      <c r="D1775" s="95"/>
      <c r="E1775" s="95"/>
      <c r="G1775" s="213"/>
      <c r="H1775" s="73"/>
    </row>
    <row r="1776" spans="1:8" s="212" customFormat="1">
      <c r="A1776" s="123"/>
      <c r="B1776" s="95"/>
      <c r="C1776" s="95"/>
      <c r="D1776" s="95"/>
      <c r="E1776" s="95"/>
      <c r="G1776" s="73"/>
      <c r="H1776" s="225"/>
    </row>
    <row r="1777" spans="1:9" s="212" customFormat="1">
      <c r="B1777" s="97"/>
      <c r="C1777" s="98"/>
      <c r="D1777" s="98"/>
      <c r="E1777" s="98"/>
      <c r="G1777" s="220"/>
    </row>
    <row r="1778" spans="1:9" s="212" customFormat="1">
      <c r="B1778" s="97"/>
      <c r="C1778" s="98"/>
      <c r="D1778" s="98"/>
      <c r="E1778" s="98"/>
      <c r="F1778" s="220"/>
      <c r="G1778" s="225"/>
      <c r="H1778" s="226"/>
    </row>
    <row r="1779" spans="1:9" s="212" customFormat="1">
      <c r="A1779" s="633"/>
      <c r="B1779" s="633"/>
      <c r="C1779" s="633"/>
      <c r="D1779" s="633"/>
      <c r="E1779" s="633"/>
      <c r="F1779" s="633"/>
      <c r="G1779" s="633"/>
    </row>
    <row r="1780" spans="1:9" s="212" customFormat="1">
      <c r="H1780" s="227"/>
      <c r="I1780" s="228"/>
    </row>
    <row r="1781" spans="1:9" s="212" customFormat="1">
      <c r="A1781" s="658"/>
      <c r="B1781" s="227"/>
      <c r="C1781" s="227"/>
      <c r="D1781" s="227"/>
      <c r="E1781" s="227"/>
      <c r="F1781" s="227"/>
      <c r="G1781" s="227"/>
      <c r="H1781" s="227"/>
      <c r="I1781" s="229"/>
    </row>
    <row r="1782" spans="1:9" s="212" customFormat="1">
      <c r="A1782" s="658"/>
      <c r="B1782" s="227"/>
      <c r="C1782" s="227"/>
      <c r="D1782" s="227"/>
      <c r="E1782" s="227"/>
      <c r="F1782" s="227"/>
      <c r="G1782" s="227"/>
    </row>
    <row r="1783" spans="1:9" s="212" customFormat="1">
      <c r="A1783" s="69"/>
      <c r="B1783" s="69"/>
      <c r="C1783" s="69"/>
      <c r="D1783" s="69"/>
      <c r="E1783" s="69"/>
    </row>
    <row r="1784" spans="1:9" s="212" customFormat="1">
      <c r="A1784" s="120"/>
      <c r="B1784" s="73"/>
      <c r="C1784" s="73"/>
      <c r="D1784" s="73"/>
      <c r="E1784" s="73"/>
      <c r="F1784" s="73"/>
      <c r="G1784" s="73"/>
      <c r="H1784" s="73"/>
    </row>
    <row r="1785" spans="1:9" s="212" customFormat="1">
      <c r="A1785" s="220"/>
      <c r="B1785" s="141"/>
      <c r="C1785" s="141"/>
      <c r="D1785" s="141"/>
      <c r="E1785" s="141"/>
      <c r="F1785" s="141"/>
      <c r="G1785" s="141"/>
      <c r="H1785" s="73"/>
    </row>
    <row r="1786" spans="1:9" s="212" customFormat="1">
      <c r="A1786" s="150"/>
      <c r="B1786" s="83"/>
      <c r="C1786" s="148"/>
      <c r="D1786" s="84"/>
      <c r="E1786" s="84"/>
      <c r="F1786" s="84"/>
      <c r="G1786" s="146"/>
      <c r="H1786" s="73"/>
    </row>
    <row r="1787" spans="1:9" s="212" customFormat="1">
      <c r="A1787" s="150"/>
      <c r="B1787" s="83"/>
      <c r="C1787" s="148"/>
      <c r="D1787" s="84"/>
      <c r="E1787" s="84"/>
      <c r="F1787" s="84"/>
      <c r="G1787" s="146"/>
      <c r="H1787" s="221"/>
    </row>
    <row r="1788" spans="1:9" s="212" customFormat="1">
      <c r="A1788" s="84"/>
      <c r="B1788" s="83"/>
      <c r="C1788" s="84"/>
      <c r="D1788" s="84"/>
      <c r="E1788" s="84"/>
      <c r="G1788" s="213"/>
      <c r="H1788" s="222"/>
    </row>
    <row r="1789" spans="1:9" s="212" customFormat="1">
      <c r="A1789" s="120"/>
      <c r="B1789" s="73"/>
      <c r="C1789" s="73"/>
      <c r="D1789" s="73"/>
      <c r="E1789" s="73"/>
      <c r="G1789" s="73"/>
      <c r="H1789" s="222"/>
    </row>
    <row r="1790" spans="1:9" s="212" customFormat="1">
      <c r="A1790" s="220"/>
      <c r="B1790" s="141"/>
      <c r="C1790" s="141"/>
      <c r="D1790" s="141"/>
      <c r="E1790" s="141"/>
      <c r="F1790" s="141"/>
      <c r="G1790" s="141"/>
      <c r="H1790" s="222"/>
    </row>
    <row r="1791" spans="1:9" s="212" customFormat="1" ht="16.5">
      <c r="A1791" s="150"/>
      <c r="B1791" s="161"/>
      <c r="C1791" s="148"/>
      <c r="D1791" s="84"/>
      <c r="E1791" s="84"/>
      <c r="F1791" s="84"/>
      <c r="G1791" s="146"/>
      <c r="H1791" s="222"/>
    </row>
    <row r="1792" spans="1:9" s="212" customFormat="1" ht="16.5">
      <c r="A1792" s="150"/>
      <c r="B1792" s="161"/>
      <c r="C1792" s="148"/>
      <c r="D1792" s="84"/>
      <c r="E1792" s="84"/>
      <c r="F1792" s="84"/>
      <c r="G1792" s="146"/>
      <c r="H1792" s="222"/>
    </row>
    <row r="1793" spans="1:9" s="212" customFormat="1" ht="16.5">
      <c r="A1793" s="150"/>
      <c r="B1793" s="161"/>
      <c r="C1793" s="148"/>
      <c r="D1793" s="84"/>
      <c r="E1793" s="84"/>
      <c r="F1793" s="84"/>
      <c r="G1793" s="146"/>
      <c r="H1793" s="221"/>
    </row>
    <row r="1794" spans="1:9" s="212" customFormat="1">
      <c r="A1794" s="91"/>
      <c r="B1794" s="91"/>
      <c r="C1794" s="91"/>
      <c r="D1794" s="91"/>
      <c r="E1794" s="91"/>
      <c r="G1794" s="213"/>
      <c r="H1794" s="222"/>
    </row>
    <row r="1795" spans="1:9" s="212" customFormat="1">
      <c r="A1795" s="120"/>
      <c r="B1795" s="73"/>
      <c r="C1795" s="73"/>
      <c r="D1795" s="73"/>
      <c r="E1795" s="73"/>
      <c r="G1795" s="73"/>
      <c r="H1795" s="222"/>
    </row>
    <row r="1796" spans="1:9" s="212" customFormat="1">
      <c r="A1796" s="220"/>
      <c r="B1796" s="141"/>
      <c r="C1796" s="141"/>
      <c r="D1796" s="141"/>
      <c r="E1796" s="141"/>
      <c r="F1796" s="141"/>
      <c r="G1796" s="141"/>
      <c r="H1796" s="222"/>
    </row>
    <row r="1797" spans="1:9" s="212" customFormat="1">
      <c r="A1797" s="146"/>
      <c r="B1797" s="83"/>
      <c r="C1797" s="148"/>
      <c r="D1797" s="84"/>
      <c r="E1797" s="84"/>
      <c r="F1797" s="84"/>
      <c r="G1797" s="146"/>
      <c r="H1797" s="221"/>
    </row>
    <row r="1798" spans="1:9" s="212" customFormat="1">
      <c r="A1798" s="91"/>
      <c r="B1798" s="91"/>
      <c r="C1798" s="91"/>
      <c r="D1798" s="91"/>
      <c r="E1798" s="91"/>
      <c r="G1798" s="213"/>
      <c r="H1798" s="222"/>
    </row>
    <row r="1799" spans="1:9" s="212" customFormat="1">
      <c r="A1799" s="120"/>
      <c r="B1799" s="73"/>
      <c r="C1799" s="73"/>
      <c r="D1799" s="73"/>
      <c r="E1799" s="73"/>
      <c r="G1799" s="73"/>
      <c r="H1799" s="222"/>
    </row>
    <row r="1800" spans="1:9" s="212" customFormat="1">
      <c r="A1800" s="220"/>
      <c r="B1800" s="141"/>
      <c r="C1800" s="141"/>
      <c r="D1800" s="141"/>
      <c r="E1800" s="141"/>
      <c r="F1800" s="141"/>
      <c r="G1800" s="141"/>
      <c r="H1800" s="222"/>
    </row>
    <row r="1801" spans="1:9" s="212" customFormat="1">
      <c r="A1801" s="142"/>
      <c r="B1801" s="143"/>
      <c r="C1801" s="143"/>
      <c r="D1801" s="143"/>
      <c r="E1801" s="143"/>
      <c r="F1801" s="84"/>
      <c r="G1801" s="146"/>
      <c r="H1801" s="221"/>
    </row>
    <row r="1802" spans="1:9" s="212" customFormat="1">
      <c r="A1802" s="123"/>
      <c r="B1802" s="95"/>
      <c r="C1802" s="95"/>
      <c r="D1802" s="95"/>
      <c r="E1802" s="95"/>
      <c r="G1802" s="213"/>
      <c r="H1802" s="73"/>
    </row>
    <row r="1803" spans="1:9" s="212" customFormat="1">
      <c r="A1803" s="123"/>
      <c r="B1803" s="95"/>
      <c r="C1803" s="95"/>
      <c r="D1803" s="95"/>
      <c r="E1803" s="95"/>
      <c r="G1803" s="73"/>
      <c r="H1803" s="225"/>
    </row>
    <row r="1804" spans="1:9" s="212" customFormat="1">
      <c r="B1804" s="97"/>
      <c r="C1804" s="98"/>
      <c r="D1804" s="98"/>
      <c r="E1804" s="98"/>
      <c r="G1804" s="220"/>
    </row>
    <row r="1805" spans="1:9" s="212" customFormat="1">
      <c r="B1805" s="97"/>
      <c r="C1805" s="98"/>
      <c r="D1805" s="98"/>
      <c r="E1805" s="98"/>
      <c r="F1805" s="220"/>
      <c r="G1805" s="225"/>
      <c r="H1805" s="226"/>
    </row>
    <row r="1806" spans="1:9" s="212" customFormat="1">
      <c r="A1806" s="633"/>
      <c r="B1806" s="633"/>
      <c r="C1806" s="633"/>
      <c r="D1806" s="633"/>
      <c r="E1806" s="633"/>
      <c r="F1806" s="633"/>
      <c r="G1806" s="633"/>
    </row>
    <row r="1807" spans="1:9" s="212" customFormat="1">
      <c r="H1807" s="227"/>
      <c r="I1807" s="228"/>
    </row>
    <row r="1808" spans="1:9" s="212" customFormat="1">
      <c r="A1808" s="658"/>
      <c r="B1808" s="227"/>
      <c r="C1808" s="227"/>
      <c r="D1808" s="227"/>
      <c r="E1808" s="227"/>
      <c r="F1808" s="227"/>
      <c r="G1808" s="227"/>
      <c r="H1808" s="227"/>
      <c r="I1808" s="229"/>
    </row>
    <row r="1809" spans="1:8" s="212" customFormat="1">
      <c r="A1809" s="658"/>
      <c r="B1809" s="227"/>
      <c r="C1809" s="227"/>
      <c r="D1809" s="227"/>
      <c r="E1809" s="227"/>
      <c r="F1809" s="227"/>
      <c r="G1809" s="227"/>
    </row>
    <row r="1810" spans="1:8" s="212" customFormat="1">
      <c r="A1810" s="69"/>
      <c r="B1810" s="69"/>
      <c r="C1810" s="69"/>
      <c r="D1810" s="69"/>
      <c r="E1810" s="69"/>
    </row>
    <row r="1811" spans="1:8" s="212" customFormat="1">
      <c r="A1811" s="120"/>
      <c r="B1811" s="73"/>
      <c r="C1811" s="73"/>
      <c r="D1811" s="73"/>
      <c r="E1811" s="73"/>
      <c r="F1811" s="73"/>
      <c r="G1811" s="73"/>
      <c r="H1811" s="73"/>
    </row>
    <row r="1812" spans="1:8" s="212" customFormat="1">
      <c r="A1812" s="220"/>
      <c r="B1812" s="141"/>
      <c r="C1812" s="141"/>
      <c r="D1812" s="141"/>
      <c r="E1812" s="141"/>
      <c r="F1812" s="141"/>
      <c r="G1812" s="141"/>
      <c r="H1812" s="73"/>
    </row>
    <row r="1813" spans="1:8" s="212" customFormat="1">
      <c r="A1813" s="142"/>
      <c r="B1813" s="143"/>
      <c r="C1813" s="143"/>
      <c r="D1813" s="143"/>
      <c r="E1813" s="143"/>
      <c r="F1813" s="84"/>
      <c r="G1813" s="146"/>
      <c r="H1813" s="221"/>
    </row>
    <row r="1814" spans="1:8" s="212" customFormat="1">
      <c r="A1814" s="84"/>
      <c r="B1814" s="83"/>
      <c r="C1814" s="84"/>
      <c r="D1814" s="84"/>
      <c r="E1814" s="84"/>
      <c r="G1814" s="213"/>
      <c r="H1814" s="222"/>
    </row>
    <row r="1815" spans="1:8" s="212" customFormat="1">
      <c r="A1815" s="120"/>
      <c r="B1815" s="73"/>
      <c r="C1815" s="73"/>
      <c r="D1815" s="73"/>
      <c r="E1815" s="73"/>
      <c r="G1815" s="73"/>
      <c r="H1815" s="222"/>
    </row>
    <row r="1816" spans="1:8" s="212" customFormat="1">
      <c r="A1816" s="220"/>
      <c r="B1816" s="141"/>
      <c r="C1816" s="141"/>
      <c r="D1816" s="141"/>
      <c r="E1816" s="141"/>
      <c r="F1816" s="141"/>
      <c r="G1816" s="141"/>
      <c r="H1816" s="222"/>
    </row>
    <row r="1817" spans="1:8" s="212" customFormat="1">
      <c r="A1817" s="150"/>
      <c r="B1817" s="83"/>
      <c r="C1817" s="148"/>
      <c r="D1817" s="84"/>
      <c r="E1817" s="84"/>
      <c r="F1817" s="84"/>
      <c r="G1817" s="146"/>
      <c r="H1817" s="222"/>
    </row>
    <row r="1818" spans="1:8" s="212" customFormat="1">
      <c r="A1818" s="150"/>
      <c r="B1818" s="83"/>
      <c r="C1818" s="148"/>
      <c r="D1818" s="84"/>
      <c r="E1818" s="84"/>
      <c r="F1818" s="84"/>
      <c r="G1818" s="146"/>
      <c r="H1818" s="222"/>
    </row>
    <row r="1819" spans="1:8" s="212" customFormat="1">
      <c r="A1819" s="150"/>
      <c r="B1819" s="83"/>
      <c r="C1819" s="148"/>
      <c r="D1819" s="84"/>
      <c r="E1819" s="84"/>
      <c r="F1819" s="84"/>
      <c r="G1819" s="224"/>
      <c r="H1819" s="221"/>
    </row>
    <row r="1820" spans="1:8" s="212" customFormat="1">
      <c r="A1820" s="91"/>
      <c r="B1820" s="91"/>
      <c r="C1820" s="91"/>
      <c r="D1820" s="91"/>
      <c r="E1820" s="91"/>
      <c r="G1820" s="213"/>
      <c r="H1820" s="222"/>
    </row>
    <row r="1821" spans="1:8" s="212" customFormat="1">
      <c r="A1821" s="120"/>
      <c r="B1821" s="73"/>
      <c r="C1821" s="73"/>
      <c r="D1821" s="73"/>
      <c r="E1821" s="73"/>
      <c r="G1821" s="73"/>
      <c r="H1821" s="222"/>
    </row>
    <row r="1822" spans="1:8" s="212" customFormat="1">
      <c r="A1822" s="220"/>
      <c r="B1822" s="141"/>
      <c r="C1822" s="141"/>
      <c r="D1822" s="141"/>
      <c r="E1822" s="141"/>
      <c r="F1822" s="141"/>
      <c r="G1822" s="141"/>
      <c r="H1822" s="222"/>
    </row>
    <row r="1823" spans="1:8" s="212" customFormat="1">
      <c r="A1823" s="146"/>
      <c r="B1823" s="83"/>
      <c r="C1823" s="148"/>
      <c r="D1823" s="84"/>
      <c r="E1823" s="84"/>
      <c r="F1823" s="84"/>
      <c r="G1823" s="146"/>
      <c r="H1823" s="221"/>
    </row>
    <row r="1824" spans="1:8" s="212" customFormat="1">
      <c r="A1824" s="91"/>
      <c r="B1824" s="91"/>
      <c r="C1824" s="91"/>
      <c r="D1824" s="91"/>
      <c r="E1824" s="91"/>
      <c r="G1824" s="213"/>
      <c r="H1824" s="222"/>
    </row>
    <row r="1825" spans="1:9" s="212" customFormat="1">
      <c r="A1825" s="120"/>
      <c r="B1825" s="73"/>
      <c r="C1825" s="73"/>
      <c r="D1825" s="73"/>
      <c r="E1825" s="73"/>
      <c r="G1825" s="73"/>
      <c r="H1825" s="222"/>
    </row>
    <row r="1826" spans="1:9" s="212" customFormat="1">
      <c r="A1826" s="220"/>
      <c r="B1826" s="141"/>
      <c r="C1826" s="141"/>
      <c r="D1826" s="141"/>
      <c r="E1826" s="141"/>
      <c r="F1826" s="141"/>
      <c r="G1826" s="141"/>
      <c r="H1826" s="222"/>
    </row>
    <row r="1827" spans="1:9" s="212" customFormat="1">
      <c r="A1827" s="142"/>
      <c r="B1827" s="143"/>
      <c r="C1827" s="143"/>
      <c r="D1827" s="143"/>
      <c r="E1827" s="143"/>
      <c r="F1827" s="84"/>
      <c r="G1827" s="146"/>
      <c r="H1827" s="221"/>
    </row>
    <row r="1828" spans="1:9" s="212" customFormat="1">
      <c r="A1828" s="123"/>
      <c r="B1828" s="95"/>
      <c r="C1828" s="95"/>
      <c r="D1828" s="95"/>
      <c r="E1828" s="95"/>
      <c r="G1828" s="213"/>
      <c r="H1828" s="73"/>
    </row>
    <row r="1829" spans="1:9" s="212" customFormat="1">
      <c r="A1829" s="123"/>
      <c r="B1829" s="95"/>
      <c r="C1829" s="95"/>
      <c r="D1829" s="95"/>
      <c r="E1829" s="95"/>
      <c r="G1829" s="73"/>
      <c r="H1829" s="225"/>
    </row>
    <row r="1830" spans="1:9" s="212" customFormat="1">
      <c r="B1830" s="97"/>
      <c r="C1830" s="98"/>
      <c r="D1830" s="98"/>
      <c r="E1830" s="98"/>
      <c r="G1830" s="220"/>
    </row>
    <row r="1831" spans="1:9" s="212" customFormat="1">
      <c r="B1831" s="97"/>
      <c r="C1831" s="98"/>
      <c r="D1831" s="98"/>
      <c r="E1831" s="98"/>
      <c r="F1831" s="220"/>
      <c r="G1831" s="225"/>
      <c r="H1831" s="226"/>
    </row>
    <row r="1832" spans="1:9" s="212" customFormat="1">
      <c r="A1832" s="633"/>
      <c r="B1832" s="633"/>
      <c r="C1832" s="633"/>
      <c r="D1832" s="633"/>
      <c r="E1832" s="633"/>
      <c r="F1832" s="633"/>
      <c r="G1832" s="633"/>
    </row>
    <row r="1833" spans="1:9" s="212" customFormat="1">
      <c r="H1833" s="227"/>
      <c r="I1833" s="228"/>
    </row>
    <row r="1834" spans="1:9" s="212" customFormat="1">
      <c r="A1834" s="658"/>
      <c r="B1834" s="227"/>
      <c r="C1834" s="227"/>
      <c r="D1834" s="227"/>
      <c r="E1834" s="227"/>
      <c r="F1834" s="227"/>
      <c r="G1834" s="227"/>
      <c r="H1834" s="227"/>
      <c r="I1834" s="229"/>
    </row>
    <row r="1835" spans="1:9" s="212" customFormat="1">
      <c r="A1835" s="658"/>
      <c r="B1835" s="227"/>
      <c r="C1835" s="227"/>
      <c r="D1835" s="227"/>
      <c r="E1835" s="227"/>
      <c r="F1835" s="227"/>
      <c r="G1835" s="227"/>
    </row>
    <row r="1836" spans="1:9" s="212" customFormat="1">
      <c r="A1836" s="69"/>
      <c r="B1836" s="69"/>
      <c r="C1836" s="69"/>
      <c r="D1836" s="69"/>
      <c r="E1836" s="69"/>
    </row>
    <row r="1837" spans="1:9" s="212" customFormat="1">
      <c r="A1837" s="120"/>
      <c r="B1837" s="73"/>
      <c r="C1837" s="73"/>
      <c r="D1837" s="73"/>
      <c r="E1837" s="73"/>
      <c r="F1837" s="73"/>
      <c r="G1837" s="73"/>
      <c r="H1837" s="73"/>
    </row>
    <row r="1838" spans="1:9" s="212" customFormat="1">
      <c r="A1838" s="220"/>
      <c r="B1838" s="141"/>
      <c r="C1838" s="141"/>
      <c r="D1838" s="141"/>
      <c r="E1838" s="141"/>
      <c r="F1838" s="141"/>
      <c r="G1838" s="141"/>
      <c r="H1838" s="73"/>
    </row>
    <row r="1839" spans="1:9" s="212" customFormat="1">
      <c r="A1839" s="142"/>
      <c r="B1839" s="167"/>
      <c r="C1839" s="143"/>
      <c r="D1839" s="84"/>
      <c r="E1839" s="84"/>
      <c r="F1839" s="84"/>
      <c r="G1839" s="224"/>
      <c r="H1839" s="221"/>
    </row>
    <row r="1840" spans="1:9" s="212" customFormat="1">
      <c r="A1840" s="84"/>
      <c r="B1840" s="83"/>
      <c r="C1840" s="84"/>
      <c r="D1840" s="84"/>
      <c r="E1840" s="84"/>
      <c r="G1840" s="213"/>
      <c r="H1840" s="222"/>
    </row>
    <row r="1841" spans="1:8" s="212" customFormat="1">
      <c r="A1841" s="120"/>
      <c r="B1841" s="73"/>
      <c r="C1841" s="73"/>
      <c r="D1841" s="73"/>
      <c r="E1841" s="73"/>
      <c r="G1841" s="73"/>
      <c r="H1841" s="222"/>
    </row>
    <row r="1842" spans="1:8" s="212" customFormat="1">
      <c r="A1842" s="220"/>
      <c r="B1842" s="141"/>
      <c r="C1842" s="141"/>
      <c r="D1842" s="141"/>
      <c r="E1842" s="141"/>
      <c r="F1842" s="141"/>
      <c r="G1842" s="141"/>
      <c r="H1842" s="222"/>
    </row>
    <row r="1843" spans="1:8" s="212" customFormat="1">
      <c r="A1843" s="150"/>
      <c r="B1843" s="83"/>
      <c r="C1843" s="148"/>
      <c r="D1843" s="84"/>
      <c r="E1843" s="84"/>
      <c r="F1843" s="84"/>
      <c r="G1843" s="146"/>
      <c r="H1843" s="222"/>
    </row>
    <row r="1844" spans="1:8" s="212" customFormat="1">
      <c r="A1844" s="150"/>
      <c r="B1844" s="83"/>
      <c r="C1844" s="148"/>
      <c r="D1844" s="84"/>
      <c r="E1844" s="84"/>
      <c r="F1844" s="84"/>
      <c r="G1844" s="146"/>
      <c r="H1844" s="222"/>
    </row>
    <row r="1845" spans="1:8" s="212" customFormat="1">
      <c r="A1845" s="150"/>
      <c r="B1845" s="83"/>
      <c r="C1845" s="148"/>
      <c r="D1845" s="84"/>
      <c r="E1845" s="84"/>
      <c r="F1845" s="84"/>
      <c r="G1845" s="224"/>
      <c r="H1845" s="221"/>
    </row>
    <row r="1846" spans="1:8" s="212" customFormat="1">
      <c r="A1846" s="91"/>
      <c r="B1846" s="91"/>
      <c r="C1846" s="91"/>
      <c r="D1846" s="91"/>
      <c r="E1846" s="91"/>
      <c r="G1846" s="213"/>
      <c r="H1846" s="222"/>
    </row>
    <row r="1847" spans="1:8" s="212" customFormat="1">
      <c r="A1847" s="120"/>
      <c r="B1847" s="73"/>
      <c r="C1847" s="73"/>
      <c r="D1847" s="73"/>
      <c r="E1847" s="73"/>
      <c r="G1847" s="73"/>
      <c r="H1847" s="222"/>
    </row>
    <row r="1848" spans="1:8" s="212" customFormat="1">
      <c r="A1848" s="220"/>
      <c r="B1848" s="141"/>
      <c r="C1848" s="141"/>
      <c r="D1848" s="141"/>
      <c r="E1848" s="141"/>
      <c r="F1848" s="141"/>
      <c r="G1848" s="141"/>
      <c r="H1848" s="222"/>
    </row>
    <row r="1849" spans="1:8" s="212" customFormat="1">
      <c r="A1849" s="146"/>
      <c r="B1849" s="83"/>
      <c r="C1849" s="148"/>
      <c r="D1849" s="84"/>
      <c r="E1849" s="84"/>
      <c r="F1849" s="84"/>
      <c r="G1849" s="146"/>
      <c r="H1849" s="221"/>
    </row>
    <row r="1850" spans="1:8" s="212" customFormat="1">
      <c r="A1850" s="91"/>
      <c r="B1850" s="91"/>
      <c r="C1850" s="91"/>
      <c r="D1850" s="91"/>
      <c r="E1850" s="91"/>
      <c r="G1850" s="213"/>
      <c r="H1850" s="222"/>
    </row>
    <row r="1851" spans="1:8" s="212" customFormat="1" ht="71.25" customHeight="1">
      <c r="A1851" s="120"/>
      <c r="B1851" s="73"/>
      <c r="C1851" s="73"/>
      <c r="D1851" s="73"/>
      <c r="E1851" s="73"/>
      <c r="G1851" s="73"/>
      <c r="H1851" s="222"/>
    </row>
    <row r="1852" spans="1:8" s="212" customFormat="1">
      <c r="A1852" s="220"/>
      <c r="B1852" s="141"/>
      <c r="C1852" s="141"/>
      <c r="D1852" s="141"/>
      <c r="E1852" s="141"/>
      <c r="F1852" s="141"/>
      <c r="G1852" s="141"/>
      <c r="H1852" s="222"/>
    </row>
    <row r="1853" spans="1:8" s="212" customFormat="1">
      <c r="A1853" s="142"/>
      <c r="B1853" s="143"/>
      <c r="C1853" s="143"/>
      <c r="D1853" s="143"/>
      <c r="E1853" s="143"/>
      <c r="F1853" s="84"/>
      <c r="G1853" s="146"/>
      <c r="H1853" s="221"/>
    </row>
    <row r="1854" spans="1:8" s="212" customFormat="1">
      <c r="A1854" s="123"/>
      <c r="B1854" s="95"/>
      <c r="C1854" s="95"/>
      <c r="D1854" s="95"/>
      <c r="E1854" s="95"/>
      <c r="G1854" s="213"/>
      <c r="H1854" s="73"/>
    </row>
    <row r="1855" spans="1:8" s="212" customFormat="1">
      <c r="A1855" s="123"/>
      <c r="B1855" s="95"/>
      <c r="C1855" s="95"/>
      <c r="D1855" s="95"/>
      <c r="E1855" s="95"/>
      <c r="G1855" s="73"/>
      <c r="H1855" s="225"/>
    </row>
    <row r="1856" spans="1:8" s="212" customFormat="1">
      <c r="B1856" s="97"/>
      <c r="C1856" s="98"/>
      <c r="D1856" s="98"/>
      <c r="E1856" s="98"/>
      <c r="G1856" s="220"/>
    </row>
    <row r="1857" spans="1:9" s="212" customFormat="1">
      <c r="B1857" s="97"/>
      <c r="C1857" s="98"/>
      <c r="D1857" s="98"/>
      <c r="E1857" s="98"/>
      <c r="F1857" s="220"/>
      <c r="G1857" s="225"/>
      <c r="H1857" s="226"/>
    </row>
    <row r="1858" spans="1:9" s="212" customFormat="1">
      <c r="A1858" s="633"/>
      <c r="B1858" s="633"/>
      <c r="C1858" s="633"/>
      <c r="D1858" s="633"/>
      <c r="E1858" s="633"/>
      <c r="F1858" s="633"/>
      <c r="G1858" s="633"/>
    </row>
    <row r="1859" spans="1:9" s="212" customFormat="1">
      <c r="H1859" s="227"/>
      <c r="I1859" s="228"/>
    </row>
    <row r="1860" spans="1:9" s="212" customFormat="1">
      <c r="A1860" s="658"/>
      <c r="B1860" s="227"/>
      <c r="C1860" s="227"/>
      <c r="D1860" s="227"/>
      <c r="E1860" s="227"/>
      <c r="F1860" s="227"/>
      <c r="G1860" s="227"/>
      <c r="H1860" s="227"/>
      <c r="I1860" s="229"/>
    </row>
    <row r="1861" spans="1:9" s="212" customFormat="1">
      <c r="A1861" s="658"/>
      <c r="B1861" s="227"/>
      <c r="C1861" s="227"/>
      <c r="D1861" s="227"/>
      <c r="E1861" s="227"/>
      <c r="F1861" s="227"/>
      <c r="G1861" s="227"/>
    </row>
    <row r="1862" spans="1:9" s="212" customFormat="1">
      <c r="A1862" s="69"/>
      <c r="B1862" s="69"/>
      <c r="C1862" s="69"/>
      <c r="D1862" s="69"/>
      <c r="E1862" s="69"/>
    </row>
    <row r="1863" spans="1:9" s="212" customFormat="1">
      <c r="A1863" s="120"/>
      <c r="B1863" s="73"/>
      <c r="C1863" s="73"/>
      <c r="D1863" s="73"/>
      <c r="E1863" s="73"/>
      <c r="F1863" s="73"/>
      <c r="G1863" s="73"/>
      <c r="H1863" s="73"/>
    </row>
    <row r="1864" spans="1:9" s="212" customFormat="1">
      <c r="A1864" s="220"/>
      <c r="B1864" s="141"/>
      <c r="C1864" s="141"/>
      <c r="D1864" s="141"/>
      <c r="E1864" s="141"/>
      <c r="F1864" s="141"/>
      <c r="G1864" s="141"/>
      <c r="H1864" s="73"/>
    </row>
    <row r="1865" spans="1:9" s="212" customFormat="1">
      <c r="A1865" s="142"/>
      <c r="B1865" s="167"/>
      <c r="C1865" s="143"/>
      <c r="D1865" s="84"/>
      <c r="E1865" s="84"/>
      <c r="F1865" s="84"/>
      <c r="G1865" s="224"/>
      <c r="H1865" s="221"/>
    </row>
    <row r="1866" spans="1:9" s="212" customFormat="1">
      <c r="A1866" s="84"/>
      <c r="B1866" s="83"/>
      <c r="C1866" s="84"/>
      <c r="D1866" s="84"/>
      <c r="E1866" s="84"/>
      <c r="G1866" s="213"/>
      <c r="H1866" s="222"/>
    </row>
    <row r="1867" spans="1:9" s="212" customFormat="1">
      <c r="A1867" s="120"/>
      <c r="B1867" s="73"/>
      <c r="C1867" s="73"/>
      <c r="D1867" s="73"/>
      <c r="E1867" s="73"/>
      <c r="G1867" s="73"/>
      <c r="H1867" s="222"/>
    </row>
    <row r="1868" spans="1:9" s="212" customFormat="1">
      <c r="A1868" s="220"/>
      <c r="B1868" s="141"/>
      <c r="C1868" s="141"/>
      <c r="D1868" s="141"/>
      <c r="E1868" s="141"/>
      <c r="F1868" s="141"/>
      <c r="G1868" s="141"/>
      <c r="H1868" s="222"/>
    </row>
    <row r="1869" spans="1:9" s="212" customFormat="1">
      <c r="A1869" s="150"/>
      <c r="B1869" s="83"/>
      <c r="C1869" s="148"/>
      <c r="D1869" s="84"/>
      <c r="E1869" s="84"/>
      <c r="F1869" s="84"/>
      <c r="G1869" s="146"/>
      <c r="H1869" s="222"/>
    </row>
    <row r="1870" spans="1:9" s="212" customFormat="1">
      <c r="A1870" s="150"/>
      <c r="B1870" s="83"/>
      <c r="C1870" s="148"/>
      <c r="D1870" s="84"/>
      <c r="E1870" s="84"/>
      <c r="F1870" s="84"/>
      <c r="G1870" s="146"/>
      <c r="H1870" s="222"/>
    </row>
    <row r="1871" spans="1:9" s="212" customFormat="1">
      <c r="A1871" s="150"/>
      <c r="B1871" s="83"/>
      <c r="C1871" s="148"/>
      <c r="D1871" s="84"/>
      <c r="E1871" s="84"/>
      <c r="F1871" s="84"/>
      <c r="G1871" s="224"/>
      <c r="H1871" s="221"/>
    </row>
    <row r="1872" spans="1:9" s="212" customFormat="1">
      <c r="A1872" s="91"/>
      <c r="B1872" s="91"/>
      <c r="C1872" s="91"/>
      <c r="D1872" s="91"/>
      <c r="E1872" s="91"/>
      <c r="G1872" s="213"/>
      <c r="H1872" s="222"/>
    </row>
    <row r="1873" spans="1:9" s="212" customFormat="1">
      <c r="A1873" s="120"/>
      <c r="B1873" s="73"/>
      <c r="C1873" s="73"/>
      <c r="D1873" s="73"/>
      <c r="E1873" s="73"/>
      <c r="G1873" s="73"/>
      <c r="H1873" s="222"/>
    </row>
    <row r="1874" spans="1:9" s="212" customFormat="1">
      <c r="A1874" s="220"/>
      <c r="B1874" s="141"/>
      <c r="C1874" s="141"/>
      <c r="D1874" s="141"/>
      <c r="E1874" s="141"/>
      <c r="F1874" s="141"/>
      <c r="G1874" s="141"/>
      <c r="H1874" s="222"/>
    </row>
    <row r="1875" spans="1:9" s="212" customFormat="1">
      <c r="A1875" s="146"/>
      <c r="B1875" s="83"/>
      <c r="C1875" s="148"/>
      <c r="D1875" s="84"/>
      <c r="E1875" s="84"/>
      <c r="F1875" s="84"/>
      <c r="G1875" s="146"/>
      <c r="H1875" s="221"/>
    </row>
    <row r="1876" spans="1:9" s="212" customFormat="1">
      <c r="A1876" s="91"/>
      <c r="B1876" s="91"/>
      <c r="C1876" s="91"/>
      <c r="D1876" s="91"/>
      <c r="E1876" s="91"/>
      <c r="G1876" s="213"/>
      <c r="H1876" s="222"/>
    </row>
    <row r="1877" spans="1:9" s="212" customFormat="1">
      <c r="A1877" s="120"/>
      <c r="B1877" s="73"/>
      <c r="C1877" s="73"/>
      <c r="D1877" s="73"/>
      <c r="E1877" s="73"/>
      <c r="G1877" s="73"/>
      <c r="H1877" s="222"/>
    </row>
    <row r="1878" spans="1:9" s="212" customFormat="1">
      <c r="A1878" s="220"/>
      <c r="B1878" s="141"/>
      <c r="C1878" s="141"/>
      <c r="D1878" s="141"/>
      <c r="E1878" s="141"/>
      <c r="F1878" s="141"/>
      <c r="G1878" s="141"/>
      <c r="H1878" s="222"/>
    </row>
    <row r="1879" spans="1:9" s="212" customFormat="1">
      <c r="A1879" s="142"/>
      <c r="B1879" s="143"/>
      <c r="C1879" s="143"/>
      <c r="D1879" s="143"/>
      <c r="E1879" s="143"/>
      <c r="F1879" s="84"/>
      <c r="G1879" s="146"/>
      <c r="H1879" s="221"/>
    </row>
    <row r="1880" spans="1:9" s="212" customFormat="1">
      <c r="A1880" s="123"/>
      <c r="B1880" s="95"/>
      <c r="C1880" s="95"/>
      <c r="D1880" s="95"/>
      <c r="E1880" s="95"/>
      <c r="G1880" s="213"/>
      <c r="H1880" s="73"/>
    </row>
    <row r="1881" spans="1:9" s="212" customFormat="1">
      <c r="A1881" s="123"/>
      <c r="B1881" s="95"/>
      <c r="C1881" s="95"/>
      <c r="D1881" s="95"/>
      <c r="E1881" s="95"/>
      <c r="G1881" s="73"/>
      <c r="H1881" s="225"/>
    </row>
    <row r="1882" spans="1:9" s="212" customFormat="1">
      <c r="B1882" s="97"/>
      <c r="C1882" s="98"/>
      <c r="D1882" s="98"/>
      <c r="E1882" s="98"/>
      <c r="G1882" s="220"/>
    </row>
    <row r="1883" spans="1:9" s="212" customFormat="1">
      <c r="B1883" s="97"/>
      <c r="C1883" s="98"/>
      <c r="D1883" s="98"/>
      <c r="E1883" s="98"/>
      <c r="F1883" s="220"/>
      <c r="G1883" s="225"/>
      <c r="H1883" s="226"/>
    </row>
    <row r="1884" spans="1:9" s="212" customFormat="1">
      <c r="A1884" s="633"/>
      <c r="B1884" s="633"/>
      <c r="C1884" s="633"/>
      <c r="D1884" s="633"/>
      <c r="E1884" s="633"/>
      <c r="F1884" s="633"/>
      <c r="G1884" s="633"/>
    </row>
    <row r="1885" spans="1:9" s="212" customFormat="1">
      <c r="H1885" s="227"/>
      <c r="I1885" s="228"/>
    </row>
    <row r="1886" spans="1:9" s="212" customFormat="1">
      <c r="A1886" s="658"/>
      <c r="B1886" s="227"/>
      <c r="C1886" s="227"/>
      <c r="D1886" s="227"/>
      <c r="E1886" s="227"/>
      <c r="F1886" s="227"/>
      <c r="G1886" s="227"/>
      <c r="H1886" s="227"/>
      <c r="I1886" s="229"/>
    </row>
    <row r="1887" spans="1:9" s="212" customFormat="1">
      <c r="A1887" s="658"/>
      <c r="B1887" s="227"/>
      <c r="C1887" s="227"/>
      <c r="D1887" s="227"/>
      <c r="E1887" s="227"/>
      <c r="F1887" s="227"/>
      <c r="G1887" s="227"/>
    </row>
    <row r="1888" spans="1:9" s="212" customFormat="1">
      <c r="A1888" s="69"/>
      <c r="B1888" s="69"/>
      <c r="C1888" s="69"/>
      <c r="D1888" s="69"/>
      <c r="E1888" s="69"/>
    </row>
    <row r="1889" spans="1:8" s="212" customFormat="1">
      <c r="A1889" s="120"/>
      <c r="B1889" s="73"/>
      <c r="C1889" s="73"/>
      <c r="D1889" s="73"/>
      <c r="E1889" s="73"/>
      <c r="F1889" s="73"/>
      <c r="G1889" s="73"/>
      <c r="H1889" s="73"/>
    </row>
    <row r="1890" spans="1:8" s="212" customFormat="1">
      <c r="A1890" s="220"/>
      <c r="B1890" s="141"/>
      <c r="C1890" s="141"/>
      <c r="D1890" s="141"/>
      <c r="E1890" s="141"/>
      <c r="F1890" s="141"/>
      <c r="G1890" s="141"/>
      <c r="H1890" s="73"/>
    </row>
    <row r="1891" spans="1:8" s="212" customFormat="1">
      <c r="A1891" s="142"/>
      <c r="B1891" s="167"/>
      <c r="C1891" s="143"/>
      <c r="D1891" s="84"/>
      <c r="E1891" s="84"/>
      <c r="F1891" s="84"/>
      <c r="G1891" s="224"/>
      <c r="H1891" s="221"/>
    </row>
    <row r="1892" spans="1:8" s="212" customFormat="1">
      <c r="A1892" s="84"/>
      <c r="B1892" s="83"/>
      <c r="C1892" s="84"/>
      <c r="D1892" s="84"/>
      <c r="E1892" s="84"/>
      <c r="G1892" s="213"/>
      <c r="H1892" s="222"/>
    </row>
    <row r="1893" spans="1:8" s="212" customFormat="1">
      <c r="A1893" s="120"/>
      <c r="B1893" s="73"/>
      <c r="C1893" s="73"/>
      <c r="D1893" s="73"/>
      <c r="E1893" s="73"/>
      <c r="G1893" s="73"/>
      <c r="H1893" s="222"/>
    </row>
    <row r="1894" spans="1:8" s="212" customFormat="1">
      <c r="A1894" s="220"/>
      <c r="B1894" s="141"/>
      <c r="C1894" s="141"/>
      <c r="D1894" s="141"/>
      <c r="E1894" s="141"/>
      <c r="F1894" s="141"/>
      <c r="G1894" s="141"/>
      <c r="H1894" s="222"/>
    </row>
    <row r="1895" spans="1:8" s="212" customFormat="1">
      <c r="A1895" s="150"/>
      <c r="B1895" s="83"/>
      <c r="C1895" s="148"/>
      <c r="D1895" s="84"/>
      <c r="E1895" s="84"/>
      <c r="F1895" s="84"/>
      <c r="G1895" s="146"/>
      <c r="H1895" s="222"/>
    </row>
    <row r="1896" spans="1:8" s="212" customFormat="1">
      <c r="A1896" s="150"/>
      <c r="B1896" s="83"/>
      <c r="C1896" s="148"/>
      <c r="D1896" s="84"/>
      <c r="E1896" s="84"/>
      <c r="F1896" s="84"/>
      <c r="G1896" s="146"/>
      <c r="H1896" s="222"/>
    </row>
    <row r="1897" spans="1:8" s="212" customFormat="1">
      <c r="A1897" s="150"/>
      <c r="B1897" s="83"/>
      <c r="C1897" s="148"/>
      <c r="D1897" s="84"/>
      <c r="E1897" s="84"/>
      <c r="F1897" s="84"/>
      <c r="G1897" s="224"/>
      <c r="H1897" s="221"/>
    </row>
    <row r="1898" spans="1:8" s="212" customFormat="1">
      <c r="A1898" s="91"/>
      <c r="B1898" s="91"/>
      <c r="C1898" s="91"/>
      <c r="D1898" s="91"/>
      <c r="E1898" s="91"/>
      <c r="G1898" s="213"/>
      <c r="H1898" s="222"/>
    </row>
    <row r="1899" spans="1:8" s="212" customFormat="1">
      <c r="A1899" s="120"/>
      <c r="B1899" s="73"/>
      <c r="C1899" s="73"/>
      <c r="D1899" s="73"/>
      <c r="E1899" s="73"/>
      <c r="G1899" s="73"/>
      <c r="H1899" s="222"/>
    </row>
    <row r="1900" spans="1:8" s="212" customFormat="1">
      <c r="A1900" s="220"/>
      <c r="B1900" s="141"/>
      <c r="C1900" s="141"/>
      <c r="D1900" s="141"/>
      <c r="E1900" s="141"/>
      <c r="F1900" s="141"/>
      <c r="G1900" s="141"/>
      <c r="H1900" s="222"/>
    </row>
    <row r="1901" spans="1:8" s="212" customFormat="1">
      <c r="A1901" s="146"/>
      <c r="B1901" s="83"/>
      <c r="C1901" s="148"/>
      <c r="D1901" s="84"/>
      <c r="E1901" s="84"/>
      <c r="F1901" s="84"/>
      <c r="G1901" s="146"/>
      <c r="H1901" s="221"/>
    </row>
    <row r="1902" spans="1:8" s="212" customFormat="1">
      <c r="A1902" s="91"/>
      <c r="B1902" s="91"/>
      <c r="C1902" s="91"/>
      <c r="D1902" s="91"/>
      <c r="E1902" s="91"/>
      <c r="G1902" s="213"/>
      <c r="H1902" s="222"/>
    </row>
    <row r="1903" spans="1:8" s="212" customFormat="1">
      <c r="A1903" s="120"/>
      <c r="B1903" s="73"/>
      <c r="C1903" s="73"/>
      <c r="D1903" s="73"/>
      <c r="E1903" s="73"/>
      <c r="G1903" s="73"/>
      <c r="H1903" s="222"/>
    </row>
    <row r="1904" spans="1:8" s="212" customFormat="1">
      <c r="A1904" s="220"/>
      <c r="B1904" s="141"/>
      <c r="C1904" s="141"/>
      <c r="D1904" s="141"/>
      <c r="E1904" s="141"/>
      <c r="F1904" s="141"/>
      <c r="G1904" s="141"/>
      <c r="H1904" s="222"/>
    </row>
    <row r="1905" spans="1:9" s="212" customFormat="1">
      <c r="A1905" s="142"/>
      <c r="B1905" s="143"/>
      <c r="C1905" s="143"/>
      <c r="D1905" s="143"/>
      <c r="E1905" s="143"/>
      <c r="F1905" s="84"/>
      <c r="G1905" s="146"/>
      <c r="H1905" s="221"/>
    </row>
    <row r="1906" spans="1:9" s="212" customFormat="1">
      <c r="A1906" s="123"/>
      <c r="B1906" s="95"/>
      <c r="C1906" s="95"/>
      <c r="D1906" s="95"/>
      <c r="E1906" s="95"/>
      <c r="G1906" s="213"/>
      <c r="H1906" s="73"/>
    </row>
    <row r="1907" spans="1:9" s="212" customFormat="1">
      <c r="A1907" s="123"/>
      <c r="B1907" s="95"/>
      <c r="C1907" s="95"/>
      <c r="D1907" s="95"/>
      <c r="E1907" s="95"/>
      <c r="G1907" s="73"/>
      <c r="H1907" s="225"/>
    </row>
    <row r="1908" spans="1:9" s="212" customFormat="1">
      <c r="B1908" s="97"/>
      <c r="C1908" s="98"/>
      <c r="D1908" s="98"/>
      <c r="E1908" s="98"/>
      <c r="G1908" s="220"/>
    </row>
    <row r="1909" spans="1:9" s="212" customFormat="1">
      <c r="B1909" s="97"/>
      <c r="C1909" s="98"/>
      <c r="D1909" s="98"/>
      <c r="E1909" s="98"/>
      <c r="F1909" s="220"/>
      <c r="G1909" s="225"/>
      <c r="H1909" s="226"/>
    </row>
    <row r="1910" spans="1:9" s="212" customFormat="1">
      <c r="A1910" s="633"/>
      <c r="B1910" s="633"/>
      <c r="C1910" s="633"/>
      <c r="D1910" s="633"/>
      <c r="E1910" s="633"/>
      <c r="F1910" s="633"/>
      <c r="G1910" s="633"/>
    </row>
    <row r="1911" spans="1:9" s="212" customFormat="1">
      <c r="H1911" s="227"/>
      <c r="I1911" s="228"/>
    </row>
    <row r="1912" spans="1:9" s="212" customFormat="1">
      <c r="A1912" s="658"/>
      <c r="B1912" s="227"/>
      <c r="C1912" s="227"/>
      <c r="D1912" s="227"/>
      <c r="E1912" s="227"/>
      <c r="F1912" s="227"/>
      <c r="G1912" s="227"/>
      <c r="H1912" s="227"/>
      <c r="I1912" s="229"/>
    </row>
    <row r="1913" spans="1:9" s="212" customFormat="1">
      <c r="A1913" s="658"/>
      <c r="B1913" s="227"/>
      <c r="C1913" s="227"/>
      <c r="D1913" s="227"/>
      <c r="E1913" s="227"/>
      <c r="F1913" s="227"/>
      <c r="G1913" s="227"/>
    </row>
    <row r="1914" spans="1:9" s="212" customFormat="1">
      <c r="A1914" s="69"/>
      <c r="B1914" s="69"/>
      <c r="C1914" s="69"/>
      <c r="D1914" s="69"/>
      <c r="E1914" s="69"/>
    </row>
    <row r="1915" spans="1:9" s="212" customFormat="1">
      <c r="A1915" s="120"/>
      <c r="B1915" s="73"/>
      <c r="C1915" s="73"/>
      <c r="D1915" s="73"/>
      <c r="E1915" s="73"/>
      <c r="F1915" s="73"/>
      <c r="G1915" s="73"/>
      <c r="H1915" s="73"/>
    </row>
    <row r="1916" spans="1:9" s="212" customFormat="1">
      <c r="A1916" s="220"/>
      <c r="B1916" s="141"/>
      <c r="C1916" s="141"/>
      <c r="D1916" s="141"/>
      <c r="E1916" s="141"/>
      <c r="F1916" s="141"/>
      <c r="G1916" s="141"/>
      <c r="H1916" s="73"/>
    </row>
    <row r="1917" spans="1:9" s="212" customFormat="1">
      <c r="A1917" s="150"/>
      <c r="B1917" s="84"/>
      <c r="C1917" s="148"/>
      <c r="D1917" s="84"/>
      <c r="E1917" s="84"/>
      <c r="F1917" s="84"/>
      <c r="G1917" s="146"/>
      <c r="H1917" s="221"/>
    </row>
    <row r="1918" spans="1:9" s="212" customFormat="1">
      <c r="A1918" s="84"/>
      <c r="B1918" s="83"/>
      <c r="C1918" s="84"/>
      <c r="D1918" s="84"/>
      <c r="E1918" s="84"/>
      <c r="G1918" s="213"/>
      <c r="H1918" s="222"/>
    </row>
    <row r="1919" spans="1:9" s="212" customFormat="1">
      <c r="A1919" s="120"/>
      <c r="B1919" s="73"/>
      <c r="C1919" s="73"/>
      <c r="D1919" s="73"/>
      <c r="E1919" s="73"/>
      <c r="G1919" s="73"/>
      <c r="H1919" s="222"/>
    </row>
    <row r="1920" spans="1:9" s="212" customFormat="1">
      <c r="A1920" s="220"/>
      <c r="B1920" s="141"/>
      <c r="C1920" s="141"/>
      <c r="D1920" s="141"/>
      <c r="E1920" s="141"/>
      <c r="F1920" s="141"/>
      <c r="G1920" s="141"/>
      <c r="H1920" s="222"/>
    </row>
    <row r="1921" spans="1:9" s="212" customFormat="1">
      <c r="A1921" s="150"/>
      <c r="B1921" s="83"/>
      <c r="C1921" s="148"/>
      <c r="D1921" s="160"/>
      <c r="E1921" s="84"/>
      <c r="F1921" s="84"/>
      <c r="G1921" s="146"/>
      <c r="H1921" s="221"/>
    </row>
    <row r="1922" spans="1:9" s="212" customFormat="1">
      <c r="A1922" s="91"/>
      <c r="B1922" s="91"/>
      <c r="C1922" s="91"/>
      <c r="D1922" s="91"/>
      <c r="E1922" s="91"/>
      <c r="G1922" s="213"/>
      <c r="H1922" s="222"/>
    </row>
    <row r="1923" spans="1:9" s="212" customFormat="1">
      <c r="A1923" s="120"/>
      <c r="B1923" s="73"/>
      <c r="C1923" s="73"/>
      <c r="D1923" s="73"/>
      <c r="E1923" s="73"/>
      <c r="G1923" s="73"/>
      <c r="H1923" s="222"/>
    </row>
    <row r="1924" spans="1:9" s="212" customFormat="1">
      <c r="A1924" s="220"/>
      <c r="B1924" s="141"/>
      <c r="C1924" s="141"/>
      <c r="D1924" s="141"/>
      <c r="E1924" s="141"/>
      <c r="F1924" s="141"/>
      <c r="G1924" s="141"/>
      <c r="H1924" s="222"/>
    </row>
    <row r="1925" spans="1:9" s="212" customFormat="1">
      <c r="A1925" s="150"/>
      <c r="B1925" s="84"/>
      <c r="C1925" s="148"/>
      <c r="D1925" s="84"/>
      <c r="E1925" s="84"/>
      <c r="F1925" s="84"/>
      <c r="G1925" s="146"/>
      <c r="H1925" s="221"/>
    </row>
    <row r="1926" spans="1:9" s="212" customFormat="1">
      <c r="A1926" s="91"/>
      <c r="B1926" s="91"/>
      <c r="C1926" s="91"/>
      <c r="D1926" s="91"/>
      <c r="E1926" s="91"/>
      <c r="G1926" s="213"/>
      <c r="H1926" s="222"/>
    </row>
    <row r="1927" spans="1:9" s="212" customFormat="1">
      <c r="A1927" s="120"/>
      <c r="B1927" s="73"/>
      <c r="C1927" s="73"/>
      <c r="D1927" s="73"/>
      <c r="E1927" s="73"/>
      <c r="G1927" s="73"/>
      <c r="H1927" s="222"/>
    </row>
    <row r="1928" spans="1:9" s="212" customFormat="1">
      <c r="A1928" s="220"/>
      <c r="B1928" s="141"/>
      <c r="C1928" s="141"/>
      <c r="D1928" s="141"/>
      <c r="E1928" s="141"/>
      <c r="F1928" s="141"/>
      <c r="G1928" s="141"/>
      <c r="H1928" s="222"/>
    </row>
    <row r="1929" spans="1:9" s="212" customFormat="1">
      <c r="A1929" s="142"/>
      <c r="B1929" s="143"/>
      <c r="C1929" s="143"/>
      <c r="D1929" s="143"/>
      <c r="E1929" s="143"/>
      <c r="F1929" s="84"/>
      <c r="G1929" s="146"/>
      <c r="H1929" s="221"/>
    </row>
    <row r="1930" spans="1:9" s="212" customFormat="1">
      <c r="A1930" s="123"/>
      <c r="B1930" s="95"/>
      <c r="C1930" s="95"/>
      <c r="D1930" s="95"/>
      <c r="E1930" s="95"/>
      <c r="G1930" s="213"/>
      <c r="H1930" s="73"/>
    </row>
    <row r="1931" spans="1:9" s="212" customFormat="1">
      <c r="A1931" s="123"/>
      <c r="B1931" s="95"/>
      <c r="C1931" s="95"/>
      <c r="D1931" s="95"/>
      <c r="E1931" s="95"/>
      <c r="G1931" s="73"/>
      <c r="H1931" s="225"/>
    </row>
    <row r="1932" spans="1:9" s="212" customFormat="1">
      <c r="B1932" s="97"/>
      <c r="C1932" s="98"/>
      <c r="D1932" s="98"/>
      <c r="E1932" s="98"/>
      <c r="G1932" s="220"/>
    </row>
    <row r="1933" spans="1:9" s="212" customFormat="1">
      <c r="B1933" s="97"/>
      <c r="C1933" s="98"/>
      <c r="D1933" s="98"/>
      <c r="E1933" s="98"/>
      <c r="F1933" s="220"/>
      <c r="G1933" s="225"/>
      <c r="H1933" s="226"/>
    </row>
    <row r="1934" spans="1:9" s="212" customFormat="1">
      <c r="A1934" s="633"/>
      <c r="B1934" s="633"/>
      <c r="C1934" s="633"/>
      <c r="D1934" s="633"/>
      <c r="E1934" s="633"/>
      <c r="F1934" s="633"/>
      <c r="G1934" s="633"/>
    </row>
    <row r="1935" spans="1:9" s="212" customFormat="1">
      <c r="H1935" s="227"/>
      <c r="I1935" s="228"/>
    </row>
    <row r="1936" spans="1:9" s="212" customFormat="1">
      <c r="A1936" s="658"/>
      <c r="B1936" s="227"/>
      <c r="C1936" s="227"/>
      <c r="D1936" s="227"/>
      <c r="E1936" s="227"/>
      <c r="F1936" s="227"/>
      <c r="G1936" s="227"/>
      <c r="H1936" s="227"/>
      <c r="I1936" s="229"/>
    </row>
    <row r="1937" spans="1:8" s="212" customFormat="1">
      <c r="A1937" s="658"/>
      <c r="B1937" s="227"/>
      <c r="C1937" s="227"/>
      <c r="D1937" s="227"/>
      <c r="E1937" s="227"/>
      <c r="F1937" s="227"/>
      <c r="G1937" s="227"/>
    </row>
    <row r="1938" spans="1:8" s="212" customFormat="1">
      <c r="A1938" s="69"/>
      <c r="B1938" s="69"/>
      <c r="C1938" s="69"/>
      <c r="D1938" s="69"/>
      <c r="E1938" s="69"/>
    </row>
    <row r="1939" spans="1:8" s="212" customFormat="1">
      <c r="A1939" s="120"/>
      <c r="B1939" s="73"/>
      <c r="C1939" s="73"/>
      <c r="D1939" s="73"/>
      <c r="E1939" s="73"/>
      <c r="F1939" s="73"/>
      <c r="G1939" s="73"/>
      <c r="H1939" s="73"/>
    </row>
    <row r="1940" spans="1:8" s="212" customFormat="1">
      <c r="A1940" s="220"/>
      <c r="B1940" s="141"/>
      <c r="C1940" s="141"/>
      <c r="D1940" s="141"/>
      <c r="E1940" s="141"/>
      <c r="F1940" s="141"/>
      <c r="G1940" s="141"/>
      <c r="H1940" s="73"/>
    </row>
    <row r="1941" spans="1:8" s="212" customFormat="1">
      <c r="A1941" s="150"/>
      <c r="B1941" s="84"/>
      <c r="C1941" s="148"/>
      <c r="D1941" s="84"/>
      <c r="E1941" s="84"/>
      <c r="F1941" s="84"/>
      <c r="G1941" s="146"/>
      <c r="H1941" s="221"/>
    </row>
    <row r="1942" spans="1:8" s="212" customFormat="1">
      <c r="A1942" s="84"/>
      <c r="B1942" s="83"/>
      <c r="C1942" s="84"/>
      <c r="D1942" s="84"/>
      <c r="E1942" s="84"/>
      <c r="G1942" s="213"/>
      <c r="H1942" s="222"/>
    </row>
    <row r="1943" spans="1:8" s="212" customFormat="1">
      <c r="A1943" s="120"/>
      <c r="B1943" s="73"/>
      <c r="C1943" s="73"/>
      <c r="D1943" s="73"/>
      <c r="E1943" s="73"/>
      <c r="G1943" s="73"/>
      <c r="H1943" s="222"/>
    </row>
    <row r="1944" spans="1:8" s="212" customFormat="1">
      <c r="A1944" s="220"/>
      <c r="B1944" s="141"/>
      <c r="C1944" s="141"/>
      <c r="D1944" s="141"/>
      <c r="E1944" s="141"/>
      <c r="F1944" s="141"/>
      <c r="G1944" s="141"/>
      <c r="H1944" s="222"/>
    </row>
    <row r="1945" spans="1:8" s="212" customFormat="1">
      <c r="A1945" s="150"/>
      <c r="B1945" s="83"/>
      <c r="C1945" s="148"/>
      <c r="D1945" s="160"/>
      <c r="E1945" s="84"/>
      <c r="F1945" s="84"/>
      <c r="G1945" s="146"/>
      <c r="H1945" s="221"/>
    </row>
    <row r="1946" spans="1:8" s="212" customFormat="1">
      <c r="A1946" s="91"/>
      <c r="B1946" s="91"/>
      <c r="C1946" s="91"/>
      <c r="D1946" s="91"/>
      <c r="E1946" s="91"/>
      <c r="G1946" s="213"/>
      <c r="H1946" s="222"/>
    </row>
    <row r="1947" spans="1:8" s="212" customFormat="1">
      <c r="A1947" s="120"/>
      <c r="B1947" s="73"/>
      <c r="C1947" s="73"/>
      <c r="D1947" s="73"/>
      <c r="E1947" s="73"/>
      <c r="G1947" s="73"/>
      <c r="H1947" s="222"/>
    </row>
    <row r="1948" spans="1:8" s="212" customFormat="1">
      <c r="A1948" s="220"/>
      <c r="B1948" s="141"/>
      <c r="C1948" s="141"/>
      <c r="D1948" s="141"/>
      <c r="E1948" s="141"/>
      <c r="F1948" s="141"/>
      <c r="G1948" s="141"/>
      <c r="H1948" s="222"/>
    </row>
    <row r="1949" spans="1:8" s="212" customFormat="1">
      <c r="A1949" s="150"/>
      <c r="B1949" s="84"/>
      <c r="C1949" s="148"/>
      <c r="D1949" s="84"/>
      <c r="E1949" s="84"/>
      <c r="F1949" s="84"/>
      <c r="G1949" s="146"/>
      <c r="H1949" s="221"/>
    </row>
    <row r="1950" spans="1:8" s="212" customFormat="1">
      <c r="A1950" s="91"/>
      <c r="B1950" s="91"/>
      <c r="C1950" s="91"/>
      <c r="D1950" s="91"/>
      <c r="E1950" s="91"/>
      <c r="G1950" s="213"/>
      <c r="H1950" s="222"/>
    </row>
    <row r="1951" spans="1:8" s="212" customFormat="1">
      <c r="A1951" s="120"/>
      <c r="B1951" s="73"/>
      <c r="C1951" s="73"/>
      <c r="D1951" s="73"/>
      <c r="E1951" s="73"/>
      <c r="G1951" s="73"/>
      <c r="H1951" s="222"/>
    </row>
    <row r="1952" spans="1:8" s="212" customFormat="1">
      <c r="A1952" s="220"/>
      <c r="B1952" s="141"/>
      <c r="C1952" s="141"/>
      <c r="D1952" s="141"/>
      <c r="E1952" s="141"/>
      <c r="F1952" s="141"/>
      <c r="G1952" s="141"/>
      <c r="H1952" s="222"/>
    </row>
    <row r="1953" spans="1:9" s="212" customFormat="1">
      <c r="A1953" s="142"/>
      <c r="B1953" s="143"/>
      <c r="C1953" s="143"/>
      <c r="D1953" s="143"/>
      <c r="E1953" s="143"/>
      <c r="F1953" s="84"/>
      <c r="G1953" s="146"/>
      <c r="H1953" s="221"/>
    </row>
    <row r="1954" spans="1:9" s="212" customFormat="1">
      <c r="A1954" s="123"/>
      <c r="B1954" s="95"/>
      <c r="C1954" s="95"/>
      <c r="D1954" s="95"/>
      <c r="E1954" s="95"/>
      <c r="G1954" s="213"/>
      <c r="H1954" s="73"/>
    </row>
    <row r="1955" spans="1:9" s="212" customFormat="1">
      <c r="A1955" s="123"/>
      <c r="B1955" s="95"/>
      <c r="C1955" s="95"/>
      <c r="D1955" s="95"/>
      <c r="E1955" s="95"/>
      <c r="G1955" s="73"/>
      <c r="H1955" s="225"/>
    </row>
    <row r="1956" spans="1:9" s="212" customFormat="1">
      <c r="B1956" s="97"/>
      <c r="C1956" s="98"/>
      <c r="D1956" s="98"/>
      <c r="E1956" s="98"/>
      <c r="G1956" s="220"/>
    </row>
    <row r="1957" spans="1:9" s="212" customFormat="1">
      <c r="B1957" s="97"/>
      <c r="C1957" s="98"/>
      <c r="D1957" s="98"/>
      <c r="E1957" s="98"/>
      <c r="F1957" s="220"/>
      <c r="G1957" s="225"/>
      <c r="H1957" s="226"/>
    </row>
    <row r="1958" spans="1:9" s="212" customFormat="1">
      <c r="A1958" s="633"/>
      <c r="B1958" s="633"/>
      <c r="C1958" s="633"/>
      <c r="D1958" s="633"/>
      <c r="E1958" s="633"/>
      <c r="F1958" s="633"/>
      <c r="G1958" s="633"/>
    </row>
    <row r="1959" spans="1:9" s="212" customFormat="1">
      <c r="H1959" s="227"/>
      <c r="I1959" s="228"/>
    </row>
    <row r="1960" spans="1:9" s="212" customFormat="1">
      <c r="A1960" s="658"/>
      <c r="B1960" s="227"/>
      <c r="C1960" s="227"/>
      <c r="D1960" s="227"/>
      <c r="E1960" s="227"/>
      <c r="F1960" s="227"/>
      <c r="G1960" s="227"/>
      <c r="H1960" s="227"/>
      <c r="I1960" s="229"/>
    </row>
    <row r="1961" spans="1:9" s="212" customFormat="1">
      <c r="A1961" s="658"/>
      <c r="B1961" s="227"/>
      <c r="C1961" s="227"/>
      <c r="D1961" s="227"/>
      <c r="E1961" s="227"/>
      <c r="F1961" s="227"/>
      <c r="G1961" s="227"/>
    </row>
    <row r="1962" spans="1:9" s="212" customFormat="1">
      <c r="A1962" s="69"/>
      <c r="B1962" s="69"/>
      <c r="C1962" s="69"/>
      <c r="D1962" s="69"/>
      <c r="E1962" s="69"/>
    </row>
    <row r="1963" spans="1:9" s="212" customFormat="1">
      <c r="A1963" s="120"/>
      <c r="B1963" s="73"/>
      <c r="C1963" s="73"/>
      <c r="D1963" s="73"/>
      <c r="E1963" s="73"/>
      <c r="F1963" s="73"/>
      <c r="G1963" s="73"/>
      <c r="H1963" s="73"/>
    </row>
    <row r="1964" spans="1:9" s="212" customFormat="1">
      <c r="A1964" s="220"/>
      <c r="B1964" s="141"/>
      <c r="C1964" s="141"/>
      <c r="D1964" s="141"/>
      <c r="E1964" s="141"/>
      <c r="F1964" s="141"/>
      <c r="G1964" s="141"/>
      <c r="H1964" s="73"/>
    </row>
    <row r="1965" spans="1:9" s="212" customFormat="1">
      <c r="A1965" s="150"/>
      <c r="B1965" s="84"/>
      <c r="C1965" s="148"/>
      <c r="D1965" s="84"/>
      <c r="E1965" s="84"/>
      <c r="F1965" s="84"/>
      <c r="G1965" s="146"/>
      <c r="H1965" s="221"/>
    </row>
    <row r="1966" spans="1:9" s="212" customFormat="1">
      <c r="A1966" s="84"/>
      <c r="B1966" s="83"/>
      <c r="C1966" s="84"/>
      <c r="D1966" s="84"/>
      <c r="E1966" s="84"/>
      <c r="G1966" s="213"/>
      <c r="H1966" s="222"/>
    </row>
    <row r="1967" spans="1:9" s="212" customFormat="1">
      <c r="A1967" s="120"/>
      <c r="B1967" s="73"/>
      <c r="C1967" s="73"/>
      <c r="D1967" s="73"/>
      <c r="E1967" s="73"/>
      <c r="G1967" s="73"/>
      <c r="H1967" s="222"/>
    </row>
    <row r="1968" spans="1:9" s="212" customFormat="1">
      <c r="A1968" s="220"/>
      <c r="B1968" s="141"/>
      <c r="C1968" s="141"/>
      <c r="D1968" s="141"/>
      <c r="E1968" s="141"/>
      <c r="F1968" s="141"/>
      <c r="G1968" s="141"/>
      <c r="H1968" s="222"/>
    </row>
    <row r="1969" spans="1:9" s="212" customFormat="1">
      <c r="A1969" s="150"/>
      <c r="B1969" s="83"/>
      <c r="C1969" s="148"/>
      <c r="D1969" s="160"/>
      <c r="E1969" s="84"/>
      <c r="F1969" s="84"/>
      <c r="G1969" s="146"/>
      <c r="H1969" s="221"/>
    </row>
    <row r="1970" spans="1:9" s="212" customFormat="1">
      <c r="A1970" s="91"/>
      <c r="B1970" s="91"/>
      <c r="C1970" s="91"/>
      <c r="D1970" s="91"/>
      <c r="E1970" s="91"/>
      <c r="G1970" s="213"/>
      <c r="H1970" s="222"/>
    </row>
    <row r="1971" spans="1:9" s="212" customFormat="1">
      <c r="A1971" s="120"/>
      <c r="B1971" s="73"/>
      <c r="C1971" s="73"/>
      <c r="D1971" s="73"/>
      <c r="E1971" s="73"/>
      <c r="G1971" s="73"/>
      <c r="H1971" s="222"/>
    </row>
    <row r="1972" spans="1:9" s="212" customFormat="1">
      <c r="A1972" s="220"/>
      <c r="B1972" s="141"/>
      <c r="C1972" s="141"/>
      <c r="D1972" s="141"/>
      <c r="E1972" s="141"/>
      <c r="F1972" s="141"/>
      <c r="G1972" s="141"/>
      <c r="H1972" s="222"/>
    </row>
    <row r="1973" spans="1:9" s="212" customFormat="1">
      <c r="A1973" s="150"/>
      <c r="B1973" s="84"/>
      <c r="C1973" s="148"/>
      <c r="D1973" s="84"/>
      <c r="E1973" s="84"/>
      <c r="F1973" s="84"/>
      <c r="G1973" s="146"/>
      <c r="H1973" s="221"/>
    </row>
    <row r="1974" spans="1:9" s="212" customFormat="1">
      <c r="A1974" s="91"/>
      <c r="B1974" s="91"/>
      <c r="C1974" s="91"/>
      <c r="D1974" s="91"/>
      <c r="E1974" s="91"/>
      <c r="G1974" s="213"/>
      <c r="H1974" s="222"/>
    </row>
    <row r="1975" spans="1:9" s="212" customFormat="1">
      <c r="A1975" s="120"/>
      <c r="B1975" s="73"/>
      <c r="C1975" s="73"/>
      <c r="D1975" s="73"/>
      <c r="E1975" s="73"/>
      <c r="G1975" s="73"/>
      <c r="H1975" s="222"/>
    </row>
    <row r="1976" spans="1:9" s="212" customFormat="1">
      <c r="A1976" s="220"/>
      <c r="B1976" s="141"/>
      <c r="C1976" s="141"/>
      <c r="D1976" s="141"/>
      <c r="E1976" s="141"/>
      <c r="F1976" s="141"/>
      <c r="G1976" s="141"/>
      <c r="H1976" s="222"/>
    </row>
    <row r="1977" spans="1:9" s="212" customFormat="1">
      <c r="A1977" s="142"/>
      <c r="B1977" s="143"/>
      <c r="C1977" s="143"/>
      <c r="D1977" s="143"/>
      <c r="E1977" s="143"/>
      <c r="F1977" s="84"/>
      <c r="G1977" s="146"/>
      <c r="H1977" s="221"/>
    </row>
    <row r="1978" spans="1:9" s="212" customFormat="1">
      <c r="A1978" s="123"/>
      <c r="B1978" s="95"/>
      <c r="C1978" s="95"/>
      <c r="D1978" s="95"/>
      <c r="E1978" s="95"/>
      <c r="G1978" s="213"/>
      <c r="H1978" s="73"/>
    </row>
    <row r="1979" spans="1:9" s="212" customFormat="1">
      <c r="A1979" s="123"/>
      <c r="B1979" s="95"/>
      <c r="C1979" s="95"/>
      <c r="D1979" s="95"/>
      <c r="E1979" s="95"/>
      <c r="G1979" s="73"/>
      <c r="H1979" s="225"/>
    </row>
    <row r="1980" spans="1:9" s="212" customFormat="1">
      <c r="B1980" s="97"/>
      <c r="C1980" s="98"/>
      <c r="D1980" s="98"/>
      <c r="E1980" s="98"/>
      <c r="G1980" s="220"/>
    </row>
    <row r="1981" spans="1:9" s="212" customFormat="1">
      <c r="B1981" s="97"/>
      <c r="C1981" s="98"/>
      <c r="D1981" s="98"/>
      <c r="E1981" s="98"/>
      <c r="F1981" s="220"/>
      <c r="G1981" s="225"/>
      <c r="H1981" s="226"/>
    </row>
    <row r="1982" spans="1:9" s="212" customFormat="1">
      <c r="A1982" s="633"/>
      <c r="B1982" s="633"/>
      <c r="C1982" s="633"/>
      <c r="D1982" s="633"/>
      <c r="E1982" s="633"/>
      <c r="F1982" s="633"/>
      <c r="G1982" s="633"/>
    </row>
    <row r="1983" spans="1:9" s="212" customFormat="1">
      <c r="H1983" s="227"/>
      <c r="I1983" s="228"/>
    </row>
    <row r="1984" spans="1:9" s="212" customFormat="1">
      <c r="A1984" s="658"/>
      <c r="B1984" s="227"/>
      <c r="C1984" s="227"/>
      <c r="D1984" s="227"/>
      <c r="E1984" s="227"/>
      <c r="F1984" s="227"/>
      <c r="G1984" s="227"/>
      <c r="H1984" s="227"/>
      <c r="I1984" s="229"/>
    </row>
    <row r="1985" spans="1:8" s="212" customFormat="1">
      <c r="A1985" s="658"/>
      <c r="B1985" s="227"/>
      <c r="C1985" s="227"/>
      <c r="D1985" s="227"/>
      <c r="E1985" s="227"/>
      <c r="F1985" s="227"/>
      <c r="G1985" s="227"/>
    </row>
    <row r="1986" spans="1:8" s="212" customFormat="1">
      <c r="A1986" s="69"/>
      <c r="B1986" s="69"/>
      <c r="C1986" s="69"/>
      <c r="D1986" s="69"/>
      <c r="E1986" s="69"/>
    </row>
    <row r="1987" spans="1:8" s="212" customFormat="1">
      <c r="A1987" s="120"/>
      <c r="B1987" s="73"/>
      <c r="C1987" s="73"/>
      <c r="D1987" s="73"/>
      <c r="E1987" s="73"/>
      <c r="F1987" s="73"/>
      <c r="G1987" s="73"/>
      <c r="H1987" s="73"/>
    </row>
    <row r="1988" spans="1:8" s="212" customFormat="1">
      <c r="A1988" s="220"/>
      <c r="B1988" s="141"/>
      <c r="C1988" s="141"/>
      <c r="D1988" s="141"/>
      <c r="E1988" s="141"/>
      <c r="F1988" s="141"/>
      <c r="G1988" s="141"/>
      <c r="H1988" s="73"/>
    </row>
    <row r="1989" spans="1:8" s="212" customFormat="1">
      <c r="A1989" s="150"/>
      <c r="B1989" s="84"/>
      <c r="C1989" s="148"/>
      <c r="D1989" s="84"/>
      <c r="E1989" s="84"/>
      <c r="F1989" s="84"/>
      <c r="G1989" s="146"/>
      <c r="H1989" s="221"/>
    </row>
    <row r="1990" spans="1:8" s="212" customFormat="1">
      <c r="A1990" s="84"/>
      <c r="B1990" s="83"/>
      <c r="C1990" s="84"/>
      <c r="D1990" s="84"/>
      <c r="E1990" s="84"/>
      <c r="G1990" s="213"/>
      <c r="H1990" s="222"/>
    </row>
    <row r="1991" spans="1:8" s="212" customFormat="1">
      <c r="A1991" s="120"/>
      <c r="B1991" s="73"/>
      <c r="C1991" s="73"/>
      <c r="D1991" s="73"/>
      <c r="E1991" s="73"/>
      <c r="G1991" s="73"/>
      <c r="H1991" s="222"/>
    </row>
    <row r="1992" spans="1:8" s="212" customFormat="1">
      <c r="A1992" s="220"/>
      <c r="B1992" s="141"/>
      <c r="C1992" s="141"/>
      <c r="D1992" s="141"/>
      <c r="E1992" s="141"/>
      <c r="F1992" s="141"/>
      <c r="G1992" s="141"/>
      <c r="H1992" s="222"/>
    </row>
    <row r="1993" spans="1:8" s="212" customFormat="1">
      <c r="A1993" s="150"/>
      <c r="B1993" s="83"/>
      <c r="C1993" s="148"/>
      <c r="D1993" s="160"/>
      <c r="E1993" s="84"/>
      <c r="F1993" s="84"/>
      <c r="G1993" s="146"/>
      <c r="H1993" s="221"/>
    </row>
    <row r="1994" spans="1:8" s="212" customFormat="1">
      <c r="A1994" s="91"/>
      <c r="B1994" s="91"/>
      <c r="C1994" s="91"/>
      <c r="D1994" s="91"/>
      <c r="E1994" s="91"/>
      <c r="G1994" s="213"/>
      <c r="H1994" s="222"/>
    </row>
    <row r="1995" spans="1:8" s="212" customFormat="1">
      <c r="A1995" s="120"/>
      <c r="B1995" s="73"/>
      <c r="C1995" s="73"/>
      <c r="D1995" s="73"/>
      <c r="E1995" s="73"/>
      <c r="G1995" s="73"/>
      <c r="H1995" s="222"/>
    </row>
    <row r="1996" spans="1:8" s="212" customFormat="1">
      <c r="A1996" s="220"/>
      <c r="B1996" s="141"/>
      <c r="C1996" s="141"/>
      <c r="D1996" s="141"/>
      <c r="E1996" s="141"/>
      <c r="F1996" s="141"/>
      <c r="G1996" s="141"/>
      <c r="H1996" s="222"/>
    </row>
    <row r="1997" spans="1:8" s="212" customFormat="1">
      <c r="A1997" s="150"/>
      <c r="B1997" s="84"/>
      <c r="C1997" s="148"/>
      <c r="D1997" s="84"/>
      <c r="E1997" s="84"/>
      <c r="F1997" s="84"/>
      <c r="G1997" s="146"/>
      <c r="H1997" s="221"/>
    </row>
    <row r="1998" spans="1:8" s="212" customFormat="1">
      <c r="A1998" s="91"/>
      <c r="B1998" s="91"/>
      <c r="C1998" s="91"/>
      <c r="D1998" s="91"/>
      <c r="E1998" s="91"/>
      <c r="G1998" s="213"/>
      <c r="H1998" s="222"/>
    </row>
    <row r="1999" spans="1:8" s="212" customFormat="1">
      <c r="A1999" s="120"/>
      <c r="B1999" s="73"/>
      <c r="C1999" s="73"/>
      <c r="D1999" s="73"/>
      <c r="E1999" s="73"/>
      <c r="G1999" s="73"/>
      <c r="H1999" s="222"/>
    </row>
    <row r="2000" spans="1:8" s="212" customFormat="1">
      <c r="A2000" s="220"/>
      <c r="B2000" s="141"/>
      <c r="C2000" s="141"/>
      <c r="D2000" s="141"/>
      <c r="E2000" s="141"/>
      <c r="F2000" s="141"/>
      <c r="G2000" s="141"/>
      <c r="H2000" s="222"/>
    </row>
    <row r="2001" spans="1:9" s="212" customFormat="1">
      <c r="A2001" s="142"/>
      <c r="B2001" s="143"/>
      <c r="C2001" s="143"/>
      <c r="D2001" s="143"/>
      <c r="E2001" s="143"/>
      <c r="F2001" s="84"/>
      <c r="G2001" s="146"/>
      <c r="H2001" s="221"/>
    </row>
    <row r="2002" spans="1:9" s="212" customFormat="1">
      <c r="A2002" s="123"/>
      <c r="B2002" s="95"/>
      <c r="C2002" s="95"/>
      <c r="D2002" s="95"/>
      <c r="E2002" s="95"/>
      <c r="G2002" s="213"/>
      <c r="H2002" s="73"/>
    </row>
    <row r="2003" spans="1:9" s="212" customFormat="1">
      <c r="A2003" s="123"/>
      <c r="B2003" s="95"/>
      <c r="C2003" s="95"/>
      <c r="D2003" s="95"/>
      <c r="E2003" s="95"/>
      <c r="G2003" s="73"/>
      <c r="H2003" s="225"/>
    </row>
    <row r="2004" spans="1:9" s="212" customFormat="1">
      <c r="B2004" s="97"/>
      <c r="C2004" s="98"/>
      <c r="D2004" s="98"/>
      <c r="E2004" s="98"/>
      <c r="G2004" s="220"/>
    </row>
    <row r="2005" spans="1:9" s="212" customFormat="1">
      <c r="B2005" s="97"/>
      <c r="C2005" s="98"/>
      <c r="D2005" s="98"/>
      <c r="E2005" s="98"/>
      <c r="F2005" s="220"/>
      <c r="G2005" s="225"/>
      <c r="H2005" s="226"/>
    </row>
    <row r="2006" spans="1:9" s="212" customFormat="1">
      <c r="A2006" s="633"/>
      <c r="B2006" s="633"/>
      <c r="C2006" s="633"/>
      <c r="D2006" s="633"/>
      <c r="E2006" s="633"/>
      <c r="F2006" s="633"/>
      <c r="G2006" s="633"/>
    </row>
    <row r="2007" spans="1:9" s="212" customFormat="1">
      <c r="H2007" s="227"/>
      <c r="I2007" s="228"/>
    </row>
    <row r="2008" spans="1:9" s="212" customFormat="1">
      <c r="A2008" s="658"/>
      <c r="B2008" s="227"/>
      <c r="C2008" s="227"/>
      <c r="D2008" s="227"/>
      <c r="E2008" s="227"/>
      <c r="F2008" s="227"/>
      <c r="G2008" s="227"/>
      <c r="H2008" s="227"/>
      <c r="I2008" s="229"/>
    </row>
    <row r="2009" spans="1:9" s="212" customFormat="1">
      <c r="A2009" s="658"/>
      <c r="B2009" s="227"/>
      <c r="C2009" s="227"/>
      <c r="D2009" s="227"/>
      <c r="E2009" s="227"/>
      <c r="F2009" s="227"/>
      <c r="G2009" s="227"/>
    </row>
    <row r="2010" spans="1:9" s="212" customFormat="1">
      <c r="A2010" s="69"/>
      <c r="B2010" s="69"/>
      <c r="C2010" s="69"/>
      <c r="D2010" s="69"/>
      <c r="E2010" s="69"/>
    </row>
    <row r="2011" spans="1:9" s="212" customFormat="1">
      <c r="A2011" s="120"/>
      <c r="B2011" s="73"/>
      <c r="C2011" s="73"/>
      <c r="D2011" s="73"/>
      <c r="E2011" s="73"/>
      <c r="F2011" s="73"/>
      <c r="G2011" s="73"/>
      <c r="H2011" s="73"/>
    </row>
    <row r="2012" spans="1:9" s="212" customFormat="1">
      <c r="A2012" s="220"/>
      <c r="B2012" s="141"/>
      <c r="C2012" s="141"/>
      <c r="D2012" s="141"/>
      <c r="E2012" s="141"/>
      <c r="F2012" s="141"/>
      <c r="G2012" s="141"/>
      <c r="H2012" s="73"/>
    </row>
    <row r="2013" spans="1:9" s="212" customFormat="1">
      <c r="A2013" s="150"/>
      <c r="B2013" s="84"/>
      <c r="C2013" s="148"/>
      <c r="D2013" s="84"/>
      <c r="E2013" s="84"/>
      <c r="F2013" s="84"/>
      <c r="G2013" s="146"/>
      <c r="H2013" s="221"/>
    </row>
    <row r="2014" spans="1:9" s="212" customFormat="1">
      <c r="A2014" s="84"/>
      <c r="B2014" s="83"/>
      <c r="C2014" s="84"/>
      <c r="D2014" s="84"/>
      <c r="E2014" s="84"/>
      <c r="G2014" s="213"/>
      <c r="H2014" s="222"/>
    </row>
    <row r="2015" spans="1:9" s="212" customFormat="1">
      <c r="A2015" s="120"/>
      <c r="B2015" s="73"/>
      <c r="C2015" s="73"/>
      <c r="D2015" s="73"/>
      <c r="E2015" s="73"/>
      <c r="G2015" s="73"/>
      <c r="H2015" s="222"/>
    </row>
    <row r="2016" spans="1:9" s="212" customFormat="1">
      <c r="A2016" s="220"/>
      <c r="B2016" s="141"/>
      <c r="C2016" s="141"/>
      <c r="D2016" s="141"/>
      <c r="E2016" s="141"/>
      <c r="F2016" s="141"/>
      <c r="G2016" s="141"/>
      <c r="H2016" s="222"/>
    </row>
    <row r="2017" spans="1:9" s="212" customFormat="1">
      <c r="A2017" s="150"/>
      <c r="B2017" s="83"/>
      <c r="C2017" s="148"/>
      <c r="D2017" s="160"/>
      <c r="E2017" s="84"/>
      <c r="F2017" s="84"/>
      <c r="G2017" s="146"/>
      <c r="H2017" s="221"/>
    </row>
    <row r="2018" spans="1:9" s="212" customFormat="1">
      <c r="A2018" s="91"/>
      <c r="B2018" s="91"/>
      <c r="C2018" s="91"/>
      <c r="D2018" s="91"/>
      <c r="E2018" s="91"/>
      <c r="G2018" s="213"/>
      <c r="H2018" s="222"/>
    </row>
    <row r="2019" spans="1:9" s="212" customFormat="1">
      <c r="A2019" s="120"/>
      <c r="B2019" s="73"/>
      <c r="C2019" s="73"/>
      <c r="D2019" s="73"/>
      <c r="E2019" s="73"/>
      <c r="G2019" s="73"/>
      <c r="H2019" s="222"/>
    </row>
    <row r="2020" spans="1:9" s="212" customFormat="1">
      <c r="A2020" s="220"/>
      <c r="B2020" s="141"/>
      <c r="C2020" s="141"/>
      <c r="D2020" s="141"/>
      <c r="E2020" s="141"/>
      <c r="F2020" s="141"/>
      <c r="G2020" s="141"/>
      <c r="H2020" s="222"/>
    </row>
    <row r="2021" spans="1:9" s="212" customFormat="1">
      <c r="A2021" s="150"/>
      <c r="B2021" s="84"/>
      <c r="C2021" s="148"/>
      <c r="D2021" s="84"/>
      <c r="E2021" s="84"/>
      <c r="F2021" s="84"/>
      <c r="G2021" s="146"/>
      <c r="H2021" s="221"/>
    </row>
    <row r="2022" spans="1:9" s="212" customFormat="1">
      <c r="A2022" s="91"/>
      <c r="B2022" s="91"/>
      <c r="C2022" s="91"/>
      <c r="D2022" s="91"/>
      <c r="E2022" s="91"/>
      <c r="G2022" s="213"/>
      <c r="H2022" s="222"/>
    </row>
    <row r="2023" spans="1:9" s="212" customFormat="1">
      <c r="A2023" s="120"/>
      <c r="B2023" s="73"/>
      <c r="C2023" s="73"/>
      <c r="D2023" s="73"/>
      <c r="E2023" s="73"/>
      <c r="G2023" s="73"/>
      <c r="H2023" s="222"/>
    </row>
    <row r="2024" spans="1:9" s="212" customFormat="1">
      <c r="A2024" s="220"/>
      <c r="B2024" s="141"/>
      <c r="C2024" s="141"/>
      <c r="D2024" s="141"/>
      <c r="E2024" s="141"/>
      <c r="F2024" s="141"/>
      <c r="G2024" s="141"/>
      <c r="H2024" s="222"/>
    </row>
    <row r="2025" spans="1:9" s="212" customFormat="1">
      <c r="A2025" s="142"/>
      <c r="B2025" s="143"/>
      <c r="C2025" s="143"/>
      <c r="D2025" s="143"/>
      <c r="E2025" s="143"/>
      <c r="F2025" s="84"/>
      <c r="G2025" s="146"/>
      <c r="H2025" s="221"/>
    </row>
    <row r="2026" spans="1:9" s="212" customFormat="1">
      <c r="A2026" s="123"/>
      <c r="B2026" s="95"/>
      <c r="C2026" s="95"/>
      <c r="D2026" s="95"/>
      <c r="E2026" s="95"/>
      <c r="G2026" s="213"/>
      <c r="H2026" s="73"/>
    </row>
    <row r="2027" spans="1:9" s="212" customFormat="1">
      <c r="A2027" s="123"/>
      <c r="B2027" s="95"/>
      <c r="C2027" s="95"/>
      <c r="D2027" s="95"/>
      <c r="E2027" s="95"/>
      <c r="G2027" s="73"/>
      <c r="H2027" s="225"/>
    </row>
    <row r="2028" spans="1:9" s="212" customFormat="1">
      <c r="B2028" s="97"/>
      <c r="C2028" s="98"/>
      <c r="D2028" s="98"/>
      <c r="E2028" s="98"/>
      <c r="G2028" s="220"/>
    </row>
    <row r="2029" spans="1:9" s="212" customFormat="1">
      <c r="B2029" s="97"/>
      <c r="C2029" s="98"/>
      <c r="D2029" s="98"/>
      <c r="E2029" s="98"/>
      <c r="F2029" s="220"/>
      <c r="G2029" s="225"/>
      <c r="H2029" s="226"/>
    </row>
    <row r="2030" spans="1:9" s="212" customFormat="1">
      <c r="A2030" s="633"/>
      <c r="B2030" s="633"/>
      <c r="C2030" s="633"/>
      <c r="D2030" s="633"/>
      <c r="E2030" s="633"/>
      <c r="F2030" s="633"/>
      <c r="G2030" s="633"/>
    </row>
    <row r="2031" spans="1:9" s="212" customFormat="1"/>
    <row r="2032" spans="1:9" s="212" customFormat="1">
      <c r="H2032" s="227"/>
      <c r="I2032" s="228"/>
    </row>
    <row r="2033" spans="1:9" s="212" customFormat="1">
      <c r="A2033" s="658"/>
      <c r="B2033" s="227"/>
      <c r="C2033" s="227"/>
      <c r="D2033" s="227"/>
      <c r="E2033" s="227"/>
      <c r="F2033" s="227"/>
      <c r="G2033" s="227"/>
      <c r="H2033" s="227"/>
      <c r="I2033" s="229"/>
    </row>
    <row r="2034" spans="1:9" s="212" customFormat="1">
      <c r="A2034" s="658"/>
      <c r="B2034" s="227"/>
      <c r="C2034" s="227"/>
      <c r="D2034" s="227"/>
      <c r="E2034" s="227"/>
      <c r="F2034" s="227"/>
      <c r="G2034" s="227"/>
    </row>
    <row r="2035" spans="1:9" s="212" customFormat="1">
      <c r="A2035" s="69"/>
      <c r="B2035" s="69"/>
      <c r="C2035" s="69"/>
      <c r="D2035" s="69"/>
      <c r="E2035" s="69"/>
    </row>
    <row r="2036" spans="1:9" s="212" customFormat="1">
      <c r="A2036" s="120"/>
      <c r="B2036" s="73"/>
      <c r="C2036" s="73"/>
      <c r="D2036" s="73"/>
      <c r="E2036" s="73"/>
      <c r="F2036" s="73"/>
      <c r="G2036" s="73"/>
      <c r="H2036" s="73"/>
    </row>
    <row r="2037" spans="1:9" s="212" customFormat="1">
      <c r="A2037" s="220"/>
      <c r="B2037" s="141"/>
      <c r="C2037" s="141"/>
      <c r="D2037" s="141"/>
      <c r="E2037" s="141"/>
      <c r="F2037" s="141"/>
      <c r="G2037" s="141"/>
      <c r="H2037" s="73"/>
    </row>
    <row r="2038" spans="1:9" s="212" customFormat="1">
      <c r="A2038" s="150"/>
      <c r="B2038" s="84"/>
      <c r="C2038" s="148"/>
      <c r="D2038" s="84"/>
      <c r="E2038" s="84"/>
      <c r="F2038" s="84"/>
      <c r="G2038" s="146"/>
      <c r="H2038" s="221"/>
    </row>
    <row r="2039" spans="1:9" s="212" customFormat="1">
      <c r="A2039" s="84"/>
      <c r="B2039" s="83"/>
      <c r="C2039" s="84"/>
      <c r="D2039" s="84"/>
      <c r="E2039" s="84"/>
      <c r="G2039" s="213"/>
      <c r="H2039" s="222"/>
    </row>
    <row r="2040" spans="1:9" s="212" customFormat="1">
      <c r="A2040" s="120"/>
      <c r="B2040" s="73"/>
      <c r="C2040" s="73"/>
      <c r="D2040" s="73"/>
      <c r="E2040" s="73"/>
      <c r="G2040" s="73"/>
      <c r="H2040" s="222"/>
    </row>
    <row r="2041" spans="1:9" s="212" customFormat="1">
      <c r="A2041" s="220"/>
      <c r="B2041" s="141"/>
      <c r="C2041" s="141"/>
      <c r="D2041" s="141"/>
      <c r="E2041" s="141"/>
      <c r="F2041" s="141"/>
      <c r="G2041" s="141"/>
      <c r="H2041" s="222"/>
    </row>
    <row r="2042" spans="1:9" s="212" customFormat="1">
      <c r="A2042" s="150"/>
      <c r="B2042" s="83"/>
      <c r="C2042" s="148"/>
      <c r="D2042" s="160"/>
      <c r="E2042" s="84"/>
      <c r="F2042" s="84"/>
      <c r="G2042" s="146"/>
      <c r="H2042" s="221"/>
    </row>
    <row r="2043" spans="1:9" s="212" customFormat="1">
      <c r="A2043" s="91"/>
      <c r="B2043" s="91"/>
      <c r="C2043" s="91"/>
      <c r="D2043" s="91"/>
      <c r="E2043" s="91"/>
      <c r="G2043" s="213"/>
      <c r="H2043" s="222"/>
    </row>
    <row r="2044" spans="1:9" s="212" customFormat="1">
      <c r="A2044" s="120"/>
      <c r="B2044" s="73"/>
      <c r="C2044" s="73"/>
      <c r="D2044" s="73"/>
      <c r="E2044" s="73"/>
      <c r="G2044" s="73"/>
      <c r="H2044" s="222"/>
    </row>
    <row r="2045" spans="1:9" s="212" customFormat="1">
      <c r="A2045" s="220"/>
      <c r="B2045" s="141"/>
      <c r="C2045" s="141"/>
      <c r="D2045" s="141"/>
      <c r="E2045" s="141"/>
      <c r="F2045" s="141"/>
      <c r="G2045" s="141"/>
      <c r="H2045" s="222"/>
    </row>
    <row r="2046" spans="1:9" s="212" customFormat="1">
      <c r="A2046" s="150"/>
      <c r="B2046" s="84"/>
      <c r="C2046" s="148"/>
      <c r="D2046" s="84"/>
      <c r="E2046" s="84"/>
      <c r="F2046" s="84"/>
      <c r="G2046" s="146"/>
      <c r="H2046" s="221"/>
    </row>
    <row r="2047" spans="1:9" s="212" customFormat="1">
      <c r="A2047" s="91"/>
      <c r="B2047" s="91"/>
      <c r="C2047" s="91"/>
      <c r="D2047" s="91"/>
      <c r="E2047" s="91"/>
      <c r="G2047" s="213"/>
      <c r="H2047" s="222"/>
    </row>
    <row r="2048" spans="1:9" s="212" customFormat="1">
      <c r="A2048" s="120"/>
      <c r="B2048" s="73"/>
      <c r="C2048" s="73"/>
      <c r="D2048" s="73"/>
      <c r="E2048" s="73"/>
      <c r="G2048" s="73"/>
      <c r="H2048" s="222"/>
    </row>
    <row r="2049" spans="1:9" s="212" customFormat="1">
      <c r="A2049" s="220"/>
      <c r="B2049" s="141"/>
      <c r="C2049" s="141"/>
      <c r="D2049" s="141"/>
      <c r="E2049" s="141"/>
      <c r="F2049" s="141"/>
      <c r="G2049" s="141"/>
      <c r="H2049" s="222"/>
    </row>
    <row r="2050" spans="1:9" s="212" customFormat="1">
      <c r="A2050" s="142"/>
      <c r="B2050" s="143"/>
      <c r="C2050" s="143"/>
      <c r="D2050" s="143"/>
      <c r="E2050" s="143"/>
      <c r="F2050" s="84"/>
      <c r="G2050" s="146"/>
      <c r="H2050" s="221"/>
    </row>
    <row r="2051" spans="1:9" s="212" customFormat="1">
      <c r="A2051" s="123"/>
      <c r="B2051" s="95"/>
      <c r="C2051" s="95"/>
      <c r="D2051" s="95"/>
      <c r="E2051" s="95"/>
      <c r="G2051" s="213"/>
      <c r="H2051" s="73"/>
    </row>
    <row r="2052" spans="1:9" s="212" customFormat="1">
      <c r="A2052" s="123"/>
      <c r="B2052" s="95"/>
      <c r="C2052" s="95"/>
      <c r="D2052" s="95"/>
      <c r="E2052" s="95"/>
      <c r="G2052" s="73"/>
      <c r="H2052" s="225"/>
    </row>
    <row r="2053" spans="1:9" s="212" customFormat="1">
      <c r="B2053" s="97"/>
      <c r="C2053" s="98"/>
      <c r="D2053" s="98"/>
      <c r="E2053" s="98"/>
      <c r="G2053" s="220"/>
    </row>
    <row r="2054" spans="1:9" s="212" customFormat="1">
      <c r="B2054" s="97"/>
      <c r="C2054" s="98"/>
      <c r="D2054" s="98"/>
      <c r="E2054" s="98"/>
      <c r="F2054" s="220"/>
      <c r="G2054" s="225"/>
      <c r="H2054" s="226"/>
    </row>
    <row r="2055" spans="1:9" s="212" customFormat="1">
      <c r="A2055" s="633"/>
      <c r="B2055" s="633"/>
      <c r="C2055" s="633"/>
      <c r="D2055" s="633"/>
      <c r="E2055" s="633"/>
      <c r="F2055" s="633"/>
      <c r="G2055" s="633"/>
    </row>
    <row r="2056" spans="1:9" s="212" customFormat="1">
      <c r="H2056" s="227"/>
      <c r="I2056" s="228"/>
    </row>
    <row r="2057" spans="1:9" s="212" customFormat="1">
      <c r="A2057" s="658"/>
      <c r="B2057" s="227"/>
      <c r="C2057" s="227"/>
      <c r="D2057" s="227"/>
      <c r="E2057" s="227"/>
      <c r="F2057" s="227"/>
      <c r="G2057" s="227"/>
      <c r="H2057" s="227"/>
      <c r="I2057" s="229"/>
    </row>
    <row r="2058" spans="1:9" s="212" customFormat="1">
      <c r="A2058" s="658"/>
      <c r="B2058" s="227"/>
      <c r="C2058" s="227"/>
      <c r="D2058" s="227"/>
      <c r="E2058" s="227"/>
      <c r="F2058" s="227"/>
      <c r="G2058" s="227"/>
    </row>
    <row r="2059" spans="1:9" s="212" customFormat="1">
      <c r="A2059" s="69"/>
      <c r="B2059" s="69"/>
      <c r="C2059" s="69"/>
      <c r="D2059" s="69"/>
      <c r="E2059" s="69"/>
    </row>
    <row r="2060" spans="1:9" s="212" customFormat="1">
      <c r="A2060" s="120"/>
      <c r="B2060" s="73"/>
      <c r="C2060" s="73"/>
      <c r="D2060" s="73"/>
      <c r="E2060" s="73"/>
      <c r="F2060" s="73"/>
      <c r="G2060" s="73"/>
      <c r="H2060" s="73"/>
    </row>
    <row r="2061" spans="1:9" s="212" customFormat="1">
      <c r="A2061" s="220"/>
      <c r="B2061" s="141"/>
      <c r="C2061" s="141"/>
      <c r="D2061" s="141"/>
      <c r="E2061" s="141"/>
      <c r="F2061" s="141"/>
      <c r="G2061" s="141"/>
      <c r="H2061" s="73"/>
    </row>
    <row r="2062" spans="1:9" s="212" customFormat="1">
      <c r="A2062" s="150"/>
      <c r="B2062" s="84"/>
      <c r="C2062" s="148"/>
      <c r="D2062" s="84"/>
      <c r="E2062" s="84"/>
      <c r="F2062" s="84"/>
      <c r="G2062" s="146"/>
      <c r="H2062" s="221"/>
    </row>
    <row r="2063" spans="1:9" s="212" customFormat="1">
      <c r="A2063" s="84"/>
      <c r="B2063" s="83"/>
      <c r="C2063" s="84"/>
      <c r="D2063" s="84"/>
      <c r="E2063" s="84"/>
      <c r="G2063" s="213"/>
      <c r="H2063" s="222"/>
    </row>
    <row r="2064" spans="1:9" s="212" customFormat="1">
      <c r="A2064" s="120"/>
      <c r="B2064" s="73"/>
      <c r="C2064" s="73"/>
      <c r="D2064" s="73"/>
      <c r="E2064" s="73"/>
      <c r="G2064" s="73"/>
      <c r="H2064" s="222"/>
    </row>
    <row r="2065" spans="1:9" s="212" customFormat="1">
      <c r="A2065" s="220"/>
      <c r="B2065" s="141"/>
      <c r="C2065" s="141"/>
      <c r="D2065" s="141"/>
      <c r="E2065" s="141"/>
      <c r="F2065" s="141"/>
      <c r="G2065" s="141"/>
      <c r="H2065" s="222"/>
    </row>
    <row r="2066" spans="1:9" s="212" customFormat="1">
      <c r="A2066" s="150"/>
      <c r="B2066" s="83"/>
      <c r="C2066" s="148"/>
      <c r="D2066" s="160"/>
      <c r="E2066" s="84"/>
      <c r="F2066" s="84"/>
      <c r="G2066" s="146"/>
      <c r="H2066" s="221"/>
    </row>
    <row r="2067" spans="1:9" s="212" customFormat="1">
      <c r="A2067" s="91"/>
      <c r="B2067" s="91"/>
      <c r="C2067" s="91"/>
      <c r="D2067" s="91"/>
      <c r="E2067" s="91"/>
      <c r="G2067" s="213"/>
      <c r="H2067" s="222"/>
    </row>
    <row r="2068" spans="1:9" s="212" customFormat="1">
      <c r="A2068" s="120"/>
      <c r="B2068" s="73"/>
      <c r="C2068" s="73"/>
      <c r="D2068" s="73"/>
      <c r="E2068" s="73"/>
      <c r="G2068" s="73"/>
      <c r="H2068" s="222"/>
    </row>
    <row r="2069" spans="1:9" s="212" customFormat="1">
      <c r="A2069" s="220"/>
      <c r="B2069" s="141"/>
      <c r="C2069" s="141"/>
      <c r="D2069" s="141"/>
      <c r="E2069" s="141"/>
      <c r="F2069" s="141"/>
      <c r="G2069" s="141"/>
      <c r="H2069" s="222"/>
    </row>
    <row r="2070" spans="1:9" s="212" customFormat="1">
      <c r="A2070" s="150"/>
      <c r="B2070" s="84"/>
      <c r="C2070" s="148"/>
      <c r="D2070" s="84"/>
      <c r="E2070" s="84"/>
      <c r="F2070" s="84"/>
      <c r="G2070" s="146"/>
      <c r="H2070" s="221"/>
    </row>
    <row r="2071" spans="1:9" s="212" customFormat="1">
      <c r="A2071" s="91"/>
      <c r="B2071" s="91"/>
      <c r="C2071" s="91"/>
      <c r="D2071" s="91"/>
      <c r="E2071" s="91"/>
      <c r="G2071" s="213"/>
      <c r="H2071" s="222"/>
    </row>
    <row r="2072" spans="1:9" s="212" customFormat="1">
      <c r="A2072" s="120"/>
      <c r="B2072" s="73"/>
      <c r="C2072" s="73"/>
      <c r="D2072" s="73"/>
      <c r="E2072" s="73"/>
      <c r="G2072" s="73"/>
      <c r="H2072" s="222"/>
    </row>
    <row r="2073" spans="1:9" s="212" customFormat="1">
      <c r="A2073" s="220"/>
      <c r="B2073" s="141"/>
      <c r="C2073" s="141"/>
      <c r="D2073" s="141"/>
      <c r="E2073" s="141"/>
      <c r="F2073" s="141"/>
      <c r="G2073" s="141"/>
      <c r="H2073" s="222"/>
    </row>
    <row r="2074" spans="1:9" s="212" customFormat="1">
      <c r="A2074" s="142"/>
      <c r="B2074" s="143"/>
      <c r="C2074" s="143"/>
      <c r="D2074" s="143"/>
      <c r="E2074" s="143"/>
      <c r="F2074" s="84"/>
      <c r="G2074" s="146"/>
      <c r="H2074" s="221"/>
    </row>
    <row r="2075" spans="1:9" s="212" customFormat="1">
      <c r="A2075" s="123"/>
      <c r="B2075" s="95"/>
      <c r="C2075" s="95"/>
      <c r="D2075" s="95"/>
      <c r="E2075" s="95"/>
      <c r="G2075" s="213"/>
      <c r="H2075" s="73"/>
    </row>
    <row r="2076" spans="1:9" s="212" customFormat="1">
      <c r="A2076" s="123"/>
      <c r="B2076" s="95"/>
      <c r="C2076" s="95"/>
      <c r="D2076" s="95"/>
      <c r="E2076" s="95"/>
      <c r="G2076" s="73"/>
      <c r="H2076" s="225"/>
    </row>
    <row r="2077" spans="1:9" s="212" customFormat="1">
      <c r="B2077" s="97"/>
      <c r="C2077" s="98"/>
      <c r="D2077" s="98"/>
      <c r="E2077" s="98"/>
      <c r="G2077" s="220"/>
    </row>
    <row r="2078" spans="1:9" s="212" customFormat="1">
      <c r="B2078" s="97"/>
      <c r="C2078" s="98"/>
      <c r="D2078" s="98"/>
      <c r="E2078" s="98"/>
      <c r="F2078" s="220"/>
      <c r="G2078" s="225"/>
      <c r="H2078" s="226"/>
    </row>
    <row r="2079" spans="1:9" s="212" customFormat="1">
      <c r="A2079" s="633"/>
      <c r="B2079" s="633"/>
      <c r="C2079" s="633"/>
      <c r="D2079" s="633"/>
      <c r="E2079" s="633"/>
      <c r="F2079" s="633"/>
      <c r="G2079" s="633"/>
    </row>
    <row r="2080" spans="1:9" s="212" customFormat="1">
      <c r="H2080" s="227"/>
      <c r="I2080" s="228"/>
    </row>
    <row r="2081" spans="1:9" s="212" customFormat="1">
      <c r="A2081" s="658"/>
      <c r="B2081" s="227"/>
      <c r="C2081" s="227"/>
      <c r="D2081" s="227"/>
      <c r="E2081" s="227"/>
      <c r="F2081" s="227"/>
      <c r="G2081" s="227"/>
      <c r="H2081" s="227"/>
      <c r="I2081" s="229"/>
    </row>
    <row r="2082" spans="1:9" s="212" customFormat="1">
      <c r="A2082" s="658"/>
      <c r="B2082" s="227"/>
      <c r="C2082" s="227"/>
      <c r="D2082" s="227"/>
      <c r="E2082" s="227"/>
      <c r="F2082" s="227"/>
      <c r="G2082" s="227"/>
    </row>
    <row r="2083" spans="1:9" s="212" customFormat="1">
      <c r="A2083" s="69"/>
      <c r="B2083" s="69"/>
      <c r="C2083" s="69"/>
      <c r="D2083" s="69"/>
      <c r="E2083" s="69"/>
    </row>
    <row r="2084" spans="1:9" s="212" customFormat="1">
      <c r="A2084" s="120"/>
      <c r="B2084" s="73"/>
      <c r="C2084" s="73"/>
      <c r="D2084" s="73"/>
      <c r="E2084" s="73"/>
      <c r="F2084" s="73"/>
      <c r="G2084" s="73"/>
      <c r="H2084" s="73"/>
    </row>
    <row r="2085" spans="1:9" s="212" customFormat="1">
      <c r="A2085" s="220"/>
      <c r="B2085" s="141"/>
      <c r="C2085" s="141"/>
      <c r="D2085" s="141"/>
      <c r="E2085" s="141"/>
      <c r="F2085" s="141"/>
      <c r="G2085" s="141"/>
      <c r="H2085" s="73"/>
    </row>
    <row r="2086" spans="1:9" s="212" customFormat="1">
      <c r="A2086" s="150"/>
      <c r="B2086" s="84"/>
      <c r="C2086" s="148"/>
      <c r="D2086" s="84"/>
      <c r="E2086" s="84"/>
      <c r="F2086" s="84"/>
      <c r="G2086" s="146"/>
      <c r="H2086" s="221"/>
    </row>
    <row r="2087" spans="1:9" s="212" customFormat="1">
      <c r="A2087" s="84"/>
      <c r="B2087" s="83"/>
      <c r="C2087" s="84"/>
      <c r="D2087" s="84"/>
      <c r="E2087" s="84"/>
      <c r="G2087" s="213"/>
      <c r="H2087" s="222"/>
    </row>
    <row r="2088" spans="1:9" s="212" customFormat="1">
      <c r="A2088" s="120"/>
      <c r="B2088" s="73"/>
      <c r="C2088" s="73"/>
      <c r="D2088" s="73"/>
      <c r="E2088" s="73"/>
      <c r="G2088" s="73"/>
      <c r="H2088" s="222"/>
    </row>
    <row r="2089" spans="1:9" s="212" customFormat="1">
      <c r="A2089" s="220"/>
      <c r="B2089" s="141"/>
      <c r="C2089" s="141"/>
      <c r="D2089" s="141"/>
      <c r="E2089" s="141"/>
      <c r="F2089" s="141"/>
      <c r="G2089" s="141"/>
      <c r="H2089" s="222"/>
    </row>
    <row r="2090" spans="1:9" s="212" customFormat="1">
      <c r="A2090" s="150"/>
      <c r="B2090" s="83"/>
      <c r="C2090" s="148"/>
      <c r="D2090" s="165"/>
      <c r="E2090" s="84"/>
      <c r="F2090" s="84"/>
      <c r="G2090" s="146"/>
      <c r="H2090" s="221"/>
    </row>
    <row r="2091" spans="1:9" s="212" customFormat="1">
      <c r="A2091" s="91"/>
      <c r="B2091" s="91"/>
      <c r="C2091" s="91"/>
      <c r="D2091" s="91"/>
      <c r="E2091" s="91"/>
      <c r="G2091" s="213"/>
      <c r="H2091" s="222"/>
    </row>
    <row r="2092" spans="1:9" s="212" customFormat="1">
      <c r="A2092" s="120"/>
      <c r="B2092" s="73"/>
      <c r="C2092" s="73"/>
      <c r="D2092" s="73"/>
      <c r="E2092" s="73"/>
      <c r="G2092" s="73"/>
      <c r="H2092" s="222"/>
    </row>
    <row r="2093" spans="1:9" s="212" customFormat="1">
      <c r="A2093" s="220"/>
      <c r="B2093" s="141"/>
      <c r="C2093" s="141"/>
      <c r="D2093" s="141"/>
      <c r="E2093" s="141"/>
      <c r="F2093" s="141"/>
      <c r="G2093" s="141"/>
      <c r="H2093" s="222"/>
    </row>
    <row r="2094" spans="1:9" s="212" customFormat="1">
      <c r="A2094" s="150"/>
      <c r="B2094" s="84"/>
      <c r="C2094" s="148"/>
      <c r="D2094" s="84"/>
      <c r="E2094" s="84"/>
      <c r="F2094" s="84"/>
      <c r="G2094" s="146"/>
      <c r="H2094" s="221"/>
    </row>
    <row r="2095" spans="1:9" s="212" customFormat="1">
      <c r="A2095" s="91"/>
      <c r="B2095" s="91"/>
      <c r="C2095" s="91"/>
      <c r="D2095" s="91"/>
      <c r="E2095" s="91"/>
      <c r="G2095" s="213"/>
      <c r="H2095" s="222"/>
    </row>
    <row r="2096" spans="1:9" s="212" customFormat="1">
      <c r="A2096" s="120"/>
      <c r="B2096" s="73"/>
      <c r="C2096" s="73"/>
      <c r="D2096" s="73"/>
      <c r="E2096" s="73"/>
      <c r="G2096" s="73"/>
      <c r="H2096" s="222"/>
    </row>
    <row r="2097" spans="1:9" s="212" customFormat="1">
      <c r="A2097" s="220"/>
      <c r="B2097" s="141"/>
      <c r="C2097" s="141"/>
      <c r="D2097" s="141"/>
      <c r="E2097" s="141"/>
      <c r="F2097" s="141"/>
      <c r="G2097" s="141"/>
      <c r="H2097" s="222"/>
    </row>
    <row r="2098" spans="1:9" s="212" customFormat="1">
      <c r="A2098" s="142"/>
      <c r="B2098" s="143"/>
      <c r="C2098" s="143"/>
      <c r="D2098" s="143"/>
      <c r="E2098" s="143"/>
      <c r="F2098" s="84"/>
      <c r="G2098" s="146"/>
      <c r="H2098" s="221"/>
    </row>
    <row r="2099" spans="1:9" s="212" customFormat="1">
      <c r="A2099" s="123"/>
      <c r="B2099" s="95"/>
      <c r="C2099" s="95"/>
      <c r="D2099" s="95"/>
      <c r="E2099" s="95"/>
      <c r="G2099" s="213"/>
      <c r="H2099" s="73"/>
    </row>
    <row r="2100" spans="1:9" s="212" customFormat="1">
      <c r="A2100" s="123"/>
      <c r="B2100" s="95"/>
      <c r="C2100" s="95"/>
      <c r="D2100" s="95"/>
      <c r="E2100" s="95"/>
      <c r="G2100" s="73"/>
      <c r="H2100" s="225"/>
    </row>
    <row r="2101" spans="1:9" s="212" customFormat="1">
      <c r="B2101" s="97"/>
      <c r="C2101" s="98"/>
      <c r="D2101" s="98"/>
      <c r="E2101" s="98"/>
      <c r="G2101" s="220"/>
    </row>
    <row r="2102" spans="1:9" s="212" customFormat="1">
      <c r="B2102" s="97"/>
      <c r="C2102" s="98"/>
      <c r="D2102" s="98"/>
      <c r="E2102" s="98"/>
      <c r="F2102" s="220"/>
      <c r="G2102" s="225"/>
      <c r="H2102" s="226"/>
    </row>
    <row r="2103" spans="1:9" s="212" customFormat="1">
      <c r="A2103" s="633"/>
      <c r="B2103" s="633"/>
      <c r="C2103" s="633"/>
      <c r="D2103" s="633"/>
      <c r="E2103" s="633"/>
      <c r="F2103" s="633"/>
      <c r="G2103" s="633"/>
    </row>
    <row r="2104" spans="1:9" s="212" customFormat="1">
      <c r="H2104" s="227"/>
      <c r="I2104" s="228"/>
    </row>
    <row r="2105" spans="1:9" s="212" customFormat="1">
      <c r="A2105" s="658"/>
      <c r="B2105" s="227"/>
      <c r="C2105" s="227"/>
      <c r="D2105" s="227"/>
      <c r="E2105" s="227"/>
      <c r="F2105" s="227"/>
      <c r="G2105" s="227"/>
      <c r="H2105" s="227"/>
      <c r="I2105" s="229"/>
    </row>
    <row r="2106" spans="1:9" s="212" customFormat="1">
      <c r="A2106" s="658"/>
      <c r="B2106" s="227"/>
      <c r="C2106" s="227"/>
      <c r="D2106" s="227"/>
      <c r="E2106" s="227"/>
      <c r="F2106" s="227"/>
      <c r="G2106" s="227"/>
    </row>
    <row r="2107" spans="1:9" s="212" customFormat="1">
      <c r="A2107" s="69"/>
      <c r="B2107" s="69"/>
      <c r="C2107" s="69"/>
      <c r="D2107" s="69"/>
      <c r="E2107" s="69"/>
    </row>
    <row r="2108" spans="1:9" s="212" customFormat="1">
      <c r="A2108" s="120"/>
      <c r="B2108" s="73"/>
      <c r="C2108" s="73"/>
      <c r="D2108" s="73"/>
      <c r="E2108" s="73"/>
      <c r="F2108" s="73"/>
      <c r="G2108" s="73"/>
      <c r="H2108" s="73"/>
    </row>
    <row r="2109" spans="1:9" s="212" customFormat="1">
      <c r="A2109" s="220"/>
      <c r="B2109" s="141"/>
      <c r="C2109" s="141"/>
      <c r="D2109" s="141"/>
      <c r="E2109" s="141"/>
      <c r="F2109" s="141"/>
      <c r="G2109" s="141"/>
      <c r="H2109" s="73"/>
    </row>
    <row r="2110" spans="1:9" s="212" customFormat="1">
      <c r="A2110" s="150"/>
      <c r="B2110" s="84"/>
      <c r="C2110" s="148"/>
      <c r="D2110" s="84"/>
      <c r="E2110" s="84"/>
      <c r="F2110" s="84"/>
      <c r="G2110" s="146"/>
      <c r="H2110" s="221"/>
    </row>
    <row r="2111" spans="1:9" s="212" customFormat="1">
      <c r="A2111" s="84"/>
      <c r="B2111" s="83"/>
      <c r="C2111" s="84"/>
      <c r="D2111" s="84"/>
      <c r="E2111" s="84"/>
      <c r="G2111" s="213"/>
      <c r="H2111" s="222"/>
    </row>
    <row r="2112" spans="1:9" s="212" customFormat="1">
      <c r="A2112" s="120"/>
      <c r="B2112" s="73"/>
      <c r="C2112" s="73"/>
      <c r="D2112" s="73"/>
      <c r="E2112" s="73"/>
      <c r="G2112" s="73"/>
      <c r="H2112" s="222"/>
    </row>
    <row r="2113" spans="1:9" s="212" customFormat="1">
      <c r="A2113" s="220"/>
      <c r="B2113" s="141"/>
      <c r="C2113" s="141"/>
      <c r="D2113" s="141"/>
      <c r="E2113" s="141"/>
      <c r="F2113" s="141"/>
      <c r="G2113" s="141"/>
      <c r="H2113" s="222"/>
    </row>
    <row r="2114" spans="1:9" s="212" customFormat="1">
      <c r="A2114" s="150"/>
      <c r="B2114" s="83"/>
      <c r="C2114" s="148"/>
      <c r="D2114" s="165"/>
      <c r="E2114" s="84"/>
      <c r="F2114" s="84"/>
      <c r="G2114" s="146"/>
      <c r="H2114" s="221"/>
    </row>
    <row r="2115" spans="1:9" s="212" customFormat="1">
      <c r="A2115" s="91"/>
      <c r="B2115" s="91"/>
      <c r="C2115" s="91"/>
      <c r="D2115" s="91"/>
      <c r="E2115" s="91"/>
      <c r="G2115" s="213"/>
      <c r="H2115" s="222"/>
    </row>
    <row r="2116" spans="1:9" s="212" customFormat="1">
      <c r="A2116" s="120"/>
      <c r="B2116" s="73"/>
      <c r="C2116" s="73"/>
      <c r="D2116" s="73"/>
      <c r="E2116" s="73"/>
      <c r="G2116" s="73"/>
      <c r="H2116" s="222"/>
    </row>
    <row r="2117" spans="1:9" s="212" customFormat="1">
      <c r="A2117" s="220"/>
      <c r="B2117" s="141"/>
      <c r="C2117" s="141"/>
      <c r="D2117" s="141"/>
      <c r="E2117" s="141"/>
      <c r="F2117" s="141"/>
      <c r="G2117" s="141"/>
      <c r="H2117" s="222"/>
    </row>
    <row r="2118" spans="1:9" s="212" customFormat="1">
      <c r="A2118" s="150"/>
      <c r="B2118" s="84"/>
      <c r="C2118" s="148"/>
      <c r="D2118" s="84"/>
      <c r="E2118" s="84"/>
      <c r="F2118" s="84"/>
      <c r="G2118" s="146"/>
      <c r="H2118" s="221"/>
    </row>
    <row r="2119" spans="1:9" s="212" customFormat="1">
      <c r="A2119" s="91"/>
      <c r="B2119" s="91"/>
      <c r="C2119" s="91"/>
      <c r="D2119" s="91"/>
      <c r="E2119" s="91"/>
      <c r="G2119" s="213"/>
      <c r="H2119" s="222"/>
    </row>
    <row r="2120" spans="1:9" s="212" customFormat="1">
      <c r="A2120" s="120"/>
      <c r="B2120" s="73"/>
      <c r="C2120" s="73"/>
      <c r="D2120" s="73"/>
      <c r="E2120" s="73"/>
      <c r="G2120" s="73"/>
      <c r="H2120" s="222"/>
    </row>
    <row r="2121" spans="1:9" s="212" customFormat="1">
      <c r="A2121" s="220"/>
      <c r="B2121" s="141"/>
      <c r="C2121" s="141"/>
      <c r="D2121" s="141"/>
      <c r="E2121" s="141"/>
      <c r="F2121" s="141"/>
      <c r="G2121" s="141"/>
      <c r="H2121" s="222"/>
    </row>
    <row r="2122" spans="1:9" s="212" customFormat="1">
      <c r="A2122" s="142"/>
      <c r="B2122" s="143"/>
      <c r="C2122" s="143"/>
      <c r="D2122" s="143"/>
      <c r="E2122" s="143"/>
      <c r="F2122" s="84"/>
      <c r="G2122" s="146"/>
      <c r="H2122" s="221"/>
    </row>
    <row r="2123" spans="1:9" s="212" customFormat="1">
      <c r="A2123" s="123"/>
      <c r="B2123" s="95"/>
      <c r="C2123" s="95"/>
      <c r="D2123" s="95"/>
      <c r="E2123" s="95"/>
      <c r="G2123" s="213"/>
      <c r="H2123" s="73"/>
    </row>
    <row r="2124" spans="1:9" s="212" customFormat="1">
      <c r="A2124" s="123"/>
      <c r="B2124" s="95"/>
      <c r="C2124" s="95"/>
      <c r="D2124" s="95"/>
      <c r="E2124" s="95"/>
      <c r="G2124" s="73"/>
      <c r="H2124" s="225"/>
    </row>
    <row r="2125" spans="1:9" s="212" customFormat="1">
      <c r="B2125" s="97"/>
      <c r="C2125" s="98"/>
      <c r="D2125" s="98"/>
      <c r="E2125" s="98"/>
      <c r="G2125" s="220"/>
    </row>
    <row r="2126" spans="1:9" s="212" customFormat="1">
      <c r="B2126" s="97"/>
      <c r="C2126" s="98"/>
      <c r="D2126" s="98"/>
      <c r="E2126" s="98"/>
      <c r="F2126" s="220"/>
      <c r="G2126" s="225"/>
      <c r="H2126" s="226"/>
    </row>
    <row r="2127" spans="1:9" s="212" customFormat="1">
      <c r="A2127" s="633"/>
      <c r="B2127" s="633"/>
      <c r="C2127" s="633"/>
      <c r="D2127" s="633"/>
      <c r="E2127" s="633"/>
      <c r="F2127" s="633"/>
      <c r="G2127" s="633"/>
    </row>
    <row r="2128" spans="1:9" s="212" customFormat="1">
      <c r="H2128" s="227"/>
      <c r="I2128" s="228"/>
    </row>
    <row r="2129" spans="1:9" s="212" customFormat="1">
      <c r="A2129" s="658"/>
      <c r="B2129" s="227"/>
      <c r="C2129" s="227"/>
      <c r="D2129" s="227"/>
      <c r="E2129" s="227"/>
      <c r="F2129" s="227"/>
      <c r="G2129" s="227"/>
      <c r="H2129" s="227"/>
      <c r="I2129" s="229"/>
    </row>
    <row r="2130" spans="1:9" s="212" customFormat="1">
      <c r="A2130" s="658"/>
      <c r="B2130" s="227"/>
      <c r="C2130" s="227"/>
      <c r="D2130" s="227"/>
      <c r="E2130" s="227"/>
      <c r="F2130" s="227"/>
      <c r="G2130" s="227"/>
    </row>
    <row r="2131" spans="1:9" s="212" customFormat="1">
      <c r="A2131" s="69"/>
      <c r="B2131" s="69"/>
      <c r="C2131" s="69"/>
      <c r="D2131" s="69"/>
      <c r="E2131" s="69"/>
    </row>
    <row r="2132" spans="1:9" s="212" customFormat="1">
      <c r="A2132" s="120"/>
      <c r="B2132" s="73"/>
      <c r="C2132" s="73"/>
      <c r="D2132" s="73"/>
      <c r="E2132" s="73"/>
      <c r="F2132" s="73"/>
      <c r="G2132" s="73"/>
      <c r="H2132" s="73"/>
    </row>
    <row r="2133" spans="1:9" s="212" customFormat="1">
      <c r="A2133" s="220"/>
      <c r="B2133" s="141"/>
      <c r="C2133" s="141"/>
      <c r="D2133" s="141"/>
      <c r="E2133" s="141"/>
      <c r="F2133" s="141"/>
      <c r="G2133" s="141"/>
      <c r="H2133" s="73"/>
    </row>
    <row r="2134" spans="1:9" s="212" customFormat="1">
      <c r="A2134" s="150"/>
      <c r="B2134" s="84"/>
      <c r="C2134" s="148"/>
      <c r="D2134" s="84"/>
      <c r="E2134" s="84"/>
      <c r="F2134" s="84"/>
      <c r="G2134" s="146"/>
      <c r="H2134" s="221"/>
    </row>
    <row r="2135" spans="1:9" s="212" customFormat="1">
      <c r="A2135" s="84"/>
      <c r="B2135" s="83"/>
      <c r="C2135" s="84"/>
      <c r="D2135" s="84"/>
      <c r="E2135" s="84"/>
      <c r="G2135" s="213"/>
      <c r="H2135" s="222"/>
    </row>
    <row r="2136" spans="1:9" s="212" customFormat="1">
      <c r="A2136" s="120"/>
      <c r="B2136" s="73"/>
      <c r="C2136" s="73"/>
      <c r="D2136" s="73"/>
      <c r="E2136" s="73"/>
      <c r="G2136" s="73"/>
      <c r="H2136" s="222"/>
    </row>
    <row r="2137" spans="1:9" s="212" customFormat="1">
      <c r="A2137" s="220"/>
      <c r="B2137" s="141"/>
      <c r="C2137" s="141"/>
      <c r="D2137" s="141"/>
      <c r="E2137" s="141"/>
      <c r="F2137" s="141"/>
      <c r="G2137" s="141"/>
      <c r="H2137" s="222"/>
    </row>
    <row r="2138" spans="1:9" s="212" customFormat="1">
      <c r="A2138" s="150"/>
      <c r="B2138" s="83"/>
      <c r="C2138" s="148"/>
      <c r="D2138" s="165"/>
      <c r="E2138" s="84"/>
      <c r="F2138" s="84"/>
      <c r="G2138" s="146"/>
      <c r="H2138" s="221"/>
    </row>
    <row r="2139" spans="1:9" s="212" customFormat="1">
      <c r="A2139" s="91"/>
      <c r="B2139" s="91"/>
      <c r="C2139" s="91"/>
      <c r="D2139" s="91"/>
      <c r="E2139" s="91"/>
      <c r="G2139" s="213"/>
      <c r="H2139" s="222"/>
    </row>
    <row r="2140" spans="1:9" s="212" customFormat="1">
      <c r="A2140" s="120"/>
      <c r="B2140" s="73"/>
      <c r="C2140" s="73"/>
      <c r="D2140" s="73"/>
      <c r="E2140" s="73"/>
      <c r="G2140" s="73"/>
      <c r="H2140" s="222"/>
    </row>
    <row r="2141" spans="1:9" s="212" customFormat="1">
      <c r="A2141" s="220"/>
      <c r="B2141" s="141"/>
      <c r="C2141" s="141"/>
      <c r="D2141" s="141"/>
      <c r="E2141" s="141"/>
      <c r="F2141" s="141"/>
      <c r="G2141" s="141"/>
      <c r="H2141" s="222"/>
    </row>
    <row r="2142" spans="1:9" s="212" customFormat="1">
      <c r="A2142" s="150"/>
      <c r="B2142" s="84"/>
      <c r="C2142" s="148"/>
      <c r="D2142" s="84"/>
      <c r="E2142" s="84"/>
      <c r="F2142" s="84"/>
      <c r="G2142" s="146"/>
      <c r="H2142" s="221"/>
    </row>
    <row r="2143" spans="1:9" s="212" customFormat="1">
      <c r="A2143" s="91"/>
      <c r="B2143" s="91"/>
      <c r="C2143" s="91"/>
      <c r="D2143" s="91"/>
      <c r="E2143" s="91"/>
      <c r="G2143" s="213"/>
      <c r="H2143" s="222"/>
    </row>
    <row r="2144" spans="1:9" s="212" customFormat="1">
      <c r="A2144" s="120"/>
      <c r="B2144" s="73"/>
      <c r="C2144" s="73"/>
      <c r="D2144" s="73"/>
      <c r="E2144" s="73"/>
      <c r="G2144" s="73"/>
      <c r="H2144" s="222"/>
    </row>
    <row r="2145" spans="1:9" s="212" customFormat="1">
      <c r="A2145" s="220"/>
      <c r="B2145" s="141"/>
      <c r="C2145" s="141"/>
      <c r="D2145" s="141"/>
      <c r="E2145" s="141"/>
      <c r="F2145" s="141"/>
      <c r="G2145" s="141"/>
      <c r="H2145" s="222"/>
    </row>
    <row r="2146" spans="1:9" s="212" customFormat="1">
      <c r="A2146" s="142"/>
      <c r="B2146" s="143"/>
      <c r="C2146" s="143"/>
      <c r="D2146" s="143"/>
      <c r="E2146" s="143"/>
      <c r="F2146" s="84"/>
      <c r="G2146" s="146"/>
      <c r="H2146" s="221"/>
    </row>
    <row r="2147" spans="1:9" s="212" customFormat="1">
      <c r="A2147" s="123"/>
      <c r="B2147" s="95"/>
      <c r="C2147" s="95"/>
      <c r="D2147" s="95"/>
      <c r="E2147" s="95"/>
      <c r="G2147" s="213"/>
      <c r="H2147" s="73"/>
    </row>
    <row r="2148" spans="1:9" s="212" customFormat="1">
      <c r="A2148" s="123"/>
      <c r="B2148" s="95"/>
      <c r="C2148" s="95"/>
      <c r="D2148" s="95"/>
      <c r="E2148" s="95"/>
      <c r="G2148" s="73"/>
      <c r="H2148" s="225"/>
    </row>
    <row r="2149" spans="1:9" s="212" customFormat="1">
      <c r="B2149" s="97"/>
      <c r="C2149" s="98"/>
      <c r="D2149" s="98"/>
      <c r="E2149" s="98"/>
      <c r="G2149" s="220"/>
    </row>
    <row r="2150" spans="1:9" s="212" customFormat="1">
      <c r="B2150" s="97"/>
      <c r="C2150" s="98"/>
      <c r="D2150" s="98"/>
      <c r="E2150" s="98"/>
      <c r="F2150" s="220"/>
      <c r="G2150" s="225"/>
      <c r="H2150" s="226"/>
    </row>
    <row r="2151" spans="1:9" s="212" customFormat="1">
      <c r="A2151" s="633"/>
      <c r="B2151" s="633"/>
      <c r="C2151" s="633"/>
      <c r="D2151" s="633"/>
      <c r="E2151" s="633"/>
      <c r="F2151" s="633"/>
      <c r="G2151" s="633"/>
    </row>
    <row r="2152" spans="1:9" s="212" customFormat="1">
      <c r="H2152" s="227"/>
      <c r="I2152" s="228"/>
    </row>
    <row r="2153" spans="1:9" s="212" customFormat="1">
      <c r="A2153" s="658"/>
      <c r="B2153" s="227"/>
      <c r="C2153" s="227"/>
      <c r="D2153" s="227"/>
      <c r="E2153" s="227"/>
      <c r="F2153" s="227"/>
      <c r="G2153" s="227"/>
      <c r="H2153" s="227"/>
      <c r="I2153" s="229"/>
    </row>
    <row r="2154" spans="1:9" s="212" customFormat="1">
      <c r="A2154" s="658"/>
      <c r="B2154" s="227"/>
      <c r="C2154" s="227"/>
      <c r="D2154" s="227"/>
      <c r="E2154" s="227"/>
      <c r="F2154" s="227"/>
      <c r="G2154" s="227"/>
    </row>
    <row r="2155" spans="1:9" s="212" customFormat="1">
      <c r="A2155" s="69"/>
      <c r="B2155" s="69"/>
      <c r="C2155" s="69"/>
      <c r="D2155" s="69"/>
      <c r="E2155" s="69"/>
    </row>
    <row r="2156" spans="1:9" s="212" customFormat="1">
      <c r="A2156" s="120"/>
      <c r="B2156" s="73"/>
      <c r="C2156" s="73"/>
      <c r="D2156" s="73"/>
      <c r="E2156" s="73"/>
      <c r="F2156" s="73"/>
      <c r="G2156" s="73"/>
      <c r="H2156" s="73"/>
    </row>
    <row r="2157" spans="1:9" s="212" customFormat="1">
      <c r="A2157" s="220"/>
      <c r="B2157" s="141"/>
      <c r="C2157" s="141"/>
      <c r="D2157" s="141"/>
      <c r="E2157" s="141"/>
      <c r="F2157" s="141"/>
      <c r="G2157" s="141"/>
      <c r="H2157" s="73"/>
    </row>
    <row r="2158" spans="1:9" s="212" customFormat="1">
      <c r="A2158" s="142"/>
      <c r="B2158" s="143"/>
      <c r="C2158" s="143"/>
      <c r="D2158" s="143"/>
      <c r="E2158" s="143"/>
      <c r="F2158" s="84"/>
      <c r="G2158" s="146"/>
      <c r="H2158" s="221"/>
    </row>
    <row r="2159" spans="1:9" s="212" customFormat="1">
      <c r="A2159" s="84"/>
      <c r="B2159" s="83"/>
      <c r="C2159" s="84"/>
      <c r="D2159" s="84"/>
      <c r="E2159" s="84"/>
      <c r="G2159" s="213"/>
      <c r="H2159" s="222"/>
    </row>
    <row r="2160" spans="1:9" s="212" customFormat="1">
      <c r="A2160" s="120"/>
      <c r="B2160" s="73"/>
      <c r="C2160" s="73"/>
      <c r="D2160" s="73"/>
      <c r="E2160" s="73"/>
      <c r="G2160" s="73"/>
      <c r="H2160" s="222"/>
    </row>
    <row r="2161" spans="1:9" s="212" customFormat="1">
      <c r="A2161" s="220"/>
      <c r="B2161" s="141"/>
      <c r="C2161" s="141"/>
      <c r="D2161" s="141"/>
      <c r="E2161" s="141"/>
      <c r="F2161" s="141"/>
      <c r="G2161" s="141"/>
      <c r="H2161" s="222"/>
    </row>
    <row r="2162" spans="1:9" s="212" customFormat="1">
      <c r="A2162" s="150"/>
      <c r="B2162" s="83"/>
      <c r="C2162" s="148"/>
      <c r="D2162" s="160"/>
      <c r="E2162" s="84"/>
      <c r="F2162" s="84"/>
      <c r="G2162" s="146"/>
      <c r="H2162" s="221"/>
    </row>
    <row r="2163" spans="1:9" s="212" customFormat="1">
      <c r="A2163" s="91"/>
      <c r="B2163" s="91"/>
      <c r="C2163" s="91"/>
      <c r="D2163" s="91"/>
      <c r="E2163" s="91"/>
      <c r="G2163" s="213"/>
      <c r="H2163" s="222"/>
    </row>
    <row r="2164" spans="1:9" s="212" customFormat="1">
      <c r="A2164" s="120"/>
      <c r="B2164" s="73"/>
      <c r="C2164" s="73"/>
      <c r="D2164" s="73"/>
      <c r="E2164" s="73"/>
      <c r="G2164" s="73"/>
      <c r="H2164" s="222"/>
    </row>
    <row r="2165" spans="1:9" s="212" customFormat="1">
      <c r="A2165" s="220"/>
      <c r="B2165" s="141"/>
      <c r="C2165" s="141"/>
      <c r="D2165" s="141"/>
      <c r="E2165" s="141"/>
      <c r="F2165" s="141"/>
      <c r="G2165" s="141"/>
      <c r="H2165" s="222"/>
    </row>
    <row r="2166" spans="1:9" s="212" customFormat="1">
      <c r="A2166" s="142"/>
      <c r="B2166" s="143"/>
      <c r="C2166" s="143"/>
      <c r="D2166" s="143"/>
      <c r="E2166" s="143"/>
      <c r="F2166" s="84"/>
      <c r="G2166" s="146"/>
      <c r="H2166" s="221"/>
    </row>
    <row r="2167" spans="1:9" s="212" customFormat="1">
      <c r="A2167" s="91"/>
      <c r="B2167" s="91"/>
      <c r="C2167" s="91"/>
      <c r="D2167" s="91"/>
      <c r="E2167" s="91"/>
      <c r="G2167" s="213"/>
      <c r="H2167" s="222"/>
    </row>
    <row r="2168" spans="1:9" s="212" customFormat="1">
      <c r="A2168" s="120"/>
      <c r="B2168" s="73"/>
      <c r="C2168" s="73"/>
      <c r="D2168" s="73"/>
      <c r="E2168" s="73"/>
      <c r="G2168" s="73"/>
      <c r="H2168" s="222"/>
    </row>
    <row r="2169" spans="1:9" s="212" customFormat="1">
      <c r="A2169" s="220"/>
      <c r="B2169" s="141"/>
      <c r="C2169" s="141"/>
      <c r="D2169" s="141"/>
      <c r="E2169" s="141"/>
      <c r="F2169" s="141"/>
      <c r="G2169" s="141"/>
      <c r="H2169" s="222"/>
    </row>
    <row r="2170" spans="1:9" s="212" customFormat="1">
      <c r="A2170" s="142"/>
      <c r="B2170" s="143"/>
      <c r="C2170" s="143"/>
      <c r="D2170" s="143"/>
      <c r="E2170" s="143"/>
      <c r="F2170" s="84"/>
      <c r="G2170" s="146"/>
      <c r="H2170" s="221"/>
    </row>
    <row r="2171" spans="1:9" s="212" customFormat="1">
      <c r="A2171" s="123"/>
      <c r="B2171" s="95"/>
      <c r="C2171" s="95"/>
      <c r="D2171" s="95"/>
      <c r="E2171" s="95"/>
      <c r="G2171" s="213"/>
      <c r="H2171" s="73"/>
    </row>
    <row r="2172" spans="1:9" s="212" customFormat="1">
      <c r="A2172" s="123"/>
      <c r="B2172" s="95"/>
      <c r="C2172" s="95"/>
      <c r="D2172" s="95"/>
      <c r="E2172" s="95"/>
      <c r="G2172" s="73"/>
      <c r="H2172" s="225"/>
    </row>
    <row r="2173" spans="1:9" s="212" customFormat="1">
      <c r="B2173" s="97"/>
      <c r="C2173" s="98"/>
      <c r="D2173" s="98"/>
      <c r="E2173" s="98"/>
      <c r="G2173" s="220"/>
    </row>
    <row r="2174" spans="1:9" s="212" customFormat="1">
      <c r="B2174" s="97"/>
      <c r="C2174" s="98"/>
      <c r="D2174" s="98"/>
      <c r="E2174" s="98"/>
      <c r="F2174" s="220"/>
      <c r="G2174" s="225"/>
      <c r="H2174" s="226"/>
    </row>
    <row r="2175" spans="1:9" s="212" customFormat="1">
      <c r="A2175" s="633"/>
      <c r="B2175" s="633"/>
      <c r="C2175" s="633"/>
      <c r="D2175" s="633"/>
      <c r="E2175" s="633"/>
      <c r="F2175" s="633"/>
      <c r="G2175" s="633"/>
    </row>
    <row r="2176" spans="1:9" s="212" customFormat="1">
      <c r="H2176" s="227"/>
      <c r="I2176" s="228"/>
    </row>
    <row r="2177" spans="1:9" s="212" customFormat="1">
      <c r="A2177" s="658"/>
      <c r="B2177" s="227"/>
      <c r="C2177" s="227"/>
      <c r="D2177" s="227"/>
      <c r="E2177" s="227"/>
      <c r="F2177" s="227"/>
      <c r="G2177" s="227"/>
      <c r="H2177" s="227"/>
      <c r="I2177" s="229"/>
    </row>
    <row r="2178" spans="1:9" s="212" customFormat="1">
      <c r="A2178" s="658"/>
      <c r="B2178" s="227"/>
      <c r="C2178" s="227"/>
      <c r="D2178" s="227"/>
      <c r="E2178" s="227"/>
      <c r="F2178" s="227"/>
      <c r="G2178" s="227"/>
    </row>
    <row r="2179" spans="1:9" s="212" customFormat="1">
      <c r="A2179" s="69"/>
      <c r="B2179" s="69"/>
      <c r="C2179" s="69"/>
      <c r="D2179" s="69"/>
      <c r="E2179" s="69"/>
    </row>
    <row r="2180" spans="1:9" s="212" customFormat="1">
      <c r="A2180" s="120"/>
      <c r="B2180" s="73"/>
      <c r="C2180" s="73"/>
      <c r="D2180" s="73"/>
      <c r="E2180" s="73"/>
      <c r="F2180" s="73"/>
      <c r="G2180" s="73"/>
      <c r="H2180" s="73"/>
    </row>
    <row r="2181" spans="1:9" s="212" customFormat="1">
      <c r="A2181" s="220"/>
      <c r="B2181" s="141"/>
      <c r="C2181" s="141"/>
      <c r="D2181" s="141"/>
      <c r="E2181" s="141"/>
      <c r="F2181" s="141"/>
      <c r="G2181" s="141"/>
      <c r="H2181" s="73"/>
    </row>
    <row r="2182" spans="1:9" s="212" customFormat="1">
      <c r="A2182" s="142"/>
      <c r="B2182" s="143"/>
      <c r="C2182" s="143"/>
      <c r="D2182" s="143"/>
      <c r="E2182" s="143"/>
      <c r="F2182" s="84"/>
      <c r="G2182" s="146"/>
      <c r="H2182" s="221"/>
    </row>
    <row r="2183" spans="1:9" s="212" customFormat="1">
      <c r="A2183" s="84"/>
      <c r="B2183" s="83"/>
      <c r="C2183" s="84"/>
      <c r="D2183" s="84"/>
      <c r="E2183" s="84"/>
      <c r="G2183" s="213"/>
      <c r="H2183" s="222"/>
    </row>
    <row r="2184" spans="1:9" s="212" customFormat="1">
      <c r="A2184" s="120"/>
      <c r="B2184" s="73"/>
      <c r="C2184" s="73"/>
      <c r="D2184" s="73"/>
      <c r="E2184" s="73"/>
      <c r="G2184" s="73"/>
      <c r="H2184" s="222"/>
    </row>
    <row r="2185" spans="1:9" s="212" customFormat="1">
      <c r="A2185" s="220"/>
      <c r="B2185" s="141"/>
      <c r="C2185" s="141"/>
      <c r="D2185" s="141"/>
      <c r="E2185" s="141"/>
      <c r="F2185" s="141"/>
      <c r="G2185" s="141"/>
      <c r="H2185" s="222"/>
    </row>
    <row r="2186" spans="1:9" s="212" customFormat="1">
      <c r="A2186" s="150"/>
      <c r="B2186" s="83"/>
      <c r="C2186" s="148"/>
      <c r="D2186" s="160"/>
      <c r="E2186" s="84"/>
      <c r="F2186" s="84"/>
      <c r="G2186" s="146"/>
      <c r="H2186" s="221"/>
    </row>
    <row r="2187" spans="1:9" s="212" customFormat="1">
      <c r="A2187" s="91"/>
      <c r="B2187" s="91"/>
      <c r="C2187" s="91"/>
      <c r="D2187" s="91"/>
      <c r="E2187" s="91"/>
      <c r="G2187" s="213"/>
      <c r="H2187" s="222"/>
    </row>
    <row r="2188" spans="1:9" s="212" customFormat="1">
      <c r="A2188" s="120"/>
      <c r="B2188" s="73"/>
      <c r="C2188" s="73"/>
      <c r="D2188" s="73"/>
      <c r="E2188" s="73"/>
      <c r="G2188" s="73"/>
      <c r="H2188" s="222"/>
    </row>
    <row r="2189" spans="1:9" s="212" customFormat="1">
      <c r="A2189" s="220"/>
      <c r="B2189" s="141"/>
      <c r="C2189" s="141"/>
      <c r="D2189" s="141"/>
      <c r="E2189" s="141"/>
      <c r="F2189" s="141"/>
      <c r="G2189" s="141"/>
      <c r="H2189" s="222"/>
    </row>
    <row r="2190" spans="1:9" s="212" customFormat="1">
      <c r="A2190" s="142"/>
      <c r="B2190" s="143"/>
      <c r="C2190" s="143"/>
      <c r="D2190" s="143"/>
      <c r="E2190" s="143"/>
      <c r="F2190" s="84"/>
      <c r="G2190" s="146"/>
      <c r="H2190" s="221"/>
    </row>
    <row r="2191" spans="1:9" s="212" customFormat="1">
      <c r="A2191" s="91"/>
      <c r="B2191" s="91"/>
      <c r="C2191" s="91"/>
      <c r="D2191" s="91"/>
      <c r="E2191" s="91"/>
      <c r="G2191" s="213"/>
      <c r="H2191" s="222"/>
    </row>
    <row r="2192" spans="1:9" s="212" customFormat="1">
      <c r="A2192" s="120"/>
      <c r="B2192" s="73"/>
      <c r="C2192" s="73"/>
      <c r="D2192" s="73"/>
      <c r="E2192" s="73"/>
      <c r="G2192" s="73"/>
      <c r="H2192" s="222"/>
    </row>
    <row r="2193" spans="1:9" s="212" customFormat="1">
      <c r="A2193" s="220"/>
      <c r="B2193" s="141"/>
      <c r="C2193" s="141"/>
      <c r="D2193" s="141"/>
      <c r="E2193" s="141"/>
      <c r="F2193" s="141"/>
      <c r="G2193" s="141"/>
      <c r="H2193" s="222"/>
    </row>
    <row r="2194" spans="1:9" s="212" customFormat="1">
      <c r="A2194" s="142"/>
      <c r="B2194" s="143"/>
      <c r="C2194" s="143"/>
      <c r="D2194" s="143"/>
      <c r="E2194" s="143"/>
      <c r="F2194" s="84"/>
      <c r="G2194" s="146"/>
      <c r="H2194" s="221"/>
    </row>
    <row r="2195" spans="1:9" s="212" customFormat="1">
      <c r="A2195" s="123"/>
      <c r="B2195" s="95"/>
      <c r="C2195" s="95"/>
      <c r="D2195" s="95"/>
      <c r="E2195" s="95"/>
      <c r="G2195" s="213"/>
      <c r="H2195" s="73"/>
    </row>
    <row r="2196" spans="1:9" s="212" customFormat="1">
      <c r="A2196" s="123"/>
      <c r="B2196" s="95"/>
      <c r="C2196" s="95"/>
      <c r="D2196" s="95"/>
      <c r="E2196" s="95"/>
      <c r="G2196" s="73"/>
      <c r="H2196" s="225"/>
    </row>
    <row r="2197" spans="1:9" s="212" customFormat="1">
      <c r="B2197" s="97"/>
      <c r="C2197" s="98"/>
      <c r="D2197" s="98"/>
      <c r="E2197" s="98"/>
      <c r="G2197" s="220"/>
    </row>
    <row r="2198" spans="1:9" s="212" customFormat="1">
      <c r="B2198" s="97"/>
      <c r="C2198" s="98"/>
      <c r="D2198" s="98"/>
      <c r="E2198" s="98"/>
      <c r="F2198" s="220"/>
      <c r="G2198" s="225"/>
      <c r="H2198" s="226"/>
    </row>
    <row r="2199" spans="1:9" s="212" customFormat="1">
      <c r="A2199" s="633"/>
      <c r="B2199" s="633"/>
      <c r="C2199" s="633"/>
      <c r="D2199" s="633"/>
      <c r="E2199" s="633"/>
      <c r="F2199" s="633"/>
      <c r="G2199" s="633"/>
    </row>
    <row r="2200" spans="1:9" s="212" customFormat="1">
      <c r="H2200" s="227"/>
      <c r="I2200" s="228"/>
    </row>
    <row r="2201" spans="1:9" s="212" customFormat="1">
      <c r="A2201" s="658"/>
      <c r="B2201" s="227"/>
      <c r="C2201" s="227"/>
      <c r="D2201" s="227"/>
      <c r="E2201" s="227"/>
      <c r="F2201" s="227"/>
      <c r="G2201" s="227"/>
      <c r="H2201" s="227"/>
      <c r="I2201" s="229"/>
    </row>
    <row r="2202" spans="1:9" s="212" customFormat="1">
      <c r="A2202" s="658"/>
      <c r="B2202" s="227"/>
      <c r="C2202" s="227"/>
      <c r="D2202" s="227"/>
      <c r="E2202" s="227"/>
      <c r="F2202" s="227"/>
      <c r="G2202" s="227"/>
    </row>
    <row r="2203" spans="1:9" s="212" customFormat="1">
      <c r="A2203" s="69"/>
      <c r="B2203" s="69"/>
      <c r="C2203" s="69"/>
      <c r="D2203" s="69"/>
      <c r="E2203" s="69"/>
    </row>
    <row r="2204" spans="1:9" s="212" customFormat="1">
      <c r="A2204" s="120"/>
      <c r="B2204" s="73"/>
      <c r="C2204" s="73"/>
      <c r="D2204" s="73"/>
      <c r="E2204" s="73"/>
      <c r="F2204" s="73"/>
      <c r="G2204" s="73"/>
      <c r="H2204" s="73"/>
    </row>
    <row r="2205" spans="1:9" s="212" customFormat="1">
      <c r="A2205" s="220"/>
      <c r="B2205" s="141"/>
      <c r="C2205" s="141"/>
      <c r="D2205" s="141"/>
      <c r="E2205" s="141"/>
      <c r="F2205" s="141"/>
      <c r="G2205" s="141"/>
      <c r="H2205" s="73"/>
    </row>
    <row r="2206" spans="1:9" s="212" customFormat="1">
      <c r="A2206" s="142"/>
      <c r="B2206" s="143"/>
      <c r="C2206" s="143"/>
      <c r="D2206" s="143"/>
      <c r="E2206" s="143"/>
      <c r="F2206" s="84"/>
      <c r="G2206" s="146"/>
      <c r="H2206" s="221"/>
    </row>
    <row r="2207" spans="1:9" s="212" customFormat="1">
      <c r="A2207" s="84"/>
      <c r="B2207" s="83"/>
      <c r="C2207" s="84"/>
      <c r="D2207" s="84"/>
      <c r="E2207" s="84"/>
      <c r="G2207" s="213"/>
      <c r="H2207" s="222"/>
    </row>
    <row r="2208" spans="1:9" s="212" customFormat="1">
      <c r="A2208" s="120"/>
      <c r="B2208" s="73"/>
      <c r="C2208" s="73"/>
      <c r="D2208" s="73"/>
      <c r="E2208" s="73"/>
      <c r="G2208" s="73"/>
      <c r="H2208" s="222"/>
    </row>
    <row r="2209" spans="1:9" s="212" customFormat="1">
      <c r="A2209" s="220"/>
      <c r="B2209" s="141"/>
      <c r="C2209" s="141"/>
      <c r="D2209" s="141"/>
      <c r="E2209" s="141"/>
      <c r="F2209" s="141"/>
      <c r="G2209" s="141"/>
      <c r="H2209" s="222"/>
    </row>
    <row r="2210" spans="1:9" s="212" customFormat="1">
      <c r="A2210" s="150"/>
      <c r="B2210" s="83"/>
      <c r="C2210" s="148"/>
      <c r="D2210" s="160"/>
      <c r="E2210" s="84"/>
      <c r="F2210" s="84"/>
      <c r="G2210" s="146"/>
      <c r="H2210" s="221"/>
    </row>
    <row r="2211" spans="1:9" s="212" customFormat="1">
      <c r="A2211" s="91"/>
      <c r="B2211" s="91"/>
      <c r="C2211" s="91"/>
      <c r="D2211" s="91"/>
      <c r="E2211" s="91"/>
      <c r="G2211" s="213"/>
      <c r="H2211" s="222"/>
    </row>
    <row r="2212" spans="1:9" s="212" customFormat="1">
      <c r="A2212" s="120"/>
      <c r="B2212" s="73"/>
      <c r="C2212" s="73"/>
      <c r="D2212" s="73"/>
      <c r="E2212" s="73"/>
      <c r="G2212" s="73"/>
      <c r="H2212" s="222"/>
    </row>
    <row r="2213" spans="1:9" s="212" customFormat="1">
      <c r="A2213" s="220"/>
      <c r="B2213" s="141"/>
      <c r="C2213" s="141"/>
      <c r="D2213" s="141"/>
      <c r="E2213" s="141"/>
      <c r="F2213" s="141"/>
      <c r="G2213" s="141"/>
      <c r="H2213" s="222"/>
    </row>
    <row r="2214" spans="1:9" s="212" customFormat="1">
      <c r="A2214" s="142"/>
      <c r="B2214" s="143"/>
      <c r="C2214" s="143"/>
      <c r="D2214" s="143"/>
      <c r="E2214" s="143"/>
      <c r="F2214" s="84"/>
      <c r="G2214" s="146"/>
      <c r="H2214" s="221"/>
    </row>
    <row r="2215" spans="1:9" s="212" customFormat="1">
      <c r="A2215" s="91"/>
      <c r="B2215" s="91"/>
      <c r="C2215" s="91"/>
      <c r="D2215" s="91"/>
      <c r="E2215" s="91"/>
      <c r="G2215" s="213"/>
      <c r="H2215" s="222"/>
    </row>
    <row r="2216" spans="1:9" s="212" customFormat="1">
      <c r="A2216" s="120"/>
      <c r="B2216" s="73"/>
      <c r="C2216" s="73"/>
      <c r="D2216" s="73"/>
      <c r="E2216" s="73"/>
      <c r="G2216" s="73"/>
      <c r="H2216" s="222"/>
    </row>
    <row r="2217" spans="1:9" s="212" customFormat="1">
      <c r="A2217" s="220"/>
      <c r="B2217" s="141"/>
      <c r="C2217" s="141"/>
      <c r="D2217" s="141"/>
      <c r="E2217" s="141"/>
      <c r="F2217" s="141"/>
      <c r="G2217" s="141"/>
      <c r="H2217" s="222"/>
    </row>
    <row r="2218" spans="1:9" s="212" customFormat="1">
      <c r="A2218" s="142"/>
      <c r="B2218" s="143"/>
      <c r="C2218" s="143"/>
      <c r="D2218" s="143"/>
      <c r="E2218" s="143"/>
      <c r="F2218" s="84"/>
      <c r="G2218" s="146"/>
      <c r="H2218" s="221"/>
    </row>
    <row r="2219" spans="1:9" s="212" customFormat="1">
      <c r="A2219" s="123"/>
      <c r="B2219" s="95"/>
      <c r="C2219" s="95"/>
      <c r="D2219" s="95"/>
      <c r="E2219" s="95"/>
      <c r="G2219" s="213"/>
      <c r="H2219" s="73"/>
    </row>
    <row r="2220" spans="1:9" s="212" customFormat="1">
      <c r="A2220" s="123"/>
      <c r="B2220" s="95"/>
      <c r="C2220" s="95"/>
      <c r="D2220" s="95"/>
      <c r="E2220" s="95"/>
      <c r="G2220" s="73"/>
      <c r="H2220" s="225"/>
    </row>
    <row r="2221" spans="1:9" s="212" customFormat="1">
      <c r="B2221" s="97"/>
      <c r="C2221" s="98"/>
      <c r="D2221" s="98"/>
      <c r="E2221" s="98"/>
      <c r="G2221" s="220"/>
    </row>
    <row r="2222" spans="1:9" s="212" customFormat="1">
      <c r="B2222" s="97"/>
      <c r="C2222" s="98"/>
      <c r="D2222" s="98"/>
      <c r="E2222" s="98"/>
      <c r="F2222" s="220"/>
      <c r="G2222" s="225"/>
      <c r="H2222" s="226"/>
    </row>
    <row r="2223" spans="1:9" s="212" customFormat="1">
      <c r="A2223" s="633"/>
      <c r="B2223" s="633"/>
      <c r="C2223" s="633"/>
      <c r="D2223" s="633"/>
      <c r="E2223" s="633"/>
      <c r="F2223" s="633"/>
      <c r="G2223" s="633"/>
    </row>
    <row r="2224" spans="1:9" s="212" customFormat="1">
      <c r="H2224" s="227"/>
      <c r="I2224" s="228"/>
    </row>
    <row r="2225" spans="1:9" s="212" customFormat="1">
      <c r="A2225" s="658"/>
      <c r="B2225" s="227"/>
      <c r="C2225" s="227"/>
      <c r="D2225" s="227"/>
      <c r="E2225" s="227"/>
      <c r="F2225" s="227"/>
      <c r="G2225" s="227"/>
      <c r="H2225" s="227"/>
      <c r="I2225" s="229"/>
    </row>
    <row r="2226" spans="1:9" s="212" customFormat="1">
      <c r="A2226" s="658"/>
      <c r="B2226" s="227"/>
      <c r="C2226" s="227"/>
      <c r="D2226" s="227"/>
      <c r="E2226" s="227"/>
      <c r="F2226" s="227"/>
      <c r="G2226" s="227"/>
    </row>
    <row r="2227" spans="1:9" s="212" customFormat="1">
      <c r="A2227" s="69"/>
      <c r="B2227" s="69"/>
      <c r="C2227" s="69"/>
      <c r="D2227" s="69"/>
      <c r="E2227" s="69"/>
    </row>
    <row r="2228" spans="1:9" s="212" customFormat="1">
      <c r="A2228" s="120"/>
      <c r="B2228" s="73"/>
      <c r="C2228" s="73"/>
      <c r="D2228" s="73"/>
      <c r="E2228" s="73"/>
      <c r="F2228" s="73"/>
      <c r="G2228" s="73"/>
      <c r="H2228" s="73"/>
    </row>
    <row r="2229" spans="1:9" s="212" customFormat="1">
      <c r="A2229" s="220"/>
      <c r="B2229" s="141"/>
      <c r="C2229" s="141"/>
      <c r="D2229" s="141"/>
      <c r="E2229" s="141"/>
      <c r="F2229" s="141"/>
      <c r="G2229" s="141"/>
      <c r="H2229" s="73"/>
    </row>
    <row r="2230" spans="1:9" s="212" customFormat="1">
      <c r="A2230" s="150"/>
      <c r="B2230" s="83"/>
      <c r="C2230" s="148"/>
      <c r="D2230" s="84"/>
      <c r="E2230" s="84"/>
      <c r="F2230" s="84"/>
      <c r="G2230" s="146"/>
      <c r="H2230" s="221"/>
    </row>
    <row r="2231" spans="1:9" s="212" customFormat="1">
      <c r="A2231" s="84"/>
      <c r="B2231" s="83"/>
      <c r="C2231" s="84"/>
      <c r="D2231" s="84"/>
      <c r="E2231" s="84"/>
      <c r="G2231" s="213"/>
      <c r="H2231" s="222"/>
    </row>
    <row r="2232" spans="1:9" s="212" customFormat="1">
      <c r="A2232" s="120"/>
      <c r="B2232" s="73"/>
      <c r="C2232" s="73"/>
      <c r="D2232" s="73"/>
      <c r="E2232" s="73"/>
      <c r="G2232" s="73"/>
      <c r="H2232" s="222"/>
    </row>
    <row r="2233" spans="1:9" s="212" customFormat="1">
      <c r="A2233" s="220"/>
      <c r="B2233" s="141"/>
      <c r="C2233" s="141"/>
      <c r="D2233" s="141"/>
      <c r="E2233" s="141"/>
      <c r="F2233" s="141"/>
      <c r="G2233" s="141"/>
      <c r="H2233" s="222"/>
    </row>
    <row r="2234" spans="1:9" s="212" customFormat="1" ht="16.5">
      <c r="A2234" s="150"/>
      <c r="B2234" s="161"/>
      <c r="C2234" s="148"/>
      <c r="D2234" s="84"/>
      <c r="E2234" s="84"/>
      <c r="F2234" s="84"/>
      <c r="G2234" s="146"/>
      <c r="H2234" s="222"/>
    </row>
    <row r="2235" spans="1:9" s="212" customFormat="1" ht="16.5">
      <c r="A2235" s="150"/>
      <c r="B2235" s="161"/>
      <c r="C2235" s="148"/>
      <c r="D2235" s="84"/>
      <c r="E2235" s="84"/>
      <c r="F2235" s="84"/>
      <c r="G2235" s="146"/>
      <c r="H2235" s="222"/>
    </row>
    <row r="2236" spans="1:9" s="212" customFormat="1" ht="16.5">
      <c r="A2236" s="150"/>
      <c r="B2236" s="161"/>
      <c r="C2236" s="148"/>
      <c r="D2236" s="84"/>
      <c r="E2236" s="84"/>
      <c r="F2236" s="84"/>
      <c r="G2236" s="146"/>
      <c r="H2236" s="221"/>
    </row>
    <row r="2237" spans="1:9" s="212" customFormat="1">
      <c r="A2237" s="91"/>
      <c r="B2237" s="91"/>
      <c r="C2237" s="91"/>
      <c r="D2237" s="91"/>
      <c r="E2237" s="91"/>
      <c r="G2237" s="213"/>
      <c r="H2237" s="222"/>
    </row>
    <row r="2238" spans="1:9" s="212" customFormat="1">
      <c r="A2238" s="120"/>
      <c r="B2238" s="73"/>
      <c r="C2238" s="73"/>
      <c r="D2238" s="73"/>
      <c r="E2238" s="73"/>
      <c r="G2238" s="73"/>
      <c r="H2238" s="222"/>
    </row>
    <row r="2239" spans="1:9" s="212" customFormat="1">
      <c r="A2239" s="220"/>
      <c r="B2239" s="141"/>
      <c r="C2239" s="141"/>
      <c r="D2239" s="141"/>
      <c r="E2239" s="141"/>
      <c r="F2239" s="141"/>
      <c r="G2239" s="141"/>
      <c r="H2239" s="222"/>
    </row>
    <row r="2240" spans="1:9" s="212" customFormat="1">
      <c r="A2240" s="146"/>
      <c r="B2240" s="83"/>
      <c r="C2240" s="148"/>
      <c r="D2240" s="84"/>
      <c r="E2240" s="84"/>
      <c r="F2240" s="84"/>
      <c r="G2240" s="146"/>
      <c r="H2240" s="221"/>
    </row>
    <row r="2241" spans="1:9" s="212" customFormat="1">
      <c r="A2241" s="91"/>
      <c r="B2241" s="91"/>
      <c r="C2241" s="91"/>
      <c r="D2241" s="91"/>
      <c r="E2241" s="91"/>
      <c r="G2241" s="213"/>
      <c r="H2241" s="222"/>
    </row>
    <row r="2242" spans="1:9" s="212" customFormat="1">
      <c r="A2242" s="120"/>
      <c r="B2242" s="73"/>
      <c r="C2242" s="73"/>
      <c r="D2242" s="73"/>
      <c r="E2242" s="73"/>
      <c r="G2242" s="73"/>
      <c r="H2242" s="222"/>
    </row>
    <row r="2243" spans="1:9" s="212" customFormat="1">
      <c r="A2243" s="220"/>
      <c r="B2243" s="141"/>
      <c r="C2243" s="141"/>
      <c r="D2243" s="141"/>
      <c r="E2243" s="141"/>
      <c r="F2243" s="141"/>
      <c r="G2243" s="141"/>
      <c r="H2243" s="222"/>
    </row>
    <row r="2244" spans="1:9" s="212" customFormat="1">
      <c r="A2244" s="142"/>
      <c r="B2244" s="143"/>
      <c r="C2244" s="143"/>
      <c r="D2244" s="143"/>
      <c r="E2244" s="143"/>
      <c r="F2244" s="84"/>
      <c r="G2244" s="146"/>
      <c r="H2244" s="221"/>
    </row>
    <row r="2245" spans="1:9" s="212" customFormat="1">
      <c r="A2245" s="123"/>
      <c r="B2245" s="95"/>
      <c r="C2245" s="95"/>
      <c r="D2245" s="95"/>
      <c r="E2245" s="95"/>
      <c r="G2245" s="213"/>
      <c r="H2245" s="73"/>
    </row>
    <row r="2246" spans="1:9" s="212" customFormat="1">
      <c r="A2246" s="123"/>
      <c r="B2246" s="95"/>
      <c r="C2246" s="95"/>
      <c r="D2246" s="95"/>
      <c r="E2246" s="95"/>
      <c r="G2246" s="73"/>
      <c r="H2246" s="225"/>
    </row>
    <row r="2247" spans="1:9" s="212" customFormat="1">
      <c r="B2247" s="97"/>
      <c r="C2247" s="98"/>
      <c r="D2247" s="98"/>
      <c r="E2247" s="98"/>
      <c r="G2247" s="220"/>
    </row>
    <row r="2248" spans="1:9" s="212" customFormat="1">
      <c r="B2248" s="97"/>
      <c r="C2248" s="98"/>
      <c r="D2248" s="98"/>
      <c r="E2248" s="98"/>
      <c r="F2248" s="220"/>
      <c r="G2248" s="225"/>
      <c r="H2248" s="226"/>
    </row>
    <row r="2249" spans="1:9" s="212" customFormat="1">
      <c r="A2249" s="633"/>
      <c r="B2249" s="633"/>
      <c r="C2249" s="633"/>
      <c r="D2249" s="633"/>
      <c r="E2249" s="633"/>
      <c r="F2249" s="633"/>
      <c r="G2249" s="633"/>
    </row>
    <row r="2250" spans="1:9" s="212" customFormat="1">
      <c r="H2250" s="227"/>
      <c r="I2250" s="228"/>
    </row>
    <row r="2251" spans="1:9" s="212" customFormat="1">
      <c r="A2251" s="658"/>
      <c r="B2251" s="227"/>
      <c r="C2251" s="227"/>
      <c r="D2251" s="227"/>
      <c r="E2251" s="227"/>
      <c r="F2251" s="227"/>
      <c r="G2251" s="227"/>
      <c r="H2251" s="227"/>
      <c r="I2251" s="229"/>
    </row>
    <row r="2252" spans="1:9" s="212" customFormat="1">
      <c r="A2252" s="658"/>
      <c r="B2252" s="227"/>
      <c r="C2252" s="227"/>
      <c r="D2252" s="227"/>
      <c r="E2252" s="227"/>
      <c r="F2252" s="227"/>
      <c r="G2252" s="227"/>
    </row>
    <row r="2253" spans="1:9" s="212" customFormat="1">
      <c r="A2253" s="69"/>
      <c r="B2253" s="69"/>
      <c r="C2253" s="69"/>
      <c r="D2253" s="69"/>
      <c r="E2253" s="69"/>
    </row>
    <row r="2254" spans="1:9" s="212" customFormat="1">
      <c r="A2254" s="120"/>
      <c r="B2254" s="73"/>
      <c r="C2254" s="73"/>
      <c r="D2254" s="73"/>
      <c r="E2254" s="73"/>
      <c r="F2254" s="73"/>
      <c r="G2254" s="73"/>
      <c r="H2254" s="73"/>
    </row>
    <row r="2255" spans="1:9" s="212" customFormat="1">
      <c r="A2255" s="220"/>
      <c r="B2255" s="141"/>
      <c r="C2255" s="141"/>
      <c r="D2255" s="141"/>
      <c r="E2255" s="141"/>
      <c r="F2255" s="141"/>
      <c r="G2255" s="141"/>
      <c r="H2255" s="73"/>
    </row>
    <row r="2256" spans="1:9" s="212" customFormat="1">
      <c r="A2256" s="150"/>
      <c r="B2256" s="83"/>
      <c r="C2256" s="148"/>
      <c r="D2256" s="84"/>
      <c r="E2256" s="84"/>
      <c r="F2256" s="84"/>
      <c r="G2256" s="146"/>
      <c r="H2256" s="221"/>
    </row>
    <row r="2257" spans="1:8" s="212" customFormat="1">
      <c r="A2257" s="84"/>
      <c r="B2257" s="83"/>
      <c r="C2257" s="84"/>
      <c r="D2257" s="84"/>
      <c r="E2257" s="84"/>
      <c r="G2257" s="213"/>
      <c r="H2257" s="222"/>
    </row>
    <row r="2258" spans="1:8" s="212" customFormat="1">
      <c r="A2258" s="120"/>
      <c r="B2258" s="73"/>
      <c r="C2258" s="73"/>
      <c r="D2258" s="73"/>
      <c r="E2258" s="73"/>
      <c r="G2258" s="73"/>
      <c r="H2258" s="222"/>
    </row>
    <row r="2259" spans="1:8" s="212" customFormat="1">
      <c r="A2259" s="220"/>
      <c r="B2259" s="141"/>
      <c r="C2259" s="141"/>
      <c r="D2259" s="141"/>
      <c r="E2259" s="141"/>
      <c r="F2259" s="141"/>
      <c r="G2259" s="141"/>
      <c r="H2259" s="222"/>
    </row>
    <row r="2260" spans="1:8" s="212" customFormat="1" ht="16.5">
      <c r="A2260" s="150"/>
      <c r="B2260" s="161"/>
      <c r="C2260" s="148"/>
      <c r="D2260" s="84"/>
      <c r="E2260" s="84"/>
      <c r="F2260" s="84"/>
      <c r="G2260" s="146"/>
      <c r="H2260" s="222"/>
    </row>
    <row r="2261" spans="1:8" s="212" customFormat="1" ht="16.5">
      <c r="A2261" s="150"/>
      <c r="B2261" s="161"/>
      <c r="C2261" s="148"/>
      <c r="D2261" s="84"/>
      <c r="E2261" s="84"/>
      <c r="F2261" s="84"/>
      <c r="G2261" s="146"/>
      <c r="H2261" s="222"/>
    </row>
    <row r="2262" spans="1:8" s="212" customFormat="1" ht="16.5">
      <c r="A2262" s="150"/>
      <c r="B2262" s="161"/>
      <c r="C2262" s="148"/>
      <c r="D2262" s="84"/>
      <c r="E2262" s="84"/>
      <c r="F2262" s="84"/>
      <c r="G2262" s="146"/>
      <c r="H2262" s="221"/>
    </row>
    <row r="2263" spans="1:8" s="212" customFormat="1">
      <c r="A2263" s="91"/>
      <c r="B2263" s="91"/>
      <c r="C2263" s="91"/>
      <c r="D2263" s="91"/>
      <c r="E2263" s="91"/>
      <c r="G2263" s="213"/>
      <c r="H2263" s="222"/>
    </row>
    <row r="2264" spans="1:8" s="212" customFormat="1">
      <c r="A2264" s="120"/>
      <c r="B2264" s="73"/>
      <c r="C2264" s="73"/>
      <c r="D2264" s="73"/>
      <c r="E2264" s="73"/>
      <c r="G2264" s="73"/>
      <c r="H2264" s="222"/>
    </row>
    <row r="2265" spans="1:8" s="212" customFormat="1">
      <c r="A2265" s="220"/>
      <c r="B2265" s="141"/>
      <c r="C2265" s="141"/>
      <c r="D2265" s="141"/>
      <c r="E2265" s="141"/>
      <c r="F2265" s="141"/>
      <c r="G2265" s="141"/>
      <c r="H2265" s="222"/>
    </row>
    <row r="2266" spans="1:8" s="212" customFormat="1">
      <c r="A2266" s="146"/>
      <c r="B2266" s="83"/>
      <c r="C2266" s="148"/>
      <c r="D2266" s="84"/>
      <c r="E2266" s="84"/>
      <c r="F2266" s="84"/>
      <c r="G2266" s="146"/>
      <c r="H2266" s="221"/>
    </row>
    <row r="2267" spans="1:8" s="212" customFormat="1">
      <c r="A2267" s="91"/>
      <c r="B2267" s="91"/>
      <c r="C2267" s="91"/>
      <c r="D2267" s="91"/>
      <c r="E2267" s="91"/>
      <c r="G2267" s="213"/>
      <c r="H2267" s="222"/>
    </row>
    <row r="2268" spans="1:8" s="212" customFormat="1">
      <c r="A2268" s="120"/>
      <c r="B2268" s="73"/>
      <c r="C2268" s="73"/>
      <c r="D2268" s="73"/>
      <c r="E2268" s="73"/>
      <c r="G2268" s="73"/>
      <c r="H2268" s="222"/>
    </row>
    <row r="2269" spans="1:8" s="212" customFormat="1">
      <c r="A2269" s="220"/>
      <c r="B2269" s="141"/>
      <c r="C2269" s="141"/>
      <c r="D2269" s="141"/>
      <c r="E2269" s="141"/>
      <c r="F2269" s="141"/>
      <c r="G2269" s="141"/>
      <c r="H2269" s="222"/>
    </row>
    <row r="2270" spans="1:8" s="212" customFormat="1">
      <c r="A2270" s="142"/>
      <c r="B2270" s="143"/>
      <c r="C2270" s="143"/>
      <c r="D2270" s="143"/>
      <c r="E2270" s="143"/>
      <c r="F2270" s="84"/>
      <c r="G2270" s="146"/>
      <c r="H2270" s="221"/>
    </row>
    <row r="2271" spans="1:8" s="212" customFormat="1">
      <c r="A2271" s="123"/>
      <c r="B2271" s="95"/>
      <c r="C2271" s="95"/>
      <c r="D2271" s="95"/>
      <c r="E2271" s="95"/>
      <c r="G2271" s="213"/>
      <c r="H2271" s="73"/>
    </row>
    <row r="2272" spans="1:8" s="212" customFormat="1">
      <c r="A2272" s="123"/>
      <c r="B2272" s="95"/>
      <c r="C2272" s="95"/>
      <c r="D2272" s="95"/>
      <c r="E2272" s="95"/>
      <c r="G2272" s="73"/>
      <c r="H2272" s="225"/>
    </row>
    <row r="2273" spans="1:9" s="212" customFormat="1">
      <c r="B2273" s="97"/>
      <c r="C2273" s="98"/>
      <c r="D2273" s="98"/>
      <c r="E2273" s="98"/>
      <c r="G2273" s="220"/>
    </row>
    <row r="2274" spans="1:9" s="212" customFormat="1">
      <c r="B2274" s="97"/>
      <c r="C2274" s="98"/>
      <c r="D2274" s="98"/>
      <c r="E2274" s="98"/>
      <c r="F2274" s="220"/>
      <c r="G2274" s="225"/>
      <c r="H2274" s="226"/>
    </row>
    <row r="2275" spans="1:9" s="212" customFormat="1">
      <c r="A2275" s="633"/>
      <c r="B2275" s="633"/>
      <c r="C2275" s="633"/>
      <c r="D2275" s="633"/>
      <c r="E2275" s="633"/>
      <c r="F2275" s="633"/>
      <c r="G2275" s="633"/>
    </row>
    <row r="2276" spans="1:9" s="212" customFormat="1">
      <c r="H2276" s="227"/>
      <c r="I2276" s="228"/>
    </row>
    <row r="2277" spans="1:9" s="212" customFormat="1">
      <c r="A2277" s="658"/>
      <c r="B2277" s="227"/>
      <c r="C2277" s="227"/>
      <c r="D2277" s="227"/>
      <c r="E2277" s="227"/>
      <c r="F2277" s="227"/>
      <c r="G2277" s="227"/>
      <c r="H2277" s="227"/>
      <c r="I2277" s="229"/>
    </row>
    <row r="2278" spans="1:9" s="212" customFormat="1">
      <c r="A2278" s="658"/>
      <c r="B2278" s="227"/>
      <c r="C2278" s="227"/>
      <c r="D2278" s="227"/>
      <c r="E2278" s="227"/>
      <c r="F2278" s="227"/>
      <c r="G2278" s="227"/>
    </row>
    <row r="2279" spans="1:9" s="212" customFormat="1">
      <c r="A2279" s="69"/>
      <c r="B2279" s="69"/>
      <c r="C2279" s="69"/>
      <c r="D2279" s="69"/>
      <c r="E2279" s="69"/>
    </row>
    <row r="2280" spans="1:9" s="212" customFormat="1">
      <c r="A2280" s="120"/>
      <c r="B2280" s="73"/>
      <c r="C2280" s="73"/>
      <c r="D2280" s="73"/>
      <c r="E2280" s="73"/>
      <c r="F2280" s="73"/>
      <c r="G2280" s="73"/>
      <c r="H2280" s="73"/>
    </row>
    <row r="2281" spans="1:9" s="212" customFormat="1">
      <c r="A2281" s="220"/>
      <c r="B2281" s="141"/>
      <c r="C2281" s="141"/>
      <c r="D2281" s="141"/>
      <c r="E2281" s="141"/>
      <c r="F2281" s="141"/>
      <c r="G2281" s="141"/>
      <c r="H2281" s="73"/>
    </row>
    <row r="2282" spans="1:9" s="212" customFormat="1">
      <c r="A2282" s="150"/>
      <c r="B2282" s="83"/>
      <c r="C2282" s="148"/>
      <c r="D2282" s="84"/>
      <c r="E2282" s="84"/>
      <c r="F2282" s="84"/>
      <c r="G2282" s="146"/>
      <c r="H2282" s="221"/>
    </row>
    <row r="2283" spans="1:9" s="212" customFormat="1">
      <c r="A2283" s="84"/>
      <c r="B2283" s="83"/>
      <c r="C2283" s="84"/>
      <c r="D2283" s="84"/>
      <c r="E2283" s="84"/>
      <c r="G2283" s="213"/>
      <c r="H2283" s="222"/>
    </row>
    <row r="2284" spans="1:9" s="212" customFormat="1">
      <c r="A2284" s="120"/>
      <c r="B2284" s="73"/>
      <c r="C2284" s="73"/>
      <c r="D2284" s="73"/>
      <c r="E2284" s="73"/>
      <c r="G2284" s="73"/>
      <c r="H2284" s="222"/>
    </row>
    <row r="2285" spans="1:9" s="212" customFormat="1">
      <c r="A2285" s="220"/>
      <c r="B2285" s="141"/>
      <c r="C2285" s="141"/>
      <c r="D2285" s="141"/>
      <c r="E2285" s="141"/>
      <c r="F2285" s="141"/>
      <c r="G2285" s="141"/>
      <c r="H2285" s="222"/>
    </row>
    <row r="2286" spans="1:9" s="212" customFormat="1" ht="16.5">
      <c r="A2286" s="150"/>
      <c r="B2286" s="161"/>
      <c r="C2286" s="148"/>
      <c r="D2286" s="84"/>
      <c r="E2286" s="84"/>
      <c r="F2286" s="84"/>
      <c r="G2286" s="146"/>
      <c r="H2286" s="222"/>
    </row>
    <row r="2287" spans="1:9" s="212" customFormat="1" ht="16.5">
      <c r="A2287" s="150"/>
      <c r="B2287" s="161"/>
      <c r="C2287" s="148"/>
      <c r="D2287" s="84"/>
      <c r="E2287" s="84"/>
      <c r="F2287" s="84"/>
      <c r="G2287" s="146"/>
      <c r="H2287" s="222"/>
    </row>
    <row r="2288" spans="1:9" s="212" customFormat="1" ht="16.5">
      <c r="A2288" s="150"/>
      <c r="B2288" s="161"/>
      <c r="C2288" s="148"/>
      <c r="D2288" s="84"/>
      <c r="E2288" s="84"/>
      <c r="F2288" s="84"/>
      <c r="G2288" s="146"/>
      <c r="H2288" s="221"/>
    </row>
    <row r="2289" spans="1:9" s="212" customFormat="1">
      <c r="A2289" s="91"/>
      <c r="B2289" s="91"/>
      <c r="C2289" s="91"/>
      <c r="D2289" s="91"/>
      <c r="E2289" s="91"/>
      <c r="G2289" s="213"/>
      <c r="H2289" s="222"/>
    </row>
    <row r="2290" spans="1:9" s="212" customFormat="1">
      <c r="A2290" s="120"/>
      <c r="B2290" s="73"/>
      <c r="C2290" s="73"/>
      <c r="D2290" s="73"/>
      <c r="E2290" s="73"/>
      <c r="G2290" s="73"/>
      <c r="H2290" s="222"/>
    </row>
    <row r="2291" spans="1:9" s="212" customFormat="1">
      <c r="A2291" s="220"/>
      <c r="B2291" s="141"/>
      <c r="C2291" s="141"/>
      <c r="D2291" s="141"/>
      <c r="E2291" s="141"/>
      <c r="F2291" s="141"/>
      <c r="G2291" s="141"/>
      <c r="H2291" s="222"/>
    </row>
    <row r="2292" spans="1:9" s="212" customFormat="1">
      <c r="A2292" s="146"/>
      <c r="B2292" s="83"/>
      <c r="C2292" s="148"/>
      <c r="D2292" s="84"/>
      <c r="E2292" s="84"/>
      <c r="F2292" s="84"/>
      <c r="G2292" s="146"/>
      <c r="H2292" s="221"/>
    </row>
    <row r="2293" spans="1:9" s="212" customFormat="1">
      <c r="A2293" s="91"/>
      <c r="B2293" s="91"/>
      <c r="C2293" s="91"/>
      <c r="D2293" s="91"/>
      <c r="E2293" s="91"/>
      <c r="G2293" s="213"/>
      <c r="H2293" s="222"/>
    </row>
    <row r="2294" spans="1:9" s="212" customFormat="1">
      <c r="A2294" s="120"/>
      <c r="B2294" s="73"/>
      <c r="C2294" s="73"/>
      <c r="D2294" s="73"/>
      <c r="E2294" s="73"/>
      <c r="G2294" s="73"/>
      <c r="H2294" s="222"/>
    </row>
    <row r="2295" spans="1:9" s="212" customFormat="1">
      <c r="A2295" s="220"/>
      <c r="B2295" s="141"/>
      <c r="C2295" s="141"/>
      <c r="D2295" s="141"/>
      <c r="E2295" s="141"/>
      <c r="F2295" s="141"/>
      <c r="G2295" s="141"/>
      <c r="H2295" s="222"/>
    </row>
    <row r="2296" spans="1:9" s="212" customFormat="1">
      <c r="A2296" s="142"/>
      <c r="B2296" s="143"/>
      <c r="C2296" s="143"/>
      <c r="D2296" s="143"/>
      <c r="E2296" s="143"/>
      <c r="F2296" s="84"/>
      <c r="G2296" s="146"/>
      <c r="H2296" s="221"/>
    </row>
    <row r="2297" spans="1:9" s="212" customFormat="1">
      <c r="A2297" s="123"/>
      <c r="B2297" s="95"/>
      <c r="C2297" s="95"/>
      <c r="D2297" s="95"/>
      <c r="E2297" s="95"/>
      <c r="G2297" s="213"/>
      <c r="H2297" s="73"/>
    </row>
    <row r="2298" spans="1:9" s="212" customFormat="1">
      <c r="A2298" s="123"/>
      <c r="B2298" s="95"/>
      <c r="C2298" s="95"/>
      <c r="D2298" s="95"/>
      <c r="E2298" s="95"/>
      <c r="G2298" s="73"/>
      <c r="H2298" s="225"/>
    </row>
    <row r="2299" spans="1:9" s="212" customFormat="1">
      <c r="B2299" s="97"/>
      <c r="C2299" s="98"/>
      <c r="D2299" s="98"/>
      <c r="E2299" s="98"/>
      <c r="G2299" s="220"/>
    </row>
    <row r="2300" spans="1:9" s="212" customFormat="1">
      <c r="B2300" s="97"/>
      <c r="C2300" s="98"/>
      <c r="D2300" s="98"/>
      <c r="E2300" s="98"/>
      <c r="F2300" s="220"/>
      <c r="G2300" s="225"/>
      <c r="H2300" s="226"/>
    </row>
    <row r="2301" spans="1:9" s="212" customFormat="1">
      <c r="A2301" s="633"/>
      <c r="B2301" s="633"/>
      <c r="C2301" s="633"/>
      <c r="D2301" s="633"/>
      <c r="E2301" s="633"/>
      <c r="F2301" s="633"/>
      <c r="G2301" s="633"/>
    </row>
    <row r="2302" spans="1:9" s="212" customFormat="1">
      <c r="H2302" s="227"/>
      <c r="I2302" s="228"/>
    </row>
    <row r="2303" spans="1:9" s="212" customFormat="1">
      <c r="A2303" s="658"/>
      <c r="B2303" s="227"/>
      <c r="C2303" s="227"/>
      <c r="D2303" s="227"/>
      <c r="E2303" s="227"/>
      <c r="F2303" s="227"/>
      <c r="G2303" s="227"/>
      <c r="H2303" s="227"/>
      <c r="I2303" s="229"/>
    </row>
    <row r="2304" spans="1:9" s="212" customFormat="1">
      <c r="A2304" s="658"/>
      <c r="B2304" s="227"/>
      <c r="C2304" s="227"/>
      <c r="D2304" s="227"/>
      <c r="E2304" s="227"/>
      <c r="F2304" s="227"/>
      <c r="G2304" s="227"/>
    </row>
    <row r="2305" spans="1:8" s="212" customFormat="1">
      <c r="A2305" s="69"/>
      <c r="B2305" s="69"/>
      <c r="C2305" s="69"/>
      <c r="D2305" s="69"/>
      <c r="E2305" s="69"/>
    </row>
    <row r="2306" spans="1:8" s="212" customFormat="1">
      <c r="A2306" s="120"/>
      <c r="B2306" s="73"/>
      <c r="C2306" s="73"/>
      <c r="D2306" s="73"/>
      <c r="E2306" s="73"/>
      <c r="F2306" s="73"/>
      <c r="G2306" s="73"/>
      <c r="H2306" s="73"/>
    </row>
    <row r="2307" spans="1:8" s="212" customFormat="1">
      <c r="A2307" s="220"/>
      <c r="B2307" s="141"/>
      <c r="C2307" s="141"/>
      <c r="D2307" s="141"/>
      <c r="E2307" s="141"/>
      <c r="F2307" s="141"/>
      <c r="G2307" s="141"/>
      <c r="H2307" s="73"/>
    </row>
    <row r="2308" spans="1:8" s="212" customFormat="1">
      <c r="A2308" s="150"/>
      <c r="B2308" s="83"/>
      <c r="C2308" s="148"/>
      <c r="D2308" s="84"/>
      <c r="E2308" s="84"/>
      <c r="F2308" s="84"/>
      <c r="G2308" s="146"/>
      <c r="H2308" s="221"/>
    </row>
    <row r="2309" spans="1:8" s="212" customFormat="1">
      <c r="A2309" s="84"/>
      <c r="B2309" s="83"/>
      <c r="C2309" s="84"/>
      <c r="D2309" s="84"/>
      <c r="E2309" s="84"/>
      <c r="G2309" s="213"/>
      <c r="H2309" s="222"/>
    </row>
    <row r="2310" spans="1:8" s="212" customFormat="1">
      <c r="A2310" s="120"/>
      <c r="B2310" s="73"/>
      <c r="C2310" s="73"/>
      <c r="D2310" s="73"/>
      <c r="E2310" s="73"/>
      <c r="G2310" s="73"/>
      <c r="H2310" s="222"/>
    </row>
    <row r="2311" spans="1:8" s="212" customFormat="1">
      <c r="A2311" s="220"/>
      <c r="B2311" s="141"/>
      <c r="C2311" s="141"/>
      <c r="D2311" s="141"/>
      <c r="E2311" s="141"/>
      <c r="F2311" s="141"/>
      <c r="G2311" s="141"/>
      <c r="H2311" s="222"/>
    </row>
    <row r="2312" spans="1:8" s="212" customFormat="1" ht="16.5">
      <c r="A2312" s="150"/>
      <c r="B2312" s="161"/>
      <c r="C2312" s="148"/>
      <c r="D2312" s="84"/>
      <c r="E2312" s="84"/>
      <c r="F2312" s="84"/>
      <c r="G2312" s="146"/>
      <c r="H2312" s="222"/>
    </row>
    <row r="2313" spans="1:8" s="212" customFormat="1" ht="16.5">
      <c r="A2313" s="150"/>
      <c r="B2313" s="161"/>
      <c r="C2313" s="148"/>
      <c r="D2313" s="84"/>
      <c r="E2313" s="84"/>
      <c r="F2313" s="84"/>
      <c r="G2313" s="146"/>
      <c r="H2313" s="222"/>
    </row>
    <row r="2314" spans="1:8" s="212" customFormat="1" ht="16.5">
      <c r="A2314" s="150"/>
      <c r="B2314" s="161"/>
      <c r="C2314" s="148"/>
      <c r="D2314" s="84"/>
      <c r="E2314" s="84"/>
      <c r="F2314" s="84"/>
      <c r="G2314" s="146"/>
      <c r="H2314" s="221"/>
    </row>
    <row r="2315" spans="1:8" s="212" customFormat="1">
      <c r="A2315" s="91"/>
      <c r="B2315" s="91"/>
      <c r="C2315" s="91"/>
      <c r="D2315" s="91"/>
      <c r="E2315" s="91"/>
      <c r="G2315" s="213"/>
      <c r="H2315" s="222"/>
    </row>
    <row r="2316" spans="1:8" s="212" customFormat="1">
      <c r="A2316" s="120"/>
      <c r="B2316" s="73"/>
      <c r="C2316" s="73"/>
      <c r="D2316" s="73"/>
      <c r="E2316" s="73"/>
      <c r="G2316" s="73"/>
      <c r="H2316" s="222"/>
    </row>
    <row r="2317" spans="1:8" s="212" customFormat="1">
      <c r="A2317" s="220"/>
      <c r="B2317" s="141"/>
      <c r="C2317" s="141"/>
      <c r="D2317" s="141"/>
      <c r="E2317" s="141"/>
      <c r="F2317" s="141"/>
      <c r="G2317" s="141"/>
      <c r="H2317" s="222"/>
    </row>
    <row r="2318" spans="1:8" s="212" customFormat="1">
      <c r="A2318" s="146"/>
      <c r="B2318" s="83"/>
      <c r="C2318" s="148"/>
      <c r="D2318" s="84"/>
      <c r="E2318" s="84"/>
      <c r="F2318" s="84"/>
      <c r="G2318" s="146"/>
      <c r="H2318" s="221"/>
    </row>
    <row r="2319" spans="1:8" s="212" customFormat="1">
      <c r="A2319" s="91"/>
      <c r="B2319" s="91"/>
      <c r="C2319" s="91"/>
      <c r="D2319" s="91"/>
      <c r="E2319" s="91"/>
      <c r="G2319" s="213"/>
      <c r="H2319" s="222"/>
    </row>
    <row r="2320" spans="1:8" s="212" customFormat="1">
      <c r="A2320" s="120"/>
      <c r="B2320" s="73"/>
      <c r="C2320" s="73"/>
      <c r="D2320" s="73"/>
      <c r="E2320" s="73"/>
      <c r="G2320" s="73"/>
      <c r="H2320" s="222"/>
    </row>
    <row r="2321" spans="1:9" s="212" customFormat="1">
      <c r="A2321" s="220"/>
      <c r="B2321" s="141"/>
      <c r="C2321" s="141"/>
      <c r="D2321" s="141"/>
      <c r="E2321" s="141"/>
      <c r="F2321" s="141"/>
      <c r="G2321" s="141"/>
      <c r="H2321" s="222"/>
    </row>
    <row r="2322" spans="1:9" s="212" customFormat="1">
      <c r="A2322" s="142"/>
      <c r="B2322" s="143"/>
      <c r="C2322" s="143"/>
      <c r="D2322" s="143"/>
      <c r="E2322" s="143"/>
      <c r="F2322" s="84"/>
      <c r="G2322" s="146"/>
      <c r="H2322" s="221"/>
    </row>
    <row r="2323" spans="1:9" s="212" customFormat="1">
      <c r="A2323" s="123"/>
      <c r="B2323" s="95"/>
      <c r="C2323" s="95"/>
      <c r="D2323" s="95"/>
      <c r="E2323" s="95"/>
      <c r="G2323" s="213"/>
      <c r="H2323" s="73"/>
    </row>
    <row r="2324" spans="1:9" s="212" customFormat="1">
      <c r="A2324" s="123"/>
      <c r="B2324" s="95"/>
      <c r="C2324" s="95"/>
      <c r="D2324" s="95"/>
      <c r="E2324" s="95"/>
      <c r="G2324" s="73"/>
      <c r="H2324" s="225"/>
    </row>
    <row r="2325" spans="1:9" s="212" customFormat="1">
      <c r="B2325" s="97"/>
      <c r="C2325" s="98"/>
      <c r="D2325" s="98"/>
      <c r="E2325" s="98"/>
      <c r="G2325" s="220"/>
    </row>
    <row r="2326" spans="1:9" s="212" customFormat="1">
      <c r="B2326" s="97"/>
      <c r="C2326" s="98"/>
      <c r="D2326" s="98"/>
      <c r="E2326" s="98"/>
      <c r="F2326" s="220"/>
      <c r="G2326" s="225"/>
      <c r="H2326" s="226"/>
    </row>
    <row r="2327" spans="1:9" s="212" customFormat="1">
      <c r="A2327" s="633"/>
      <c r="B2327" s="633"/>
      <c r="C2327" s="633"/>
      <c r="D2327" s="633"/>
      <c r="E2327" s="633"/>
      <c r="F2327" s="633"/>
      <c r="G2327" s="633"/>
    </row>
    <row r="2328" spans="1:9" s="212" customFormat="1">
      <c r="H2328" s="227"/>
      <c r="I2328" s="228"/>
    </row>
    <row r="2329" spans="1:9" s="212" customFormat="1">
      <c r="A2329" s="658"/>
      <c r="B2329" s="227"/>
      <c r="C2329" s="227"/>
      <c r="D2329" s="227"/>
      <c r="E2329" s="227"/>
      <c r="F2329" s="227"/>
      <c r="G2329" s="227"/>
      <c r="H2329" s="227"/>
      <c r="I2329" s="229"/>
    </row>
    <row r="2330" spans="1:9" s="212" customFormat="1">
      <c r="A2330" s="658"/>
      <c r="B2330" s="227"/>
      <c r="C2330" s="227"/>
      <c r="D2330" s="227"/>
      <c r="E2330" s="227"/>
      <c r="F2330" s="227"/>
      <c r="G2330" s="227"/>
    </row>
    <row r="2331" spans="1:9" s="212" customFormat="1">
      <c r="A2331" s="69"/>
      <c r="B2331" s="69"/>
      <c r="C2331" s="69"/>
      <c r="D2331" s="69"/>
      <c r="E2331" s="69"/>
    </row>
    <row r="2332" spans="1:9" s="212" customFormat="1">
      <c r="A2332" s="120"/>
      <c r="B2332" s="73"/>
      <c r="C2332" s="73"/>
      <c r="D2332" s="73"/>
      <c r="E2332" s="73"/>
      <c r="F2332" s="73"/>
      <c r="G2332" s="73"/>
      <c r="H2332" s="73"/>
    </row>
    <row r="2333" spans="1:9" s="212" customFormat="1">
      <c r="A2333" s="220"/>
      <c r="B2333" s="141"/>
      <c r="C2333" s="141"/>
      <c r="D2333" s="141"/>
      <c r="E2333" s="141"/>
      <c r="F2333" s="141"/>
      <c r="G2333" s="141"/>
      <c r="H2333" s="73"/>
    </row>
    <row r="2334" spans="1:9" s="212" customFormat="1">
      <c r="A2334" s="150"/>
      <c r="B2334" s="83"/>
      <c r="C2334" s="148"/>
      <c r="D2334" s="84"/>
      <c r="E2334" s="84"/>
      <c r="F2334" s="84"/>
      <c r="G2334" s="146"/>
      <c r="H2334" s="221"/>
    </row>
    <row r="2335" spans="1:9" s="212" customFormat="1">
      <c r="A2335" s="84"/>
      <c r="B2335" s="83"/>
      <c r="C2335" s="84"/>
      <c r="D2335" s="84"/>
      <c r="E2335" s="84"/>
      <c r="G2335" s="213"/>
      <c r="H2335" s="222"/>
    </row>
    <row r="2336" spans="1:9" s="212" customFormat="1">
      <c r="A2336" s="120"/>
      <c r="B2336" s="73"/>
      <c r="C2336" s="73"/>
      <c r="D2336" s="73"/>
      <c r="E2336" s="73"/>
      <c r="G2336" s="73"/>
      <c r="H2336" s="222"/>
    </row>
    <row r="2337" spans="1:9" s="212" customFormat="1">
      <c r="A2337" s="220"/>
      <c r="B2337" s="141"/>
      <c r="C2337" s="141"/>
      <c r="D2337" s="141"/>
      <c r="E2337" s="141"/>
      <c r="F2337" s="141"/>
      <c r="G2337" s="141"/>
      <c r="H2337" s="222"/>
    </row>
    <row r="2338" spans="1:9" s="212" customFormat="1" ht="16.5">
      <c r="A2338" s="150"/>
      <c r="B2338" s="161"/>
      <c r="C2338" s="148"/>
      <c r="D2338" s="168"/>
      <c r="E2338" s="84"/>
      <c r="F2338" s="84"/>
      <c r="G2338" s="146"/>
      <c r="H2338" s="221"/>
    </row>
    <row r="2339" spans="1:9" s="212" customFormat="1">
      <c r="A2339" s="91"/>
      <c r="B2339" s="91"/>
      <c r="C2339" s="91"/>
      <c r="D2339" s="91"/>
      <c r="E2339" s="91"/>
      <c r="G2339" s="213"/>
      <c r="H2339" s="222"/>
    </row>
    <row r="2340" spans="1:9" s="212" customFormat="1">
      <c r="A2340" s="120"/>
      <c r="B2340" s="73"/>
      <c r="C2340" s="73"/>
      <c r="D2340" s="73"/>
      <c r="E2340" s="73"/>
      <c r="G2340" s="73"/>
      <c r="H2340" s="222"/>
    </row>
    <row r="2341" spans="1:9" s="212" customFormat="1">
      <c r="A2341" s="220"/>
      <c r="B2341" s="141"/>
      <c r="C2341" s="141"/>
      <c r="D2341" s="141"/>
      <c r="E2341" s="141"/>
      <c r="F2341" s="141"/>
      <c r="G2341" s="141"/>
      <c r="H2341" s="222"/>
    </row>
    <row r="2342" spans="1:9" s="212" customFormat="1">
      <c r="A2342" s="146"/>
      <c r="B2342" s="83"/>
      <c r="C2342" s="148"/>
      <c r="D2342" s="84"/>
      <c r="E2342" s="84"/>
      <c r="F2342" s="84"/>
      <c r="G2342" s="146"/>
      <c r="H2342" s="221"/>
    </row>
    <row r="2343" spans="1:9" s="212" customFormat="1">
      <c r="A2343" s="91"/>
      <c r="B2343" s="91"/>
      <c r="C2343" s="91"/>
      <c r="D2343" s="91"/>
      <c r="E2343" s="91"/>
      <c r="G2343" s="213"/>
      <c r="H2343" s="222"/>
    </row>
    <row r="2344" spans="1:9" s="212" customFormat="1">
      <c r="A2344" s="120"/>
      <c r="B2344" s="73"/>
      <c r="C2344" s="73"/>
      <c r="D2344" s="73"/>
      <c r="E2344" s="73"/>
      <c r="G2344" s="73"/>
      <c r="H2344" s="222"/>
    </row>
    <row r="2345" spans="1:9" s="212" customFormat="1">
      <c r="A2345" s="220"/>
      <c r="B2345" s="141"/>
      <c r="C2345" s="141"/>
      <c r="D2345" s="141"/>
      <c r="E2345" s="141"/>
      <c r="F2345" s="141"/>
      <c r="G2345" s="141"/>
      <c r="H2345" s="222"/>
    </row>
    <row r="2346" spans="1:9" s="212" customFormat="1">
      <c r="A2346" s="142"/>
      <c r="B2346" s="143"/>
      <c r="C2346" s="143"/>
      <c r="D2346" s="143"/>
      <c r="E2346" s="143"/>
      <c r="F2346" s="84"/>
      <c r="G2346" s="146"/>
      <c r="H2346" s="221"/>
    </row>
    <row r="2347" spans="1:9" s="212" customFormat="1">
      <c r="A2347" s="123"/>
      <c r="B2347" s="95"/>
      <c r="C2347" s="95"/>
      <c r="D2347" s="95"/>
      <c r="E2347" s="95"/>
      <c r="G2347" s="213"/>
      <c r="H2347" s="73"/>
    </row>
    <row r="2348" spans="1:9" s="212" customFormat="1">
      <c r="A2348" s="123"/>
      <c r="B2348" s="95"/>
      <c r="C2348" s="95"/>
      <c r="D2348" s="95"/>
      <c r="E2348" s="95"/>
      <c r="G2348" s="73"/>
      <c r="H2348" s="225"/>
    </row>
    <row r="2349" spans="1:9" s="212" customFormat="1">
      <c r="B2349" s="97"/>
      <c r="C2349" s="98"/>
      <c r="D2349" s="98"/>
      <c r="E2349" s="98"/>
      <c r="G2349" s="220"/>
    </row>
    <row r="2350" spans="1:9" s="212" customFormat="1">
      <c r="B2350" s="97"/>
      <c r="C2350" s="98"/>
      <c r="D2350" s="98"/>
      <c r="E2350" s="98"/>
      <c r="F2350" s="220"/>
      <c r="G2350" s="225"/>
      <c r="H2350" s="226"/>
    </row>
    <row r="2351" spans="1:9" s="212" customFormat="1">
      <c r="A2351" s="633"/>
      <c r="B2351" s="633"/>
      <c r="C2351" s="633"/>
      <c r="D2351" s="633"/>
      <c r="E2351" s="633"/>
      <c r="F2351" s="633"/>
      <c r="G2351" s="633"/>
    </row>
    <row r="2352" spans="1:9" s="212" customFormat="1">
      <c r="H2352" s="227"/>
      <c r="I2352" s="228"/>
    </row>
    <row r="2353" spans="1:9" s="212" customFormat="1">
      <c r="A2353" s="658"/>
      <c r="B2353" s="227"/>
      <c r="C2353" s="227"/>
      <c r="D2353" s="227"/>
      <c r="E2353" s="227"/>
      <c r="F2353" s="227"/>
      <c r="G2353" s="227"/>
      <c r="H2353" s="227"/>
      <c r="I2353" s="229"/>
    </row>
    <row r="2354" spans="1:9" s="212" customFormat="1">
      <c r="A2354" s="658"/>
      <c r="B2354" s="227"/>
      <c r="C2354" s="227"/>
      <c r="D2354" s="227"/>
      <c r="E2354" s="227"/>
      <c r="F2354" s="227"/>
      <c r="G2354" s="227"/>
    </row>
    <row r="2355" spans="1:9" s="212" customFormat="1">
      <c r="A2355" s="69"/>
      <c r="B2355" s="69"/>
      <c r="C2355" s="69"/>
      <c r="D2355" s="69"/>
      <c r="E2355" s="69"/>
    </row>
    <row r="2356" spans="1:9" s="212" customFormat="1">
      <c r="A2356" s="120"/>
      <c r="B2356" s="73"/>
      <c r="C2356" s="73"/>
      <c r="D2356" s="73"/>
      <c r="E2356" s="73"/>
      <c r="F2356" s="73"/>
      <c r="G2356" s="73"/>
      <c r="H2356" s="73"/>
    </row>
    <row r="2357" spans="1:9" s="212" customFormat="1">
      <c r="A2357" s="220"/>
      <c r="B2357" s="141"/>
      <c r="C2357" s="141"/>
      <c r="D2357" s="141"/>
      <c r="E2357" s="141"/>
      <c r="F2357" s="141"/>
      <c r="G2357" s="141"/>
      <c r="H2357" s="73"/>
    </row>
    <row r="2358" spans="1:9" s="212" customFormat="1">
      <c r="A2358" s="150"/>
      <c r="B2358" s="84"/>
      <c r="C2358" s="148"/>
      <c r="D2358" s="84"/>
      <c r="E2358" s="84"/>
      <c r="F2358" s="84"/>
      <c r="G2358" s="146"/>
      <c r="H2358" s="221"/>
    </row>
    <row r="2359" spans="1:9" s="212" customFormat="1">
      <c r="A2359" s="84"/>
      <c r="B2359" s="83"/>
      <c r="C2359" s="84"/>
      <c r="D2359" s="84"/>
      <c r="E2359" s="84"/>
      <c r="G2359" s="213"/>
      <c r="H2359" s="222"/>
    </row>
    <row r="2360" spans="1:9" s="212" customFormat="1">
      <c r="A2360" s="120"/>
      <c r="B2360" s="73"/>
      <c r="C2360" s="73"/>
      <c r="D2360" s="73"/>
      <c r="E2360" s="73"/>
      <c r="G2360" s="73"/>
      <c r="H2360" s="222"/>
    </row>
    <row r="2361" spans="1:9" s="212" customFormat="1">
      <c r="A2361" s="220"/>
      <c r="B2361" s="141"/>
      <c r="C2361" s="141"/>
      <c r="D2361" s="141"/>
      <c r="E2361" s="141"/>
      <c r="F2361" s="141"/>
      <c r="G2361" s="141"/>
      <c r="H2361" s="222"/>
    </row>
    <row r="2362" spans="1:9" s="212" customFormat="1">
      <c r="A2362" s="150"/>
      <c r="B2362" s="83"/>
      <c r="C2362" s="148"/>
      <c r="D2362" s="168"/>
      <c r="E2362" s="84"/>
      <c r="F2362" s="84"/>
      <c r="G2362" s="146"/>
      <c r="H2362" s="221"/>
    </row>
    <row r="2363" spans="1:9" s="212" customFormat="1">
      <c r="A2363" s="91"/>
      <c r="B2363" s="91"/>
      <c r="C2363" s="91"/>
      <c r="D2363" s="91"/>
      <c r="E2363" s="91"/>
      <c r="G2363" s="213"/>
      <c r="H2363" s="222"/>
    </row>
    <row r="2364" spans="1:9" s="212" customFormat="1">
      <c r="A2364" s="120"/>
      <c r="B2364" s="73"/>
      <c r="C2364" s="73"/>
      <c r="D2364" s="73"/>
      <c r="E2364" s="73"/>
      <c r="G2364" s="73"/>
      <c r="H2364" s="222"/>
    </row>
    <row r="2365" spans="1:9" s="212" customFormat="1">
      <c r="A2365" s="220"/>
      <c r="B2365" s="141"/>
      <c r="C2365" s="141"/>
      <c r="D2365" s="141"/>
      <c r="E2365" s="141"/>
      <c r="F2365" s="141"/>
      <c r="G2365" s="141"/>
      <c r="H2365" s="222"/>
    </row>
    <row r="2366" spans="1:9" s="212" customFormat="1">
      <c r="A2366" s="146"/>
      <c r="B2366" s="83"/>
      <c r="C2366" s="148"/>
      <c r="D2366" s="84"/>
      <c r="E2366" s="84"/>
      <c r="F2366" s="84"/>
      <c r="G2366" s="146"/>
      <c r="H2366" s="221"/>
    </row>
    <row r="2367" spans="1:9" s="212" customFormat="1">
      <c r="A2367" s="91"/>
      <c r="B2367" s="91"/>
      <c r="C2367" s="91"/>
      <c r="D2367" s="91"/>
      <c r="E2367" s="91"/>
      <c r="G2367" s="213"/>
      <c r="H2367" s="222"/>
    </row>
    <row r="2368" spans="1:9" s="212" customFormat="1">
      <c r="A2368" s="120"/>
      <c r="B2368" s="73"/>
      <c r="C2368" s="73"/>
      <c r="D2368" s="73"/>
      <c r="E2368" s="73"/>
      <c r="G2368" s="73"/>
      <c r="H2368" s="222"/>
    </row>
    <row r="2369" spans="1:9" s="212" customFormat="1">
      <c r="A2369" s="220"/>
      <c r="B2369" s="141"/>
      <c r="C2369" s="141"/>
      <c r="D2369" s="141"/>
      <c r="E2369" s="141"/>
      <c r="F2369" s="141"/>
      <c r="G2369" s="141"/>
      <c r="H2369" s="222"/>
    </row>
    <row r="2370" spans="1:9" s="212" customFormat="1">
      <c r="A2370" s="142"/>
      <c r="B2370" s="143"/>
      <c r="C2370" s="143"/>
      <c r="D2370" s="143"/>
      <c r="E2370" s="143"/>
      <c r="F2370" s="84"/>
      <c r="G2370" s="146"/>
      <c r="H2370" s="221"/>
    </row>
    <row r="2371" spans="1:9" s="212" customFormat="1">
      <c r="A2371" s="123"/>
      <c r="B2371" s="95"/>
      <c r="C2371" s="95"/>
      <c r="D2371" s="95"/>
      <c r="E2371" s="95"/>
      <c r="G2371" s="213"/>
      <c r="H2371" s="73"/>
    </row>
    <row r="2372" spans="1:9" s="212" customFormat="1">
      <c r="A2372" s="123"/>
      <c r="B2372" s="95"/>
      <c r="C2372" s="95"/>
      <c r="D2372" s="95"/>
      <c r="E2372" s="95"/>
      <c r="G2372" s="73"/>
      <c r="H2372" s="225"/>
    </row>
    <row r="2373" spans="1:9" s="212" customFormat="1">
      <c r="B2373" s="97"/>
      <c r="C2373" s="98"/>
      <c r="D2373" s="98"/>
      <c r="E2373" s="98"/>
      <c r="G2373" s="220"/>
    </row>
    <row r="2374" spans="1:9" s="212" customFormat="1">
      <c r="B2374" s="97"/>
      <c r="C2374" s="98"/>
      <c r="D2374" s="98"/>
      <c r="E2374" s="98"/>
      <c r="F2374" s="220"/>
      <c r="G2374" s="225"/>
      <c r="H2374" s="226"/>
    </row>
    <row r="2375" spans="1:9" s="212" customFormat="1">
      <c r="A2375" s="633"/>
      <c r="B2375" s="633"/>
      <c r="C2375" s="633"/>
      <c r="D2375" s="633"/>
      <c r="E2375" s="633"/>
      <c r="F2375" s="633"/>
      <c r="G2375" s="633"/>
    </row>
    <row r="2376" spans="1:9" s="212" customFormat="1">
      <c r="H2376" s="227"/>
      <c r="I2376" s="228"/>
    </row>
    <row r="2377" spans="1:9" s="212" customFormat="1">
      <c r="A2377" s="658"/>
      <c r="B2377" s="227"/>
      <c r="C2377" s="227"/>
      <c r="D2377" s="227"/>
      <c r="E2377" s="227"/>
      <c r="F2377" s="227"/>
      <c r="G2377" s="227"/>
      <c r="H2377" s="227"/>
      <c r="I2377" s="229"/>
    </row>
    <row r="2378" spans="1:9" s="212" customFormat="1">
      <c r="A2378" s="658"/>
      <c r="B2378" s="227"/>
      <c r="C2378" s="227"/>
      <c r="D2378" s="227"/>
      <c r="E2378" s="227"/>
      <c r="F2378" s="227"/>
      <c r="G2378" s="227"/>
    </row>
    <row r="2379" spans="1:9" s="212" customFormat="1">
      <c r="A2379" s="69"/>
      <c r="B2379" s="69"/>
      <c r="C2379" s="69"/>
      <c r="D2379" s="69"/>
      <c r="E2379" s="69"/>
    </row>
    <row r="2380" spans="1:9" s="212" customFormat="1">
      <c r="A2380" s="120"/>
      <c r="B2380" s="73"/>
      <c r="C2380" s="73"/>
      <c r="D2380" s="73"/>
      <c r="E2380" s="73"/>
      <c r="F2380" s="73"/>
      <c r="G2380" s="73"/>
      <c r="H2380" s="73"/>
    </row>
    <row r="2381" spans="1:9" s="212" customFormat="1">
      <c r="A2381" s="220"/>
      <c r="B2381" s="141"/>
      <c r="C2381" s="141"/>
      <c r="D2381" s="141"/>
      <c r="E2381" s="141"/>
      <c r="F2381" s="141"/>
      <c r="G2381" s="141"/>
      <c r="H2381" s="73"/>
    </row>
    <row r="2382" spans="1:9" s="212" customFormat="1">
      <c r="A2382" s="150"/>
      <c r="B2382" s="84"/>
      <c r="C2382" s="148"/>
      <c r="D2382" s="84"/>
      <c r="E2382" s="84"/>
      <c r="F2382" s="84"/>
      <c r="G2382" s="146"/>
      <c r="H2382" s="221"/>
    </row>
    <row r="2383" spans="1:9" s="212" customFormat="1">
      <c r="A2383" s="84"/>
      <c r="B2383" s="83"/>
      <c r="C2383" s="84"/>
      <c r="D2383" s="84"/>
      <c r="E2383" s="84"/>
      <c r="G2383" s="213"/>
      <c r="H2383" s="222"/>
    </row>
    <row r="2384" spans="1:9" s="212" customFormat="1">
      <c r="A2384" s="120"/>
      <c r="B2384" s="73"/>
      <c r="C2384" s="73"/>
      <c r="D2384" s="73"/>
      <c r="E2384" s="73"/>
      <c r="G2384" s="73"/>
      <c r="H2384" s="222"/>
    </row>
    <row r="2385" spans="1:9" s="212" customFormat="1">
      <c r="A2385" s="220"/>
      <c r="B2385" s="141"/>
      <c r="C2385" s="141"/>
      <c r="D2385" s="141"/>
      <c r="E2385" s="141"/>
      <c r="F2385" s="141"/>
      <c r="G2385" s="141"/>
      <c r="H2385" s="222"/>
    </row>
    <row r="2386" spans="1:9" s="212" customFormat="1">
      <c r="A2386" s="150"/>
      <c r="B2386" s="83"/>
      <c r="C2386" s="148"/>
      <c r="D2386" s="168"/>
      <c r="E2386" s="84"/>
      <c r="F2386" s="84"/>
      <c r="G2386" s="146"/>
      <c r="H2386" s="221"/>
    </row>
    <row r="2387" spans="1:9" s="212" customFormat="1">
      <c r="A2387" s="91"/>
      <c r="B2387" s="91"/>
      <c r="C2387" s="91"/>
      <c r="D2387" s="91"/>
      <c r="E2387" s="91"/>
      <c r="G2387" s="213"/>
      <c r="H2387" s="222"/>
    </row>
    <row r="2388" spans="1:9" s="212" customFormat="1">
      <c r="A2388" s="120"/>
      <c r="B2388" s="73"/>
      <c r="C2388" s="73"/>
      <c r="D2388" s="73"/>
      <c r="E2388" s="73"/>
      <c r="G2388" s="73"/>
      <c r="H2388" s="222"/>
    </row>
    <row r="2389" spans="1:9" s="212" customFormat="1">
      <c r="A2389" s="220"/>
      <c r="B2389" s="141"/>
      <c r="C2389" s="141"/>
      <c r="D2389" s="141"/>
      <c r="E2389" s="141"/>
      <c r="F2389" s="141"/>
      <c r="G2389" s="141"/>
      <c r="H2389" s="222"/>
    </row>
    <row r="2390" spans="1:9" s="212" customFormat="1">
      <c r="A2390" s="142"/>
      <c r="B2390" s="143"/>
      <c r="C2390" s="143"/>
      <c r="D2390" s="143"/>
      <c r="E2390" s="143"/>
      <c r="F2390" s="84"/>
      <c r="G2390" s="146"/>
      <c r="H2390" s="221"/>
    </row>
    <row r="2391" spans="1:9" s="212" customFormat="1">
      <c r="A2391" s="91"/>
      <c r="B2391" s="91"/>
      <c r="C2391" s="91"/>
      <c r="D2391" s="91"/>
      <c r="E2391" s="91"/>
      <c r="G2391" s="213"/>
      <c r="H2391" s="222"/>
    </row>
    <row r="2392" spans="1:9" s="212" customFormat="1">
      <c r="A2392" s="120"/>
      <c r="B2392" s="73"/>
      <c r="C2392" s="73"/>
      <c r="D2392" s="73"/>
      <c r="E2392" s="73"/>
      <c r="G2392" s="73"/>
      <c r="H2392" s="222"/>
    </row>
    <row r="2393" spans="1:9" s="212" customFormat="1">
      <c r="A2393" s="220"/>
      <c r="B2393" s="141"/>
      <c r="C2393" s="141"/>
      <c r="D2393" s="141"/>
      <c r="E2393" s="141"/>
      <c r="F2393" s="141"/>
      <c r="G2393" s="141"/>
      <c r="H2393" s="222"/>
    </row>
    <row r="2394" spans="1:9" s="212" customFormat="1">
      <c r="A2394" s="142"/>
      <c r="B2394" s="143"/>
      <c r="C2394" s="143"/>
      <c r="D2394" s="143"/>
      <c r="E2394" s="143"/>
      <c r="F2394" s="84"/>
      <c r="G2394" s="146"/>
      <c r="H2394" s="221"/>
    </row>
    <row r="2395" spans="1:9" s="212" customFormat="1">
      <c r="A2395" s="123"/>
      <c r="B2395" s="95"/>
      <c r="C2395" s="95"/>
      <c r="D2395" s="95"/>
      <c r="E2395" s="95"/>
      <c r="G2395" s="213"/>
      <c r="H2395" s="73"/>
    </row>
    <row r="2396" spans="1:9" s="212" customFormat="1">
      <c r="A2396" s="123"/>
      <c r="B2396" s="95"/>
      <c r="C2396" s="95"/>
      <c r="D2396" s="95"/>
      <c r="E2396" s="95"/>
      <c r="G2396" s="73"/>
      <c r="H2396" s="225"/>
    </row>
    <row r="2397" spans="1:9" s="212" customFormat="1">
      <c r="B2397" s="97"/>
      <c r="C2397" s="98"/>
      <c r="D2397" s="98"/>
      <c r="E2397" s="98"/>
      <c r="G2397" s="220"/>
    </row>
    <row r="2398" spans="1:9" s="212" customFormat="1">
      <c r="B2398" s="97"/>
      <c r="C2398" s="98"/>
      <c r="D2398" s="98"/>
      <c r="E2398" s="98"/>
      <c r="F2398" s="220"/>
      <c r="G2398" s="225"/>
      <c r="H2398" s="226"/>
    </row>
    <row r="2399" spans="1:9" s="212" customFormat="1">
      <c r="A2399" s="633"/>
      <c r="B2399" s="633"/>
      <c r="C2399" s="633"/>
      <c r="D2399" s="633"/>
      <c r="E2399" s="633"/>
      <c r="F2399" s="633"/>
      <c r="G2399" s="633"/>
    </row>
    <row r="2400" spans="1:9" s="212" customFormat="1">
      <c r="H2400" s="227"/>
      <c r="I2400" s="228"/>
    </row>
    <row r="2401" spans="1:9" s="212" customFormat="1">
      <c r="A2401" s="658"/>
      <c r="B2401" s="227"/>
      <c r="C2401" s="227"/>
      <c r="D2401" s="227"/>
      <c r="E2401" s="227"/>
      <c r="F2401" s="227"/>
      <c r="G2401" s="227"/>
      <c r="H2401" s="227"/>
      <c r="I2401" s="229"/>
    </row>
    <row r="2402" spans="1:9" s="212" customFormat="1">
      <c r="A2402" s="658"/>
      <c r="B2402" s="227"/>
      <c r="C2402" s="227"/>
      <c r="D2402" s="227"/>
      <c r="E2402" s="227"/>
      <c r="F2402" s="227"/>
      <c r="G2402" s="227"/>
    </row>
    <row r="2403" spans="1:9" s="212" customFormat="1">
      <c r="A2403" s="69"/>
      <c r="B2403" s="69"/>
      <c r="C2403" s="69"/>
      <c r="D2403" s="69"/>
      <c r="E2403" s="69"/>
    </row>
    <row r="2404" spans="1:9" s="212" customFormat="1">
      <c r="A2404" s="120"/>
      <c r="B2404" s="73"/>
      <c r="C2404" s="73"/>
      <c r="D2404" s="73"/>
      <c r="E2404" s="73"/>
      <c r="F2404" s="73"/>
      <c r="G2404" s="73"/>
      <c r="H2404" s="73"/>
    </row>
    <row r="2405" spans="1:9" s="212" customFormat="1">
      <c r="A2405" s="220"/>
      <c r="B2405" s="141"/>
      <c r="C2405" s="141"/>
      <c r="D2405" s="141"/>
      <c r="E2405" s="141"/>
      <c r="F2405" s="141"/>
      <c r="G2405" s="141"/>
      <c r="H2405" s="73"/>
    </row>
    <row r="2406" spans="1:9" s="212" customFormat="1">
      <c r="A2406" s="150"/>
      <c r="B2406" s="84"/>
      <c r="C2406" s="148"/>
      <c r="D2406" s="84"/>
      <c r="E2406" s="84"/>
      <c r="F2406" s="84"/>
      <c r="G2406" s="146"/>
      <c r="H2406" s="221"/>
    </row>
    <row r="2407" spans="1:9" s="212" customFormat="1">
      <c r="A2407" s="84"/>
      <c r="B2407" s="83"/>
      <c r="C2407" s="84"/>
      <c r="D2407" s="84"/>
      <c r="E2407" s="84"/>
      <c r="G2407" s="213"/>
      <c r="H2407" s="222"/>
    </row>
    <row r="2408" spans="1:9" s="212" customFormat="1">
      <c r="A2408" s="120"/>
      <c r="B2408" s="73"/>
      <c r="C2408" s="73"/>
      <c r="D2408" s="73"/>
      <c r="E2408" s="73"/>
      <c r="G2408" s="73"/>
      <c r="H2408" s="222"/>
    </row>
    <row r="2409" spans="1:9" s="212" customFormat="1">
      <c r="A2409" s="220"/>
      <c r="B2409" s="141"/>
      <c r="C2409" s="141"/>
      <c r="D2409" s="141"/>
      <c r="E2409" s="141"/>
      <c r="F2409" s="141"/>
      <c r="G2409" s="141"/>
      <c r="H2409" s="222"/>
    </row>
    <row r="2410" spans="1:9" s="212" customFormat="1">
      <c r="A2410" s="150"/>
      <c r="B2410" s="83"/>
      <c r="C2410" s="148"/>
      <c r="D2410" s="168"/>
      <c r="E2410" s="84"/>
      <c r="F2410" s="84"/>
      <c r="G2410" s="146"/>
      <c r="H2410" s="221"/>
    </row>
    <row r="2411" spans="1:9" s="212" customFormat="1">
      <c r="A2411" s="91"/>
      <c r="B2411" s="91"/>
      <c r="C2411" s="91"/>
      <c r="D2411" s="91"/>
      <c r="E2411" s="91"/>
      <c r="G2411" s="213"/>
      <c r="H2411" s="222"/>
    </row>
    <row r="2412" spans="1:9" s="212" customFormat="1">
      <c r="A2412" s="120"/>
      <c r="B2412" s="73"/>
      <c r="C2412" s="73"/>
      <c r="D2412" s="73"/>
      <c r="E2412" s="73"/>
      <c r="G2412" s="73"/>
      <c r="H2412" s="222"/>
    </row>
    <row r="2413" spans="1:9" s="212" customFormat="1">
      <c r="A2413" s="220"/>
      <c r="B2413" s="141"/>
      <c r="C2413" s="141"/>
      <c r="D2413" s="141"/>
      <c r="E2413" s="141"/>
      <c r="F2413" s="141"/>
      <c r="G2413" s="141"/>
      <c r="H2413" s="222"/>
    </row>
    <row r="2414" spans="1:9" s="212" customFormat="1">
      <c r="A2414" s="142"/>
      <c r="B2414" s="143"/>
      <c r="C2414" s="143"/>
      <c r="D2414" s="143"/>
      <c r="E2414" s="143"/>
      <c r="F2414" s="84"/>
      <c r="G2414" s="146"/>
      <c r="H2414" s="221"/>
    </row>
    <row r="2415" spans="1:9" s="212" customFormat="1">
      <c r="A2415" s="91"/>
      <c r="B2415" s="91"/>
      <c r="C2415" s="91"/>
      <c r="D2415" s="91"/>
      <c r="E2415" s="91"/>
      <c r="G2415" s="213"/>
      <c r="H2415" s="222"/>
    </row>
    <row r="2416" spans="1:9" s="212" customFormat="1">
      <c r="A2416" s="120"/>
      <c r="B2416" s="73"/>
      <c r="C2416" s="73"/>
      <c r="D2416" s="73"/>
      <c r="E2416" s="73"/>
      <c r="G2416" s="73"/>
      <c r="H2416" s="222"/>
    </row>
    <row r="2417" spans="1:9" s="212" customFormat="1">
      <c r="A2417" s="220"/>
      <c r="B2417" s="141"/>
      <c r="C2417" s="141"/>
      <c r="D2417" s="141"/>
      <c r="E2417" s="141"/>
      <c r="F2417" s="141"/>
      <c r="G2417" s="141"/>
      <c r="H2417" s="222"/>
    </row>
    <row r="2418" spans="1:9" s="212" customFormat="1">
      <c r="A2418" s="142"/>
      <c r="B2418" s="143"/>
      <c r="C2418" s="143"/>
      <c r="D2418" s="143"/>
      <c r="E2418" s="143"/>
      <c r="F2418" s="84"/>
      <c r="G2418" s="146"/>
      <c r="H2418" s="221"/>
    </row>
    <row r="2419" spans="1:9" s="212" customFormat="1">
      <c r="A2419" s="123"/>
      <c r="B2419" s="95"/>
      <c r="C2419" s="95"/>
      <c r="D2419" s="95"/>
      <c r="E2419" s="95"/>
      <c r="G2419" s="213"/>
      <c r="H2419" s="73"/>
    </row>
    <row r="2420" spans="1:9" s="212" customFormat="1">
      <c r="A2420" s="123"/>
      <c r="B2420" s="95"/>
      <c r="C2420" s="95"/>
      <c r="D2420" s="95"/>
      <c r="E2420" s="95"/>
      <c r="G2420" s="73"/>
      <c r="H2420" s="225"/>
    </row>
    <row r="2421" spans="1:9" s="212" customFormat="1">
      <c r="B2421" s="97"/>
      <c r="C2421" s="98"/>
      <c r="D2421" s="98"/>
      <c r="E2421" s="98"/>
      <c r="G2421" s="220"/>
    </row>
    <row r="2422" spans="1:9" s="212" customFormat="1">
      <c r="B2422" s="97"/>
      <c r="C2422" s="98"/>
      <c r="D2422" s="98"/>
      <c r="E2422" s="98"/>
      <c r="F2422" s="220"/>
      <c r="G2422" s="225"/>
      <c r="H2422" s="226"/>
    </row>
    <row r="2423" spans="1:9" s="212" customFormat="1">
      <c r="A2423" s="633"/>
      <c r="B2423" s="633"/>
      <c r="C2423" s="633"/>
      <c r="D2423" s="633"/>
      <c r="E2423" s="633"/>
      <c r="F2423" s="633"/>
      <c r="G2423" s="633"/>
    </row>
    <row r="2424" spans="1:9" s="212" customFormat="1">
      <c r="H2424" s="227"/>
      <c r="I2424" s="228"/>
    </row>
    <row r="2425" spans="1:9" s="212" customFormat="1">
      <c r="A2425" s="658"/>
      <c r="B2425" s="227"/>
      <c r="C2425" s="227"/>
      <c r="D2425" s="227"/>
      <c r="E2425" s="227"/>
      <c r="F2425" s="227"/>
      <c r="G2425" s="227"/>
      <c r="H2425" s="227"/>
      <c r="I2425" s="229"/>
    </row>
    <row r="2426" spans="1:9" s="212" customFormat="1">
      <c r="A2426" s="658"/>
      <c r="B2426" s="227"/>
      <c r="C2426" s="227"/>
      <c r="D2426" s="227"/>
      <c r="E2426" s="227"/>
      <c r="F2426" s="227"/>
      <c r="G2426" s="227"/>
    </row>
    <row r="2427" spans="1:9" s="212" customFormat="1">
      <c r="A2427" s="69"/>
      <c r="B2427" s="69"/>
      <c r="C2427" s="69"/>
      <c r="D2427" s="69"/>
      <c r="E2427" s="69"/>
    </row>
    <row r="2428" spans="1:9" s="212" customFormat="1">
      <c r="A2428" s="120"/>
      <c r="B2428" s="73"/>
      <c r="C2428" s="73"/>
      <c r="D2428" s="73"/>
      <c r="E2428" s="73"/>
      <c r="F2428" s="73"/>
      <c r="G2428" s="73"/>
      <c r="H2428" s="73"/>
    </row>
    <row r="2429" spans="1:9" s="212" customFormat="1">
      <c r="A2429" s="220"/>
      <c r="B2429" s="141"/>
      <c r="C2429" s="141"/>
      <c r="D2429" s="141"/>
      <c r="E2429" s="141"/>
      <c r="F2429" s="141"/>
      <c r="G2429" s="141"/>
      <c r="H2429" s="73"/>
    </row>
    <row r="2430" spans="1:9" s="212" customFormat="1">
      <c r="A2430" s="150"/>
      <c r="B2430" s="84"/>
      <c r="C2430" s="148"/>
      <c r="D2430" s="84"/>
      <c r="E2430" s="84"/>
      <c r="F2430" s="84"/>
      <c r="G2430" s="146"/>
      <c r="H2430" s="221"/>
    </row>
    <row r="2431" spans="1:9" s="212" customFormat="1">
      <c r="A2431" s="84"/>
      <c r="B2431" s="83"/>
      <c r="C2431" s="84"/>
      <c r="D2431" s="84"/>
      <c r="E2431" s="84"/>
      <c r="G2431" s="213"/>
      <c r="H2431" s="222"/>
    </row>
    <row r="2432" spans="1:9" s="212" customFormat="1">
      <c r="A2432" s="120"/>
      <c r="B2432" s="73"/>
      <c r="C2432" s="73"/>
      <c r="D2432" s="73"/>
      <c r="E2432" s="73"/>
      <c r="G2432" s="73"/>
      <c r="H2432" s="222"/>
    </row>
    <row r="2433" spans="1:9" s="212" customFormat="1">
      <c r="A2433" s="220"/>
      <c r="B2433" s="141"/>
      <c r="C2433" s="141"/>
      <c r="D2433" s="141"/>
      <c r="E2433" s="141"/>
      <c r="F2433" s="141"/>
      <c r="G2433" s="141"/>
      <c r="H2433" s="222"/>
    </row>
    <row r="2434" spans="1:9" s="212" customFormat="1">
      <c r="A2434" s="150"/>
      <c r="B2434" s="83"/>
      <c r="C2434" s="148"/>
      <c r="D2434" s="168"/>
      <c r="E2434" s="84"/>
      <c r="F2434" s="84"/>
      <c r="G2434" s="146"/>
      <c r="H2434" s="221"/>
    </row>
    <row r="2435" spans="1:9" s="212" customFormat="1">
      <c r="A2435" s="91"/>
      <c r="B2435" s="91"/>
      <c r="C2435" s="91"/>
      <c r="D2435" s="91"/>
      <c r="E2435" s="91"/>
      <c r="G2435" s="213"/>
      <c r="H2435" s="222"/>
    </row>
    <row r="2436" spans="1:9" s="212" customFormat="1">
      <c r="A2436" s="120"/>
      <c r="B2436" s="73"/>
      <c r="C2436" s="73"/>
      <c r="D2436" s="73"/>
      <c r="E2436" s="73"/>
      <c r="G2436" s="73"/>
      <c r="H2436" s="222"/>
    </row>
    <row r="2437" spans="1:9" s="212" customFormat="1">
      <c r="A2437" s="220"/>
      <c r="B2437" s="141"/>
      <c r="C2437" s="141"/>
      <c r="D2437" s="141"/>
      <c r="E2437" s="141"/>
      <c r="F2437" s="141"/>
      <c r="G2437" s="141"/>
      <c r="H2437" s="222"/>
    </row>
    <row r="2438" spans="1:9" s="212" customFormat="1">
      <c r="A2438" s="142"/>
      <c r="B2438" s="143"/>
      <c r="C2438" s="143"/>
      <c r="D2438" s="143"/>
      <c r="E2438" s="143"/>
      <c r="F2438" s="84"/>
      <c r="G2438" s="146"/>
      <c r="H2438" s="221"/>
    </row>
    <row r="2439" spans="1:9" s="212" customFormat="1">
      <c r="A2439" s="91"/>
      <c r="B2439" s="91"/>
      <c r="C2439" s="91"/>
      <c r="D2439" s="91"/>
      <c r="E2439" s="91"/>
      <c r="G2439" s="213"/>
      <c r="H2439" s="222"/>
    </row>
    <row r="2440" spans="1:9" s="212" customFormat="1">
      <c r="A2440" s="120"/>
      <c r="B2440" s="73"/>
      <c r="C2440" s="73"/>
      <c r="D2440" s="73"/>
      <c r="E2440" s="73"/>
      <c r="G2440" s="73"/>
      <c r="H2440" s="222"/>
    </row>
    <row r="2441" spans="1:9" s="212" customFormat="1">
      <c r="A2441" s="220"/>
      <c r="B2441" s="141"/>
      <c r="C2441" s="141"/>
      <c r="D2441" s="141"/>
      <c r="E2441" s="141"/>
      <c r="F2441" s="141"/>
      <c r="G2441" s="141"/>
      <c r="H2441" s="222"/>
    </row>
    <row r="2442" spans="1:9" s="212" customFormat="1">
      <c r="A2442" s="142"/>
      <c r="B2442" s="143"/>
      <c r="C2442" s="143"/>
      <c r="D2442" s="143"/>
      <c r="E2442" s="143"/>
      <c r="F2442" s="84"/>
      <c r="G2442" s="146"/>
      <c r="H2442" s="221"/>
    </row>
    <row r="2443" spans="1:9" s="212" customFormat="1">
      <c r="A2443" s="123"/>
      <c r="B2443" s="95"/>
      <c r="C2443" s="95"/>
      <c r="D2443" s="95"/>
      <c r="E2443" s="95"/>
      <c r="G2443" s="213"/>
      <c r="H2443" s="73"/>
    </row>
    <row r="2444" spans="1:9" s="212" customFormat="1">
      <c r="A2444" s="123"/>
      <c r="B2444" s="95"/>
      <c r="C2444" s="95"/>
      <c r="D2444" s="95"/>
      <c r="E2444" s="95"/>
      <c r="G2444" s="73"/>
      <c r="H2444" s="225"/>
    </row>
    <row r="2445" spans="1:9" s="212" customFormat="1">
      <c r="B2445" s="97"/>
      <c r="C2445" s="98"/>
      <c r="D2445" s="98"/>
      <c r="E2445" s="98"/>
      <c r="G2445" s="220"/>
    </row>
    <row r="2446" spans="1:9" s="212" customFormat="1">
      <c r="B2446" s="97"/>
      <c r="C2446" s="98"/>
      <c r="D2446" s="98"/>
      <c r="E2446" s="98"/>
      <c r="F2446" s="220"/>
      <c r="G2446" s="225"/>
      <c r="H2446" s="226"/>
    </row>
    <row r="2447" spans="1:9" s="212" customFormat="1">
      <c r="A2447" s="633"/>
      <c r="B2447" s="633"/>
      <c r="C2447" s="633"/>
      <c r="D2447" s="633"/>
      <c r="E2447" s="633"/>
      <c r="F2447" s="633"/>
      <c r="G2447" s="633"/>
    </row>
    <row r="2448" spans="1:9" s="212" customFormat="1">
      <c r="H2448" s="227"/>
      <c r="I2448" s="228"/>
    </row>
    <row r="2449" spans="1:9" s="212" customFormat="1">
      <c r="A2449" s="658"/>
      <c r="B2449" s="227"/>
      <c r="C2449" s="227"/>
      <c r="D2449" s="227"/>
      <c r="E2449" s="227"/>
      <c r="F2449" s="227"/>
      <c r="G2449" s="227"/>
      <c r="H2449" s="227"/>
      <c r="I2449" s="229"/>
    </row>
    <row r="2450" spans="1:9" s="212" customFormat="1">
      <c r="A2450" s="658"/>
      <c r="B2450" s="227"/>
      <c r="C2450" s="227"/>
      <c r="D2450" s="227"/>
      <c r="E2450" s="227"/>
      <c r="F2450" s="227"/>
      <c r="G2450" s="227"/>
    </row>
    <row r="2451" spans="1:9" s="212" customFormat="1">
      <c r="A2451" s="69"/>
      <c r="B2451" s="69"/>
      <c r="C2451" s="69"/>
      <c r="D2451" s="69"/>
      <c r="E2451" s="69"/>
    </row>
    <row r="2452" spans="1:9" s="212" customFormat="1">
      <c r="A2452" s="120"/>
      <c r="B2452" s="73"/>
      <c r="C2452" s="73"/>
      <c r="D2452" s="73"/>
      <c r="E2452" s="73"/>
      <c r="F2452" s="73"/>
      <c r="G2452" s="73"/>
      <c r="H2452" s="73"/>
    </row>
    <row r="2453" spans="1:9" s="212" customFormat="1">
      <c r="A2453" s="220"/>
      <c r="B2453" s="141"/>
      <c r="C2453" s="141"/>
      <c r="D2453" s="141"/>
      <c r="E2453" s="141"/>
      <c r="F2453" s="141"/>
      <c r="G2453" s="141"/>
      <c r="H2453" s="73"/>
    </row>
    <row r="2454" spans="1:9" s="212" customFormat="1">
      <c r="A2454" s="150"/>
      <c r="B2454" s="84"/>
      <c r="C2454" s="148"/>
      <c r="D2454" s="84"/>
      <c r="E2454" s="84"/>
      <c r="F2454" s="84"/>
      <c r="G2454" s="146"/>
      <c r="H2454" s="221"/>
    </row>
    <row r="2455" spans="1:9" s="212" customFormat="1">
      <c r="A2455" s="84"/>
      <c r="B2455" s="83"/>
      <c r="C2455" s="84"/>
      <c r="D2455" s="84"/>
      <c r="E2455" s="84"/>
      <c r="G2455" s="213"/>
      <c r="H2455" s="222"/>
    </row>
    <row r="2456" spans="1:9" s="212" customFormat="1">
      <c r="A2456" s="120"/>
      <c r="B2456" s="73"/>
      <c r="C2456" s="73"/>
      <c r="D2456" s="73"/>
      <c r="E2456" s="73"/>
      <c r="G2456" s="73"/>
      <c r="H2456" s="222"/>
    </row>
    <row r="2457" spans="1:9" s="212" customFormat="1">
      <c r="A2457" s="220"/>
      <c r="B2457" s="141"/>
      <c r="C2457" s="141"/>
      <c r="D2457" s="141"/>
      <c r="E2457" s="141"/>
      <c r="F2457" s="141"/>
      <c r="G2457" s="141"/>
      <c r="H2457" s="222"/>
    </row>
    <row r="2458" spans="1:9" s="212" customFormat="1">
      <c r="A2458" s="150"/>
      <c r="B2458" s="83"/>
      <c r="C2458" s="148"/>
      <c r="D2458" s="168"/>
      <c r="E2458" s="84"/>
      <c r="F2458" s="84"/>
      <c r="G2458" s="146"/>
      <c r="H2458" s="221"/>
    </row>
    <row r="2459" spans="1:9" s="212" customFormat="1">
      <c r="A2459" s="91"/>
      <c r="B2459" s="91"/>
      <c r="C2459" s="91"/>
      <c r="D2459" s="91"/>
      <c r="E2459" s="91"/>
      <c r="G2459" s="213"/>
      <c r="H2459" s="222"/>
    </row>
    <row r="2460" spans="1:9" s="212" customFormat="1">
      <c r="A2460" s="120"/>
      <c r="B2460" s="73"/>
      <c r="C2460" s="73"/>
      <c r="D2460" s="73"/>
      <c r="E2460" s="73"/>
      <c r="G2460" s="73"/>
      <c r="H2460" s="222"/>
    </row>
    <row r="2461" spans="1:9" s="212" customFormat="1">
      <c r="A2461" s="220"/>
      <c r="B2461" s="141"/>
      <c r="C2461" s="141"/>
      <c r="D2461" s="141"/>
      <c r="E2461" s="141"/>
      <c r="F2461" s="141"/>
      <c r="G2461" s="141"/>
      <c r="H2461" s="222"/>
    </row>
    <row r="2462" spans="1:9" s="212" customFormat="1">
      <c r="A2462" s="142"/>
      <c r="B2462" s="143"/>
      <c r="C2462" s="143"/>
      <c r="D2462" s="143"/>
      <c r="E2462" s="143"/>
      <c r="F2462" s="84"/>
      <c r="G2462" s="146"/>
      <c r="H2462" s="221"/>
    </row>
    <row r="2463" spans="1:9" s="212" customFormat="1">
      <c r="A2463" s="91"/>
      <c r="B2463" s="91"/>
      <c r="C2463" s="91"/>
      <c r="D2463" s="91"/>
      <c r="E2463" s="91"/>
      <c r="G2463" s="213"/>
      <c r="H2463" s="222"/>
    </row>
    <row r="2464" spans="1:9" s="212" customFormat="1">
      <c r="A2464" s="120"/>
      <c r="B2464" s="73"/>
      <c r="C2464" s="73"/>
      <c r="D2464" s="73"/>
      <c r="E2464" s="73"/>
      <c r="G2464" s="73"/>
      <c r="H2464" s="222"/>
    </row>
    <row r="2465" spans="1:9" s="212" customFormat="1">
      <c r="A2465" s="220"/>
      <c r="B2465" s="141"/>
      <c r="C2465" s="141"/>
      <c r="D2465" s="141"/>
      <c r="E2465" s="141"/>
      <c r="F2465" s="141"/>
      <c r="G2465" s="141"/>
      <c r="H2465" s="222"/>
    </row>
    <row r="2466" spans="1:9" s="212" customFormat="1">
      <c r="A2466" s="142"/>
      <c r="B2466" s="143"/>
      <c r="C2466" s="143"/>
      <c r="D2466" s="143"/>
      <c r="E2466" s="143"/>
      <c r="F2466" s="84"/>
      <c r="G2466" s="146"/>
      <c r="H2466" s="221"/>
    </row>
    <row r="2467" spans="1:9" s="212" customFormat="1">
      <c r="A2467" s="123"/>
      <c r="B2467" s="95"/>
      <c r="C2467" s="95"/>
      <c r="D2467" s="95"/>
      <c r="E2467" s="95"/>
      <c r="G2467" s="213"/>
      <c r="H2467" s="73"/>
    </row>
    <row r="2468" spans="1:9" s="212" customFormat="1">
      <c r="A2468" s="123"/>
      <c r="B2468" s="95"/>
      <c r="C2468" s="95"/>
      <c r="D2468" s="95"/>
      <c r="E2468" s="95"/>
      <c r="G2468" s="73"/>
      <c r="H2468" s="225"/>
    </row>
    <row r="2469" spans="1:9" s="212" customFormat="1">
      <c r="B2469" s="97"/>
      <c r="C2469" s="98"/>
      <c r="D2469" s="98"/>
      <c r="E2469" s="98"/>
      <c r="G2469" s="220"/>
    </row>
    <row r="2470" spans="1:9" s="212" customFormat="1">
      <c r="B2470" s="97"/>
      <c r="C2470" s="98"/>
      <c r="D2470" s="98"/>
      <c r="E2470" s="98"/>
      <c r="F2470" s="220"/>
      <c r="G2470" s="225"/>
      <c r="H2470" s="226"/>
    </row>
    <row r="2471" spans="1:9" s="212" customFormat="1">
      <c r="A2471" s="633"/>
      <c r="B2471" s="633"/>
      <c r="C2471" s="633"/>
      <c r="D2471" s="633"/>
      <c r="E2471" s="633"/>
      <c r="F2471" s="633"/>
      <c r="G2471" s="633"/>
    </row>
    <row r="2472" spans="1:9" s="212" customFormat="1">
      <c r="H2472" s="227"/>
      <c r="I2472" s="228"/>
    </row>
    <row r="2473" spans="1:9" s="212" customFormat="1">
      <c r="A2473" s="658"/>
      <c r="B2473" s="227"/>
      <c r="C2473" s="227"/>
      <c r="D2473" s="227"/>
      <c r="E2473" s="227"/>
      <c r="F2473" s="227"/>
      <c r="G2473" s="227"/>
      <c r="H2473" s="227"/>
      <c r="I2473" s="229"/>
    </row>
    <row r="2474" spans="1:9" s="212" customFormat="1">
      <c r="A2474" s="658"/>
      <c r="B2474" s="227"/>
      <c r="C2474" s="227"/>
      <c r="D2474" s="227"/>
      <c r="E2474" s="227"/>
      <c r="F2474" s="227"/>
      <c r="G2474" s="227"/>
    </row>
    <row r="2475" spans="1:9" s="212" customFormat="1">
      <c r="A2475" s="69"/>
      <c r="B2475" s="69"/>
      <c r="C2475" s="69"/>
      <c r="D2475" s="69"/>
      <c r="E2475" s="69"/>
    </row>
    <row r="2476" spans="1:9" s="212" customFormat="1">
      <c r="A2476" s="120"/>
      <c r="B2476" s="73"/>
      <c r="C2476" s="73"/>
      <c r="D2476" s="73"/>
      <c r="E2476" s="73"/>
      <c r="F2476" s="73"/>
      <c r="G2476" s="73"/>
      <c r="H2476" s="73"/>
    </row>
    <row r="2477" spans="1:9" s="212" customFormat="1">
      <c r="A2477" s="220"/>
      <c r="B2477" s="141"/>
      <c r="C2477" s="141"/>
      <c r="D2477" s="141"/>
      <c r="E2477" s="141"/>
      <c r="F2477" s="141"/>
      <c r="G2477" s="141"/>
      <c r="H2477" s="73"/>
    </row>
    <row r="2478" spans="1:9" s="212" customFormat="1">
      <c r="A2478" s="150"/>
      <c r="B2478" s="84"/>
      <c r="C2478" s="148"/>
      <c r="D2478" s="84"/>
      <c r="E2478" s="84"/>
      <c r="F2478" s="84"/>
      <c r="G2478" s="146"/>
      <c r="H2478" s="221"/>
    </row>
    <row r="2479" spans="1:9" s="212" customFormat="1">
      <c r="A2479" s="84"/>
      <c r="B2479" s="83"/>
      <c r="C2479" s="84"/>
      <c r="D2479" s="84"/>
      <c r="E2479" s="84"/>
      <c r="G2479" s="213"/>
      <c r="H2479" s="222"/>
    </row>
    <row r="2480" spans="1:9" s="212" customFormat="1">
      <c r="A2480" s="120"/>
      <c r="B2480" s="73"/>
      <c r="C2480" s="73"/>
      <c r="D2480" s="73"/>
      <c r="E2480" s="73"/>
      <c r="G2480" s="73"/>
      <c r="H2480" s="222"/>
    </row>
    <row r="2481" spans="1:9" s="212" customFormat="1">
      <c r="A2481" s="220"/>
      <c r="B2481" s="141"/>
      <c r="C2481" s="141"/>
      <c r="D2481" s="141"/>
      <c r="E2481" s="141"/>
      <c r="F2481" s="141"/>
      <c r="G2481" s="141"/>
      <c r="H2481" s="222"/>
    </row>
    <row r="2482" spans="1:9" s="212" customFormat="1">
      <c r="A2482" s="150"/>
      <c r="B2482" s="83"/>
      <c r="C2482" s="148"/>
      <c r="D2482" s="168"/>
      <c r="E2482" s="84"/>
      <c r="F2482" s="84"/>
      <c r="G2482" s="146"/>
      <c r="H2482" s="221"/>
    </row>
    <row r="2483" spans="1:9" s="212" customFormat="1">
      <c r="A2483" s="91"/>
      <c r="B2483" s="91"/>
      <c r="C2483" s="91"/>
      <c r="D2483" s="91"/>
      <c r="E2483" s="91"/>
      <c r="G2483" s="213"/>
      <c r="H2483" s="222"/>
    </row>
    <row r="2484" spans="1:9" s="212" customFormat="1">
      <c r="A2484" s="120"/>
      <c r="B2484" s="73"/>
      <c r="C2484" s="73"/>
      <c r="D2484" s="73"/>
      <c r="E2484" s="73"/>
      <c r="G2484" s="73"/>
      <c r="H2484" s="222"/>
    </row>
    <row r="2485" spans="1:9" s="212" customFormat="1">
      <c r="A2485" s="220"/>
      <c r="B2485" s="141"/>
      <c r="C2485" s="141"/>
      <c r="D2485" s="141"/>
      <c r="E2485" s="141"/>
      <c r="F2485" s="141"/>
      <c r="G2485" s="141"/>
      <c r="H2485" s="222"/>
    </row>
    <row r="2486" spans="1:9" s="212" customFormat="1">
      <c r="A2486" s="142"/>
      <c r="B2486" s="143"/>
      <c r="C2486" s="143"/>
      <c r="D2486" s="143"/>
      <c r="E2486" s="143"/>
      <c r="F2486" s="84"/>
      <c r="G2486" s="146"/>
      <c r="H2486" s="221"/>
    </row>
    <row r="2487" spans="1:9" s="212" customFormat="1">
      <c r="A2487" s="91"/>
      <c r="B2487" s="91"/>
      <c r="C2487" s="91"/>
      <c r="D2487" s="91"/>
      <c r="E2487" s="91"/>
      <c r="G2487" s="213"/>
      <c r="H2487" s="222"/>
    </row>
    <row r="2488" spans="1:9" s="212" customFormat="1">
      <c r="A2488" s="120"/>
      <c r="B2488" s="73"/>
      <c r="C2488" s="73"/>
      <c r="D2488" s="73"/>
      <c r="E2488" s="73"/>
      <c r="G2488" s="73"/>
      <c r="H2488" s="222"/>
    </row>
    <row r="2489" spans="1:9" s="212" customFormat="1">
      <c r="A2489" s="220"/>
      <c r="B2489" s="141"/>
      <c r="C2489" s="141"/>
      <c r="D2489" s="141"/>
      <c r="E2489" s="141"/>
      <c r="F2489" s="141"/>
      <c r="G2489" s="141"/>
      <c r="H2489" s="222"/>
    </row>
    <row r="2490" spans="1:9" s="212" customFormat="1">
      <c r="A2490" s="142"/>
      <c r="B2490" s="143"/>
      <c r="C2490" s="143"/>
      <c r="D2490" s="143"/>
      <c r="E2490" s="143"/>
      <c r="F2490" s="84"/>
      <c r="G2490" s="146"/>
      <c r="H2490" s="221"/>
    </row>
    <row r="2491" spans="1:9" s="212" customFormat="1">
      <c r="A2491" s="123"/>
      <c r="B2491" s="95"/>
      <c r="C2491" s="95"/>
      <c r="D2491" s="95"/>
      <c r="E2491" s="95"/>
      <c r="G2491" s="213"/>
      <c r="H2491" s="73"/>
    </row>
    <row r="2492" spans="1:9" s="212" customFormat="1">
      <c r="A2492" s="123"/>
      <c r="B2492" s="95"/>
      <c r="C2492" s="95"/>
      <c r="D2492" s="95"/>
      <c r="E2492" s="95"/>
      <c r="G2492" s="73"/>
      <c r="H2492" s="225"/>
    </row>
    <row r="2493" spans="1:9" s="212" customFormat="1">
      <c r="B2493" s="97"/>
      <c r="C2493" s="98"/>
      <c r="D2493" s="98"/>
      <c r="E2493" s="98"/>
      <c r="G2493" s="220"/>
    </row>
    <row r="2494" spans="1:9" s="212" customFormat="1">
      <c r="B2494" s="97"/>
      <c r="C2494" s="98"/>
      <c r="D2494" s="98"/>
      <c r="E2494" s="98"/>
      <c r="F2494" s="220"/>
      <c r="G2494" s="225"/>
      <c r="H2494" s="226"/>
    </row>
    <row r="2495" spans="1:9" s="212" customFormat="1">
      <c r="A2495" s="633"/>
      <c r="B2495" s="633"/>
      <c r="C2495" s="633"/>
      <c r="D2495" s="633"/>
      <c r="E2495" s="633"/>
      <c r="F2495" s="633"/>
      <c r="G2495" s="633"/>
    </row>
    <row r="2496" spans="1:9" s="212" customFormat="1">
      <c r="H2496" s="227"/>
      <c r="I2496" s="228"/>
    </row>
    <row r="2497" spans="1:9" s="212" customFormat="1">
      <c r="A2497" s="658"/>
      <c r="B2497" s="227"/>
      <c r="C2497" s="227"/>
      <c r="D2497" s="227"/>
      <c r="E2497" s="227"/>
      <c r="F2497" s="227"/>
      <c r="G2497" s="227"/>
      <c r="H2497" s="227"/>
      <c r="I2497" s="229"/>
    </row>
    <row r="2498" spans="1:9" s="212" customFormat="1">
      <c r="A2498" s="658"/>
      <c r="B2498" s="227"/>
      <c r="C2498" s="227"/>
      <c r="D2498" s="227"/>
      <c r="E2498" s="227"/>
      <c r="F2498" s="227"/>
      <c r="G2498" s="227"/>
    </row>
    <row r="2499" spans="1:9" s="212" customFormat="1">
      <c r="A2499" s="69"/>
      <c r="B2499" s="69"/>
      <c r="C2499" s="69"/>
      <c r="D2499" s="69"/>
      <c r="E2499" s="69"/>
    </row>
    <row r="2500" spans="1:9" s="212" customFormat="1">
      <c r="A2500" s="120"/>
      <c r="B2500" s="73"/>
      <c r="C2500" s="73"/>
      <c r="D2500" s="73"/>
      <c r="E2500" s="73"/>
      <c r="F2500" s="73"/>
      <c r="G2500" s="73"/>
      <c r="H2500" s="73"/>
    </row>
    <row r="2501" spans="1:9" s="212" customFormat="1">
      <c r="A2501" s="220"/>
      <c r="B2501" s="141"/>
      <c r="C2501" s="141"/>
      <c r="D2501" s="141"/>
      <c r="E2501" s="141"/>
      <c r="F2501" s="141"/>
      <c r="G2501" s="141"/>
      <c r="H2501" s="73"/>
    </row>
    <row r="2502" spans="1:9" s="212" customFormat="1">
      <c r="A2502" s="150"/>
      <c r="B2502" s="84"/>
      <c r="C2502" s="148"/>
      <c r="D2502" s="84"/>
      <c r="E2502" s="84"/>
      <c r="F2502" s="84"/>
      <c r="G2502" s="146"/>
      <c r="H2502" s="221"/>
    </row>
    <row r="2503" spans="1:9" s="212" customFormat="1">
      <c r="A2503" s="84"/>
      <c r="B2503" s="83"/>
      <c r="C2503" s="84"/>
      <c r="D2503" s="84"/>
      <c r="E2503" s="84"/>
      <c r="G2503" s="213"/>
      <c r="H2503" s="222"/>
    </row>
    <row r="2504" spans="1:9" s="212" customFormat="1">
      <c r="A2504" s="120"/>
      <c r="B2504" s="73"/>
      <c r="C2504" s="73"/>
      <c r="D2504" s="73"/>
      <c r="E2504" s="73"/>
      <c r="G2504" s="73"/>
      <c r="H2504" s="222"/>
    </row>
    <row r="2505" spans="1:9" s="212" customFormat="1">
      <c r="A2505" s="220"/>
      <c r="B2505" s="141"/>
      <c r="C2505" s="141"/>
      <c r="D2505" s="141"/>
      <c r="E2505" s="141"/>
      <c r="F2505" s="141"/>
      <c r="G2505" s="141"/>
      <c r="H2505" s="222"/>
    </row>
    <row r="2506" spans="1:9" s="212" customFormat="1">
      <c r="A2506" s="150"/>
      <c r="B2506" s="83"/>
      <c r="C2506" s="148"/>
      <c r="D2506" s="168"/>
      <c r="E2506" s="84"/>
      <c r="F2506" s="84"/>
      <c r="G2506" s="146"/>
      <c r="H2506" s="221"/>
    </row>
    <row r="2507" spans="1:9" s="212" customFormat="1">
      <c r="A2507" s="91"/>
      <c r="B2507" s="91"/>
      <c r="C2507" s="91"/>
      <c r="D2507" s="91"/>
      <c r="E2507" s="91"/>
      <c r="G2507" s="213"/>
      <c r="H2507" s="222"/>
    </row>
    <row r="2508" spans="1:9" s="212" customFormat="1">
      <c r="A2508" s="120"/>
      <c r="B2508" s="73"/>
      <c r="C2508" s="73"/>
      <c r="D2508" s="73"/>
      <c r="E2508" s="73"/>
      <c r="G2508" s="73"/>
      <c r="H2508" s="222"/>
    </row>
    <row r="2509" spans="1:9" s="212" customFormat="1" ht="21" customHeight="1">
      <c r="A2509" s="220"/>
      <c r="B2509" s="141"/>
      <c r="C2509" s="141"/>
      <c r="D2509" s="141"/>
      <c r="E2509" s="141"/>
      <c r="F2509" s="141"/>
      <c r="G2509" s="141"/>
      <c r="H2509" s="222"/>
    </row>
    <row r="2510" spans="1:9" s="212" customFormat="1">
      <c r="A2510" s="142"/>
      <c r="B2510" s="143"/>
      <c r="C2510" s="143"/>
      <c r="D2510" s="143"/>
      <c r="E2510" s="143"/>
      <c r="F2510" s="84"/>
      <c r="G2510" s="146"/>
      <c r="H2510" s="221"/>
    </row>
    <row r="2511" spans="1:9" s="212" customFormat="1">
      <c r="A2511" s="91"/>
      <c r="B2511" s="91"/>
      <c r="C2511" s="91"/>
      <c r="D2511" s="91"/>
      <c r="E2511" s="91"/>
      <c r="G2511" s="213"/>
      <c r="H2511" s="222"/>
    </row>
    <row r="2512" spans="1:9" s="212" customFormat="1">
      <c r="A2512" s="120"/>
      <c r="B2512" s="73"/>
      <c r="C2512" s="73"/>
      <c r="D2512" s="73"/>
      <c r="E2512" s="73"/>
      <c r="G2512" s="73"/>
      <c r="H2512" s="222"/>
    </row>
    <row r="2513" spans="1:9" s="212" customFormat="1">
      <c r="A2513" s="220"/>
      <c r="B2513" s="141"/>
      <c r="C2513" s="141"/>
      <c r="D2513" s="141"/>
      <c r="E2513" s="141"/>
      <c r="F2513" s="141"/>
      <c r="G2513" s="141"/>
      <c r="H2513" s="222"/>
    </row>
    <row r="2514" spans="1:9" s="212" customFormat="1">
      <c r="A2514" s="142"/>
      <c r="B2514" s="143"/>
      <c r="C2514" s="143"/>
      <c r="D2514" s="143"/>
      <c r="E2514" s="143"/>
      <c r="F2514" s="84"/>
      <c r="G2514" s="146"/>
      <c r="H2514" s="221"/>
    </row>
    <row r="2515" spans="1:9" s="212" customFormat="1">
      <c r="A2515" s="123"/>
      <c r="B2515" s="95"/>
      <c r="C2515" s="95"/>
      <c r="D2515" s="95"/>
      <c r="E2515" s="95"/>
      <c r="G2515" s="213"/>
      <c r="H2515" s="73"/>
    </row>
    <row r="2516" spans="1:9" s="212" customFormat="1">
      <c r="A2516" s="123"/>
      <c r="B2516" s="95"/>
      <c r="C2516" s="95"/>
      <c r="D2516" s="95"/>
      <c r="E2516" s="95"/>
      <c r="G2516" s="73"/>
      <c r="H2516" s="225"/>
    </row>
    <row r="2517" spans="1:9" s="212" customFormat="1">
      <c r="B2517" s="97"/>
      <c r="C2517" s="98"/>
      <c r="D2517" s="98"/>
      <c r="E2517" s="98"/>
      <c r="G2517" s="220"/>
    </row>
    <row r="2518" spans="1:9" s="212" customFormat="1">
      <c r="B2518" s="97"/>
      <c r="C2518" s="98"/>
      <c r="D2518" s="98"/>
      <c r="E2518" s="98"/>
      <c r="F2518" s="220"/>
      <c r="G2518" s="225"/>
      <c r="H2518" s="226"/>
    </row>
    <row r="2519" spans="1:9" s="212" customFormat="1">
      <c r="A2519" s="633"/>
      <c r="B2519" s="633"/>
      <c r="C2519" s="633"/>
      <c r="D2519" s="633"/>
      <c r="E2519" s="633"/>
      <c r="F2519" s="633"/>
      <c r="G2519" s="633"/>
    </row>
    <row r="2520" spans="1:9" s="212" customFormat="1">
      <c r="H2520" s="227"/>
      <c r="I2520" s="228"/>
    </row>
    <row r="2521" spans="1:9" s="212" customFormat="1">
      <c r="A2521" s="658"/>
      <c r="B2521" s="227"/>
      <c r="C2521" s="227"/>
      <c r="D2521" s="227"/>
      <c r="E2521" s="227"/>
      <c r="F2521" s="227"/>
      <c r="G2521" s="227"/>
      <c r="H2521" s="227"/>
      <c r="I2521" s="229"/>
    </row>
    <row r="2522" spans="1:9" s="212" customFormat="1">
      <c r="A2522" s="658"/>
      <c r="B2522" s="227"/>
      <c r="C2522" s="227"/>
      <c r="D2522" s="227"/>
      <c r="E2522" s="227"/>
      <c r="F2522" s="227"/>
      <c r="G2522" s="227"/>
    </row>
    <row r="2523" spans="1:9" s="212" customFormat="1">
      <c r="A2523" s="69"/>
      <c r="B2523" s="69"/>
      <c r="C2523" s="69"/>
      <c r="D2523" s="69"/>
      <c r="E2523" s="69"/>
    </row>
    <row r="2524" spans="1:9" s="212" customFormat="1">
      <c r="A2524" s="120"/>
      <c r="B2524" s="73"/>
      <c r="C2524" s="73"/>
      <c r="D2524" s="73"/>
      <c r="E2524" s="73"/>
      <c r="F2524" s="73"/>
      <c r="G2524" s="73"/>
      <c r="H2524" s="73"/>
    </row>
    <row r="2525" spans="1:9" s="212" customFormat="1">
      <c r="A2525" s="220"/>
      <c r="B2525" s="141"/>
      <c r="C2525" s="141"/>
      <c r="D2525" s="141"/>
      <c r="E2525" s="141"/>
      <c r="F2525" s="141"/>
      <c r="G2525" s="141"/>
      <c r="H2525" s="73"/>
    </row>
    <row r="2526" spans="1:9" s="212" customFormat="1">
      <c r="A2526" s="150"/>
      <c r="B2526" s="84"/>
      <c r="C2526" s="148"/>
      <c r="D2526" s="84"/>
      <c r="E2526" s="84"/>
      <c r="F2526" s="84"/>
      <c r="G2526" s="146"/>
      <c r="H2526" s="221"/>
    </row>
    <row r="2527" spans="1:9" s="212" customFormat="1">
      <c r="A2527" s="84"/>
      <c r="B2527" s="83"/>
      <c r="C2527" s="84"/>
      <c r="D2527" s="84"/>
      <c r="E2527" s="84"/>
      <c r="G2527" s="213"/>
      <c r="H2527" s="222"/>
    </row>
    <row r="2528" spans="1:9" s="212" customFormat="1">
      <c r="A2528" s="120"/>
      <c r="B2528" s="73"/>
      <c r="C2528" s="73"/>
      <c r="D2528" s="73"/>
      <c r="E2528" s="73"/>
      <c r="G2528" s="73"/>
      <c r="H2528" s="222"/>
    </row>
    <row r="2529" spans="1:9" s="212" customFormat="1">
      <c r="A2529" s="220"/>
      <c r="B2529" s="141"/>
      <c r="C2529" s="141"/>
      <c r="D2529" s="141"/>
      <c r="E2529" s="141"/>
      <c r="F2529" s="141"/>
      <c r="G2529" s="141"/>
      <c r="H2529" s="222"/>
    </row>
    <row r="2530" spans="1:9" s="212" customFormat="1">
      <c r="A2530" s="150"/>
      <c r="B2530" s="83"/>
      <c r="C2530" s="148"/>
      <c r="D2530" s="168"/>
      <c r="E2530" s="84"/>
      <c r="F2530" s="84"/>
      <c r="G2530" s="146"/>
      <c r="H2530" s="221"/>
    </row>
    <row r="2531" spans="1:9" s="212" customFormat="1">
      <c r="A2531" s="91"/>
      <c r="B2531" s="91"/>
      <c r="C2531" s="91"/>
      <c r="D2531" s="91"/>
      <c r="E2531" s="91"/>
      <c r="G2531" s="213"/>
      <c r="H2531" s="222"/>
    </row>
    <row r="2532" spans="1:9" s="212" customFormat="1">
      <c r="A2532" s="120"/>
      <c r="B2532" s="73"/>
      <c r="C2532" s="73"/>
      <c r="D2532" s="73"/>
      <c r="E2532" s="73"/>
      <c r="G2532" s="73"/>
      <c r="H2532" s="222"/>
    </row>
    <row r="2533" spans="1:9" s="212" customFormat="1">
      <c r="A2533" s="220"/>
      <c r="B2533" s="141"/>
      <c r="C2533" s="141"/>
      <c r="D2533" s="141"/>
      <c r="E2533" s="141"/>
      <c r="F2533" s="141"/>
      <c r="G2533" s="141"/>
      <c r="H2533" s="222"/>
    </row>
    <row r="2534" spans="1:9" s="212" customFormat="1">
      <c r="A2534" s="142"/>
      <c r="B2534" s="143"/>
      <c r="C2534" s="143"/>
      <c r="D2534" s="143"/>
      <c r="E2534" s="143"/>
      <c r="F2534" s="84"/>
      <c r="G2534" s="146"/>
      <c r="H2534" s="221"/>
    </row>
    <row r="2535" spans="1:9" s="212" customFormat="1">
      <c r="A2535" s="91"/>
      <c r="B2535" s="91"/>
      <c r="C2535" s="91"/>
      <c r="D2535" s="91"/>
      <c r="E2535" s="91"/>
      <c r="G2535" s="213"/>
      <c r="H2535" s="222"/>
    </row>
    <row r="2536" spans="1:9" s="212" customFormat="1">
      <c r="A2536" s="120"/>
      <c r="B2536" s="73"/>
      <c r="C2536" s="73"/>
      <c r="D2536" s="73"/>
      <c r="E2536" s="73"/>
      <c r="G2536" s="73"/>
      <c r="H2536" s="222"/>
    </row>
    <row r="2537" spans="1:9" s="212" customFormat="1">
      <c r="A2537" s="220"/>
      <c r="B2537" s="141"/>
      <c r="C2537" s="141"/>
      <c r="D2537" s="141"/>
      <c r="E2537" s="141"/>
      <c r="F2537" s="141"/>
      <c r="G2537" s="141"/>
      <c r="H2537" s="222"/>
    </row>
    <row r="2538" spans="1:9" s="212" customFormat="1">
      <c r="A2538" s="142"/>
      <c r="B2538" s="143"/>
      <c r="C2538" s="143"/>
      <c r="D2538" s="143"/>
      <c r="E2538" s="143"/>
      <c r="F2538" s="84"/>
      <c r="G2538" s="146"/>
      <c r="H2538" s="221"/>
    </row>
    <row r="2539" spans="1:9" s="212" customFormat="1">
      <c r="A2539" s="123"/>
      <c r="B2539" s="95"/>
      <c r="C2539" s="95"/>
      <c r="D2539" s="95"/>
      <c r="E2539" s="95"/>
      <c r="G2539" s="213"/>
      <c r="H2539" s="73"/>
    </row>
    <row r="2540" spans="1:9" s="212" customFormat="1">
      <c r="A2540" s="123"/>
      <c r="B2540" s="95"/>
      <c r="C2540" s="95"/>
      <c r="D2540" s="95"/>
      <c r="E2540" s="95"/>
      <c r="G2540" s="73"/>
      <c r="H2540" s="225"/>
    </row>
    <row r="2541" spans="1:9" s="212" customFormat="1">
      <c r="B2541" s="97"/>
      <c r="C2541" s="98"/>
      <c r="D2541" s="98"/>
      <c r="E2541" s="98"/>
      <c r="G2541" s="220"/>
    </row>
    <row r="2542" spans="1:9" s="212" customFormat="1" ht="21" customHeight="1">
      <c r="B2542" s="97"/>
      <c r="C2542" s="98"/>
      <c r="D2542" s="98"/>
      <c r="E2542" s="98"/>
      <c r="F2542" s="220"/>
      <c r="G2542" s="225"/>
      <c r="H2542" s="226"/>
    </row>
    <row r="2543" spans="1:9" s="212" customFormat="1">
      <c r="A2543" s="633"/>
      <c r="B2543" s="633"/>
      <c r="C2543" s="633"/>
      <c r="D2543" s="633"/>
      <c r="E2543" s="633"/>
      <c r="F2543" s="633"/>
      <c r="G2543" s="633"/>
    </row>
    <row r="2544" spans="1:9" s="212" customFormat="1">
      <c r="H2544" s="227"/>
      <c r="I2544" s="228"/>
    </row>
    <row r="2545" spans="1:9" s="212" customFormat="1">
      <c r="A2545" s="658"/>
      <c r="B2545" s="227"/>
      <c r="C2545" s="227"/>
      <c r="D2545" s="227"/>
      <c r="E2545" s="227"/>
      <c r="F2545" s="227"/>
      <c r="G2545" s="227"/>
      <c r="H2545" s="227"/>
      <c r="I2545" s="229"/>
    </row>
    <row r="2546" spans="1:9" s="212" customFormat="1">
      <c r="A2546" s="658"/>
      <c r="B2546" s="227"/>
      <c r="C2546" s="227"/>
      <c r="D2546" s="227"/>
      <c r="E2546" s="227"/>
      <c r="F2546" s="227"/>
      <c r="G2546" s="227"/>
    </row>
    <row r="2547" spans="1:9" s="212" customFormat="1">
      <c r="A2547" s="69"/>
      <c r="B2547" s="69"/>
      <c r="C2547" s="69"/>
      <c r="D2547" s="69"/>
      <c r="E2547" s="69"/>
    </row>
    <row r="2548" spans="1:9" s="212" customFormat="1">
      <c r="A2548" s="120"/>
      <c r="B2548" s="73"/>
      <c r="C2548" s="73"/>
      <c r="D2548" s="73"/>
      <c r="E2548" s="73"/>
      <c r="F2548" s="73"/>
      <c r="G2548" s="73"/>
      <c r="H2548" s="73"/>
    </row>
    <row r="2549" spans="1:9" s="212" customFormat="1">
      <c r="A2549" s="220"/>
      <c r="B2549" s="141"/>
      <c r="C2549" s="141"/>
      <c r="D2549" s="141"/>
      <c r="E2549" s="141"/>
      <c r="F2549" s="141"/>
      <c r="G2549" s="141"/>
      <c r="H2549" s="73"/>
    </row>
    <row r="2550" spans="1:9" s="212" customFormat="1">
      <c r="A2550" s="150"/>
      <c r="B2550" s="84"/>
      <c r="C2550" s="148"/>
      <c r="D2550" s="84"/>
      <c r="E2550" s="84"/>
      <c r="F2550" s="84"/>
      <c r="G2550" s="146"/>
      <c r="H2550" s="221"/>
    </row>
    <row r="2551" spans="1:9" s="212" customFormat="1">
      <c r="A2551" s="84"/>
      <c r="B2551" s="83"/>
      <c r="C2551" s="84"/>
      <c r="D2551" s="84"/>
      <c r="E2551" s="84"/>
      <c r="G2551" s="213"/>
      <c r="H2551" s="222"/>
    </row>
    <row r="2552" spans="1:9" s="212" customFormat="1">
      <c r="A2552" s="120"/>
      <c r="B2552" s="73"/>
      <c r="C2552" s="73"/>
      <c r="D2552" s="73"/>
      <c r="E2552" s="73"/>
      <c r="G2552" s="73"/>
      <c r="H2552" s="222"/>
    </row>
    <row r="2553" spans="1:9" s="212" customFormat="1">
      <c r="A2553" s="220"/>
      <c r="B2553" s="141"/>
      <c r="C2553" s="141"/>
      <c r="D2553" s="141"/>
      <c r="E2553" s="141"/>
      <c r="F2553" s="141"/>
      <c r="G2553" s="141"/>
      <c r="H2553" s="222"/>
    </row>
    <row r="2554" spans="1:9" s="212" customFormat="1">
      <c r="A2554" s="150"/>
      <c r="B2554" s="83"/>
      <c r="C2554" s="148"/>
      <c r="D2554" s="168"/>
      <c r="E2554" s="84"/>
      <c r="F2554" s="84"/>
      <c r="G2554" s="146"/>
      <c r="H2554" s="221"/>
    </row>
    <row r="2555" spans="1:9" s="212" customFormat="1">
      <c r="A2555" s="91"/>
      <c r="B2555" s="91"/>
      <c r="C2555" s="91"/>
      <c r="D2555" s="91"/>
      <c r="E2555" s="91"/>
      <c r="G2555" s="213"/>
      <c r="H2555" s="222"/>
    </row>
    <row r="2556" spans="1:9" s="212" customFormat="1">
      <c r="A2556" s="120"/>
      <c r="B2556" s="73"/>
      <c r="C2556" s="73"/>
      <c r="D2556" s="73"/>
      <c r="E2556" s="73"/>
      <c r="G2556" s="73"/>
      <c r="H2556" s="222"/>
    </row>
    <row r="2557" spans="1:9" s="212" customFormat="1">
      <c r="A2557" s="220"/>
      <c r="B2557" s="141"/>
      <c r="C2557" s="141"/>
      <c r="D2557" s="141"/>
      <c r="E2557" s="141"/>
      <c r="F2557" s="141"/>
      <c r="G2557" s="141"/>
      <c r="H2557" s="222"/>
    </row>
    <row r="2558" spans="1:9" s="212" customFormat="1">
      <c r="A2558" s="142"/>
      <c r="B2558" s="143"/>
      <c r="C2558" s="143"/>
      <c r="D2558" s="143"/>
      <c r="E2558" s="143"/>
      <c r="F2558" s="84"/>
      <c r="G2558" s="146"/>
      <c r="H2558" s="221"/>
    </row>
    <row r="2559" spans="1:9" s="212" customFormat="1">
      <c r="A2559" s="91"/>
      <c r="B2559" s="91"/>
      <c r="C2559" s="91"/>
      <c r="D2559" s="91"/>
      <c r="E2559" s="91"/>
      <c r="G2559" s="213"/>
      <c r="H2559" s="222"/>
    </row>
    <row r="2560" spans="1:9" s="212" customFormat="1">
      <c r="A2560" s="120"/>
      <c r="B2560" s="73"/>
      <c r="C2560" s="73"/>
      <c r="D2560" s="73"/>
      <c r="E2560" s="73"/>
      <c r="G2560" s="73"/>
      <c r="H2560" s="222"/>
    </row>
    <row r="2561" spans="1:9" s="212" customFormat="1">
      <c r="A2561" s="220"/>
      <c r="B2561" s="141"/>
      <c r="C2561" s="141"/>
      <c r="D2561" s="141"/>
      <c r="E2561" s="141"/>
      <c r="F2561" s="141"/>
      <c r="G2561" s="141"/>
      <c r="H2561" s="222"/>
    </row>
    <row r="2562" spans="1:9" s="212" customFormat="1">
      <c r="A2562" s="142"/>
      <c r="B2562" s="143"/>
      <c r="C2562" s="143"/>
      <c r="D2562" s="143"/>
      <c r="E2562" s="143"/>
      <c r="F2562" s="84"/>
      <c r="G2562" s="146"/>
      <c r="H2562" s="221"/>
    </row>
    <row r="2563" spans="1:9" s="212" customFormat="1">
      <c r="A2563" s="123"/>
      <c r="B2563" s="95"/>
      <c r="C2563" s="95"/>
      <c r="D2563" s="95"/>
      <c r="E2563" s="95"/>
      <c r="G2563" s="213"/>
      <c r="H2563" s="73"/>
    </row>
    <row r="2564" spans="1:9" s="212" customFormat="1">
      <c r="A2564" s="123"/>
      <c r="B2564" s="95"/>
      <c r="C2564" s="95"/>
      <c r="D2564" s="95"/>
      <c r="E2564" s="95"/>
      <c r="G2564" s="73"/>
      <c r="H2564" s="225"/>
    </row>
    <row r="2565" spans="1:9" s="212" customFormat="1">
      <c r="B2565" s="97"/>
      <c r="C2565" s="98"/>
      <c r="D2565" s="98"/>
      <c r="E2565" s="98"/>
      <c r="G2565" s="220"/>
    </row>
    <row r="2566" spans="1:9" s="212" customFormat="1">
      <c r="B2566" s="97"/>
      <c r="C2566" s="98"/>
      <c r="D2566" s="98"/>
      <c r="E2566" s="98"/>
      <c r="F2566" s="220"/>
      <c r="G2566" s="225"/>
      <c r="H2566" s="226"/>
    </row>
    <row r="2567" spans="1:9" s="212" customFormat="1">
      <c r="A2567" s="633"/>
      <c r="B2567" s="633"/>
      <c r="C2567" s="633"/>
      <c r="D2567" s="633"/>
      <c r="E2567" s="633"/>
      <c r="F2567" s="633"/>
      <c r="G2567" s="633"/>
    </row>
    <row r="2568" spans="1:9" s="212" customFormat="1">
      <c r="H2568" s="227"/>
      <c r="I2568" s="228"/>
    </row>
    <row r="2569" spans="1:9" s="212" customFormat="1">
      <c r="A2569" s="658"/>
      <c r="B2569" s="227"/>
      <c r="C2569" s="227"/>
      <c r="D2569" s="227"/>
      <c r="E2569" s="227"/>
      <c r="F2569" s="227"/>
      <c r="G2569" s="227"/>
      <c r="H2569" s="227"/>
      <c r="I2569" s="229"/>
    </row>
    <row r="2570" spans="1:9" s="212" customFormat="1">
      <c r="A2570" s="658"/>
      <c r="B2570" s="227"/>
      <c r="C2570" s="227"/>
      <c r="D2570" s="227"/>
      <c r="E2570" s="227"/>
      <c r="F2570" s="227"/>
      <c r="G2570" s="227"/>
    </row>
    <row r="2571" spans="1:9" s="212" customFormat="1">
      <c r="A2571" s="69"/>
      <c r="B2571" s="69"/>
      <c r="C2571" s="69"/>
      <c r="D2571" s="69"/>
      <c r="E2571" s="69"/>
    </row>
    <row r="2572" spans="1:9" s="212" customFormat="1">
      <c r="A2572" s="120"/>
      <c r="B2572" s="73"/>
      <c r="C2572" s="73"/>
      <c r="D2572" s="73"/>
      <c r="E2572" s="73"/>
      <c r="F2572" s="73"/>
      <c r="G2572" s="73"/>
      <c r="H2572" s="73"/>
    </row>
    <row r="2573" spans="1:9" s="212" customFormat="1">
      <c r="A2573" s="220"/>
      <c r="B2573" s="141"/>
      <c r="C2573" s="141"/>
      <c r="D2573" s="141"/>
      <c r="E2573" s="141"/>
      <c r="F2573" s="141"/>
      <c r="G2573" s="141"/>
      <c r="H2573" s="73"/>
    </row>
    <row r="2574" spans="1:9" s="212" customFormat="1">
      <c r="A2574" s="150"/>
      <c r="B2574" s="84"/>
      <c r="C2574" s="148"/>
      <c r="D2574" s="84"/>
      <c r="E2574" s="84"/>
      <c r="F2574" s="84"/>
      <c r="G2574" s="146"/>
      <c r="H2574" s="221"/>
    </row>
    <row r="2575" spans="1:9" s="212" customFormat="1">
      <c r="A2575" s="84"/>
      <c r="B2575" s="83"/>
      <c r="C2575" s="84"/>
      <c r="D2575" s="84"/>
      <c r="E2575" s="84"/>
      <c r="G2575" s="213"/>
      <c r="H2575" s="222"/>
    </row>
    <row r="2576" spans="1:9" s="212" customFormat="1">
      <c r="A2576" s="120"/>
      <c r="B2576" s="73"/>
      <c r="C2576" s="73"/>
      <c r="D2576" s="73"/>
      <c r="E2576" s="73"/>
      <c r="G2576" s="73"/>
      <c r="H2576" s="222"/>
    </row>
    <row r="2577" spans="1:9" s="212" customFormat="1">
      <c r="A2577" s="220"/>
      <c r="B2577" s="141"/>
      <c r="C2577" s="141"/>
      <c r="D2577" s="141"/>
      <c r="E2577" s="141"/>
      <c r="F2577" s="141"/>
      <c r="G2577" s="141"/>
      <c r="H2577" s="222"/>
    </row>
    <row r="2578" spans="1:9" s="212" customFormat="1">
      <c r="A2578" s="150"/>
      <c r="B2578" s="83"/>
      <c r="C2578" s="148"/>
      <c r="D2578" s="168"/>
      <c r="E2578" s="84"/>
      <c r="F2578" s="84"/>
      <c r="G2578" s="146"/>
      <c r="H2578" s="221"/>
    </row>
    <row r="2579" spans="1:9" s="212" customFormat="1">
      <c r="A2579" s="91"/>
      <c r="B2579" s="91"/>
      <c r="C2579" s="91"/>
      <c r="D2579" s="91"/>
      <c r="E2579" s="91"/>
      <c r="G2579" s="213"/>
      <c r="H2579" s="222"/>
    </row>
    <row r="2580" spans="1:9" s="212" customFormat="1">
      <c r="A2580" s="120"/>
      <c r="B2580" s="73"/>
      <c r="C2580" s="73"/>
      <c r="D2580" s="73"/>
      <c r="E2580" s="73"/>
      <c r="G2580" s="73"/>
      <c r="H2580" s="222"/>
    </row>
    <row r="2581" spans="1:9" s="212" customFormat="1">
      <c r="A2581" s="220"/>
      <c r="B2581" s="141"/>
      <c r="C2581" s="141"/>
      <c r="D2581" s="141"/>
      <c r="E2581" s="141"/>
      <c r="F2581" s="141"/>
      <c r="G2581" s="141"/>
      <c r="H2581" s="222"/>
    </row>
    <row r="2582" spans="1:9" s="212" customFormat="1">
      <c r="A2582" s="142"/>
      <c r="B2582" s="143"/>
      <c r="C2582" s="143"/>
      <c r="D2582" s="143"/>
      <c r="E2582" s="143"/>
      <c r="F2582" s="84"/>
      <c r="G2582" s="146"/>
      <c r="H2582" s="221"/>
    </row>
    <row r="2583" spans="1:9" s="212" customFormat="1">
      <c r="A2583" s="91"/>
      <c r="B2583" s="91"/>
      <c r="C2583" s="91"/>
      <c r="D2583" s="91"/>
      <c r="E2583" s="91"/>
      <c r="G2583" s="213"/>
      <c r="H2583" s="222"/>
    </row>
    <row r="2584" spans="1:9" s="212" customFormat="1">
      <c r="A2584" s="120"/>
      <c r="B2584" s="73"/>
      <c r="C2584" s="73"/>
      <c r="D2584" s="73"/>
      <c r="E2584" s="73"/>
      <c r="G2584" s="73"/>
      <c r="H2584" s="222"/>
    </row>
    <row r="2585" spans="1:9" s="212" customFormat="1">
      <c r="A2585" s="220"/>
      <c r="B2585" s="141"/>
      <c r="C2585" s="141"/>
      <c r="D2585" s="141"/>
      <c r="E2585" s="141"/>
      <c r="F2585" s="141"/>
      <c r="G2585" s="141"/>
      <c r="H2585" s="222"/>
    </row>
    <row r="2586" spans="1:9" s="212" customFormat="1">
      <c r="A2586" s="142"/>
      <c r="B2586" s="143"/>
      <c r="C2586" s="143"/>
      <c r="D2586" s="143"/>
      <c r="E2586" s="143"/>
      <c r="F2586" s="84"/>
      <c r="G2586" s="146"/>
      <c r="H2586" s="221"/>
    </row>
    <row r="2587" spans="1:9" s="212" customFormat="1">
      <c r="A2587" s="123"/>
      <c r="B2587" s="95"/>
      <c r="C2587" s="95"/>
      <c r="D2587" s="95"/>
      <c r="E2587" s="95"/>
      <c r="G2587" s="213"/>
      <c r="H2587" s="73"/>
    </row>
    <row r="2588" spans="1:9" s="212" customFormat="1">
      <c r="A2588" s="123"/>
      <c r="B2588" s="95"/>
      <c r="C2588" s="95"/>
      <c r="D2588" s="95"/>
      <c r="E2588" s="95"/>
      <c r="G2588" s="73"/>
      <c r="H2588" s="225"/>
    </row>
    <row r="2589" spans="1:9" s="212" customFormat="1">
      <c r="B2589" s="97"/>
      <c r="C2589" s="98"/>
      <c r="D2589" s="98"/>
      <c r="E2589" s="98"/>
      <c r="G2589" s="220"/>
    </row>
    <row r="2590" spans="1:9" s="212" customFormat="1">
      <c r="B2590" s="97"/>
      <c r="C2590" s="98"/>
      <c r="D2590" s="98"/>
      <c r="E2590" s="98"/>
      <c r="F2590" s="220"/>
      <c r="G2590" s="225"/>
      <c r="H2590" s="226"/>
    </row>
    <row r="2591" spans="1:9" s="212" customFormat="1">
      <c r="A2591" s="633"/>
      <c r="B2591" s="633"/>
      <c r="C2591" s="633"/>
      <c r="D2591" s="633"/>
      <c r="E2591" s="633"/>
      <c r="F2591" s="633"/>
      <c r="G2591" s="633"/>
    </row>
    <row r="2592" spans="1:9" s="212" customFormat="1">
      <c r="H2592" s="227"/>
      <c r="I2592" s="228"/>
    </row>
    <row r="2593" spans="1:9" s="212" customFormat="1">
      <c r="A2593" s="658"/>
      <c r="B2593" s="227"/>
      <c r="C2593" s="227"/>
      <c r="D2593" s="227"/>
      <c r="E2593" s="227"/>
      <c r="F2593" s="227"/>
      <c r="G2593" s="227"/>
      <c r="H2593" s="227"/>
      <c r="I2593" s="229"/>
    </row>
    <row r="2594" spans="1:9" s="212" customFormat="1">
      <c r="A2594" s="658"/>
      <c r="B2594" s="227"/>
      <c r="C2594" s="227"/>
      <c r="D2594" s="227"/>
      <c r="E2594" s="227"/>
      <c r="F2594" s="227"/>
      <c r="G2594" s="227"/>
    </row>
    <row r="2595" spans="1:9" s="212" customFormat="1">
      <c r="A2595" s="69"/>
      <c r="B2595" s="69"/>
      <c r="C2595" s="69"/>
      <c r="D2595" s="69"/>
      <c r="E2595" s="69"/>
    </row>
    <row r="2596" spans="1:9" s="212" customFormat="1">
      <c r="A2596" s="120"/>
      <c r="B2596" s="73"/>
      <c r="C2596" s="73"/>
      <c r="D2596" s="73"/>
      <c r="E2596" s="73"/>
      <c r="F2596" s="73"/>
      <c r="G2596" s="73"/>
      <c r="H2596" s="73"/>
    </row>
    <row r="2597" spans="1:9" s="212" customFormat="1">
      <c r="A2597" s="220"/>
      <c r="B2597" s="141"/>
      <c r="C2597" s="141"/>
      <c r="D2597" s="141"/>
      <c r="E2597" s="141"/>
      <c r="F2597" s="141"/>
      <c r="G2597" s="141"/>
      <c r="H2597" s="73"/>
    </row>
    <row r="2598" spans="1:9" s="212" customFormat="1">
      <c r="A2598" s="150"/>
      <c r="B2598" s="84"/>
      <c r="C2598" s="148"/>
      <c r="D2598" s="84"/>
      <c r="E2598" s="84"/>
      <c r="F2598" s="84"/>
      <c r="G2598" s="146"/>
      <c r="H2598" s="221"/>
    </row>
    <row r="2599" spans="1:9" s="212" customFormat="1">
      <c r="A2599" s="84"/>
      <c r="B2599" s="83"/>
      <c r="C2599" s="84"/>
      <c r="D2599" s="84"/>
      <c r="E2599" s="84"/>
      <c r="G2599" s="213"/>
      <c r="H2599" s="222"/>
    </row>
    <row r="2600" spans="1:9" s="212" customFormat="1" ht="18" customHeight="1">
      <c r="A2600" s="120"/>
      <c r="B2600" s="73"/>
      <c r="C2600" s="73"/>
      <c r="D2600" s="73"/>
      <c r="E2600" s="73"/>
      <c r="G2600" s="73"/>
      <c r="H2600" s="222"/>
    </row>
    <row r="2601" spans="1:9" s="212" customFormat="1">
      <c r="A2601" s="220"/>
      <c r="B2601" s="141"/>
      <c r="C2601" s="141"/>
      <c r="D2601" s="141"/>
      <c r="E2601" s="141"/>
      <c r="F2601" s="141"/>
      <c r="G2601" s="141"/>
      <c r="H2601" s="222"/>
    </row>
    <row r="2602" spans="1:9" s="212" customFormat="1">
      <c r="A2602" s="150"/>
      <c r="B2602" s="83"/>
      <c r="C2602" s="148"/>
      <c r="D2602" s="165"/>
      <c r="E2602" s="84"/>
      <c r="F2602" s="84"/>
      <c r="G2602" s="146"/>
      <c r="H2602" s="221"/>
    </row>
    <row r="2603" spans="1:9" s="212" customFormat="1">
      <c r="A2603" s="91"/>
      <c r="B2603" s="91"/>
      <c r="C2603" s="91"/>
      <c r="D2603" s="91"/>
      <c r="E2603" s="91"/>
      <c r="G2603" s="213"/>
      <c r="H2603" s="222"/>
    </row>
    <row r="2604" spans="1:9" s="212" customFormat="1">
      <c r="A2604" s="120"/>
      <c r="B2604" s="73"/>
      <c r="C2604" s="73"/>
      <c r="D2604" s="73"/>
      <c r="E2604" s="73"/>
      <c r="G2604" s="73"/>
      <c r="H2604" s="222"/>
    </row>
    <row r="2605" spans="1:9" s="212" customFormat="1">
      <c r="A2605" s="220"/>
      <c r="B2605" s="141"/>
      <c r="C2605" s="141"/>
      <c r="D2605" s="141"/>
      <c r="E2605" s="141"/>
      <c r="F2605" s="141"/>
      <c r="G2605" s="141"/>
      <c r="H2605" s="222"/>
    </row>
    <row r="2606" spans="1:9" s="212" customFormat="1">
      <c r="A2606" s="150"/>
      <c r="B2606" s="84"/>
      <c r="C2606" s="148"/>
      <c r="D2606" s="84"/>
      <c r="E2606" s="84"/>
      <c r="F2606" s="84"/>
      <c r="G2606" s="146"/>
      <c r="H2606" s="221"/>
    </row>
    <row r="2607" spans="1:9" s="212" customFormat="1">
      <c r="A2607" s="91"/>
      <c r="B2607" s="91"/>
      <c r="C2607" s="91"/>
      <c r="D2607" s="91"/>
      <c r="E2607" s="91"/>
      <c r="G2607" s="213"/>
      <c r="H2607" s="222"/>
    </row>
    <row r="2608" spans="1:9" s="212" customFormat="1">
      <c r="A2608" s="120"/>
      <c r="B2608" s="73"/>
      <c r="C2608" s="73"/>
      <c r="D2608" s="73"/>
      <c r="E2608" s="73"/>
      <c r="G2608" s="73"/>
      <c r="H2608" s="222"/>
    </row>
    <row r="2609" spans="1:9" s="212" customFormat="1">
      <c r="A2609" s="220"/>
      <c r="B2609" s="141"/>
      <c r="C2609" s="141"/>
      <c r="D2609" s="141"/>
      <c r="E2609" s="141"/>
      <c r="F2609" s="141"/>
      <c r="G2609" s="141"/>
      <c r="H2609" s="222"/>
    </row>
    <row r="2610" spans="1:9" s="212" customFormat="1">
      <c r="A2610" s="142"/>
      <c r="B2610" s="143"/>
      <c r="C2610" s="143"/>
      <c r="D2610" s="143"/>
      <c r="E2610" s="143"/>
      <c r="F2610" s="84"/>
      <c r="G2610" s="146"/>
      <c r="H2610" s="221"/>
    </row>
    <row r="2611" spans="1:9" s="212" customFormat="1">
      <c r="A2611" s="123"/>
      <c r="B2611" s="95"/>
      <c r="C2611" s="95"/>
      <c r="D2611" s="95"/>
      <c r="E2611" s="95"/>
      <c r="G2611" s="213"/>
      <c r="H2611" s="73"/>
    </row>
    <row r="2612" spans="1:9" s="212" customFormat="1">
      <c r="A2612" s="123"/>
      <c r="B2612" s="95"/>
      <c r="C2612" s="95"/>
      <c r="D2612" s="95"/>
      <c r="E2612" s="95"/>
      <c r="G2612" s="73"/>
      <c r="H2612" s="225"/>
    </row>
    <row r="2613" spans="1:9" s="212" customFormat="1">
      <c r="B2613" s="97"/>
      <c r="C2613" s="98"/>
      <c r="D2613" s="98"/>
      <c r="E2613" s="98"/>
      <c r="G2613" s="220"/>
    </row>
    <row r="2614" spans="1:9" s="212" customFormat="1">
      <c r="B2614" s="97"/>
      <c r="C2614" s="98"/>
      <c r="D2614" s="98"/>
      <c r="E2614" s="98"/>
      <c r="F2614" s="220"/>
      <c r="G2614" s="225"/>
      <c r="H2614" s="226"/>
    </row>
    <row r="2615" spans="1:9" s="212" customFormat="1">
      <c r="A2615" s="633"/>
      <c r="B2615" s="633"/>
      <c r="C2615" s="633"/>
      <c r="D2615" s="633"/>
      <c r="E2615" s="633"/>
      <c r="F2615" s="633"/>
      <c r="G2615" s="633"/>
    </row>
    <row r="2616" spans="1:9" s="212" customFormat="1">
      <c r="H2616" s="227"/>
      <c r="I2616" s="228"/>
    </row>
    <row r="2617" spans="1:9" s="212" customFormat="1">
      <c r="A2617" s="658"/>
      <c r="B2617" s="227"/>
      <c r="C2617" s="227"/>
      <c r="D2617" s="227"/>
      <c r="E2617" s="227"/>
      <c r="F2617" s="227"/>
      <c r="G2617" s="227"/>
      <c r="H2617" s="227"/>
      <c r="I2617" s="229"/>
    </row>
    <row r="2618" spans="1:9" s="212" customFormat="1">
      <c r="A2618" s="658"/>
      <c r="B2618" s="227"/>
      <c r="C2618" s="227"/>
      <c r="D2618" s="227"/>
      <c r="E2618" s="227"/>
      <c r="F2618" s="227"/>
      <c r="G2618" s="227"/>
    </row>
    <row r="2619" spans="1:9" s="212" customFormat="1">
      <c r="A2619" s="69"/>
      <c r="B2619" s="69"/>
      <c r="C2619" s="69"/>
      <c r="D2619" s="69"/>
      <c r="E2619" s="69"/>
    </row>
    <row r="2620" spans="1:9" s="212" customFormat="1">
      <c r="A2620" s="120"/>
      <c r="B2620" s="73"/>
      <c r="C2620" s="73"/>
      <c r="D2620" s="73"/>
      <c r="E2620" s="73"/>
      <c r="F2620" s="73"/>
      <c r="G2620" s="73"/>
      <c r="H2620" s="73"/>
    </row>
    <row r="2621" spans="1:9" s="212" customFormat="1">
      <c r="A2621" s="220"/>
      <c r="B2621" s="141"/>
      <c r="C2621" s="141"/>
      <c r="D2621" s="141"/>
      <c r="E2621" s="141"/>
      <c r="F2621" s="141"/>
      <c r="G2621" s="141"/>
      <c r="H2621" s="73"/>
    </row>
    <row r="2622" spans="1:9" s="212" customFormat="1">
      <c r="A2622" s="150"/>
      <c r="B2622" s="84"/>
      <c r="C2622" s="148"/>
      <c r="D2622" s="84"/>
      <c r="E2622" s="84"/>
      <c r="F2622" s="84"/>
      <c r="G2622" s="146"/>
      <c r="H2622" s="221"/>
    </row>
    <row r="2623" spans="1:9" s="212" customFormat="1">
      <c r="A2623" s="84"/>
      <c r="B2623" s="83"/>
      <c r="C2623" s="84"/>
      <c r="D2623" s="84"/>
      <c r="E2623" s="84"/>
      <c r="G2623" s="213"/>
      <c r="H2623" s="222"/>
    </row>
    <row r="2624" spans="1:9" s="212" customFormat="1">
      <c r="A2624" s="120"/>
      <c r="B2624" s="73"/>
      <c r="C2624" s="73"/>
      <c r="D2624" s="73"/>
      <c r="E2624" s="73"/>
      <c r="G2624" s="73"/>
      <c r="H2624" s="222"/>
    </row>
    <row r="2625" spans="1:9" s="212" customFormat="1">
      <c r="A2625" s="220"/>
      <c r="B2625" s="141"/>
      <c r="C2625" s="141"/>
      <c r="D2625" s="141"/>
      <c r="E2625" s="141"/>
      <c r="F2625" s="141"/>
      <c r="G2625" s="141"/>
      <c r="H2625" s="222"/>
    </row>
    <row r="2626" spans="1:9" s="212" customFormat="1">
      <c r="A2626" s="150"/>
      <c r="B2626" s="83"/>
      <c r="C2626" s="148"/>
      <c r="D2626" s="165"/>
      <c r="E2626" s="84"/>
      <c r="F2626" s="84"/>
      <c r="G2626" s="146"/>
      <c r="H2626" s="221"/>
    </row>
    <row r="2627" spans="1:9" s="212" customFormat="1">
      <c r="A2627" s="91"/>
      <c r="B2627" s="91"/>
      <c r="C2627" s="91"/>
      <c r="D2627" s="91"/>
      <c r="E2627" s="91"/>
      <c r="G2627" s="213"/>
      <c r="H2627" s="222"/>
    </row>
    <row r="2628" spans="1:9" s="212" customFormat="1">
      <c r="A2628" s="120"/>
      <c r="B2628" s="73"/>
      <c r="C2628" s="73"/>
      <c r="D2628" s="73"/>
      <c r="E2628" s="73"/>
      <c r="G2628" s="73"/>
      <c r="H2628" s="222"/>
    </row>
    <row r="2629" spans="1:9" s="212" customFormat="1">
      <c r="A2629" s="220"/>
      <c r="B2629" s="141"/>
      <c r="C2629" s="141"/>
      <c r="D2629" s="141"/>
      <c r="E2629" s="141"/>
      <c r="F2629" s="141"/>
      <c r="G2629" s="141"/>
      <c r="H2629" s="222"/>
    </row>
    <row r="2630" spans="1:9" s="212" customFormat="1" ht="15.75" customHeight="1">
      <c r="A2630" s="150"/>
      <c r="B2630" s="84"/>
      <c r="C2630" s="148"/>
      <c r="D2630" s="84"/>
      <c r="E2630" s="84"/>
      <c r="F2630" s="84"/>
      <c r="G2630" s="146"/>
      <c r="H2630" s="221"/>
    </row>
    <row r="2631" spans="1:9" s="212" customFormat="1">
      <c r="A2631" s="91"/>
      <c r="B2631" s="91"/>
      <c r="C2631" s="91"/>
      <c r="D2631" s="91"/>
      <c r="E2631" s="91"/>
      <c r="G2631" s="213"/>
      <c r="H2631" s="222"/>
    </row>
    <row r="2632" spans="1:9" s="212" customFormat="1">
      <c r="A2632" s="120"/>
      <c r="B2632" s="73"/>
      <c r="C2632" s="73"/>
      <c r="D2632" s="73"/>
      <c r="E2632" s="73"/>
      <c r="G2632" s="73"/>
      <c r="H2632" s="222"/>
    </row>
    <row r="2633" spans="1:9" s="212" customFormat="1">
      <c r="A2633" s="220"/>
      <c r="B2633" s="141"/>
      <c r="C2633" s="141"/>
      <c r="D2633" s="141"/>
      <c r="E2633" s="141"/>
      <c r="F2633" s="141"/>
      <c r="G2633" s="141"/>
      <c r="H2633" s="222"/>
    </row>
    <row r="2634" spans="1:9" s="212" customFormat="1">
      <c r="A2634" s="142"/>
      <c r="B2634" s="143"/>
      <c r="C2634" s="143"/>
      <c r="D2634" s="143"/>
      <c r="E2634" s="143"/>
      <c r="F2634" s="84"/>
      <c r="G2634" s="146"/>
      <c r="H2634" s="221"/>
    </row>
    <row r="2635" spans="1:9" s="212" customFormat="1">
      <c r="A2635" s="123"/>
      <c r="B2635" s="95"/>
      <c r="C2635" s="95"/>
      <c r="D2635" s="95"/>
      <c r="E2635" s="95"/>
      <c r="G2635" s="213"/>
      <c r="H2635" s="73"/>
    </row>
    <row r="2636" spans="1:9" s="212" customFormat="1">
      <c r="A2636" s="123"/>
      <c r="B2636" s="95"/>
      <c r="C2636" s="95"/>
      <c r="D2636" s="95"/>
      <c r="E2636" s="95"/>
      <c r="G2636" s="73"/>
      <c r="H2636" s="225"/>
    </row>
    <row r="2637" spans="1:9" s="212" customFormat="1">
      <c r="B2637" s="97"/>
      <c r="C2637" s="98"/>
      <c r="D2637" s="98"/>
      <c r="E2637" s="98"/>
      <c r="G2637" s="220"/>
    </row>
    <row r="2638" spans="1:9" s="212" customFormat="1">
      <c r="B2638" s="97"/>
      <c r="C2638" s="98"/>
      <c r="D2638" s="98"/>
      <c r="E2638" s="98"/>
      <c r="F2638" s="220"/>
      <c r="G2638" s="225"/>
      <c r="H2638" s="226"/>
    </row>
    <row r="2639" spans="1:9" s="212" customFormat="1">
      <c r="A2639" s="633"/>
      <c r="B2639" s="633"/>
      <c r="C2639" s="633"/>
      <c r="D2639" s="633"/>
      <c r="E2639" s="633"/>
      <c r="F2639" s="633"/>
      <c r="G2639" s="633"/>
    </row>
    <row r="2640" spans="1:9" s="212" customFormat="1">
      <c r="H2640" s="227"/>
      <c r="I2640" s="228"/>
    </row>
    <row r="2641" spans="1:9" s="212" customFormat="1">
      <c r="A2641" s="658"/>
      <c r="B2641" s="227"/>
      <c r="C2641" s="227"/>
      <c r="D2641" s="227"/>
      <c r="E2641" s="227"/>
      <c r="F2641" s="227"/>
      <c r="G2641" s="227"/>
      <c r="H2641" s="227"/>
      <c r="I2641" s="229"/>
    </row>
    <row r="2642" spans="1:9" s="212" customFormat="1">
      <c r="A2642" s="658"/>
      <c r="B2642" s="227"/>
      <c r="C2642" s="227"/>
      <c r="D2642" s="227"/>
      <c r="E2642" s="227"/>
      <c r="F2642" s="227"/>
      <c r="G2642" s="227"/>
    </row>
    <row r="2643" spans="1:9" s="212" customFormat="1">
      <c r="A2643" s="69"/>
      <c r="B2643" s="69"/>
      <c r="C2643" s="69"/>
      <c r="D2643" s="69"/>
      <c r="E2643" s="69"/>
    </row>
    <row r="2644" spans="1:9" s="212" customFormat="1">
      <c r="A2644" s="120"/>
      <c r="B2644" s="73"/>
      <c r="C2644" s="73"/>
      <c r="D2644" s="73"/>
      <c r="E2644" s="73"/>
      <c r="F2644" s="73"/>
      <c r="G2644" s="73"/>
      <c r="H2644" s="73"/>
    </row>
    <row r="2645" spans="1:9" s="212" customFormat="1">
      <c r="A2645" s="220"/>
      <c r="B2645" s="141"/>
      <c r="C2645" s="141"/>
      <c r="D2645" s="141"/>
      <c r="E2645" s="141"/>
      <c r="F2645" s="141"/>
      <c r="G2645" s="141"/>
      <c r="H2645" s="73"/>
    </row>
    <row r="2646" spans="1:9" s="212" customFormat="1">
      <c r="A2646" s="150"/>
      <c r="B2646" s="84"/>
      <c r="C2646" s="148"/>
      <c r="D2646" s="84"/>
      <c r="E2646" s="84"/>
      <c r="F2646" s="84"/>
      <c r="G2646" s="146"/>
      <c r="H2646" s="73"/>
    </row>
    <row r="2647" spans="1:9" s="212" customFormat="1">
      <c r="A2647" s="150"/>
      <c r="B2647" s="84"/>
      <c r="C2647" s="148"/>
      <c r="D2647" s="84"/>
      <c r="E2647" s="84"/>
      <c r="F2647" s="84"/>
      <c r="G2647" s="146"/>
      <c r="H2647" s="73"/>
    </row>
    <row r="2648" spans="1:9" s="212" customFormat="1">
      <c r="A2648" s="150"/>
      <c r="B2648" s="84"/>
      <c r="C2648" s="148"/>
      <c r="D2648" s="84"/>
      <c r="E2648" s="84"/>
      <c r="F2648" s="84"/>
      <c r="G2648" s="146"/>
      <c r="H2648" s="221"/>
    </row>
    <row r="2649" spans="1:9" s="212" customFormat="1">
      <c r="A2649" s="84"/>
      <c r="B2649" s="83"/>
      <c r="C2649" s="84"/>
      <c r="D2649" s="84"/>
      <c r="E2649" s="84"/>
      <c r="G2649" s="213"/>
      <c r="H2649" s="222"/>
    </row>
    <row r="2650" spans="1:9" s="212" customFormat="1">
      <c r="A2650" s="120"/>
      <c r="B2650" s="73"/>
      <c r="C2650" s="73"/>
      <c r="D2650" s="73"/>
      <c r="E2650" s="73"/>
      <c r="G2650" s="73"/>
      <c r="H2650" s="222"/>
    </row>
    <row r="2651" spans="1:9" s="212" customFormat="1">
      <c r="A2651" s="220"/>
      <c r="B2651" s="141"/>
      <c r="C2651" s="141"/>
      <c r="D2651" s="141"/>
      <c r="E2651" s="141"/>
      <c r="F2651" s="141"/>
      <c r="G2651" s="141"/>
      <c r="H2651" s="222"/>
    </row>
    <row r="2652" spans="1:9" s="212" customFormat="1">
      <c r="A2652" s="150"/>
      <c r="B2652" s="83"/>
      <c r="C2652" s="148"/>
      <c r="D2652" s="165"/>
      <c r="E2652" s="84"/>
      <c r="F2652" s="84"/>
      <c r="G2652" s="146"/>
      <c r="H2652" s="222"/>
    </row>
    <row r="2653" spans="1:9" s="212" customFormat="1">
      <c r="A2653" s="150"/>
      <c r="B2653" s="83"/>
      <c r="C2653" s="148"/>
      <c r="D2653" s="165"/>
      <c r="E2653" s="84"/>
      <c r="F2653" s="84"/>
      <c r="G2653" s="146"/>
      <c r="H2653" s="222"/>
    </row>
    <row r="2654" spans="1:9" s="212" customFormat="1">
      <c r="A2654" s="150"/>
      <c r="B2654" s="83"/>
      <c r="C2654" s="148"/>
      <c r="D2654" s="165"/>
      <c r="E2654" s="84"/>
      <c r="F2654" s="84"/>
      <c r="G2654" s="146"/>
      <c r="H2654" s="221"/>
    </row>
    <row r="2655" spans="1:9" s="212" customFormat="1">
      <c r="A2655" s="91"/>
      <c r="B2655" s="91"/>
      <c r="C2655" s="91"/>
      <c r="D2655" s="91"/>
      <c r="E2655" s="91"/>
      <c r="G2655" s="213"/>
      <c r="H2655" s="222"/>
    </row>
    <row r="2656" spans="1:9" s="212" customFormat="1">
      <c r="A2656" s="120"/>
      <c r="B2656" s="73"/>
      <c r="C2656" s="73"/>
      <c r="D2656" s="73"/>
      <c r="E2656" s="73"/>
      <c r="G2656" s="73"/>
      <c r="H2656" s="222"/>
    </row>
    <row r="2657" spans="1:9" s="212" customFormat="1">
      <c r="A2657" s="220"/>
      <c r="B2657" s="141"/>
      <c r="C2657" s="141"/>
      <c r="D2657" s="141"/>
      <c r="E2657" s="141"/>
      <c r="F2657" s="141"/>
      <c r="G2657" s="141"/>
      <c r="H2657" s="222"/>
    </row>
    <row r="2658" spans="1:9" s="212" customFormat="1">
      <c r="A2658" s="150"/>
      <c r="B2658" s="83"/>
      <c r="C2658" s="148"/>
      <c r="D2658" s="84"/>
      <c r="E2658" s="84"/>
      <c r="F2658" s="84"/>
      <c r="G2658" s="146"/>
      <c r="H2658" s="221"/>
    </row>
    <row r="2659" spans="1:9" s="212" customFormat="1" ht="15.75" customHeight="1">
      <c r="A2659" s="91"/>
      <c r="B2659" s="91"/>
      <c r="C2659" s="91"/>
      <c r="D2659" s="91"/>
      <c r="E2659" s="91"/>
      <c r="G2659" s="213"/>
      <c r="H2659" s="222"/>
    </row>
    <row r="2660" spans="1:9" s="212" customFormat="1">
      <c r="A2660" s="120"/>
      <c r="B2660" s="73"/>
      <c r="C2660" s="73"/>
      <c r="D2660" s="73"/>
      <c r="E2660" s="73"/>
      <c r="G2660" s="73"/>
      <c r="H2660" s="222"/>
    </row>
    <row r="2661" spans="1:9" s="212" customFormat="1">
      <c r="A2661" s="220"/>
      <c r="B2661" s="141"/>
      <c r="C2661" s="141"/>
      <c r="D2661" s="141"/>
      <c r="E2661" s="141"/>
      <c r="F2661" s="141"/>
      <c r="G2661" s="141"/>
      <c r="H2661" s="222"/>
    </row>
    <row r="2662" spans="1:9" s="212" customFormat="1">
      <c r="A2662" s="142"/>
      <c r="B2662" s="143"/>
      <c r="C2662" s="143"/>
      <c r="D2662" s="143"/>
      <c r="E2662" s="143"/>
      <c r="F2662" s="84"/>
      <c r="G2662" s="146"/>
      <c r="H2662" s="221"/>
    </row>
    <row r="2663" spans="1:9" s="212" customFormat="1">
      <c r="A2663" s="123"/>
      <c r="B2663" s="95"/>
      <c r="C2663" s="95"/>
      <c r="D2663" s="95"/>
      <c r="E2663" s="95"/>
      <c r="G2663" s="213"/>
      <c r="H2663" s="73"/>
    </row>
    <row r="2664" spans="1:9" s="212" customFormat="1">
      <c r="A2664" s="123"/>
      <c r="B2664" s="95"/>
      <c r="C2664" s="95"/>
      <c r="D2664" s="95"/>
      <c r="E2664" s="95"/>
      <c r="G2664" s="73"/>
      <c r="H2664" s="225"/>
    </row>
    <row r="2665" spans="1:9" s="212" customFormat="1">
      <c r="B2665" s="97"/>
      <c r="C2665" s="98"/>
      <c r="D2665" s="98"/>
      <c r="E2665" s="98"/>
      <c r="G2665" s="220"/>
    </row>
    <row r="2666" spans="1:9" s="212" customFormat="1">
      <c r="B2666" s="97"/>
      <c r="C2666" s="98"/>
      <c r="D2666" s="98"/>
      <c r="E2666" s="98"/>
      <c r="F2666" s="220"/>
      <c r="G2666" s="225"/>
      <c r="H2666" s="226"/>
    </row>
    <row r="2667" spans="1:9" s="212" customFormat="1">
      <c r="A2667" s="633"/>
      <c r="B2667" s="633"/>
      <c r="C2667" s="633"/>
      <c r="D2667" s="633"/>
      <c r="E2667" s="633"/>
      <c r="F2667" s="633"/>
      <c r="G2667" s="633"/>
    </row>
    <row r="2668" spans="1:9" s="212" customFormat="1">
      <c r="H2668" s="227"/>
      <c r="I2668" s="228"/>
    </row>
    <row r="2669" spans="1:9" s="212" customFormat="1">
      <c r="A2669" s="658"/>
      <c r="B2669" s="227"/>
      <c r="C2669" s="227"/>
      <c r="D2669" s="227"/>
      <c r="E2669" s="227"/>
      <c r="F2669" s="227"/>
      <c r="G2669" s="227"/>
      <c r="H2669" s="227"/>
      <c r="I2669" s="229"/>
    </row>
    <row r="2670" spans="1:9" s="212" customFormat="1">
      <c r="A2670" s="658"/>
      <c r="B2670" s="227"/>
      <c r="C2670" s="227"/>
      <c r="D2670" s="227"/>
      <c r="E2670" s="227"/>
      <c r="F2670" s="227"/>
      <c r="G2670" s="227"/>
    </row>
    <row r="2671" spans="1:9" s="212" customFormat="1">
      <c r="A2671" s="69"/>
      <c r="B2671" s="69"/>
      <c r="C2671" s="69"/>
      <c r="D2671" s="69"/>
      <c r="E2671" s="69"/>
    </row>
    <row r="2672" spans="1:9" s="212" customFormat="1">
      <c r="A2672" s="120"/>
      <c r="B2672" s="73"/>
      <c r="C2672" s="73"/>
      <c r="D2672" s="73"/>
      <c r="E2672" s="73"/>
      <c r="F2672" s="73"/>
      <c r="G2672" s="73"/>
      <c r="H2672" s="73"/>
    </row>
    <row r="2673" spans="1:8" s="212" customFormat="1">
      <c r="A2673" s="220"/>
      <c r="B2673" s="141"/>
      <c r="C2673" s="141"/>
      <c r="D2673" s="141"/>
      <c r="E2673" s="141"/>
      <c r="F2673" s="141"/>
      <c r="G2673" s="141"/>
      <c r="H2673" s="73"/>
    </row>
    <row r="2674" spans="1:8" s="212" customFormat="1">
      <c r="A2674" s="150"/>
      <c r="B2674" s="84"/>
      <c r="C2674" s="148"/>
      <c r="D2674" s="84"/>
      <c r="E2674" s="84"/>
      <c r="F2674" s="84"/>
      <c r="G2674" s="146"/>
      <c r="H2674" s="221"/>
    </row>
    <row r="2675" spans="1:8" s="212" customFormat="1">
      <c r="A2675" s="84"/>
      <c r="B2675" s="83"/>
      <c r="C2675" s="84"/>
      <c r="D2675" s="84"/>
      <c r="E2675" s="84"/>
      <c r="G2675" s="213"/>
      <c r="H2675" s="222"/>
    </row>
    <row r="2676" spans="1:8" s="212" customFormat="1">
      <c r="A2676" s="120"/>
      <c r="B2676" s="73"/>
      <c r="C2676" s="73"/>
      <c r="D2676" s="73"/>
      <c r="E2676" s="73"/>
      <c r="G2676" s="73"/>
      <c r="H2676" s="222"/>
    </row>
    <row r="2677" spans="1:8" s="212" customFormat="1">
      <c r="A2677" s="220"/>
      <c r="B2677" s="141"/>
      <c r="C2677" s="141"/>
      <c r="D2677" s="141"/>
      <c r="E2677" s="141"/>
      <c r="F2677" s="141"/>
      <c r="G2677" s="141"/>
      <c r="H2677" s="222"/>
    </row>
    <row r="2678" spans="1:8" s="212" customFormat="1">
      <c r="A2678" s="150"/>
      <c r="B2678" s="83"/>
      <c r="C2678" s="148"/>
      <c r="D2678" s="165"/>
      <c r="E2678" s="84"/>
      <c r="F2678" s="84"/>
      <c r="G2678" s="146"/>
      <c r="H2678" s="222"/>
    </row>
    <row r="2679" spans="1:8" s="212" customFormat="1">
      <c r="A2679" s="150"/>
      <c r="B2679" s="83"/>
      <c r="C2679" s="148"/>
      <c r="D2679" s="165"/>
      <c r="E2679" s="84"/>
      <c r="F2679" s="84"/>
      <c r="G2679" s="146"/>
      <c r="H2679" s="221"/>
    </row>
    <row r="2680" spans="1:8" s="212" customFormat="1">
      <c r="A2680" s="91"/>
      <c r="B2680" s="91"/>
      <c r="C2680" s="91"/>
      <c r="D2680" s="91"/>
      <c r="E2680" s="91"/>
      <c r="G2680" s="213"/>
      <c r="H2680" s="222"/>
    </row>
    <row r="2681" spans="1:8" s="212" customFormat="1">
      <c r="A2681" s="120"/>
      <c r="B2681" s="73"/>
      <c r="C2681" s="73"/>
      <c r="D2681" s="73"/>
      <c r="E2681" s="73"/>
      <c r="G2681" s="73"/>
      <c r="H2681" s="222"/>
    </row>
    <row r="2682" spans="1:8" s="212" customFormat="1">
      <c r="A2682" s="220"/>
      <c r="B2682" s="141"/>
      <c r="C2682" s="141"/>
      <c r="D2682" s="141"/>
      <c r="E2682" s="141"/>
      <c r="F2682" s="141"/>
      <c r="G2682" s="141"/>
      <c r="H2682" s="222"/>
    </row>
    <row r="2683" spans="1:8" s="212" customFormat="1">
      <c r="A2683" s="150"/>
      <c r="B2683" s="83"/>
      <c r="C2683" s="148"/>
      <c r="D2683" s="84"/>
      <c r="E2683" s="84"/>
      <c r="F2683" s="84"/>
      <c r="G2683" s="146"/>
      <c r="H2683" s="221"/>
    </row>
    <row r="2684" spans="1:8" s="212" customFormat="1">
      <c r="A2684" s="91"/>
      <c r="B2684" s="91"/>
      <c r="C2684" s="91"/>
      <c r="D2684" s="91"/>
      <c r="E2684" s="91"/>
      <c r="G2684" s="213"/>
      <c r="H2684" s="222"/>
    </row>
    <row r="2685" spans="1:8" s="212" customFormat="1">
      <c r="A2685" s="120"/>
      <c r="B2685" s="73"/>
      <c r="C2685" s="73"/>
      <c r="D2685" s="73"/>
      <c r="E2685" s="73"/>
      <c r="G2685" s="73"/>
      <c r="H2685" s="222"/>
    </row>
    <row r="2686" spans="1:8" s="212" customFormat="1">
      <c r="A2686" s="220"/>
      <c r="B2686" s="141"/>
      <c r="C2686" s="141"/>
      <c r="D2686" s="141"/>
      <c r="E2686" s="141"/>
      <c r="F2686" s="141"/>
      <c r="G2686" s="141"/>
      <c r="H2686" s="222"/>
    </row>
    <row r="2687" spans="1:8" s="212" customFormat="1">
      <c r="A2687" s="142"/>
      <c r="B2687" s="143"/>
      <c r="C2687" s="143"/>
      <c r="D2687" s="143"/>
      <c r="E2687" s="143"/>
      <c r="F2687" s="84"/>
      <c r="G2687" s="146"/>
      <c r="H2687" s="221"/>
    </row>
    <row r="2688" spans="1:8" s="212" customFormat="1">
      <c r="A2688" s="123"/>
      <c r="B2688" s="95"/>
      <c r="C2688" s="95"/>
      <c r="D2688" s="95"/>
      <c r="E2688" s="95"/>
      <c r="G2688" s="213"/>
      <c r="H2688" s="73"/>
    </row>
    <row r="2689" spans="1:9" s="212" customFormat="1">
      <c r="A2689" s="123"/>
      <c r="B2689" s="95"/>
      <c r="C2689" s="95"/>
      <c r="D2689" s="95"/>
      <c r="E2689" s="95"/>
      <c r="G2689" s="73"/>
      <c r="H2689" s="225"/>
    </row>
    <row r="2690" spans="1:9" s="212" customFormat="1">
      <c r="B2690" s="97"/>
      <c r="C2690" s="98"/>
      <c r="D2690" s="98"/>
      <c r="E2690" s="98"/>
      <c r="G2690" s="220"/>
    </row>
    <row r="2691" spans="1:9" s="212" customFormat="1">
      <c r="B2691" s="97"/>
      <c r="C2691" s="98"/>
      <c r="D2691" s="98"/>
      <c r="E2691" s="98"/>
      <c r="F2691" s="220"/>
      <c r="G2691" s="225"/>
      <c r="H2691" s="226"/>
    </row>
    <row r="2692" spans="1:9" s="212" customFormat="1">
      <c r="A2692" s="633"/>
      <c r="B2692" s="633"/>
      <c r="C2692" s="633"/>
      <c r="D2692" s="633"/>
      <c r="E2692" s="633"/>
      <c r="F2692" s="633"/>
      <c r="G2692" s="633"/>
    </row>
    <row r="2693" spans="1:9" s="212" customFormat="1">
      <c r="H2693" s="227"/>
      <c r="I2693" s="228"/>
    </row>
    <row r="2694" spans="1:9" s="212" customFormat="1">
      <c r="A2694" s="658"/>
      <c r="B2694" s="227"/>
      <c r="C2694" s="227"/>
      <c r="D2694" s="227"/>
      <c r="E2694" s="227"/>
      <c r="F2694" s="227"/>
      <c r="G2694" s="227"/>
      <c r="H2694" s="227"/>
      <c r="I2694" s="229"/>
    </row>
    <row r="2695" spans="1:9" s="212" customFormat="1">
      <c r="A2695" s="658"/>
      <c r="B2695" s="227"/>
      <c r="C2695" s="227"/>
      <c r="D2695" s="227"/>
      <c r="E2695" s="227"/>
      <c r="F2695" s="227"/>
      <c r="G2695" s="227"/>
    </row>
    <row r="2696" spans="1:9" s="212" customFormat="1">
      <c r="A2696" s="69"/>
      <c r="B2696" s="69"/>
      <c r="C2696" s="69"/>
      <c r="D2696" s="69"/>
      <c r="E2696" s="69"/>
    </row>
    <row r="2697" spans="1:9" s="212" customFormat="1">
      <c r="A2697" s="120"/>
      <c r="B2697" s="73"/>
      <c r="C2697" s="73"/>
      <c r="D2697" s="73"/>
      <c r="E2697" s="73"/>
      <c r="F2697" s="73"/>
      <c r="G2697" s="73"/>
      <c r="H2697" s="73"/>
    </row>
    <row r="2698" spans="1:9" s="212" customFormat="1">
      <c r="A2698" s="220"/>
      <c r="B2698" s="141"/>
      <c r="C2698" s="141"/>
      <c r="D2698" s="141"/>
      <c r="E2698" s="141"/>
      <c r="F2698" s="141"/>
      <c r="G2698" s="141"/>
      <c r="H2698" s="73"/>
    </row>
    <row r="2699" spans="1:9" s="212" customFormat="1">
      <c r="A2699" s="150"/>
      <c r="B2699" s="83"/>
      <c r="C2699" s="148"/>
      <c r="D2699" s="84"/>
      <c r="E2699" s="84"/>
      <c r="F2699" s="84"/>
      <c r="G2699" s="146"/>
      <c r="H2699" s="73"/>
    </row>
    <row r="2700" spans="1:9" s="212" customFormat="1">
      <c r="A2700" s="150"/>
      <c r="B2700" s="83"/>
      <c r="C2700" s="148"/>
      <c r="D2700" s="84"/>
      <c r="E2700" s="84"/>
      <c r="F2700" s="84"/>
      <c r="G2700" s="146"/>
      <c r="H2700" s="73"/>
    </row>
    <row r="2701" spans="1:9" s="212" customFormat="1">
      <c r="A2701" s="150"/>
      <c r="B2701" s="83"/>
      <c r="C2701" s="148"/>
      <c r="D2701" s="84"/>
      <c r="E2701" s="84"/>
      <c r="F2701" s="84"/>
      <c r="G2701" s="146"/>
      <c r="H2701" s="221"/>
    </row>
    <row r="2702" spans="1:9" s="212" customFormat="1">
      <c r="A2702" s="84"/>
      <c r="B2702" s="83"/>
      <c r="C2702" s="84"/>
      <c r="D2702" s="84"/>
      <c r="E2702" s="84"/>
      <c r="G2702" s="213"/>
      <c r="H2702" s="222"/>
    </row>
    <row r="2703" spans="1:9" s="212" customFormat="1">
      <c r="A2703" s="120"/>
      <c r="B2703" s="73"/>
      <c r="C2703" s="73"/>
      <c r="D2703" s="73"/>
      <c r="E2703" s="73"/>
      <c r="G2703" s="73"/>
      <c r="H2703" s="222"/>
    </row>
    <row r="2704" spans="1:9" s="212" customFormat="1">
      <c r="A2704" s="220"/>
      <c r="B2704" s="141"/>
      <c r="C2704" s="141"/>
      <c r="D2704" s="141"/>
      <c r="E2704" s="141"/>
      <c r="F2704" s="141"/>
      <c r="G2704" s="141"/>
      <c r="H2704" s="222"/>
    </row>
    <row r="2705" spans="1:8" s="212" customFormat="1">
      <c r="A2705" s="150"/>
      <c r="B2705" s="83"/>
      <c r="C2705" s="148"/>
      <c r="D2705" s="165"/>
      <c r="E2705" s="84"/>
      <c r="F2705" s="84"/>
      <c r="G2705" s="146"/>
      <c r="H2705" s="222"/>
    </row>
    <row r="2706" spans="1:8" s="212" customFormat="1">
      <c r="A2706" s="150"/>
      <c r="B2706" s="83"/>
      <c r="C2706" s="148"/>
      <c r="D2706" s="165"/>
      <c r="E2706" s="84"/>
      <c r="F2706" s="84"/>
      <c r="G2706" s="146"/>
      <c r="H2706" s="222"/>
    </row>
    <row r="2707" spans="1:8" s="212" customFormat="1">
      <c r="A2707" s="150"/>
      <c r="B2707" s="83"/>
      <c r="C2707" s="148"/>
      <c r="D2707" s="165"/>
      <c r="E2707" s="84"/>
      <c r="F2707" s="84"/>
      <c r="G2707" s="146"/>
      <c r="H2707" s="221"/>
    </row>
    <row r="2708" spans="1:8" s="212" customFormat="1">
      <c r="A2708" s="91"/>
      <c r="B2708" s="91"/>
      <c r="C2708" s="91"/>
      <c r="D2708" s="91"/>
      <c r="E2708" s="91"/>
      <c r="G2708" s="213"/>
      <c r="H2708" s="222"/>
    </row>
    <row r="2709" spans="1:8" s="212" customFormat="1">
      <c r="A2709" s="120"/>
      <c r="B2709" s="73"/>
      <c r="C2709" s="73"/>
      <c r="D2709" s="73"/>
      <c r="E2709" s="73"/>
      <c r="G2709" s="73"/>
      <c r="H2709" s="222"/>
    </row>
    <row r="2710" spans="1:8" s="212" customFormat="1">
      <c r="A2710" s="220"/>
      <c r="B2710" s="141"/>
      <c r="C2710" s="141"/>
      <c r="D2710" s="141"/>
      <c r="E2710" s="141"/>
      <c r="F2710" s="141"/>
      <c r="G2710" s="141"/>
      <c r="H2710" s="222"/>
    </row>
    <row r="2711" spans="1:8" s="212" customFormat="1">
      <c r="A2711" s="150"/>
      <c r="B2711" s="83"/>
      <c r="C2711" s="148"/>
      <c r="D2711" s="84"/>
      <c r="E2711" s="84"/>
      <c r="F2711" s="84"/>
      <c r="G2711" s="146"/>
      <c r="H2711" s="222"/>
    </row>
    <row r="2712" spans="1:8" s="212" customFormat="1">
      <c r="A2712" s="150"/>
      <c r="B2712" s="83"/>
      <c r="C2712" s="148"/>
      <c r="D2712" s="84"/>
      <c r="E2712" s="84"/>
      <c r="F2712" s="84"/>
      <c r="G2712" s="146"/>
      <c r="H2712" s="221"/>
    </row>
    <row r="2713" spans="1:8" s="212" customFormat="1">
      <c r="A2713" s="91"/>
      <c r="B2713" s="91"/>
      <c r="C2713" s="91"/>
      <c r="D2713" s="91"/>
      <c r="E2713" s="91"/>
      <c r="G2713" s="213"/>
      <c r="H2713" s="222"/>
    </row>
    <row r="2714" spans="1:8" s="212" customFormat="1">
      <c r="A2714" s="120"/>
      <c r="B2714" s="73"/>
      <c r="C2714" s="73"/>
      <c r="D2714" s="73"/>
      <c r="E2714" s="73"/>
      <c r="G2714" s="73"/>
      <c r="H2714" s="222"/>
    </row>
    <row r="2715" spans="1:8" s="212" customFormat="1">
      <c r="A2715" s="220"/>
      <c r="B2715" s="141"/>
      <c r="C2715" s="141"/>
      <c r="D2715" s="141"/>
      <c r="E2715" s="141"/>
      <c r="F2715" s="141"/>
      <c r="G2715" s="141"/>
      <c r="H2715" s="222"/>
    </row>
    <row r="2716" spans="1:8" s="212" customFormat="1">
      <c r="A2716" s="142"/>
      <c r="B2716" s="143"/>
      <c r="C2716" s="143"/>
      <c r="D2716" s="143"/>
      <c r="E2716" s="143"/>
      <c r="F2716" s="84"/>
      <c r="G2716" s="146"/>
      <c r="H2716" s="221"/>
    </row>
    <row r="2717" spans="1:8" s="212" customFormat="1">
      <c r="A2717" s="123"/>
      <c r="B2717" s="95"/>
      <c r="C2717" s="95"/>
      <c r="D2717" s="95"/>
      <c r="E2717" s="95"/>
      <c r="G2717" s="213"/>
      <c r="H2717" s="73"/>
    </row>
    <row r="2718" spans="1:8" s="212" customFormat="1">
      <c r="A2718" s="123"/>
      <c r="B2718" s="95"/>
      <c r="C2718" s="95"/>
      <c r="D2718" s="95"/>
      <c r="E2718" s="95"/>
      <c r="G2718" s="73"/>
      <c r="H2718" s="225"/>
    </row>
    <row r="2719" spans="1:8" s="212" customFormat="1">
      <c r="B2719" s="97"/>
      <c r="C2719" s="98"/>
      <c r="D2719" s="98"/>
      <c r="E2719" s="98"/>
      <c r="G2719" s="220"/>
    </row>
    <row r="2720" spans="1:8" s="212" customFormat="1">
      <c r="B2720" s="97"/>
      <c r="C2720" s="98"/>
      <c r="D2720" s="98"/>
      <c r="E2720" s="98"/>
      <c r="F2720" s="220"/>
      <c r="G2720" s="225"/>
      <c r="H2720" s="226"/>
    </row>
    <row r="2721" spans="1:9" s="212" customFormat="1">
      <c r="A2721" s="633"/>
      <c r="B2721" s="633"/>
      <c r="C2721" s="633"/>
      <c r="D2721" s="633"/>
      <c r="E2721" s="633"/>
      <c r="F2721" s="633"/>
      <c r="G2721" s="633"/>
    </row>
    <row r="2722" spans="1:9" s="212" customFormat="1">
      <c r="H2722" s="227"/>
      <c r="I2722" s="228"/>
    </row>
    <row r="2723" spans="1:9" s="212" customFormat="1">
      <c r="A2723" s="658"/>
      <c r="B2723" s="227"/>
      <c r="C2723" s="227"/>
      <c r="D2723" s="227"/>
      <c r="E2723" s="227"/>
      <c r="F2723" s="227"/>
      <c r="G2723" s="227"/>
      <c r="H2723" s="227"/>
      <c r="I2723" s="229"/>
    </row>
    <row r="2724" spans="1:9" s="212" customFormat="1">
      <c r="A2724" s="658"/>
      <c r="B2724" s="227"/>
      <c r="C2724" s="227"/>
      <c r="D2724" s="227"/>
      <c r="E2724" s="227"/>
      <c r="F2724" s="227"/>
      <c r="G2724" s="227"/>
    </row>
    <row r="2725" spans="1:9" s="212" customFormat="1">
      <c r="A2725" s="69"/>
      <c r="B2725" s="69"/>
      <c r="C2725" s="69"/>
      <c r="D2725" s="69"/>
      <c r="E2725" s="69"/>
    </row>
    <row r="2726" spans="1:9" s="212" customFormat="1">
      <c r="A2726" s="120"/>
      <c r="B2726" s="73"/>
      <c r="C2726" s="73"/>
      <c r="D2726" s="73"/>
      <c r="E2726" s="73"/>
      <c r="F2726" s="73"/>
      <c r="G2726" s="73"/>
      <c r="H2726" s="73"/>
    </row>
    <row r="2727" spans="1:9" s="212" customFormat="1">
      <c r="A2727" s="220"/>
      <c r="B2727" s="141"/>
      <c r="C2727" s="141"/>
      <c r="D2727" s="141"/>
      <c r="E2727" s="141"/>
      <c r="F2727" s="141"/>
      <c r="G2727" s="141"/>
      <c r="H2727" s="73"/>
    </row>
    <row r="2728" spans="1:9" s="212" customFormat="1">
      <c r="A2728" s="150"/>
      <c r="B2728" s="83"/>
      <c r="C2728" s="148"/>
      <c r="D2728" s="84"/>
      <c r="E2728" s="84"/>
      <c r="F2728" s="84"/>
      <c r="G2728" s="146"/>
      <c r="H2728" s="73"/>
    </row>
    <row r="2729" spans="1:9" s="212" customFormat="1">
      <c r="A2729" s="150"/>
      <c r="B2729" s="83"/>
      <c r="C2729" s="148"/>
      <c r="D2729" s="84"/>
      <c r="E2729" s="84"/>
      <c r="F2729" s="84"/>
      <c r="G2729" s="146"/>
      <c r="H2729" s="73"/>
    </row>
    <row r="2730" spans="1:9" s="212" customFormat="1">
      <c r="A2730" s="150"/>
      <c r="B2730" s="83"/>
      <c r="C2730" s="148"/>
      <c r="D2730" s="84"/>
      <c r="E2730" s="84"/>
      <c r="F2730" s="84"/>
      <c r="G2730" s="146"/>
      <c r="H2730" s="221"/>
    </row>
    <row r="2731" spans="1:9" s="212" customFormat="1">
      <c r="A2731" s="84"/>
      <c r="B2731" s="83"/>
      <c r="C2731" s="84"/>
      <c r="D2731" s="84"/>
      <c r="E2731" s="84"/>
      <c r="G2731" s="213"/>
      <c r="H2731" s="222"/>
    </row>
    <row r="2732" spans="1:9" s="212" customFormat="1">
      <c r="A2732" s="120"/>
      <c r="B2732" s="73"/>
      <c r="C2732" s="73"/>
      <c r="D2732" s="73"/>
      <c r="E2732" s="73"/>
      <c r="G2732" s="73"/>
      <c r="H2732" s="222"/>
    </row>
    <row r="2733" spans="1:9" s="212" customFormat="1">
      <c r="A2733" s="220"/>
      <c r="B2733" s="141"/>
      <c r="C2733" s="141"/>
      <c r="D2733" s="141"/>
      <c r="E2733" s="141"/>
      <c r="F2733" s="141"/>
      <c r="G2733" s="141"/>
      <c r="H2733" s="222"/>
    </row>
    <row r="2734" spans="1:9" s="212" customFormat="1">
      <c r="A2734" s="150"/>
      <c r="B2734" s="83"/>
      <c r="C2734" s="148"/>
      <c r="D2734" s="165"/>
      <c r="E2734" s="84"/>
      <c r="F2734" s="84"/>
      <c r="G2734" s="146"/>
      <c r="H2734" s="222"/>
    </row>
    <row r="2735" spans="1:9" s="212" customFormat="1">
      <c r="A2735" s="150"/>
      <c r="B2735" s="83"/>
      <c r="C2735" s="148"/>
      <c r="D2735" s="165"/>
      <c r="E2735" s="84"/>
      <c r="F2735" s="84"/>
      <c r="G2735" s="146"/>
      <c r="H2735" s="222"/>
    </row>
    <row r="2736" spans="1:9" s="212" customFormat="1">
      <c r="A2736" s="150"/>
      <c r="B2736" s="83"/>
      <c r="C2736" s="148"/>
      <c r="D2736" s="165"/>
      <c r="E2736" s="84"/>
      <c r="F2736" s="84"/>
      <c r="G2736" s="146"/>
      <c r="H2736" s="221"/>
    </row>
    <row r="2737" spans="1:9" s="212" customFormat="1">
      <c r="A2737" s="91"/>
      <c r="B2737" s="91"/>
      <c r="C2737" s="91"/>
      <c r="D2737" s="91"/>
      <c r="E2737" s="91"/>
      <c r="G2737" s="213"/>
      <c r="H2737" s="222"/>
    </row>
    <row r="2738" spans="1:9" s="212" customFormat="1">
      <c r="A2738" s="120"/>
      <c r="B2738" s="73"/>
      <c r="C2738" s="73"/>
      <c r="D2738" s="73"/>
      <c r="E2738" s="73"/>
      <c r="G2738" s="73"/>
      <c r="H2738" s="222"/>
    </row>
    <row r="2739" spans="1:9" s="212" customFormat="1">
      <c r="A2739" s="220"/>
      <c r="B2739" s="141"/>
      <c r="C2739" s="141"/>
      <c r="D2739" s="141"/>
      <c r="E2739" s="141"/>
      <c r="F2739" s="141"/>
      <c r="G2739" s="141"/>
      <c r="H2739" s="222"/>
    </row>
    <row r="2740" spans="1:9" s="212" customFormat="1">
      <c r="A2740" s="150"/>
      <c r="B2740" s="83"/>
      <c r="C2740" s="148"/>
      <c r="D2740" s="84"/>
      <c r="E2740" s="84"/>
      <c r="F2740" s="84"/>
      <c r="G2740" s="146"/>
      <c r="H2740" s="221"/>
    </row>
    <row r="2741" spans="1:9" s="212" customFormat="1">
      <c r="A2741" s="91"/>
      <c r="B2741" s="91"/>
      <c r="C2741" s="91"/>
      <c r="D2741" s="91"/>
      <c r="E2741" s="91"/>
      <c r="G2741" s="213"/>
      <c r="H2741" s="222"/>
    </row>
    <row r="2742" spans="1:9" s="212" customFormat="1">
      <c r="A2742" s="120"/>
      <c r="B2742" s="73"/>
      <c r="C2742" s="73"/>
      <c r="D2742" s="73"/>
      <c r="E2742" s="73"/>
      <c r="G2742" s="73"/>
      <c r="H2742" s="222"/>
    </row>
    <row r="2743" spans="1:9" s="212" customFormat="1">
      <c r="A2743" s="220"/>
      <c r="B2743" s="141"/>
      <c r="C2743" s="141"/>
      <c r="D2743" s="141"/>
      <c r="E2743" s="141"/>
      <c r="F2743" s="141"/>
      <c r="G2743" s="141"/>
      <c r="H2743" s="222"/>
    </row>
    <row r="2744" spans="1:9" s="212" customFormat="1">
      <c r="A2744" s="142"/>
      <c r="B2744" s="143"/>
      <c r="C2744" s="143"/>
      <c r="D2744" s="143"/>
      <c r="E2744" s="143"/>
      <c r="F2744" s="84"/>
      <c r="G2744" s="146"/>
      <c r="H2744" s="221"/>
    </row>
    <row r="2745" spans="1:9" s="212" customFormat="1">
      <c r="A2745" s="123"/>
      <c r="B2745" s="95"/>
      <c r="C2745" s="95"/>
      <c r="D2745" s="95"/>
      <c r="E2745" s="95"/>
      <c r="G2745" s="213"/>
      <c r="H2745" s="73"/>
    </row>
    <row r="2746" spans="1:9" s="212" customFormat="1">
      <c r="A2746" s="123"/>
      <c r="B2746" s="95"/>
      <c r="C2746" s="95"/>
      <c r="D2746" s="95"/>
      <c r="E2746" s="95"/>
      <c r="G2746" s="73"/>
      <c r="H2746" s="225"/>
    </row>
    <row r="2747" spans="1:9" s="212" customFormat="1">
      <c r="B2747" s="97"/>
      <c r="C2747" s="98"/>
      <c r="D2747" s="98"/>
      <c r="E2747" s="98"/>
      <c r="G2747" s="220"/>
    </row>
    <row r="2748" spans="1:9" s="212" customFormat="1">
      <c r="B2748" s="97"/>
      <c r="C2748" s="98"/>
      <c r="D2748" s="98"/>
      <c r="E2748" s="98"/>
      <c r="F2748" s="220"/>
      <c r="G2748" s="225"/>
      <c r="H2748" s="226"/>
    </row>
    <row r="2749" spans="1:9" s="212" customFormat="1">
      <c r="A2749" s="633"/>
      <c r="B2749" s="633"/>
      <c r="C2749" s="633"/>
      <c r="D2749" s="633"/>
      <c r="E2749" s="633"/>
      <c r="F2749" s="633"/>
      <c r="G2749" s="633"/>
    </row>
    <row r="2750" spans="1:9" s="212" customFormat="1">
      <c r="H2750" s="227"/>
      <c r="I2750" s="228"/>
    </row>
    <row r="2751" spans="1:9" s="212" customFormat="1">
      <c r="A2751" s="658"/>
      <c r="B2751" s="227"/>
      <c r="C2751" s="227"/>
      <c r="D2751" s="227"/>
      <c r="E2751" s="227"/>
      <c r="F2751" s="227"/>
      <c r="G2751" s="227"/>
      <c r="H2751" s="227"/>
      <c r="I2751" s="229"/>
    </row>
    <row r="2752" spans="1:9" s="212" customFormat="1">
      <c r="A2752" s="658"/>
      <c r="B2752" s="227"/>
      <c r="C2752" s="227"/>
      <c r="D2752" s="227"/>
      <c r="E2752" s="227"/>
      <c r="F2752" s="227"/>
      <c r="G2752" s="227"/>
    </row>
    <row r="2753" spans="1:8" s="212" customFormat="1">
      <c r="A2753" s="69"/>
      <c r="B2753" s="69"/>
      <c r="C2753" s="69"/>
      <c r="D2753" s="69"/>
      <c r="E2753" s="69"/>
    </row>
    <row r="2754" spans="1:8" s="212" customFormat="1">
      <c r="A2754" s="120"/>
      <c r="B2754" s="73"/>
      <c r="C2754" s="73"/>
      <c r="D2754" s="73"/>
      <c r="E2754" s="73"/>
      <c r="F2754" s="73"/>
      <c r="G2754" s="73"/>
      <c r="H2754" s="73"/>
    </row>
    <row r="2755" spans="1:8" s="212" customFormat="1">
      <c r="A2755" s="220"/>
      <c r="B2755" s="141"/>
      <c r="C2755" s="141"/>
      <c r="D2755" s="141"/>
      <c r="E2755" s="141"/>
      <c r="F2755" s="141"/>
      <c r="G2755" s="141"/>
      <c r="H2755" s="73"/>
    </row>
    <row r="2756" spans="1:8" s="212" customFormat="1">
      <c r="A2756" s="150"/>
      <c r="B2756" s="83"/>
      <c r="C2756" s="148"/>
      <c r="D2756" s="84"/>
      <c r="E2756" s="84"/>
      <c r="F2756" s="84"/>
      <c r="G2756" s="146"/>
      <c r="H2756" s="73"/>
    </row>
    <row r="2757" spans="1:8" s="212" customFormat="1">
      <c r="A2757" s="150"/>
      <c r="B2757" s="83"/>
      <c r="C2757" s="148"/>
      <c r="D2757" s="84"/>
      <c r="E2757" s="84"/>
      <c r="F2757" s="84"/>
      <c r="G2757" s="146"/>
      <c r="H2757" s="73"/>
    </row>
    <row r="2758" spans="1:8" s="212" customFormat="1">
      <c r="A2758" s="150"/>
      <c r="B2758" s="83"/>
      <c r="C2758" s="148"/>
      <c r="D2758" s="84"/>
      <c r="E2758" s="84"/>
      <c r="F2758" s="84"/>
      <c r="G2758" s="146"/>
      <c r="H2758" s="221"/>
    </row>
    <row r="2759" spans="1:8" s="212" customFormat="1">
      <c r="A2759" s="84"/>
      <c r="B2759" s="83"/>
      <c r="C2759" s="84"/>
      <c r="D2759" s="84"/>
      <c r="E2759" s="84"/>
      <c r="G2759" s="213"/>
      <c r="H2759" s="222"/>
    </row>
    <row r="2760" spans="1:8" s="212" customFormat="1">
      <c r="A2760" s="120"/>
      <c r="B2760" s="73"/>
      <c r="C2760" s="73"/>
      <c r="D2760" s="73"/>
      <c r="E2760" s="73"/>
      <c r="G2760" s="73"/>
      <c r="H2760" s="222"/>
    </row>
    <row r="2761" spans="1:8" s="212" customFormat="1">
      <c r="A2761" s="220"/>
      <c r="B2761" s="141"/>
      <c r="C2761" s="141"/>
      <c r="D2761" s="141"/>
      <c r="E2761" s="141"/>
      <c r="F2761" s="141"/>
      <c r="G2761" s="141"/>
      <c r="H2761" s="222"/>
    </row>
    <row r="2762" spans="1:8" s="212" customFormat="1">
      <c r="A2762" s="150"/>
      <c r="B2762" s="83"/>
      <c r="C2762" s="148"/>
      <c r="D2762" s="165"/>
      <c r="E2762" s="84"/>
      <c r="F2762" s="84"/>
      <c r="G2762" s="146"/>
      <c r="H2762" s="222"/>
    </row>
    <row r="2763" spans="1:8" s="212" customFormat="1">
      <c r="A2763" s="150"/>
      <c r="B2763" s="83"/>
      <c r="C2763" s="148"/>
      <c r="D2763" s="165"/>
      <c r="E2763" s="84"/>
      <c r="F2763" s="84"/>
      <c r="G2763" s="146"/>
      <c r="H2763" s="222"/>
    </row>
    <row r="2764" spans="1:8" s="212" customFormat="1">
      <c r="A2764" s="150"/>
      <c r="B2764" s="83"/>
      <c r="C2764" s="148"/>
      <c r="D2764" s="165"/>
      <c r="E2764" s="84"/>
      <c r="F2764" s="84"/>
      <c r="G2764" s="146"/>
      <c r="H2764" s="221"/>
    </row>
    <row r="2765" spans="1:8" s="212" customFormat="1">
      <c r="A2765" s="91"/>
      <c r="B2765" s="91"/>
      <c r="C2765" s="91"/>
      <c r="D2765" s="91"/>
      <c r="E2765" s="91"/>
      <c r="G2765" s="213"/>
      <c r="H2765" s="222"/>
    </row>
    <row r="2766" spans="1:8" s="212" customFormat="1">
      <c r="A2766" s="120"/>
      <c r="B2766" s="73"/>
      <c r="C2766" s="73"/>
      <c r="D2766" s="73"/>
      <c r="E2766" s="73"/>
      <c r="G2766" s="73"/>
      <c r="H2766" s="222"/>
    </row>
    <row r="2767" spans="1:8" s="212" customFormat="1">
      <c r="A2767" s="220"/>
      <c r="B2767" s="141"/>
      <c r="C2767" s="141"/>
      <c r="D2767" s="141"/>
      <c r="E2767" s="141"/>
      <c r="F2767" s="141"/>
      <c r="G2767" s="141"/>
      <c r="H2767" s="222"/>
    </row>
    <row r="2768" spans="1:8" s="212" customFormat="1">
      <c r="A2768" s="150"/>
      <c r="B2768" s="83"/>
      <c r="C2768" s="148"/>
      <c r="D2768" s="84"/>
      <c r="E2768" s="84"/>
      <c r="F2768" s="84"/>
      <c r="G2768" s="146"/>
      <c r="H2768" s="222"/>
    </row>
    <row r="2769" spans="1:9" s="212" customFormat="1">
      <c r="A2769" s="150"/>
      <c r="B2769" s="83"/>
      <c r="C2769" s="148"/>
      <c r="D2769" s="84"/>
      <c r="E2769" s="84"/>
      <c r="F2769" s="84"/>
      <c r="G2769" s="146"/>
      <c r="H2769" s="222"/>
    </row>
    <row r="2770" spans="1:9" s="212" customFormat="1">
      <c r="A2770" s="150"/>
      <c r="B2770" s="83"/>
      <c r="C2770" s="148"/>
      <c r="D2770" s="84"/>
      <c r="E2770" s="84"/>
      <c r="F2770" s="84"/>
      <c r="G2770" s="146"/>
      <c r="H2770" s="221"/>
    </row>
    <row r="2771" spans="1:9" s="212" customFormat="1">
      <c r="A2771" s="91"/>
      <c r="B2771" s="91"/>
      <c r="C2771" s="91"/>
      <c r="D2771" s="91"/>
      <c r="E2771" s="91"/>
      <c r="G2771" s="213"/>
      <c r="H2771" s="222"/>
    </row>
    <row r="2772" spans="1:9" s="212" customFormat="1">
      <c r="A2772" s="120"/>
      <c r="B2772" s="73"/>
      <c r="C2772" s="73"/>
      <c r="D2772" s="73"/>
      <c r="E2772" s="73"/>
      <c r="G2772" s="73"/>
      <c r="H2772" s="222"/>
    </row>
    <row r="2773" spans="1:9" s="212" customFormat="1">
      <c r="A2773" s="220"/>
      <c r="B2773" s="141"/>
      <c r="C2773" s="141"/>
      <c r="D2773" s="141"/>
      <c r="E2773" s="141"/>
      <c r="F2773" s="141"/>
      <c r="G2773" s="141"/>
      <c r="H2773" s="222"/>
    </row>
    <row r="2774" spans="1:9" s="212" customFormat="1">
      <c r="A2774" s="142"/>
      <c r="B2774" s="143"/>
      <c r="C2774" s="143"/>
      <c r="D2774" s="143"/>
      <c r="E2774" s="143"/>
      <c r="F2774" s="84"/>
      <c r="G2774" s="146"/>
      <c r="H2774" s="221"/>
    </row>
    <row r="2775" spans="1:9" s="212" customFormat="1">
      <c r="A2775" s="123"/>
      <c r="B2775" s="95"/>
      <c r="C2775" s="95"/>
      <c r="D2775" s="95"/>
      <c r="E2775" s="95"/>
      <c r="G2775" s="213"/>
      <c r="H2775" s="73"/>
    </row>
    <row r="2776" spans="1:9" s="212" customFormat="1">
      <c r="A2776" s="123"/>
      <c r="B2776" s="95"/>
      <c r="C2776" s="95"/>
      <c r="D2776" s="95"/>
      <c r="E2776" s="95"/>
      <c r="G2776" s="73"/>
      <c r="H2776" s="225"/>
    </row>
    <row r="2777" spans="1:9" s="212" customFormat="1">
      <c r="B2777" s="97"/>
      <c r="C2777" s="98"/>
      <c r="D2777" s="98"/>
      <c r="E2777" s="98"/>
      <c r="G2777" s="220"/>
    </row>
    <row r="2778" spans="1:9" s="212" customFormat="1">
      <c r="B2778" s="97"/>
      <c r="C2778" s="98"/>
      <c r="D2778" s="98"/>
      <c r="E2778" s="98"/>
      <c r="F2778" s="220"/>
      <c r="G2778" s="225"/>
      <c r="H2778" s="226"/>
    </row>
    <row r="2779" spans="1:9" s="212" customFormat="1">
      <c r="A2779" s="633"/>
      <c r="B2779" s="633"/>
      <c r="C2779" s="633"/>
      <c r="D2779" s="633"/>
      <c r="E2779" s="633"/>
      <c r="F2779" s="633"/>
      <c r="G2779" s="633"/>
    </row>
    <row r="2780" spans="1:9" s="212" customFormat="1">
      <c r="H2780" s="227"/>
      <c r="I2780" s="228"/>
    </row>
    <row r="2781" spans="1:9" s="212" customFormat="1">
      <c r="A2781" s="658"/>
      <c r="B2781" s="227"/>
      <c r="C2781" s="227"/>
      <c r="D2781" s="227"/>
      <c r="E2781" s="227"/>
      <c r="F2781" s="227"/>
      <c r="G2781" s="227"/>
      <c r="H2781" s="227"/>
      <c r="I2781" s="229"/>
    </row>
    <row r="2782" spans="1:9" s="212" customFormat="1">
      <c r="A2782" s="658"/>
      <c r="B2782" s="227"/>
      <c r="C2782" s="227"/>
      <c r="D2782" s="227"/>
      <c r="E2782" s="227"/>
      <c r="F2782" s="227"/>
      <c r="G2782" s="227"/>
    </row>
    <row r="2783" spans="1:9" s="212" customFormat="1">
      <c r="A2783" s="69"/>
      <c r="B2783" s="69"/>
      <c r="C2783" s="69"/>
      <c r="D2783" s="69"/>
      <c r="E2783" s="69"/>
    </row>
    <row r="2784" spans="1:9" s="212" customFormat="1">
      <c r="A2784" s="120"/>
      <c r="B2784" s="73"/>
      <c r="C2784" s="73"/>
      <c r="D2784" s="73"/>
      <c r="E2784" s="73"/>
      <c r="F2784" s="73"/>
      <c r="G2784" s="73"/>
      <c r="H2784" s="73"/>
    </row>
    <row r="2785" spans="1:8" s="212" customFormat="1">
      <c r="A2785" s="220"/>
      <c r="B2785" s="141"/>
      <c r="C2785" s="141"/>
      <c r="D2785" s="141"/>
      <c r="E2785" s="141"/>
      <c r="F2785" s="141"/>
      <c r="G2785" s="141"/>
      <c r="H2785" s="73"/>
    </row>
    <row r="2786" spans="1:8" s="212" customFormat="1">
      <c r="A2786" s="150"/>
      <c r="B2786" s="83"/>
      <c r="C2786" s="148"/>
      <c r="D2786" s="84"/>
      <c r="E2786" s="84"/>
      <c r="F2786" s="84"/>
      <c r="G2786" s="146"/>
      <c r="H2786" s="221"/>
    </row>
    <row r="2787" spans="1:8" s="212" customFormat="1">
      <c r="A2787" s="84"/>
      <c r="B2787" s="83"/>
      <c r="C2787" s="84"/>
      <c r="D2787" s="84"/>
      <c r="E2787" s="84"/>
      <c r="G2787" s="213"/>
      <c r="H2787" s="222"/>
    </row>
    <row r="2788" spans="1:8" s="212" customFormat="1">
      <c r="A2788" s="120"/>
      <c r="B2788" s="73"/>
      <c r="C2788" s="73"/>
      <c r="D2788" s="73"/>
      <c r="E2788" s="73"/>
      <c r="G2788" s="73"/>
      <c r="H2788" s="222"/>
    </row>
    <row r="2789" spans="1:8" s="212" customFormat="1">
      <c r="A2789" s="220"/>
      <c r="B2789" s="141"/>
      <c r="C2789" s="141"/>
      <c r="D2789" s="141"/>
      <c r="E2789" s="141"/>
      <c r="F2789" s="141"/>
      <c r="G2789" s="141"/>
      <c r="H2789" s="222"/>
    </row>
    <row r="2790" spans="1:8" s="212" customFormat="1">
      <c r="A2790" s="150"/>
      <c r="B2790" s="83"/>
      <c r="C2790" s="148"/>
      <c r="D2790" s="165"/>
      <c r="E2790" s="84"/>
      <c r="F2790" s="84"/>
      <c r="G2790" s="146"/>
      <c r="H2790" s="221"/>
    </row>
    <row r="2791" spans="1:8" s="212" customFormat="1">
      <c r="A2791" s="91"/>
      <c r="B2791" s="91"/>
      <c r="C2791" s="91"/>
      <c r="D2791" s="91"/>
      <c r="E2791" s="91"/>
      <c r="G2791" s="213"/>
      <c r="H2791" s="222"/>
    </row>
    <row r="2792" spans="1:8" s="212" customFormat="1">
      <c r="A2792" s="120"/>
      <c r="B2792" s="73"/>
      <c r="C2792" s="73"/>
      <c r="D2792" s="73"/>
      <c r="E2792" s="73"/>
      <c r="G2792" s="73"/>
      <c r="H2792" s="222"/>
    </row>
    <row r="2793" spans="1:8" s="212" customFormat="1">
      <c r="A2793" s="220"/>
      <c r="B2793" s="141"/>
      <c r="C2793" s="141"/>
      <c r="D2793" s="141"/>
      <c r="E2793" s="141"/>
      <c r="F2793" s="141"/>
      <c r="G2793" s="141"/>
      <c r="H2793" s="222"/>
    </row>
    <row r="2794" spans="1:8" s="212" customFormat="1">
      <c r="A2794" s="150"/>
      <c r="B2794" s="84"/>
      <c r="C2794" s="148"/>
      <c r="D2794" s="84"/>
      <c r="E2794" s="84"/>
      <c r="F2794" s="84"/>
      <c r="G2794" s="146"/>
      <c r="H2794" s="221"/>
    </row>
    <row r="2795" spans="1:8" s="212" customFormat="1">
      <c r="A2795" s="91"/>
      <c r="B2795" s="91"/>
      <c r="C2795" s="91"/>
      <c r="D2795" s="91"/>
      <c r="E2795" s="91"/>
      <c r="G2795" s="213"/>
      <c r="H2795" s="222"/>
    </row>
    <row r="2796" spans="1:8" s="212" customFormat="1">
      <c r="A2796" s="120"/>
      <c r="B2796" s="73"/>
      <c r="C2796" s="73"/>
      <c r="D2796" s="73"/>
      <c r="E2796" s="73"/>
      <c r="G2796" s="73"/>
      <c r="H2796" s="222"/>
    </row>
    <row r="2797" spans="1:8" s="212" customFormat="1">
      <c r="A2797" s="220"/>
      <c r="B2797" s="141"/>
      <c r="C2797" s="141"/>
      <c r="D2797" s="141"/>
      <c r="E2797" s="141"/>
      <c r="F2797" s="141"/>
      <c r="G2797" s="141"/>
      <c r="H2797" s="222"/>
    </row>
    <row r="2798" spans="1:8" s="212" customFormat="1">
      <c r="A2798" s="142"/>
      <c r="B2798" s="143"/>
      <c r="C2798" s="143"/>
      <c r="D2798" s="143"/>
      <c r="E2798" s="143"/>
      <c r="F2798" s="84"/>
      <c r="G2798" s="146"/>
      <c r="H2798" s="221"/>
    </row>
    <row r="2799" spans="1:8" s="212" customFormat="1">
      <c r="A2799" s="123"/>
      <c r="B2799" s="95"/>
      <c r="C2799" s="95"/>
      <c r="D2799" s="95"/>
      <c r="E2799" s="95"/>
      <c r="G2799" s="213"/>
      <c r="H2799" s="73"/>
    </row>
    <row r="2800" spans="1:8" s="212" customFormat="1">
      <c r="A2800" s="123"/>
      <c r="B2800" s="95"/>
      <c r="C2800" s="95"/>
      <c r="D2800" s="95"/>
      <c r="E2800" s="95"/>
      <c r="G2800" s="73"/>
      <c r="H2800" s="225"/>
    </row>
    <row r="2801" spans="1:9" s="212" customFormat="1">
      <c r="B2801" s="97"/>
      <c r="C2801" s="98"/>
      <c r="D2801" s="98"/>
      <c r="E2801" s="98"/>
      <c r="G2801" s="220"/>
    </row>
    <row r="2802" spans="1:9" s="212" customFormat="1">
      <c r="B2802" s="97"/>
      <c r="C2802" s="98"/>
      <c r="D2802" s="98"/>
      <c r="E2802" s="98"/>
      <c r="F2802" s="220"/>
      <c r="G2802" s="225"/>
      <c r="H2802" s="226"/>
    </row>
    <row r="2803" spans="1:9" s="212" customFormat="1">
      <c r="A2803" s="633"/>
      <c r="B2803" s="633"/>
      <c r="C2803" s="633"/>
      <c r="D2803" s="633"/>
      <c r="E2803" s="633"/>
      <c r="F2803" s="633"/>
      <c r="G2803" s="633"/>
    </row>
    <row r="2804" spans="1:9" s="212" customFormat="1">
      <c r="H2804" s="227"/>
      <c r="I2804" s="228"/>
    </row>
    <row r="2805" spans="1:9" s="212" customFormat="1">
      <c r="A2805" s="658"/>
      <c r="B2805" s="227"/>
      <c r="C2805" s="227"/>
      <c r="D2805" s="227"/>
      <c r="E2805" s="227"/>
      <c r="F2805" s="227"/>
      <c r="G2805" s="227"/>
      <c r="H2805" s="227"/>
      <c r="I2805" s="229"/>
    </row>
    <row r="2806" spans="1:9" s="212" customFormat="1">
      <c r="A2806" s="658"/>
      <c r="B2806" s="227"/>
      <c r="C2806" s="227"/>
      <c r="D2806" s="227"/>
      <c r="E2806" s="227"/>
      <c r="F2806" s="227"/>
      <c r="G2806" s="227"/>
    </row>
    <row r="2807" spans="1:9" s="212" customFormat="1">
      <c r="A2807" s="69"/>
      <c r="B2807" s="69"/>
      <c r="C2807" s="69"/>
      <c r="D2807" s="69"/>
      <c r="E2807" s="69"/>
    </row>
    <row r="2808" spans="1:9" s="212" customFormat="1">
      <c r="A2808" s="120"/>
      <c r="B2808" s="73"/>
      <c r="C2808" s="73"/>
      <c r="D2808" s="73"/>
      <c r="E2808" s="73"/>
      <c r="F2808" s="73"/>
      <c r="G2808" s="73"/>
      <c r="H2808" s="73"/>
    </row>
    <row r="2809" spans="1:9" s="212" customFormat="1">
      <c r="A2809" s="220"/>
      <c r="B2809" s="141"/>
      <c r="C2809" s="141"/>
      <c r="D2809" s="141"/>
      <c r="E2809" s="141"/>
      <c r="F2809" s="141"/>
      <c r="G2809" s="141"/>
      <c r="H2809" s="73"/>
    </row>
    <row r="2810" spans="1:9" s="212" customFormat="1">
      <c r="A2810" s="150"/>
      <c r="B2810" s="83"/>
      <c r="C2810" s="148"/>
      <c r="D2810" s="84"/>
      <c r="E2810" s="84"/>
      <c r="F2810" s="84"/>
      <c r="G2810" s="146"/>
      <c r="H2810" s="73"/>
    </row>
    <row r="2811" spans="1:9" s="212" customFormat="1">
      <c r="A2811" s="150"/>
      <c r="B2811" s="83"/>
      <c r="C2811" s="148"/>
      <c r="D2811" s="84"/>
      <c r="E2811" s="84"/>
      <c r="F2811" s="84"/>
      <c r="G2811" s="146"/>
      <c r="H2811" s="221"/>
    </row>
    <row r="2812" spans="1:9" s="212" customFormat="1">
      <c r="A2812" s="84"/>
      <c r="B2812" s="83"/>
      <c r="C2812" s="84"/>
      <c r="D2812" s="84"/>
      <c r="E2812" s="84"/>
      <c r="G2812" s="213"/>
      <c r="H2812" s="222"/>
    </row>
    <row r="2813" spans="1:9" s="212" customFormat="1">
      <c r="A2813" s="120"/>
      <c r="B2813" s="73"/>
      <c r="C2813" s="73"/>
      <c r="D2813" s="73"/>
      <c r="E2813" s="73"/>
      <c r="G2813" s="73"/>
      <c r="H2813" s="222"/>
    </row>
    <row r="2814" spans="1:9" s="212" customFormat="1">
      <c r="A2814" s="220"/>
      <c r="B2814" s="141"/>
      <c r="C2814" s="141"/>
      <c r="D2814" s="141"/>
      <c r="E2814" s="141"/>
      <c r="F2814" s="141"/>
      <c r="G2814" s="141"/>
      <c r="H2814" s="222"/>
    </row>
    <row r="2815" spans="1:9" s="212" customFormat="1" ht="16.5">
      <c r="A2815" s="150"/>
      <c r="B2815" s="161"/>
      <c r="C2815" s="148"/>
      <c r="D2815" s="165"/>
      <c r="E2815" s="84"/>
      <c r="F2815" s="84"/>
      <c r="G2815" s="146"/>
      <c r="H2815" s="221"/>
    </row>
    <row r="2816" spans="1:9" s="212" customFormat="1">
      <c r="A2816" s="91"/>
      <c r="B2816" s="91"/>
      <c r="C2816" s="91"/>
      <c r="D2816" s="91"/>
      <c r="E2816" s="91"/>
      <c r="G2816" s="213"/>
      <c r="H2816" s="222"/>
    </row>
    <row r="2817" spans="1:9" s="212" customFormat="1">
      <c r="A2817" s="120"/>
      <c r="B2817" s="73"/>
      <c r="C2817" s="73"/>
      <c r="D2817" s="73"/>
      <c r="E2817" s="73"/>
      <c r="G2817" s="73"/>
      <c r="H2817" s="222"/>
    </row>
    <row r="2818" spans="1:9" s="212" customFormat="1">
      <c r="A2818" s="220"/>
      <c r="B2818" s="141"/>
      <c r="C2818" s="141"/>
      <c r="D2818" s="141"/>
      <c r="E2818" s="141"/>
      <c r="F2818" s="141"/>
      <c r="G2818" s="141"/>
      <c r="H2818" s="222"/>
    </row>
    <row r="2819" spans="1:9" s="212" customFormat="1">
      <c r="A2819" s="150"/>
      <c r="B2819" s="84"/>
      <c r="C2819" s="148"/>
      <c r="D2819" s="84"/>
      <c r="E2819" s="84"/>
      <c r="F2819" s="84"/>
      <c r="G2819" s="146"/>
      <c r="H2819" s="221"/>
    </row>
    <row r="2820" spans="1:9" s="212" customFormat="1">
      <c r="A2820" s="91"/>
      <c r="B2820" s="91"/>
      <c r="C2820" s="91"/>
      <c r="D2820" s="91"/>
      <c r="E2820" s="91"/>
      <c r="G2820" s="213"/>
      <c r="H2820" s="222"/>
    </row>
    <row r="2821" spans="1:9" s="212" customFormat="1">
      <c r="A2821" s="120"/>
      <c r="B2821" s="73"/>
      <c r="C2821" s="73"/>
      <c r="D2821" s="73"/>
      <c r="E2821" s="73"/>
      <c r="G2821" s="73"/>
      <c r="H2821" s="222"/>
    </row>
    <row r="2822" spans="1:9" s="212" customFormat="1">
      <c r="A2822" s="220"/>
      <c r="B2822" s="141"/>
      <c r="C2822" s="141"/>
      <c r="D2822" s="141"/>
      <c r="E2822" s="141"/>
      <c r="F2822" s="141"/>
      <c r="G2822" s="141"/>
      <c r="H2822" s="222"/>
    </row>
    <row r="2823" spans="1:9" s="212" customFormat="1">
      <c r="A2823" s="142"/>
      <c r="B2823" s="143"/>
      <c r="C2823" s="143"/>
      <c r="D2823" s="143"/>
      <c r="E2823" s="143"/>
      <c r="F2823" s="84"/>
      <c r="G2823" s="146"/>
      <c r="H2823" s="221"/>
    </row>
    <row r="2824" spans="1:9" s="212" customFormat="1">
      <c r="A2824" s="123"/>
      <c r="B2824" s="95"/>
      <c r="C2824" s="95"/>
      <c r="D2824" s="95"/>
      <c r="E2824" s="95"/>
      <c r="G2824" s="213"/>
      <c r="H2824" s="73"/>
    </row>
    <row r="2825" spans="1:9" s="212" customFormat="1">
      <c r="A2825" s="123"/>
      <c r="B2825" s="95"/>
      <c r="C2825" s="95"/>
      <c r="D2825" s="95"/>
      <c r="E2825" s="95"/>
      <c r="G2825" s="73"/>
      <c r="H2825" s="225"/>
    </row>
    <row r="2826" spans="1:9" s="212" customFormat="1">
      <c r="B2826" s="97"/>
      <c r="C2826" s="98"/>
      <c r="D2826" s="98"/>
      <c r="E2826" s="98"/>
      <c r="G2826" s="220"/>
    </row>
    <row r="2827" spans="1:9" s="212" customFormat="1">
      <c r="B2827" s="97"/>
      <c r="C2827" s="98"/>
      <c r="D2827" s="98"/>
      <c r="E2827" s="98"/>
      <c r="F2827" s="220"/>
      <c r="G2827" s="225"/>
      <c r="H2827" s="226"/>
    </row>
    <row r="2828" spans="1:9" s="212" customFormat="1">
      <c r="A2828" s="633"/>
      <c r="B2828" s="633"/>
      <c r="C2828" s="633"/>
      <c r="D2828" s="633"/>
      <c r="E2828" s="633"/>
      <c r="F2828" s="633"/>
      <c r="G2828" s="633"/>
    </row>
    <row r="2829" spans="1:9" s="212" customFormat="1">
      <c r="H2829" s="227"/>
      <c r="I2829" s="228"/>
    </row>
    <row r="2830" spans="1:9" s="212" customFormat="1">
      <c r="A2830" s="658"/>
      <c r="B2830" s="227"/>
      <c r="C2830" s="227"/>
      <c r="D2830" s="227"/>
      <c r="E2830" s="227"/>
      <c r="F2830" s="227"/>
      <c r="G2830" s="227"/>
      <c r="H2830" s="227"/>
      <c r="I2830" s="229"/>
    </row>
    <row r="2831" spans="1:9" s="212" customFormat="1">
      <c r="A2831" s="658"/>
      <c r="B2831" s="227"/>
      <c r="C2831" s="227"/>
      <c r="D2831" s="227"/>
      <c r="E2831" s="227"/>
      <c r="F2831" s="227"/>
      <c r="G2831" s="227"/>
    </row>
    <row r="2832" spans="1:9" s="212" customFormat="1">
      <c r="A2832" s="69"/>
      <c r="B2832" s="69"/>
      <c r="C2832" s="69"/>
      <c r="D2832" s="69"/>
      <c r="E2832" s="69"/>
    </row>
    <row r="2833" spans="1:8" s="212" customFormat="1">
      <c r="A2833" s="120"/>
      <c r="B2833" s="73"/>
      <c r="C2833" s="73"/>
      <c r="D2833" s="73"/>
      <c r="E2833" s="73"/>
      <c r="F2833" s="73"/>
      <c r="G2833" s="73"/>
      <c r="H2833" s="73"/>
    </row>
    <row r="2834" spans="1:8" s="212" customFormat="1">
      <c r="A2834" s="220"/>
      <c r="B2834" s="141"/>
      <c r="C2834" s="141"/>
      <c r="D2834" s="141"/>
      <c r="E2834" s="141"/>
      <c r="F2834" s="141"/>
      <c r="G2834" s="141"/>
      <c r="H2834" s="73"/>
    </row>
    <row r="2835" spans="1:8" s="212" customFormat="1">
      <c r="A2835" s="150"/>
      <c r="B2835" s="84"/>
      <c r="C2835" s="148"/>
      <c r="D2835" s="84"/>
      <c r="E2835" s="84"/>
      <c r="F2835" s="84"/>
      <c r="G2835" s="146"/>
      <c r="H2835" s="221"/>
    </row>
    <row r="2836" spans="1:8" s="212" customFormat="1">
      <c r="A2836" s="84"/>
      <c r="B2836" s="83"/>
      <c r="C2836" s="84"/>
      <c r="D2836" s="84"/>
      <c r="E2836" s="84"/>
      <c r="G2836" s="213"/>
      <c r="H2836" s="222"/>
    </row>
    <row r="2837" spans="1:8" s="212" customFormat="1">
      <c r="A2837" s="120"/>
      <c r="B2837" s="73"/>
      <c r="C2837" s="73"/>
      <c r="D2837" s="73"/>
      <c r="E2837" s="73"/>
      <c r="G2837" s="73"/>
      <c r="H2837" s="222"/>
    </row>
    <row r="2838" spans="1:8" s="212" customFormat="1">
      <c r="A2838" s="220"/>
      <c r="B2838" s="141"/>
      <c r="C2838" s="141"/>
      <c r="D2838" s="141"/>
      <c r="E2838" s="141"/>
      <c r="F2838" s="141"/>
      <c r="G2838" s="141"/>
      <c r="H2838" s="222"/>
    </row>
    <row r="2839" spans="1:8" s="212" customFormat="1" ht="16.5">
      <c r="A2839" s="150"/>
      <c r="B2839" s="161"/>
      <c r="C2839" s="148"/>
      <c r="D2839" s="84"/>
      <c r="E2839" s="84"/>
      <c r="F2839" s="84"/>
      <c r="G2839" s="224"/>
      <c r="H2839" s="222"/>
    </row>
    <row r="2840" spans="1:8" s="212" customFormat="1" ht="16.5">
      <c r="A2840" s="150"/>
      <c r="B2840" s="161"/>
      <c r="C2840" s="148"/>
      <c r="D2840" s="84"/>
      <c r="E2840" s="84"/>
      <c r="F2840" s="84"/>
      <c r="G2840" s="224"/>
      <c r="H2840" s="222"/>
    </row>
    <row r="2841" spans="1:8" s="212" customFormat="1" ht="16.5">
      <c r="A2841" s="150"/>
      <c r="B2841" s="161"/>
      <c r="C2841" s="148"/>
      <c r="D2841" s="84"/>
      <c r="E2841" s="84"/>
      <c r="F2841" s="84"/>
      <c r="G2841" s="224"/>
      <c r="H2841" s="221"/>
    </row>
    <row r="2842" spans="1:8" s="212" customFormat="1">
      <c r="A2842" s="91"/>
      <c r="B2842" s="91"/>
      <c r="C2842" s="91"/>
      <c r="D2842" s="91"/>
      <c r="E2842" s="91"/>
      <c r="G2842" s="213"/>
      <c r="H2842" s="222"/>
    </row>
    <row r="2843" spans="1:8" s="212" customFormat="1">
      <c r="A2843" s="120"/>
      <c r="B2843" s="73"/>
      <c r="C2843" s="73"/>
      <c r="D2843" s="73"/>
      <c r="E2843" s="73"/>
      <c r="G2843" s="73"/>
      <c r="H2843" s="222"/>
    </row>
    <row r="2844" spans="1:8" s="212" customFormat="1">
      <c r="A2844" s="220"/>
      <c r="B2844" s="141"/>
      <c r="C2844" s="141"/>
      <c r="D2844" s="141"/>
      <c r="E2844" s="141"/>
      <c r="F2844" s="141"/>
      <c r="G2844" s="141"/>
      <c r="H2844" s="222"/>
    </row>
    <row r="2845" spans="1:8" s="212" customFormat="1">
      <c r="A2845" s="146"/>
      <c r="B2845" s="83"/>
      <c r="C2845" s="148"/>
      <c r="D2845" s="84"/>
      <c r="E2845" s="84"/>
      <c r="F2845" s="84"/>
      <c r="G2845" s="146"/>
      <c r="H2845" s="221"/>
    </row>
    <row r="2846" spans="1:8" s="212" customFormat="1">
      <c r="A2846" s="91"/>
      <c r="B2846" s="91"/>
      <c r="C2846" s="91"/>
      <c r="D2846" s="91"/>
      <c r="E2846" s="91"/>
      <c r="G2846" s="213"/>
      <c r="H2846" s="222"/>
    </row>
    <row r="2847" spans="1:8" s="212" customFormat="1">
      <c r="A2847" s="120"/>
      <c r="B2847" s="73"/>
      <c r="C2847" s="73"/>
      <c r="D2847" s="73"/>
      <c r="E2847" s="73"/>
      <c r="G2847" s="73"/>
      <c r="H2847" s="222"/>
    </row>
    <row r="2848" spans="1:8" s="212" customFormat="1">
      <c r="A2848" s="220"/>
      <c r="B2848" s="141"/>
      <c r="C2848" s="141"/>
      <c r="D2848" s="141"/>
      <c r="E2848" s="141"/>
      <c r="F2848" s="141"/>
      <c r="G2848" s="141"/>
      <c r="H2848" s="222"/>
    </row>
    <row r="2849" spans="1:9" s="212" customFormat="1">
      <c r="A2849" s="142"/>
      <c r="B2849" s="143"/>
      <c r="C2849" s="143"/>
      <c r="D2849" s="143"/>
      <c r="E2849" s="143"/>
      <c r="F2849" s="84"/>
      <c r="G2849" s="146"/>
      <c r="H2849" s="221"/>
    </row>
    <row r="2850" spans="1:9" s="212" customFormat="1">
      <c r="A2850" s="123"/>
      <c r="B2850" s="95"/>
      <c r="C2850" s="95"/>
      <c r="D2850" s="95"/>
      <c r="E2850" s="95"/>
      <c r="G2850" s="213"/>
      <c r="H2850" s="73"/>
    </row>
    <row r="2851" spans="1:9" s="212" customFormat="1">
      <c r="A2851" s="123"/>
      <c r="B2851" s="95"/>
      <c r="C2851" s="95"/>
      <c r="D2851" s="95"/>
      <c r="E2851" s="95"/>
      <c r="G2851" s="73"/>
      <c r="H2851" s="225"/>
    </row>
    <row r="2852" spans="1:9" s="212" customFormat="1">
      <c r="B2852" s="97"/>
      <c r="C2852" s="98"/>
      <c r="D2852" s="98"/>
      <c r="E2852" s="98"/>
      <c r="G2852" s="220"/>
    </row>
    <row r="2853" spans="1:9" s="212" customFormat="1">
      <c r="B2853" s="97"/>
      <c r="C2853" s="98"/>
      <c r="D2853" s="98"/>
      <c r="E2853" s="98"/>
      <c r="F2853" s="220"/>
      <c r="G2853" s="225"/>
      <c r="H2853" s="226"/>
    </row>
    <row r="2854" spans="1:9" s="212" customFormat="1">
      <c r="A2854" s="633"/>
      <c r="B2854" s="633"/>
      <c r="C2854" s="633"/>
      <c r="D2854" s="633"/>
      <c r="E2854" s="633"/>
      <c r="F2854" s="633"/>
      <c r="G2854" s="633"/>
    </row>
    <row r="2855" spans="1:9" s="212" customFormat="1">
      <c r="H2855" s="227"/>
      <c r="I2855" s="228"/>
    </row>
    <row r="2856" spans="1:9" s="212" customFormat="1">
      <c r="A2856" s="658"/>
      <c r="B2856" s="227"/>
      <c r="C2856" s="227"/>
      <c r="D2856" s="227"/>
      <c r="E2856" s="227"/>
      <c r="F2856" s="227"/>
      <c r="G2856" s="227"/>
      <c r="H2856" s="227"/>
      <c r="I2856" s="229"/>
    </row>
    <row r="2857" spans="1:9" s="212" customFormat="1">
      <c r="A2857" s="658"/>
      <c r="B2857" s="227"/>
      <c r="C2857" s="227"/>
      <c r="D2857" s="227"/>
      <c r="E2857" s="227"/>
      <c r="F2857" s="227"/>
      <c r="G2857" s="227"/>
    </row>
    <row r="2858" spans="1:9" s="212" customFormat="1">
      <c r="A2858" s="69"/>
      <c r="B2858" s="69"/>
      <c r="C2858" s="69"/>
      <c r="D2858" s="69"/>
      <c r="E2858" s="69"/>
    </row>
    <row r="2859" spans="1:9" s="212" customFormat="1">
      <c r="A2859" s="120"/>
      <c r="B2859" s="73"/>
      <c r="C2859" s="73"/>
      <c r="D2859" s="73"/>
      <c r="E2859" s="73"/>
      <c r="F2859" s="73"/>
      <c r="G2859" s="73"/>
      <c r="H2859" s="73"/>
    </row>
    <row r="2860" spans="1:9" s="212" customFormat="1">
      <c r="A2860" s="220"/>
      <c r="B2860" s="141"/>
      <c r="C2860" s="141"/>
      <c r="D2860" s="141"/>
      <c r="E2860" s="141"/>
      <c r="F2860" s="141"/>
      <c r="G2860" s="141"/>
      <c r="H2860" s="73"/>
    </row>
    <row r="2861" spans="1:9" s="212" customFormat="1">
      <c r="A2861" s="150"/>
      <c r="B2861" s="84"/>
      <c r="C2861" s="148"/>
      <c r="D2861" s="84"/>
      <c r="E2861" s="84"/>
      <c r="F2861" s="84"/>
      <c r="G2861" s="146"/>
      <c r="H2861" s="221"/>
    </row>
    <row r="2862" spans="1:9" s="212" customFormat="1">
      <c r="A2862" s="84"/>
      <c r="B2862" s="83"/>
      <c r="C2862" s="84"/>
      <c r="D2862" s="84"/>
      <c r="E2862" s="84"/>
      <c r="G2862" s="213"/>
      <c r="H2862" s="222"/>
    </row>
    <row r="2863" spans="1:9" s="212" customFormat="1">
      <c r="A2863" s="120"/>
      <c r="B2863" s="73"/>
      <c r="C2863" s="73"/>
      <c r="D2863" s="73"/>
      <c r="E2863" s="73"/>
      <c r="G2863" s="73"/>
      <c r="H2863" s="222"/>
    </row>
    <row r="2864" spans="1:9" s="212" customFormat="1">
      <c r="A2864" s="220"/>
      <c r="B2864" s="141"/>
      <c r="C2864" s="141"/>
      <c r="D2864" s="141"/>
      <c r="E2864" s="141"/>
      <c r="F2864" s="141"/>
      <c r="G2864" s="141"/>
      <c r="H2864" s="222"/>
    </row>
    <row r="2865" spans="1:8" s="212" customFormat="1" ht="16.5">
      <c r="A2865" s="150"/>
      <c r="B2865" s="161"/>
      <c r="C2865" s="148"/>
      <c r="D2865" s="84"/>
      <c r="E2865" s="84"/>
      <c r="F2865" s="84"/>
      <c r="G2865" s="224"/>
      <c r="H2865" s="222"/>
    </row>
    <row r="2866" spans="1:8" s="212" customFormat="1" ht="16.5">
      <c r="A2866" s="150"/>
      <c r="B2866" s="161"/>
      <c r="C2866" s="148"/>
      <c r="D2866" s="84"/>
      <c r="E2866" s="84"/>
      <c r="F2866" s="84"/>
      <c r="G2866" s="224"/>
      <c r="H2866" s="222"/>
    </row>
    <row r="2867" spans="1:8" s="212" customFormat="1" ht="16.5">
      <c r="A2867" s="150"/>
      <c r="B2867" s="161"/>
      <c r="C2867" s="148"/>
      <c r="D2867" s="84"/>
      <c r="E2867" s="84"/>
      <c r="F2867" s="84"/>
      <c r="G2867" s="224"/>
      <c r="H2867" s="221"/>
    </row>
    <row r="2868" spans="1:8" s="212" customFormat="1">
      <c r="A2868" s="91"/>
      <c r="B2868" s="91"/>
      <c r="C2868" s="91"/>
      <c r="D2868" s="91"/>
      <c r="E2868" s="91"/>
      <c r="G2868" s="213"/>
      <c r="H2868" s="222"/>
    </row>
    <row r="2869" spans="1:8" s="212" customFormat="1">
      <c r="A2869" s="120"/>
      <c r="B2869" s="73"/>
      <c r="C2869" s="73"/>
      <c r="D2869" s="73"/>
      <c r="E2869" s="73"/>
      <c r="G2869" s="73"/>
      <c r="H2869" s="222"/>
    </row>
    <row r="2870" spans="1:8" s="212" customFormat="1">
      <c r="A2870" s="220"/>
      <c r="B2870" s="141"/>
      <c r="C2870" s="141"/>
      <c r="D2870" s="141"/>
      <c r="E2870" s="141"/>
      <c r="F2870" s="141"/>
      <c r="G2870" s="141"/>
      <c r="H2870" s="222"/>
    </row>
    <row r="2871" spans="1:8" s="212" customFormat="1">
      <c r="A2871" s="146"/>
      <c r="B2871" s="83"/>
      <c r="C2871" s="148"/>
      <c r="D2871" s="84"/>
      <c r="E2871" s="84"/>
      <c r="F2871" s="84"/>
      <c r="G2871" s="146"/>
      <c r="H2871" s="221"/>
    </row>
    <row r="2872" spans="1:8" s="212" customFormat="1">
      <c r="A2872" s="91"/>
      <c r="B2872" s="91"/>
      <c r="C2872" s="91"/>
      <c r="D2872" s="91"/>
      <c r="E2872" s="91"/>
      <c r="G2872" s="213"/>
      <c r="H2872" s="222"/>
    </row>
    <row r="2873" spans="1:8" s="212" customFormat="1">
      <c r="A2873" s="120"/>
      <c r="B2873" s="73"/>
      <c r="C2873" s="73"/>
      <c r="D2873" s="73"/>
      <c r="E2873" s="73"/>
      <c r="G2873" s="73"/>
      <c r="H2873" s="222"/>
    </row>
    <row r="2874" spans="1:8" s="212" customFormat="1">
      <c r="A2874" s="220"/>
      <c r="B2874" s="141"/>
      <c r="C2874" s="141"/>
      <c r="D2874" s="141"/>
      <c r="E2874" s="141"/>
      <c r="F2874" s="141"/>
      <c r="G2874" s="141"/>
      <c r="H2874" s="222"/>
    </row>
    <row r="2875" spans="1:8" s="212" customFormat="1">
      <c r="A2875" s="142"/>
      <c r="B2875" s="143"/>
      <c r="C2875" s="143"/>
      <c r="D2875" s="143"/>
      <c r="E2875" s="143"/>
      <c r="F2875" s="84"/>
      <c r="G2875" s="146"/>
      <c r="H2875" s="221"/>
    </row>
    <row r="2876" spans="1:8" s="212" customFormat="1">
      <c r="A2876" s="123"/>
      <c r="B2876" s="95"/>
      <c r="C2876" s="95"/>
      <c r="D2876" s="95"/>
      <c r="E2876" s="95"/>
      <c r="G2876" s="213"/>
      <c r="H2876" s="73"/>
    </row>
    <row r="2877" spans="1:8" s="212" customFormat="1">
      <c r="A2877" s="123"/>
      <c r="B2877" s="95"/>
      <c r="C2877" s="95"/>
      <c r="D2877" s="95"/>
      <c r="E2877" s="95"/>
      <c r="G2877" s="73"/>
      <c r="H2877" s="225"/>
    </row>
    <row r="2878" spans="1:8" s="212" customFormat="1">
      <c r="B2878" s="97"/>
      <c r="C2878" s="98"/>
      <c r="D2878" s="98"/>
      <c r="E2878" s="98"/>
      <c r="G2878" s="220"/>
    </row>
    <row r="2879" spans="1:8" s="212" customFormat="1">
      <c r="B2879" s="97"/>
      <c r="C2879" s="98"/>
      <c r="D2879" s="98"/>
      <c r="E2879" s="98"/>
      <c r="F2879" s="220"/>
      <c r="G2879" s="225"/>
      <c r="H2879" s="226"/>
    </row>
    <row r="2880" spans="1:8" s="212" customFormat="1">
      <c r="A2880" s="633"/>
      <c r="B2880" s="633"/>
      <c r="C2880" s="633"/>
      <c r="D2880" s="633"/>
      <c r="E2880" s="633"/>
      <c r="F2880" s="633"/>
      <c r="G2880" s="633"/>
    </row>
    <row r="2881" spans="1:9" s="212" customFormat="1">
      <c r="H2881" s="227"/>
      <c r="I2881" s="228"/>
    </row>
    <row r="2882" spans="1:9" s="212" customFormat="1">
      <c r="A2882" s="658"/>
      <c r="B2882" s="227"/>
      <c r="C2882" s="227"/>
      <c r="D2882" s="227"/>
      <c r="E2882" s="227"/>
      <c r="F2882" s="227"/>
      <c r="G2882" s="227"/>
      <c r="H2882" s="227"/>
      <c r="I2882" s="229"/>
    </row>
    <row r="2883" spans="1:9" s="212" customFormat="1">
      <c r="A2883" s="658"/>
      <c r="B2883" s="227"/>
      <c r="C2883" s="227"/>
      <c r="D2883" s="227"/>
      <c r="E2883" s="227"/>
      <c r="F2883" s="227"/>
      <c r="G2883" s="227"/>
    </row>
    <row r="2884" spans="1:9" s="212" customFormat="1">
      <c r="A2884" s="69"/>
      <c r="B2884" s="69"/>
      <c r="C2884" s="69"/>
      <c r="D2884" s="69"/>
      <c r="E2884" s="69"/>
    </row>
    <row r="2885" spans="1:9" s="212" customFormat="1">
      <c r="A2885" s="120"/>
      <c r="B2885" s="73"/>
      <c r="C2885" s="73"/>
      <c r="D2885" s="73"/>
      <c r="E2885" s="73"/>
      <c r="F2885" s="73"/>
      <c r="G2885" s="73"/>
      <c r="H2885" s="73"/>
    </row>
    <row r="2886" spans="1:9" s="212" customFormat="1">
      <c r="A2886" s="220"/>
      <c r="B2886" s="141"/>
      <c r="C2886" s="141"/>
      <c r="D2886" s="141"/>
      <c r="E2886" s="141"/>
      <c r="F2886" s="141"/>
      <c r="G2886" s="141"/>
      <c r="H2886" s="73"/>
    </row>
    <row r="2887" spans="1:9" s="212" customFormat="1" ht="16.5">
      <c r="A2887" s="150"/>
      <c r="B2887" s="161"/>
      <c r="C2887" s="148"/>
      <c r="D2887" s="84"/>
      <c r="E2887" s="84"/>
      <c r="F2887" s="84"/>
      <c r="G2887" s="224"/>
      <c r="H2887" s="73"/>
    </row>
    <row r="2888" spans="1:9" s="212" customFormat="1" ht="16.5">
      <c r="A2888" s="150"/>
      <c r="B2888" s="161"/>
      <c r="C2888" s="148"/>
      <c r="D2888" s="84"/>
      <c r="E2888" s="84"/>
      <c r="F2888" s="84"/>
      <c r="G2888" s="224"/>
      <c r="H2888" s="221"/>
    </row>
    <row r="2889" spans="1:9" s="212" customFormat="1">
      <c r="A2889" s="84"/>
      <c r="B2889" s="83"/>
      <c r="C2889" s="84"/>
      <c r="D2889" s="84"/>
      <c r="E2889" s="84"/>
      <c r="G2889" s="213"/>
      <c r="H2889" s="222"/>
    </row>
    <row r="2890" spans="1:9" s="212" customFormat="1">
      <c r="A2890" s="120"/>
      <c r="B2890" s="73"/>
      <c r="C2890" s="73"/>
      <c r="D2890" s="73"/>
      <c r="E2890" s="73"/>
      <c r="G2890" s="73"/>
      <c r="H2890" s="222"/>
    </row>
    <row r="2891" spans="1:9" s="212" customFormat="1">
      <c r="A2891" s="220"/>
      <c r="B2891" s="141"/>
      <c r="C2891" s="141"/>
      <c r="D2891" s="141"/>
      <c r="E2891" s="141"/>
      <c r="F2891" s="141"/>
      <c r="G2891" s="141"/>
      <c r="H2891" s="222"/>
    </row>
    <row r="2892" spans="1:9" s="212" customFormat="1" ht="16.5">
      <c r="A2892" s="150"/>
      <c r="B2892" s="161"/>
      <c r="C2892" s="148"/>
      <c r="D2892" s="84"/>
      <c r="E2892" s="84"/>
      <c r="F2892" s="84"/>
      <c r="G2892" s="224"/>
      <c r="H2892" s="222"/>
    </row>
    <row r="2893" spans="1:9" s="212" customFormat="1" ht="16.5">
      <c r="A2893" s="150"/>
      <c r="B2893" s="161"/>
      <c r="C2893" s="148"/>
      <c r="D2893" s="84"/>
      <c r="E2893" s="84"/>
      <c r="F2893" s="84"/>
      <c r="G2893" s="224"/>
      <c r="H2893" s="222"/>
    </row>
    <row r="2894" spans="1:9" s="212" customFormat="1" ht="16.5">
      <c r="A2894" s="150"/>
      <c r="B2894" s="161"/>
      <c r="C2894" s="148"/>
      <c r="D2894" s="84"/>
      <c r="E2894" s="84"/>
      <c r="F2894" s="84"/>
      <c r="G2894" s="224"/>
      <c r="H2894" s="222"/>
    </row>
    <row r="2895" spans="1:9" s="212" customFormat="1" ht="16.5">
      <c r="A2895" s="150"/>
      <c r="B2895" s="161"/>
      <c r="C2895" s="148"/>
      <c r="D2895" s="84"/>
      <c r="E2895" s="84"/>
      <c r="F2895" s="84"/>
      <c r="G2895" s="224"/>
      <c r="H2895" s="222"/>
    </row>
    <row r="2896" spans="1:9" s="212" customFormat="1" ht="16.5">
      <c r="A2896" s="150"/>
      <c r="B2896" s="161"/>
      <c r="C2896" s="148"/>
      <c r="D2896" s="84"/>
      <c r="E2896" s="84"/>
      <c r="F2896" s="84"/>
      <c r="G2896" s="224"/>
      <c r="H2896" s="222"/>
    </row>
    <row r="2897" spans="1:8" s="212" customFormat="1" ht="16.5">
      <c r="A2897" s="150"/>
      <c r="B2897" s="161"/>
      <c r="C2897" s="148"/>
      <c r="D2897" s="84"/>
      <c r="E2897" s="84"/>
      <c r="F2897" s="84"/>
      <c r="G2897" s="224"/>
      <c r="H2897" s="222"/>
    </row>
    <row r="2898" spans="1:8" s="212" customFormat="1" ht="16.5">
      <c r="A2898" s="150"/>
      <c r="B2898" s="161"/>
      <c r="C2898" s="148"/>
      <c r="D2898" s="84"/>
      <c r="E2898" s="84"/>
      <c r="F2898" s="84"/>
      <c r="G2898" s="224"/>
      <c r="H2898" s="221"/>
    </row>
    <row r="2899" spans="1:8" s="212" customFormat="1">
      <c r="A2899" s="91"/>
      <c r="B2899" s="91"/>
      <c r="C2899" s="91"/>
      <c r="D2899" s="91"/>
      <c r="E2899" s="91"/>
      <c r="G2899" s="213"/>
      <c r="H2899" s="222"/>
    </row>
    <row r="2900" spans="1:8" s="212" customFormat="1">
      <c r="A2900" s="120"/>
      <c r="B2900" s="73"/>
      <c r="C2900" s="73"/>
      <c r="D2900" s="73"/>
      <c r="E2900" s="73"/>
      <c r="G2900" s="73"/>
      <c r="H2900" s="222"/>
    </row>
    <row r="2901" spans="1:8" s="212" customFormat="1">
      <c r="A2901" s="220"/>
      <c r="B2901" s="141"/>
      <c r="C2901" s="141"/>
      <c r="D2901" s="141"/>
      <c r="E2901" s="141"/>
      <c r="F2901" s="141"/>
      <c r="G2901" s="141"/>
      <c r="H2901" s="222"/>
    </row>
    <row r="2902" spans="1:8" s="212" customFormat="1">
      <c r="A2902" s="146"/>
      <c r="B2902" s="83"/>
      <c r="C2902" s="148"/>
      <c r="D2902" s="84"/>
      <c r="E2902" s="84"/>
      <c r="F2902" s="84"/>
      <c r="G2902" s="146"/>
      <c r="H2902" s="222"/>
    </row>
    <row r="2903" spans="1:8" s="212" customFormat="1">
      <c r="A2903" s="146"/>
      <c r="B2903" s="83"/>
      <c r="C2903" s="148"/>
      <c r="D2903" s="84"/>
      <c r="E2903" s="84"/>
      <c r="F2903" s="84"/>
      <c r="G2903" s="146"/>
      <c r="H2903" s="221"/>
    </row>
    <row r="2904" spans="1:8" s="212" customFormat="1">
      <c r="A2904" s="91"/>
      <c r="B2904" s="91"/>
      <c r="C2904" s="91"/>
      <c r="D2904" s="91"/>
      <c r="E2904" s="91"/>
      <c r="G2904" s="213"/>
      <c r="H2904" s="222"/>
    </row>
    <row r="2905" spans="1:8" s="212" customFormat="1">
      <c r="A2905" s="120"/>
      <c r="B2905" s="73"/>
      <c r="C2905" s="73"/>
      <c r="D2905" s="73"/>
      <c r="E2905" s="73"/>
      <c r="G2905" s="73"/>
      <c r="H2905" s="222"/>
    </row>
    <row r="2906" spans="1:8" s="212" customFormat="1">
      <c r="A2906" s="220"/>
      <c r="B2906" s="141"/>
      <c r="C2906" s="141"/>
      <c r="D2906" s="141"/>
      <c r="E2906" s="141"/>
      <c r="F2906" s="141"/>
      <c r="G2906" s="141"/>
      <c r="H2906" s="222"/>
    </row>
    <row r="2907" spans="1:8" s="212" customFormat="1">
      <c r="A2907" s="142"/>
      <c r="B2907" s="143"/>
      <c r="C2907" s="143"/>
      <c r="D2907" s="143"/>
      <c r="E2907" s="143"/>
      <c r="F2907" s="84"/>
      <c r="G2907" s="146"/>
      <c r="H2907" s="221"/>
    </row>
    <row r="2908" spans="1:8" s="212" customFormat="1">
      <c r="A2908" s="123"/>
      <c r="B2908" s="95"/>
      <c r="C2908" s="95"/>
      <c r="D2908" s="95"/>
      <c r="E2908" s="95"/>
      <c r="G2908" s="213"/>
      <c r="H2908" s="73"/>
    </row>
    <row r="2909" spans="1:8" s="212" customFormat="1">
      <c r="A2909" s="123"/>
      <c r="B2909" s="95"/>
      <c r="C2909" s="95"/>
      <c r="D2909" s="95"/>
      <c r="E2909" s="95"/>
      <c r="G2909" s="73"/>
      <c r="H2909" s="225"/>
    </row>
    <row r="2910" spans="1:8" s="212" customFormat="1">
      <c r="B2910" s="97"/>
      <c r="C2910" s="98"/>
      <c r="D2910" s="98"/>
      <c r="E2910" s="98"/>
      <c r="G2910" s="220"/>
    </row>
    <row r="2911" spans="1:8" s="212" customFormat="1">
      <c r="B2911" s="97"/>
      <c r="C2911" s="98"/>
      <c r="D2911" s="98"/>
      <c r="E2911" s="98"/>
      <c r="F2911" s="220"/>
      <c r="G2911" s="225"/>
      <c r="H2911" s="226"/>
    </row>
    <row r="2912" spans="1:8" s="212" customFormat="1">
      <c r="A2912" s="633"/>
      <c r="B2912" s="633"/>
      <c r="C2912" s="633"/>
      <c r="D2912" s="633"/>
      <c r="E2912" s="633"/>
      <c r="F2912" s="633"/>
      <c r="G2912" s="633"/>
    </row>
    <row r="2913" spans="1:9" s="212" customFormat="1">
      <c r="H2913" s="227"/>
      <c r="I2913" s="228"/>
    </row>
    <row r="2914" spans="1:9" s="212" customFormat="1">
      <c r="A2914" s="658"/>
      <c r="B2914" s="227"/>
      <c r="C2914" s="227"/>
      <c r="D2914" s="227"/>
      <c r="E2914" s="227"/>
      <c r="F2914" s="227"/>
      <c r="G2914" s="227"/>
      <c r="H2914" s="227"/>
      <c r="I2914" s="229"/>
    </row>
    <row r="2915" spans="1:9" s="212" customFormat="1">
      <c r="A2915" s="658"/>
      <c r="B2915" s="227"/>
      <c r="C2915" s="227"/>
      <c r="D2915" s="227"/>
      <c r="E2915" s="227"/>
      <c r="F2915" s="227"/>
      <c r="G2915" s="227"/>
    </row>
    <row r="2916" spans="1:9" s="212" customFormat="1">
      <c r="A2916" s="69"/>
      <c r="B2916" s="69"/>
      <c r="C2916" s="69"/>
      <c r="D2916" s="69"/>
      <c r="E2916" s="69"/>
    </row>
    <row r="2917" spans="1:9" s="212" customFormat="1">
      <c r="A2917" s="120"/>
      <c r="B2917" s="73"/>
      <c r="C2917" s="73"/>
      <c r="D2917" s="73"/>
      <c r="E2917" s="73"/>
      <c r="F2917" s="73"/>
      <c r="G2917" s="73"/>
      <c r="H2917" s="73"/>
    </row>
    <row r="2918" spans="1:9" s="212" customFormat="1">
      <c r="A2918" s="220"/>
      <c r="B2918" s="141"/>
      <c r="C2918" s="141"/>
      <c r="D2918" s="141"/>
      <c r="E2918" s="141"/>
      <c r="F2918" s="141"/>
      <c r="G2918" s="141"/>
      <c r="H2918" s="73"/>
    </row>
    <row r="2919" spans="1:9" s="212" customFormat="1">
      <c r="A2919" s="150"/>
      <c r="B2919" s="83"/>
      <c r="C2919" s="148"/>
      <c r="D2919" s="84"/>
      <c r="E2919" s="84"/>
      <c r="F2919" s="84"/>
      <c r="G2919" s="146"/>
      <c r="H2919" s="221"/>
    </row>
    <row r="2920" spans="1:9" s="212" customFormat="1">
      <c r="A2920" s="84"/>
      <c r="B2920" s="83"/>
      <c r="C2920" s="84"/>
      <c r="D2920" s="84"/>
      <c r="E2920" s="84"/>
      <c r="G2920" s="213"/>
      <c r="H2920" s="222"/>
    </row>
    <row r="2921" spans="1:9" s="212" customFormat="1">
      <c r="A2921" s="120"/>
      <c r="B2921" s="73"/>
      <c r="C2921" s="73"/>
      <c r="D2921" s="73"/>
      <c r="E2921" s="73"/>
      <c r="G2921" s="73"/>
      <c r="H2921" s="222"/>
    </row>
    <row r="2922" spans="1:9" s="212" customFormat="1">
      <c r="A2922" s="220"/>
      <c r="B2922" s="141"/>
      <c r="C2922" s="141"/>
      <c r="D2922" s="141"/>
      <c r="E2922" s="141"/>
      <c r="F2922" s="141"/>
      <c r="G2922" s="141"/>
      <c r="H2922" s="222"/>
    </row>
    <row r="2923" spans="1:9" s="212" customFormat="1" ht="16.5">
      <c r="A2923" s="150"/>
      <c r="B2923" s="161"/>
      <c r="C2923" s="148"/>
      <c r="D2923" s="160"/>
      <c r="E2923" s="84"/>
      <c r="F2923" s="84"/>
      <c r="G2923" s="146"/>
      <c r="H2923" s="221"/>
    </row>
    <row r="2924" spans="1:9" s="212" customFormat="1">
      <c r="A2924" s="91"/>
      <c r="B2924" s="91"/>
      <c r="C2924" s="91"/>
      <c r="D2924" s="91"/>
      <c r="E2924" s="91"/>
      <c r="G2924" s="213"/>
      <c r="H2924" s="222"/>
    </row>
    <row r="2925" spans="1:9" s="212" customFormat="1">
      <c r="A2925" s="120"/>
      <c r="B2925" s="73"/>
      <c r="C2925" s="73"/>
      <c r="D2925" s="73"/>
      <c r="E2925" s="73"/>
      <c r="G2925" s="73"/>
      <c r="H2925" s="222"/>
    </row>
    <row r="2926" spans="1:9" s="212" customFormat="1">
      <c r="A2926" s="220"/>
      <c r="B2926" s="141"/>
      <c r="C2926" s="141"/>
      <c r="D2926" s="141"/>
      <c r="E2926" s="141"/>
      <c r="F2926" s="141"/>
      <c r="G2926" s="141"/>
      <c r="H2926" s="222"/>
    </row>
    <row r="2927" spans="1:9" s="212" customFormat="1">
      <c r="A2927" s="146"/>
      <c r="B2927" s="83"/>
      <c r="C2927" s="148"/>
      <c r="D2927" s="84"/>
      <c r="E2927" s="84"/>
      <c r="F2927" s="84"/>
      <c r="G2927" s="146"/>
      <c r="H2927" s="221"/>
    </row>
    <row r="2928" spans="1:9" s="212" customFormat="1">
      <c r="A2928" s="91"/>
      <c r="B2928" s="91"/>
      <c r="C2928" s="91"/>
      <c r="D2928" s="91"/>
      <c r="E2928" s="91"/>
      <c r="G2928" s="213"/>
      <c r="H2928" s="222"/>
    </row>
    <row r="2929" spans="1:9" s="212" customFormat="1">
      <c r="A2929" s="120"/>
      <c r="B2929" s="73"/>
      <c r="C2929" s="73"/>
      <c r="D2929" s="73"/>
      <c r="E2929" s="73"/>
      <c r="G2929" s="73"/>
      <c r="H2929" s="222"/>
    </row>
    <row r="2930" spans="1:9" s="212" customFormat="1">
      <c r="A2930" s="220"/>
      <c r="B2930" s="141"/>
      <c r="C2930" s="141"/>
      <c r="D2930" s="141"/>
      <c r="E2930" s="141"/>
      <c r="F2930" s="141"/>
      <c r="G2930" s="141"/>
      <c r="H2930" s="222"/>
    </row>
    <row r="2931" spans="1:9" s="212" customFormat="1">
      <c r="A2931" s="142"/>
      <c r="B2931" s="143"/>
      <c r="C2931" s="143"/>
      <c r="D2931" s="143"/>
      <c r="E2931" s="143"/>
      <c r="F2931" s="84"/>
      <c r="G2931" s="146"/>
      <c r="H2931" s="221"/>
    </row>
    <row r="2932" spans="1:9" s="212" customFormat="1">
      <c r="A2932" s="123"/>
      <c r="B2932" s="95"/>
      <c r="C2932" s="95"/>
      <c r="D2932" s="95"/>
      <c r="E2932" s="95"/>
      <c r="G2932" s="213"/>
      <c r="H2932" s="73"/>
    </row>
    <row r="2933" spans="1:9" s="212" customFormat="1">
      <c r="A2933" s="123"/>
      <c r="B2933" s="95"/>
      <c r="C2933" s="95"/>
      <c r="D2933" s="95"/>
      <c r="E2933" s="95"/>
      <c r="G2933" s="73"/>
      <c r="H2933" s="225"/>
    </row>
    <row r="2934" spans="1:9" s="212" customFormat="1">
      <c r="B2934" s="97"/>
      <c r="C2934" s="98"/>
      <c r="D2934" s="98"/>
      <c r="E2934" s="98"/>
      <c r="G2934" s="220"/>
    </row>
    <row r="2935" spans="1:9" s="212" customFormat="1">
      <c r="B2935" s="97"/>
      <c r="C2935" s="98"/>
      <c r="D2935" s="98"/>
      <c r="E2935" s="98"/>
      <c r="F2935" s="220"/>
      <c r="G2935" s="225"/>
      <c r="H2935" s="226"/>
    </row>
    <row r="2936" spans="1:9" s="212" customFormat="1">
      <c r="A2936" s="633"/>
      <c r="B2936" s="633"/>
      <c r="C2936" s="633"/>
      <c r="D2936" s="633"/>
      <c r="E2936" s="633"/>
      <c r="F2936" s="633"/>
      <c r="G2936" s="633"/>
    </row>
    <row r="2937" spans="1:9" s="212" customFormat="1">
      <c r="H2937" s="227"/>
      <c r="I2937" s="228"/>
    </row>
    <row r="2938" spans="1:9" s="212" customFormat="1">
      <c r="A2938" s="658"/>
      <c r="B2938" s="227"/>
      <c r="C2938" s="227"/>
      <c r="D2938" s="227"/>
      <c r="E2938" s="227"/>
      <c r="F2938" s="227"/>
      <c r="G2938" s="227"/>
      <c r="H2938" s="227"/>
      <c r="I2938" s="229"/>
    </row>
    <row r="2939" spans="1:9" s="212" customFormat="1">
      <c r="A2939" s="658"/>
      <c r="B2939" s="227"/>
      <c r="C2939" s="227"/>
      <c r="D2939" s="227"/>
      <c r="E2939" s="227"/>
      <c r="F2939" s="227"/>
      <c r="G2939" s="227"/>
    </row>
    <row r="2940" spans="1:9" s="212" customFormat="1">
      <c r="A2940" s="69"/>
      <c r="B2940" s="69"/>
      <c r="C2940" s="69"/>
      <c r="D2940" s="69"/>
      <c r="E2940" s="69"/>
    </row>
    <row r="2941" spans="1:9" s="212" customFormat="1">
      <c r="A2941" s="120"/>
      <c r="B2941" s="73"/>
      <c r="C2941" s="73"/>
      <c r="D2941" s="73"/>
      <c r="E2941" s="73"/>
      <c r="F2941" s="73"/>
      <c r="G2941" s="73"/>
      <c r="H2941" s="73"/>
    </row>
    <row r="2942" spans="1:9" s="212" customFormat="1">
      <c r="A2942" s="220"/>
      <c r="B2942" s="141"/>
      <c r="C2942" s="141"/>
      <c r="D2942" s="141"/>
      <c r="E2942" s="141"/>
      <c r="F2942" s="141"/>
      <c r="G2942" s="141"/>
      <c r="H2942" s="73"/>
    </row>
    <row r="2943" spans="1:9" s="212" customFormat="1">
      <c r="A2943" s="150"/>
      <c r="B2943" s="83"/>
      <c r="C2943" s="148"/>
      <c r="D2943" s="84"/>
      <c r="E2943" s="84"/>
      <c r="F2943" s="84"/>
      <c r="G2943" s="146"/>
      <c r="H2943" s="221"/>
    </row>
    <row r="2944" spans="1:9" s="212" customFormat="1">
      <c r="A2944" s="84"/>
      <c r="B2944" s="83"/>
      <c r="C2944" s="84"/>
      <c r="D2944" s="84"/>
      <c r="E2944" s="84"/>
      <c r="G2944" s="213"/>
      <c r="H2944" s="222"/>
    </row>
    <row r="2945" spans="1:8" s="212" customFormat="1">
      <c r="A2945" s="120"/>
      <c r="B2945" s="73"/>
      <c r="C2945" s="73"/>
      <c r="D2945" s="73"/>
      <c r="E2945" s="73"/>
      <c r="G2945" s="73"/>
      <c r="H2945" s="222"/>
    </row>
    <row r="2946" spans="1:8" s="212" customFormat="1">
      <c r="A2946" s="220"/>
      <c r="B2946" s="141"/>
      <c r="C2946" s="141"/>
      <c r="D2946" s="141"/>
      <c r="E2946" s="141"/>
      <c r="F2946" s="141"/>
      <c r="G2946" s="141"/>
      <c r="H2946" s="222"/>
    </row>
    <row r="2947" spans="1:8" s="212" customFormat="1" ht="16.5">
      <c r="A2947" s="150"/>
      <c r="B2947" s="161"/>
      <c r="C2947" s="148"/>
      <c r="D2947" s="160"/>
      <c r="E2947" s="84"/>
      <c r="F2947" s="84"/>
      <c r="G2947" s="146"/>
      <c r="H2947" s="221"/>
    </row>
    <row r="2948" spans="1:8" s="212" customFormat="1">
      <c r="A2948" s="91"/>
      <c r="B2948" s="91"/>
      <c r="C2948" s="91"/>
      <c r="D2948" s="91"/>
      <c r="E2948" s="91"/>
      <c r="G2948" s="213"/>
      <c r="H2948" s="222"/>
    </row>
    <row r="2949" spans="1:8" s="212" customFormat="1">
      <c r="A2949" s="120"/>
      <c r="B2949" s="73"/>
      <c r="C2949" s="73"/>
      <c r="D2949" s="73"/>
      <c r="E2949" s="73"/>
      <c r="G2949" s="73"/>
      <c r="H2949" s="222"/>
    </row>
    <row r="2950" spans="1:8" s="212" customFormat="1">
      <c r="A2950" s="220"/>
      <c r="B2950" s="141"/>
      <c r="C2950" s="141"/>
      <c r="D2950" s="141"/>
      <c r="E2950" s="141"/>
      <c r="F2950" s="141"/>
      <c r="G2950" s="141"/>
      <c r="H2950" s="222"/>
    </row>
    <row r="2951" spans="1:8" s="212" customFormat="1">
      <c r="A2951" s="146"/>
      <c r="B2951" s="83"/>
      <c r="C2951" s="148"/>
      <c r="D2951" s="84"/>
      <c r="E2951" s="84"/>
      <c r="F2951" s="84"/>
      <c r="G2951" s="146"/>
      <c r="H2951" s="221"/>
    </row>
    <row r="2952" spans="1:8" s="212" customFormat="1">
      <c r="A2952" s="91"/>
      <c r="B2952" s="91"/>
      <c r="C2952" s="91"/>
      <c r="D2952" s="91"/>
      <c r="E2952" s="91"/>
      <c r="G2952" s="213"/>
      <c r="H2952" s="222"/>
    </row>
    <row r="2953" spans="1:8" s="212" customFormat="1">
      <c r="A2953" s="120"/>
      <c r="B2953" s="73"/>
      <c r="C2953" s="73"/>
      <c r="D2953" s="73"/>
      <c r="E2953" s="73"/>
      <c r="G2953" s="73"/>
      <c r="H2953" s="222"/>
    </row>
    <row r="2954" spans="1:8" s="212" customFormat="1">
      <c r="A2954" s="220"/>
      <c r="B2954" s="141"/>
      <c r="C2954" s="141"/>
      <c r="D2954" s="141"/>
      <c r="E2954" s="141"/>
      <c r="F2954" s="141"/>
      <c r="G2954" s="141"/>
      <c r="H2954" s="222"/>
    </row>
    <row r="2955" spans="1:8" s="212" customFormat="1">
      <c r="A2955" s="142"/>
      <c r="B2955" s="143"/>
      <c r="C2955" s="143"/>
      <c r="D2955" s="143"/>
      <c r="E2955" s="143"/>
      <c r="F2955" s="84"/>
      <c r="G2955" s="146"/>
      <c r="H2955" s="221"/>
    </row>
    <row r="2956" spans="1:8" s="212" customFormat="1">
      <c r="A2956" s="123"/>
      <c r="B2956" s="95"/>
      <c r="C2956" s="95"/>
      <c r="D2956" s="95"/>
      <c r="E2956" s="95"/>
      <c r="G2956" s="213"/>
      <c r="H2956" s="73"/>
    </row>
    <row r="2957" spans="1:8" s="212" customFormat="1">
      <c r="A2957" s="123"/>
      <c r="B2957" s="95"/>
      <c r="C2957" s="95"/>
      <c r="D2957" s="95"/>
      <c r="E2957" s="95"/>
      <c r="G2957" s="73"/>
      <c r="H2957" s="225"/>
    </row>
    <row r="2958" spans="1:8" s="212" customFormat="1">
      <c r="B2958" s="97"/>
      <c r="C2958" s="98"/>
      <c r="D2958" s="98"/>
      <c r="E2958" s="98"/>
      <c r="G2958" s="220"/>
    </row>
    <row r="2959" spans="1:8" s="212" customFormat="1">
      <c r="B2959" s="97"/>
      <c r="C2959" s="98"/>
      <c r="D2959" s="98"/>
      <c r="E2959" s="98"/>
      <c r="F2959" s="220"/>
      <c r="G2959" s="225"/>
      <c r="H2959" s="226"/>
    </row>
    <row r="2960" spans="1:8" s="212" customFormat="1">
      <c r="A2960" s="633"/>
      <c r="B2960" s="633"/>
      <c r="C2960" s="633"/>
      <c r="D2960" s="633"/>
      <c r="E2960" s="633"/>
      <c r="F2960" s="633"/>
      <c r="G2960" s="633"/>
    </row>
    <row r="2961" spans="1:9" s="212" customFormat="1">
      <c r="H2961" s="227"/>
      <c r="I2961" s="228"/>
    </row>
    <row r="2962" spans="1:9" s="212" customFormat="1">
      <c r="A2962" s="658"/>
      <c r="B2962" s="227"/>
      <c r="C2962" s="227"/>
      <c r="D2962" s="227"/>
      <c r="E2962" s="227"/>
      <c r="F2962" s="227"/>
      <c r="G2962" s="227"/>
      <c r="H2962" s="227"/>
      <c r="I2962" s="229"/>
    </row>
    <row r="2963" spans="1:9" s="212" customFormat="1">
      <c r="A2963" s="658"/>
      <c r="B2963" s="227"/>
      <c r="C2963" s="227"/>
      <c r="D2963" s="227"/>
      <c r="E2963" s="227"/>
      <c r="F2963" s="227"/>
      <c r="G2963" s="227"/>
    </row>
    <row r="2964" spans="1:9" s="212" customFormat="1">
      <c r="A2964" s="69"/>
      <c r="B2964" s="69"/>
      <c r="C2964" s="69"/>
      <c r="D2964" s="69"/>
      <c r="E2964" s="69"/>
    </row>
    <row r="2965" spans="1:9" s="212" customFormat="1">
      <c r="A2965" s="120"/>
      <c r="B2965" s="73"/>
      <c r="C2965" s="73"/>
      <c r="D2965" s="73"/>
      <c r="E2965" s="73"/>
      <c r="F2965" s="73"/>
      <c r="G2965" s="73"/>
      <c r="H2965" s="73"/>
    </row>
    <row r="2966" spans="1:9" s="212" customFormat="1">
      <c r="A2966" s="220"/>
      <c r="B2966" s="141"/>
      <c r="C2966" s="141"/>
      <c r="D2966" s="141"/>
      <c r="E2966" s="141"/>
      <c r="F2966" s="141"/>
      <c r="G2966" s="141"/>
      <c r="H2966" s="73"/>
    </row>
    <row r="2967" spans="1:9" s="212" customFormat="1">
      <c r="A2967" s="150"/>
      <c r="B2967" s="83"/>
      <c r="C2967" s="148"/>
      <c r="D2967" s="84"/>
      <c r="E2967" s="84"/>
      <c r="F2967" s="84"/>
      <c r="G2967" s="146"/>
      <c r="H2967" s="221"/>
    </row>
    <row r="2968" spans="1:9" s="212" customFormat="1">
      <c r="A2968" s="84"/>
      <c r="B2968" s="83"/>
      <c r="C2968" s="84"/>
      <c r="D2968" s="84"/>
      <c r="E2968" s="84"/>
      <c r="G2968" s="213"/>
      <c r="H2968" s="222"/>
    </row>
    <row r="2969" spans="1:9" s="212" customFormat="1">
      <c r="A2969" s="120"/>
      <c r="B2969" s="73"/>
      <c r="C2969" s="73"/>
      <c r="D2969" s="73"/>
      <c r="E2969" s="73"/>
      <c r="G2969" s="73"/>
      <c r="H2969" s="222"/>
    </row>
    <row r="2970" spans="1:9" s="212" customFormat="1">
      <c r="A2970" s="220"/>
      <c r="B2970" s="141"/>
      <c r="C2970" s="141"/>
      <c r="D2970" s="141"/>
      <c r="E2970" s="141"/>
      <c r="F2970" s="141"/>
      <c r="G2970" s="141"/>
      <c r="H2970" s="222"/>
    </row>
    <row r="2971" spans="1:9" s="212" customFormat="1" ht="16.5">
      <c r="A2971" s="150"/>
      <c r="B2971" s="161"/>
      <c r="C2971" s="148"/>
      <c r="D2971" s="160"/>
      <c r="E2971" s="84"/>
      <c r="F2971" s="84"/>
      <c r="G2971" s="146"/>
      <c r="H2971" s="221"/>
    </row>
    <row r="2972" spans="1:9" s="212" customFormat="1">
      <c r="A2972" s="91"/>
      <c r="B2972" s="91"/>
      <c r="C2972" s="91"/>
      <c r="D2972" s="91"/>
      <c r="E2972" s="91"/>
      <c r="G2972" s="213"/>
      <c r="H2972" s="222"/>
    </row>
    <row r="2973" spans="1:9" s="212" customFormat="1">
      <c r="A2973" s="120"/>
      <c r="B2973" s="73"/>
      <c r="C2973" s="73"/>
      <c r="D2973" s="73"/>
      <c r="E2973" s="73"/>
      <c r="G2973" s="73"/>
      <c r="H2973" s="222"/>
    </row>
    <row r="2974" spans="1:9" s="212" customFormat="1">
      <c r="A2974" s="220"/>
      <c r="B2974" s="141"/>
      <c r="C2974" s="141"/>
      <c r="D2974" s="141"/>
      <c r="E2974" s="141"/>
      <c r="F2974" s="141"/>
      <c r="G2974" s="141"/>
      <c r="H2974" s="222"/>
    </row>
    <row r="2975" spans="1:9" s="212" customFormat="1">
      <c r="A2975" s="146"/>
      <c r="B2975" s="83"/>
      <c r="C2975" s="148"/>
      <c r="D2975" s="84"/>
      <c r="E2975" s="84"/>
      <c r="F2975" s="84"/>
      <c r="G2975" s="146"/>
      <c r="H2975" s="221"/>
    </row>
    <row r="2976" spans="1:9" s="212" customFormat="1">
      <c r="A2976" s="91"/>
      <c r="B2976" s="91"/>
      <c r="C2976" s="91"/>
      <c r="D2976" s="91"/>
      <c r="E2976" s="91"/>
      <c r="G2976" s="213"/>
      <c r="H2976" s="222"/>
    </row>
    <row r="2977" spans="1:9" s="212" customFormat="1">
      <c r="A2977" s="120"/>
      <c r="B2977" s="73"/>
      <c r="C2977" s="73"/>
      <c r="D2977" s="73"/>
      <c r="E2977" s="73"/>
      <c r="G2977" s="73"/>
      <c r="H2977" s="222"/>
    </row>
    <row r="2978" spans="1:9" s="212" customFormat="1">
      <c r="A2978" s="220"/>
      <c r="B2978" s="141"/>
      <c r="C2978" s="141"/>
      <c r="D2978" s="141"/>
      <c r="E2978" s="141"/>
      <c r="F2978" s="141"/>
      <c r="G2978" s="141"/>
      <c r="H2978" s="222"/>
    </row>
    <row r="2979" spans="1:9" s="212" customFormat="1">
      <c r="A2979" s="142"/>
      <c r="B2979" s="143"/>
      <c r="C2979" s="143"/>
      <c r="D2979" s="143"/>
      <c r="E2979" s="143"/>
      <c r="F2979" s="84"/>
      <c r="G2979" s="146"/>
      <c r="H2979" s="221"/>
    </row>
    <row r="2980" spans="1:9" s="212" customFormat="1">
      <c r="A2980" s="123"/>
      <c r="B2980" s="95"/>
      <c r="C2980" s="95"/>
      <c r="D2980" s="95"/>
      <c r="E2980" s="95"/>
      <c r="G2980" s="213"/>
      <c r="H2980" s="73"/>
    </row>
    <row r="2981" spans="1:9" s="212" customFormat="1">
      <c r="A2981" s="123"/>
      <c r="B2981" s="95"/>
      <c r="C2981" s="95"/>
      <c r="D2981" s="95"/>
      <c r="E2981" s="95"/>
      <c r="G2981" s="73"/>
      <c r="H2981" s="225"/>
    </row>
    <row r="2982" spans="1:9" s="212" customFormat="1">
      <c r="B2982" s="97"/>
      <c r="C2982" s="98"/>
      <c r="D2982" s="98"/>
      <c r="E2982" s="98"/>
      <c r="G2982" s="220"/>
    </row>
    <row r="2983" spans="1:9" s="212" customFormat="1">
      <c r="B2983" s="97"/>
      <c r="C2983" s="98"/>
      <c r="D2983" s="98"/>
      <c r="E2983" s="98"/>
      <c r="F2983" s="220"/>
      <c r="G2983" s="225"/>
      <c r="H2983" s="226"/>
    </row>
    <row r="2984" spans="1:9" s="212" customFormat="1">
      <c r="A2984" s="633"/>
      <c r="B2984" s="633"/>
      <c r="C2984" s="633"/>
      <c r="D2984" s="633"/>
      <c r="E2984" s="633"/>
      <c r="F2984" s="633"/>
      <c r="G2984" s="633"/>
    </row>
    <row r="2985" spans="1:9" s="212" customFormat="1">
      <c r="H2985" s="227"/>
      <c r="I2985" s="228"/>
    </row>
    <row r="2986" spans="1:9" s="212" customFormat="1">
      <c r="A2986" s="658"/>
      <c r="B2986" s="227"/>
      <c r="C2986" s="227"/>
      <c r="D2986" s="227"/>
      <c r="E2986" s="227"/>
      <c r="F2986" s="227"/>
      <c r="G2986" s="227"/>
      <c r="H2986" s="227"/>
      <c r="I2986" s="229"/>
    </row>
    <row r="2987" spans="1:9" s="212" customFormat="1">
      <c r="A2987" s="658"/>
      <c r="B2987" s="227"/>
      <c r="C2987" s="227"/>
      <c r="D2987" s="227"/>
      <c r="E2987" s="227"/>
      <c r="F2987" s="227"/>
      <c r="G2987" s="227"/>
    </row>
    <row r="2988" spans="1:9" s="212" customFormat="1">
      <c r="A2988" s="69"/>
      <c r="B2988" s="69"/>
      <c r="C2988" s="69"/>
      <c r="D2988" s="69"/>
      <c r="E2988" s="69"/>
    </row>
    <row r="2989" spans="1:9" s="212" customFormat="1">
      <c r="A2989" s="120"/>
      <c r="B2989" s="73"/>
      <c r="C2989" s="73"/>
      <c r="D2989" s="73"/>
      <c r="E2989" s="73"/>
      <c r="F2989" s="73"/>
      <c r="G2989" s="73"/>
      <c r="H2989" s="73"/>
    </row>
    <row r="2990" spans="1:9" s="212" customFormat="1">
      <c r="A2990" s="220"/>
      <c r="B2990" s="141"/>
      <c r="C2990" s="141"/>
      <c r="D2990" s="141"/>
      <c r="E2990" s="141"/>
      <c r="F2990" s="141"/>
      <c r="G2990" s="141"/>
      <c r="H2990" s="73"/>
    </row>
    <row r="2991" spans="1:9" s="212" customFormat="1">
      <c r="A2991" s="150"/>
      <c r="B2991" s="83"/>
      <c r="C2991" s="148"/>
      <c r="D2991" s="84"/>
      <c r="E2991" s="84"/>
      <c r="F2991" s="84"/>
      <c r="G2991" s="146"/>
      <c r="H2991" s="221"/>
    </row>
    <row r="2992" spans="1:9" s="212" customFormat="1">
      <c r="A2992" s="84"/>
      <c r="B2992" s="83"/>
      <c r="C2992" s="84"/>
      <c r="D2992" s="84"/>
      <c r="E2992" s="84"/>
      <c r="G2992" s="213"/>
      <c r="H2992" s="222"/>
    </row>
    <row r="2993" spans="1:8" s="212" customFormat="1">
      <c r="A2993" s="120"/>
      <c r="B2993" s="73"/>
      <c r="C2993" s="73"/>
      <c r="D2993" s="73"/>
      <c r="E2993" s="73"/>
      <c r="G2993" s="73"/>
      <c r="H2993" s="222"/>
    </row>
    <row r="2994" spans="1:8" s="212" customFormat="1">
      <c r="A2994" s="220"/>
      <c r="B2994" s="141"/>
      <c r="C2994" s="141"/>
      <c r="D2994" s="141"/>
      <c r="E2994" s="141"/>
      <c r="F2994" s="141"/>
      <c r="G2994" s="141"/>
      <c r="H2994" s="222"/>
    </row>
    <row r="2995" spans="1:8" s="212" customFormat="1" ht="16.5">
      <c r="A2995" s="150"/>
      <c r="B2995" s="161"/>
      <c r="C2995" s="148"/>
      <c r="D2995" s="160"/>
      <c r="E2995" s="84"/>
      <c r="F2995" s="84"/>
      <c r="G2995" s="146"/>
      <c r="H2995" s="221"/>
    </row>
    <row r="2996" spans="1:8" s="212" customFormat="1">
      <c r="A2996" s="91"/>
      <c r="B2996" s="91"/>
      <c r="C2996" s="91"/>
      <c r="D2996" s="91"/>
      <c r="E2996" s="91"/>
      <c r="G2996" s="213"/>
      <c r="H2996" s="222"/>
    </row>
    <row r="2997" spans="1:8" s="212" customFormat="1">
      <c r="A2997" s="120"/>
      <c r="B2997" s="73"/>
      <c r="C2997" s="73"/>
      <c r="D2997" s="73"/>
      <c r="E2997" s="73"/>
      <c r="G2997" s="73"/>
      <c r="H2997" s="222"/>
    </row>
    <row r="2998" spans="1:8" s="212" customFormat="1">
      <c r="A2998" s="220"/>
      <c r="B2998" s="141"/>
      <c r="C2998" s="141"/>
      <c r="D2998" s="141"/>
      <c r="E2998" s="141"/>
      <c r="F2998" s="141"/>
      <c r="G2998" s="141"/>
      <c r="H2998" s="222"/>
    </row>
    <row r="2999" spans="1:8" s="212" customFormat="1">
      <c r="A2999" s="146"/>
      <c r="B2999" s="83"/>
      <c r="C2999" s="148"/>
      <c r="D2999" s="84"/>
      <c r="E2999" s="84"/>
      <c r="F2999" s="84"/>
      <c r="G2999" s="146"/>
      <c r="H2999" s="221"/>
    </row>
    <row r="3000" spans="1:8" s="212" customFormat="1">
      <c r="A3000" s="91"/>
      <c r="B3000" s="91"/>
      <c r="C3000" s="91"/>
      <c r="D3000" s="91"/>
      <c r="E3000" s="91"/>
      <c r="G3000" s="213"/>
      <c r="H3000" s="222"/>
    </row>
    <row r="3001" spans="1:8" s="212" customFormat="1">
      <c r="A3001" s="120"/>
      <c r="B3001" s="73"/>
      <c r="C3001" s="73"/>
      <c r="D3001" s="73"/>
      <c r="E3001" s="73"/>
      <c r="G3001" s="73"/>
      <c r="H3001" s="222"/>
    </row>
    <row r="3002" spans="1:8" s="212" customFormat="1">
      <c r="A3002" s="220"/>
      <c r="B3002" s="141"/>
      <c r="C3002" s="141"/>
      <c r="D3002" s="141"/>
      <c r="E3002" s="141"/>
      <c r="F3002" s="141"/>
      <c r="G3002" s="141"/>
      <c r="H3002" s="222"/>
    </row>
    <row r="3003" spans="1:8" s="212" customFormat="1">
      <c r="A3003" s="142"/>
      <c r="B3003" s="143"/>
      <c r="C3003" s="143"/>
      <c r="D3003" s="143"/>
      <c r="E3003" s="143"/>
      <c r="F3003" s="84"/>
      <c r="G3003" s="146"/>
      <c r="H3003" s="221"/>
    </row>
    <row r="3004" spans="1:8" s="212" customFormat="1">
      <c r="A3004" s="123"/>
      <c r="B3004" s="95"/>
      <c r="C3004" s="95"/>
      <c r="D3004" s="95"/>
      <c r="E3004" s="95"/>
      <c r="G3004" s="213"/>
      <c r="H3004" s="73"/>
    </row>
    <row r="3005" spans="1:8" s="212" customFormat="1">
      <c r="A3005" s="123"/>
      <c r="B3005" s="95"/>
      <c r="C3005" s="95"/>
      <c r="D3005" s="95"/>
      <c r="E3005" s="95"/>
      <c r="G3005" s="73"/>
      <c r="H3005" s="225"/>
    </row>
    <row r="3006" spans="1:8" s="212" customFormat="1">
      <c r="B3006" s="97"/>
      <c r="C3006" s="98"/>
      <c r="D3006" s="98"/>
      <c r="E3006" s="98"/>
      <c r="G3006" s="220"/>
    </row>
    <row r="3007" spans="1:8" s="212" customFormat="1">
      <c r="B3007" s="97"/>
      <c r="C3007" s="98"/>
      <c r="D3007" s="98"/>
      <c r="E3007" s="98"/>
      <c r="F3007" s="220"/>
      <c r="G3007" s="225"/>
      <c r="H3007" s="226"/>
    </row>
    <row r="3008" spans="1:8" s="212" customFormat="1">
      <c r="A3008" s="633"/>
      <c r="B3008" s="633"/>
      <c r="C3008" s="633"/>
      <c r="D3008" s="633"/>
      <c r="E3008" s="633"/>
      <c r="F3008" s="633"/>
      <c r="G3008" s="633"/>
    </row>
    <row r="3009" spans="1:9" s="212" customFormat="1">
      <c r="H3009" s="227"/>
      <c r="I3009" s="228"/>
    </row>
    <row r="3010" spans="1:9" s="212" customFormat="1">
      <c r="A3010" s="658"/>
      <c r="B3010" s="227"/>
      <c r="C3010" s="227"/>
      <c r="D3010" s="227"/>
      <c r="E3010" s="227"/>
      <c r="F3010" s="227"/>
      <c r="G3010" s="227"/>
      <c r="H3010" s="227"/>
      <c r="I3010" s="229"/>
    </row>
    <row r="3011" spans="1:9" s="212" customFormat="1">
      <c r="A3011" s="658"/>
      <c r="B3011" s="227"/>
      <c r="C3011" s="227"/>
      <c r="D3011" s="227"/>
      <c r="E3011" s="227"/>
      <c r="F3011" s="227"/>
      <c r="G3011" s="227"/>
    </row>
    <row r="3012" spans="1:9" s="212" customFormat="1">
      <c r="A3012" s="69"/>
      <c r="B3012" s="69"/>
      <c r="C3012" s="69"/>
      <c r="D3012" s="69"/>
      <c r="E3012" s="69"/>
    </row>
    <row r="3013" spans="1:9" s="212" customFormat="1">
      <c r="A3013" s="120"/>
      <c r="B3013" s="73"/>
      <c r="C3013" s="73"/>
      <c r="D3013" s="73"/>
      <c r="E3013" s="73"/>
      <c r="F3013" s="73"/>
      <c r="G3013" s="73"/>
      <c r="H3013" s="73"/>
    </row>
    <row r="3014" spans="1:9" s="212" customFormat="1">
      <c r="A3014" s="220"/>
      <c r="B3014" s="141"/>
      <c r="C3014" s="141"/>
      <c r="D3014" s="141"/>
      <c r="E3014" s="141"/>
      <c r="F3014" s="141"/>
      <c r="G3014" s="141"/>
      <c r="H3014" s="73"/>
    </row>
    <row r="3015" spans="1:9" s="212" customFormat="1">
      <c r="A3015" s="150"/>
      <c r="B3015" s="83"/>
      <c r="C3015" s="148"/>
      <c r="D3015" s="84"/>
      <c r="E3015" s="84"/>
      <c r="F3015" s="84"/>
      <c r="G3015" s="146"/>
      <c r="H3015" s="221"/>
    </row>
    <row r="3016" spans="1:9" s="212" customFormat="1">
      <c r="A3016" s="84"/>
      <c r="B3016" s="83"/>
      <c r="C3016" s="84"/>
      <c r="D3016" s="84"/>
      <c r="E3016" s="84"/>
      <c r="G3016" s="213"/>
      <c r="H3016" s="222"/>
    </row>
    <row r="3017" spans="1:9" s="212" customFormat="1">
      <c r="A3017" s="120"/>
      <c r="B3017" s="73"/>
      <c r="C3017" s="73"/>
      <c r="D3017" s="73"/>
      <c r="E3017" s="73"/>
      <c r="G3017" s="73"/>
      <c r="H3017" s="222"/>
    </row>
    <row r="3018" spans="1:9" s="212" customFormat="1">
      <c r="A3018" s="220"/>
      <c r="B3018" s="141"/>
      <c r="C3018" s="141"/>
      <c r="D3018" s="141"/>
      <c r="E3018" s="141"/>
      <c r="F3018" s="141"/>
      <c r="G3018" s="141"/>
      <c r="H3018" s="222"/>
    </row>
    <row r="3019" spans="1:9" s="212" customFormat="1" ht="16.5">
      <c r="A3019" s="150"/>
      <c r="B3019" s="161"/>
      <c r="C3019" s="148"/>
      <c r="D3019" s="160"/>
      <c r="E3019" s="84"/>
      <c r="F3019" s="84"/>
      <c r="G3019" s="146"/>
      <c r="H3019" s="221"/>
    </row>
    <row r="3020" spans="1:9" s="212" customFormat="1">
      <c r="A3020" s="91"/>
      <c r="B3020" s="91"/>
      <c r="C3020" s="91"/>
      <c r="D3020" s="91"/>
      <c r="E3020" s="91"/>
      <c r="G3020" s="213"/>
      <c r="H3020" s="222"/>
    </row>
    <row r="3021" spans="1:9" s="212" customFormat="1">
      <c r="A3021" s="120"/>
      <c r="B3021" s="73"/>
      <c r="C3021" s="73"/>
      <c r="D3021" s="73"/>
      <c r="E3021" s="73"/>
      <c r="G3021" s="73"/>
      <c r="H3021" s="222"/>
    </row>
    <row r="3022" spans="1:9" s="212" customFormat="1">
      <c r="A3022" s="220"/>
      <c r="B3022" s="141"/>
      <c r="C3022" s="141"/>
      <c r="D3022" s="141"/>
      <c r="E3022" s="141"/>
      <c r="F3022" s="141"/>
      <c r="G3022" s="141"/>
      <c r="H3022" s="222"/>
    </row>
    <row r="3023" spans="1:9" s="212" customFormat="1">
      <c r="A3023" s="146"/>
      <c r="B3023" s="83"/>
      <c r="C3023" s="148"/>
      <c r="D3023" s="84"/>
      <c r="E3023" s="84"/>
      <c r="F3023" s="84"/>
      <c r="G3023" s="146"/>
      <c r="H3023" s="221"/>
    </row>
    <row r="3024" spans="1:9" s="212" customFormat="1">
      <c r="A3024" s="91"/>
      <c r="B3024" s="91"/>
      <c r="C3024" s="91"/>
      <c r="D3024" s="91"/>
      <c r="E3024" s="91"/>
      <c r="G3024" s="213"/>
      <c r="H3024" s="222"/>
    </row>
    <row r="3025" spans="1:9" s="212" customFormat="1">
      <c r="A3025" s="120"/>
      <c r="B3025" s="73"/>
      <c r="C3025" s="73"/>
      <c r="D3025" s="73"/>
      <c r="E3025" s="73"/>
      <c r="G3025" s="73"/>
      <c r="H3025" s="222"/>
    </row>
    <row r="3026" spans="1:9" s="212" customFormat="1">
      <c r="A3026" s="220"/>
      <c r="B3026" s="141"/>
      <c r="C3026" s="141"/>
      <c r="D3026" s="141"/>
      <c r="E3026" s="141"/>
      <c r="F3026" s="141"/>
      <c r="G3026" s="141"/>
      <c r="H3026" s="222"/>
    </row>
    <row r="3027" spans="1:9" s="212" customFormat="1">
      <c r="A3027" s="142"/>
      <c r="B3027" s="143"/>
      <c r="C3027" s="143"/>
      <c r="D3027" s="143"/>
      <c r="E3027" s="143"/>
      <c r="F3027" s="84"/>
      <c r="G3027" s="146"/>
      <c r="H3027" s="221"/>
    </row>
    <row r="3028" spans="1:9" s="212" customFormat="1">
      <c r="A3028" s="123"/>
      <c r="B3028" s="95"/>
      <c r="C3028" s="95"/>
      <c r="D3028" s="95"/>
      <c r="E3028" s="95"/>
      <c r="G3028" s="213"/>
      <c r="H3028" s="73"/>
    </row>
    <row r="3029" spans="1:9" s="212" customFormat="1">
      <c r="A3029" s="123"/>
      <c r="B3029" s="95"/>
      <c r="C3029" s="95"/>
      <c r="D3029" s="95"/>
      <c r="E3029" s="95"/>
      <c r="G3029" s="73"/>
      <c r="H3029" s="225"/>
    </row>
    <row r="3030" spans="1:9" s="212" customFormat="1">
      <c r="B3030" s="97"/>
      <c r="C3030" s="98"/>
      <c r="D3030" s="98"/>
      <c r="E3030" s="98"/>
      <c r="G3030" s="220"/>
    </row>
    <row r="3031" spans="1:9" s="212" customFormat="1">
      <c r="B3031" s="97"/>
      <c r="C3031" s="98"/>
      <c r="D3031" s="98"/>
      <c r="E3031" s="98"/>
      <c r="F3031" s="220"/>
      <c r="G3031" s="225"/>
      <c r="H3031" s="226"/>
    </row>
    <row r="3032" spans="1:9" s="212" customFormat="1">
      <c r="A3032" s="633"/>
      <c r="B3032" s="633"/>
      <c r="C3032" s="633"/>
      <c r="D3032" s="633"/>
      <c r="E3032" s="633"/>
      <c r="F3032" s="633"/>
      <c r="G3032" s="633"/>
    </row>
    <row r="3033" spans="1:9" s="212" customFormat="1">
      <c r="H3033" s="227"/>
      <c r="I3033" s="228"/>
    </row>
    <row r="3034" spans="1:9" s="212" customFormat="1">
      <c r="A3034" s="658"/>
      <c r="B3034" s="227"/>
      <c r="C3034" s="227"/>
      <c r="D3034" s="227"/>
      <c r="E3034" s="227"/>
      <c r="F3034" s="227"/>
      <c r="G3034" s="227"/>
      <c r="H3034" s="227"/>
      <c r="I3034" s="229"/>
    </row>
    <row r="3035" spans="1:9" s="212" customFormat="1">
      <c r="A3035" s="658"/>
      <c r="B3035" s="227"/>
      <c r="C3035" s="227"/>
      <c r="D3035" s="227"/>
      <c r="E3035" s="227"/>
      <c r="F3035" s="227"/>
      <c r="G3035" s="227"/>
    </row>
    <row r="3036" spans="1:9" s="212" customFormat="1">
      <c r="A3036" s="69"/>
      <c r="B3036" s="69"/>
      <c r="C3036" s="69"/>
      <c r="D3036" s="69"/>
      <c r="E3036" s="69"/>
    </row>
    <row r="3037" spans="1:9" s="212" customFormat="1">
      <c r="A3037" s="120"/>
      <c r="B3037" s="73"/>
      <c r="C3037" s="73"/>
      <c r="D3037" s="73"/>
      <c r="E3037" s="73"/>
      <c r="F3037" s="73"/>
      <c r="G3037" s="73"/>
      <c r="H3037" s="73"/>
    </row>
    <row r="3038" spans="1:9" s="212" customFormat="1">
      <c r="A3038" s="220"/>
      <c r="B3038" s="141"/>
      <c r="C3038" s="141"/>
      <c r="D3038" s="141"/>
      <c r="E3038" s="141"/>
      <c r="F3038" s="141"/>
      <c r="G3038" s="141"/>
      <c r="H3038" s="73"/>
    </row>
    <row r="3039" spans="1:9" s="212" customFormat="1">
      <c r="A3039" s="150"/>
      <c r="B3039" s="83"/>
      <c r="C3039" s="148"/>
      <c r="D3039" s="84"/>
      <c r="E3039" s="84"/>
      <c r="F3039" s="84"/>
      <c r="G3039" s="146"/>
      <c r="H3039" s="221"/>
    </row>
    <row r="3040" spans="1:9" s="212" customFormat="1">
      <c r="A3040" s="84"/>
      <c r="B3040" s="83"/>
      <c r="C3040" s="84"/>
      <c r="D3040" s="84"/>
      <c r="E3040" s="84"/>
      <c r="G3040" s="213"/>
      <c r="H3040" s="222"/>
    </row>
    <row r="3041" spans="1:8" s="212" customFormat="1">
      <c r="A3041" s="120"/>
      <c r="B3041" s="73"/>
      <c r="C3041" s="73"/>
      <c r="D3041" s="73"/>
      <c r="E3041" s="73"/>
      <c r="G3041" s="73"/>
      <c r="H3041" s="222"/>
    </row>
    <row r="3042" spans="1:8" s="212" customFormat="1">
      <c r="A3042" s="220"/>
      <c r="B3042" s="141"/>
      <c r="C3042" s="141"/>
      <c r="D3042" s="141"/>
      <c r="E3042" s="141"/>
      <c r="F3042" s="141"/>
      <c r="G3042" s="141"/>
      <c r="H3042" s="222"/>
    </row>
    <row r="3043" spans="1:8" s="212" customFormat="1" ht="16.5">
      <c r="A3043" s="150"/>
      <c r="B3043" s="161"/>
      <c r="C3043" s="148"/>
      <c r="D3043" s="160"/>
      <c r="E3043" s="84"/>
      <c r="F3043" s="84"/>
      <c r="G3043" s="146"/>
      <c r="H3043" s="221"/>
    </row>
    <row r="3044" spans="1:8" s="212" customFormat="1">
      <c r="A3044" s="91"/>
      <c r="B3044" s="91"/>
      <c r="C3044" s="91"/>
      <c r="D3044" s="91"/>
      <c r="E3044" s="91"/>
      <c r="G3044" s="213"/>
      <c r="H3044" s="222"/>
    </row>
    <row r="3045" spans="1:8" s="212" customFormat="1">
      <c r="A3045" s="120"/>
      <c r="B3045" s="73"/>
      <c r="C3045" s="73"/>
      <c r="D3045" s="73"/>
      <c r="E3045" s="73"/>
      <c r="G3045" s="73"/>
      <c r="H3045" s="222"/>
    </row>
    <row r="3046" spans="1:8" s="212" customFormat="1">
      <c r="A3046" s="220"/>
      <c r="B3046" s="141"/>
      <c r="C3046" s="141"/>
      <c r="D3046" s="141"/>
      <c r="E3046" s="141"/>
      <c r="F3046" s="141"/>
      <c r="G3046" s="141"/>
      <c r="H3046" s="222"/>
    </row>
    <row r="3047" spans="1:8" s="212" customFormat="1">
      <c r="A3047" s="146"/>
      <c r="B3047" s="83"/>
      <c r="C3047" s="148"/>
      <c r="D3047" s="84"/>
      <c r="E3047" s="84"/>
      <c r="F3047" s="84"/>
      <c r="G3047" s="146"/>
      <c r="H3047" s="221"/>
    </row>
    <row r="3048" spans="1:8" s="212" customFormat="1">
      <c r="A3048" s="91"/>
      <c r="B3048" s="91"/>
      <c r="C3048" s="91"/>
      <c r="D3048" s="91"/>
      <c r="E3048" s="91"/>
      <c r="G3048" s="213"/>
      <c r="H3048" s="222"/>
    </row>
    <row r="3049" spans="1:8" s="212" customFormat="1">
      <c r="A3049" s="120"/>
      <c r="B3049" s="73"/>
      <c r="C3049" s="73"/>
      <c r="D3049" s="73"/>
      <c r="E3049" s="73"/>
      <c r="G3049" s="73"/>
      <c r="H3049" s="222"/>
    </row>
    <row r="3050" spans="1:8" s="212" customFormat="1">
      <c r="A3050" s="220"/>
      <c r="B3050" s="141"/>
      <c r="C3050" s="141"/>
      <c r="D3050" s="141"/>
      <c r="E3050" s="141"/>
      <c r="F3050" s="141"/>
      <c r="G3050" s="141"/>
      <c r="H3050" s="222"/>
    </row>
    <row r="3051" spans="1:8" s="212" customFormat="1">
      <c r="A3051" s="142"/>
      <c r="B3051" s="143"/>
      <c r="C3051" s="143"/>
      <c r="D3051" s="143"/>
      <c r="E3051" s="143"/>
      <c r="F3051" s="84"/>
      <c r="G3051" s="146"/>
      <c r="H3051" s="221"/>
    </row>
    <row r="3052" spans="1:8" s="212" customFormat="1">
      <c r="A3052" s="123"/>
      <c r="B3052" s="95"/>
      <c r="C3052" s="95"/>
      <c r="D3052" s="95"/>
      <c r="E3052" s="95"/>
      <c r="G3052" s="213"/>
      <c r="H3052" s="73"/>
    </row>
    <row r="3053" spans="1:8" s="212" customFormat="1">
      <c r="A3053" s="123"/>
      <c r="B3053" s="95"/>
      <c r="C3053" s="95"/>
      <c r="D3053" s="95"/>
      <c r="E3053" s="95"/>
      <c r="G3053" s="73"/>
      <c r="H3053" s="225"/>
    </row>
    <row r="3054" spans="1:8" s="212" customFormat="1">
      <c r="B3054" s="97"/>
      <c r="C3054" s="98"/>
      <c r="D3054" s="98"/>
      <c r="E3054" s="98"/>
      <c r="G3054" s="220"/>
    </row>
    <row r="3055" spans="1:8" s="212" customFormat="1">
      <c r="B3055" s="97"/>
      <c r="C3055" s="98"/>
      <c r="D3055" s="98"/>
      <c r="E3055" s="98"/>
      <c r="F3055" s="220"/>
      <c r="G3055" s="225"/>
      <c r="H3055" s="226"/>
    </row>
    <row r="3056" spans="1:8" s="212" customFormat="1">
      <c r="A3056" s="633"/>
      <c r="B3056" s="633"/>
      <c r="C3056" s="633"/>
      <c r="D3056" s="633"/>
      <c r="E3056" s="633"/>
      <c r="F3056" s="633"/>
      <c r="G3056" s="633"/>
    </row>
    <row r="3057" spans="1:9" s="212" customFormat="1">
      <c r="H3057" s="227"/>
      <c r="I3057" s="228"/>
    </row>
    <row r="3058" spans="1:9" s="212" customFormat="1">
      <c r="A3058" s="658"/>
      <c r="B3058" s="227"/>
      <c r="C3058" s="227"/>
      <c r="D3058" s="227"/>
      <c r="E3058" s="227"/>
      <c r="F3058" s="227"/>
      <c r="G3058" s="227"/>
      <c r="H3058" s="227"/>
      <c r="I3058" s="229"/>
    </row>
    <row r="3059" spans="1:9" s="212" customFormat="1">
      <c r="A3059" s="658"/>
      <c r="B3059" s="227"/>
      <c r="C3059" s="227"/>
      <c r="D3059" s="227"/>
      <c r="E3059" s="227"/>
      <c r="F3059" s="227"/>
      <c r="G3059" s="227"/>
    </row>
    <row r="3060" spans="1:9" s="212" customFormat="1">
      <c r="A3060" s="69"/>
      <c r="B3060" s="69"/>
      <c r="C3060" s="69"/>
      <c r="D3060" s="69"/>
      <c r="E3060" s="69"/>
    </row>
    <row r="3061" spans="1:9" s="212" customFormat="1">
      <c r="A3061" s="120"/>
      <c r="B3061" s="73"/>
      <c r="C3061" s="73"/>
      <c r="D3061" s="73"/>
      <c r="E3061" s="73"/>
      <c r="F3061" s="73"/>
      <c r="G3061" s="73"/>
      <c r="H3061" s="73"/>
    </row>
    <row r="3062" spans="1:9" s="212" customFormat="1">
      <c r="A3062" s="220"/>
      <c r="B3062" s="141"/>
      <c r="C3062" s="141"/>
      <c r="D3062" s="141"/>
      <c r="E3062" s="141"/>
      <c r="F3062" s="141"/>
      <c r="G3062" s="141"/>
      <c r="H3062" s="73"/>
    </row>
    <row r="3063" spans="1:9" s="212" customFormat="1">
      <c r="A3063" s="150"/>
      <c r="B3063" s="83"/>
      <c r="C3063" s="148"/>
      <c r="D3063" s="84"/>
      <c r="E3063" s="84"/>
      <c r="F3063" s="84"/>
      <c r="G3063" s="146"/>
      <c r="H3063" s="221"/>
    </row>
    <row r="3064" spans="1:9" s="212" customFormat="1">
      <c r="A3064" s="84"/>
      <c r="B3064" s="83"/>
      <c r="C3064" s="84"/>
      <c r="D3064" s="84"/>
      <c r="E3064" s="84"/>
      <c r="G3064" s="213"/>
      <c r="H3064" s="222"/>
    </row>
    <row r="3065" spans="1:9" s="212" customFormat="1">
      <c r="A3065" s="120"/>
      <c r="B3065" s="73"/>
      <c r="C3065" s="73"/>
      <c r="D3065" s="73"/>
      <c r="E3065" s="73"/>
      <c r="G3065" s="73"/>
      <c r="H3065" s="222"/>
    </row>
    <row r="3066" spans="1:9" s="212" customFormat="1">
      <c r="A3066" s="220"/>
      <c r="B3066" s="141"/>
      <c r="C3066" s="141"/>
      <c r="D3066" s="141"/>
      <c r="E3066" s="141"/>
      <c r="F3066" s="141"/>
      <c r="G3066" s="141"/>
      <c r="H3066" s="222"/>
    </row>
    <row r="3067" spans="1:9" s="212" customFormat="1" ht="16.5">
      <c r="A3067" s="150"/>
      <c r="B3067" s="161"/>
      <c r="C3067" s="148"/>
      <c r="D3067" s="160"/>
      <c r="E3067" s="84"/>
      <c r="F3067" s="84"/>
      <c r="G3067" s="146"/>
      <c r="H3067" s="221"/>
    </row>
    <row r="3068" spans="1:9" s="212" customFormat="1">
      <c r="A3068" s="91"/>
      <c r="B3068" s="91"/>
      <c r="C3068" s="91"/>
      <c r="D3068" s="91"/>
      <c r="E3068" s="91"/>
      <c r="G3068" s="213"/>
      <c r="H3068" s="222"/>
    </row>
    <row r="3069" spans="1:9" s="212" customFormat="1">
      <c r="A3069" s="120"/>
      <c r="B3069" s="73"/>
      <c r="C3069" s="73"/>
      <c r="D3069" s="73"/>
      <c r="E3069" s="73"/>
      <c r="G3069" s="73"/>
      <c r="H3069" s="222"/>
    </row>
    <row r="3070" spans="1:9" s="212" customFormat="1">
      <c r="A3070" s="220"/>
      <c r="B3070" s="141"/>
      <c r="C3070" s="141"/>
      <c r="D3070" s="141"/>
      <c r="E3070" s="141"/>
      <c r="F3070" s="141"/>
      <c r="G3070" s="141"/>
      <c r="H3070" s="222"/>
    </row>
    <row r="3071" spans="1:9" s="212" customFormat="1">
      <c r="A3071" s="146"/>
      <c r="B3071" s="83"/>
      <c r="C3071" s="148"/>
      <c r="D3071" s="84"/>
      <c r="E3071" s="84"/>
      <c r="F3071" s="84"/>
      <c r="G3071" s="146"/>
      <c r="H3071" s="221"/>
    </row>
    <row r="3072" spans="1:9" s="212" customFormat="1">
      <c r="A3072" s="91"/>
      <c r="B3072" s="91"/>
      <c r="C3072" s="91"/>
      <c r="D3072" s="91"/>
      <c r="E3072" s="91"/>
      <c r="G3072" s="213"/>
      <c r="H3072" s="222"/>
    </row>
    <row r="3073" spans="1:9" s="212" customFormat="1">
      <c r="A3073" s="120"/>
      <c r="B3073" s="73"/>
      <c r="C3073" s="73"/>
      <c r="D3073" s="73"/>
      <c r="E3073" s="73"/>
      <c r="G3073" s="73"/>
      <c r="H3073" s="222"/>
    </row>
    <row r="3074" spans="1:9" s="212" customFormat="1">
      <c r="A3074" s="220"/>
      <c r="B3074" s="141"/>
      <c r="C3074" s="141"/>
      <c r="D3074" s="141"/>
      <c r="E3074" s="141"/>
      <c r="F3074" s="141"/>
      <c r="G3074" s="141"/>
      <c r="H3074" s="222"/>
    </row>
    <row r="3075" spans="1:9" s="212" customFormat="1">
      <c r="A3075" s="142"/>
      <c r="B3075" s="143"/>
      <c r="C3075" s="143"/>
      <c r="D3075" s="143"/>
      <c r="E3075" s="143"/>
      <c r="F3075" s="84"/>
      <c r="G3075" s="146"/>
      <c r="H3075" s="221"/>
    </row>
    <row r="3076" spans="1:9" s="212" customFormat="1">
      <c r="A3076" s="123"/>
      <c r="B3076" s="95"/>
      <c r="C3076" s="95"/>
      <c r="D3076" s="95"/>
      <c r="E3076" s="95"/>
      <c r="G3076" s="213"/>
      <c r="H3076" s="73"/>
    </row>
    <row r="3077" spans="1:9" s="212" customFormat="1">
      <c r="A3077" s="123"/>
      <c r="B3077" s="95"/>
      <c r="C3077" s="95"/>
      <c r="D3077" s="95"/>
      <c r="E3077" s="95"/>
      <c r="G3077" s="73"/>
      <c r="H3077" s="225"/>
    </row>
    <row r="3078" spans="1:9" s="212" customFormat="1">
      <c r="B3078" s="97"/>
      <c r="C3078" s="98"/>
      <c r="D3078" s="98"/>
      <c r="E3078" s="98"/>
      <c r="G3078" s="220"/>
    </row>
    <row r="3079" spans="1:9" s="212" customFormat="1">
      <c r="B3079" s="97"/>
      <c r="C3079" s="98"/>
      <c r="D3079" s="98"/>
      <c r="E3079" s="98"/>
      <c r="F3079" s="220"/>
      <c r="G3079" s="225"/>
      <c r="H3079" s="226"/>
    </row>
    <row r="3080" spans="1:9" s="212" customFormat="1">
      <c r="A3080" s="633"/>
      <c r="B3080" s="633"/>
      <c r="C3080" s="633"/>
      <c r="D3080" s="633"/>
      <c r="E3080" s="633"/>
      <c r="F3080" s="633"/>
      <c r="G3080" s="633"/>
    </row>
    <row r="3081" spans="1:9" s="212" customFormat="1">
      <c r="H3081" s="227"/>
      <c r="I3081" s="228"/>
    </row>
    <row r="3082" spans="1:9" s="212" customFormat="1">
      <c r="A3082" s="658"/>
      <c r="B3082" s="227"/>
      <c r="C3082" s="227"/>
      <c r="D3082" s="227"/>
      <c r="E3082" s="227"/>
      <c r="F3082" s="227"/>
      <c r="G3082" s="227"/>
      <c r="H3082" s="227"/>
      <c r="I3082" s="229"/>
    </row>
    <row r="3083" spans="1:9" s="212" customFormat="1">
      <c r="A3083" s="658"/>
      <c r="B3083" s="227"/>
      <c r="C3083" s="227"/>
      <c r="D3083" s="227"/>
      <c r="E3083" s="227"/>
      <c r="F3083" s="227"/>
      <c r="G3083" s="227"/>
    </row>
    <row r="3084" spans="1:9" s="212" customFormat="1">
      <c r="A3084" s="69"/>
      <c r="B3084" s="69"/>
      <c r="C3084" s="69"/>
      <c r="D3084" s="69"/>
      <c r="E3084" s="69"/>
    </row>
    <row r="3085" spans="1:9" s="212" customFormat="1">
      <c r="A3085" s="120"/>
      <c r="B3085" s="73"/>
      <c r="C3085" s="73"/>
      <c r="D3085" s="73"/>
      <c r="E3085" s="73"/>
      <c r="F3085" s="73"/>
      <c r="G3085" s="73"/>
      <c r="H3085" s="73"/>
    </row>
    <row r="3086" spans="1:9" s="212" customFormat="1">
      <c r="A3086" s="220"/>
      <c r="B3086" s="141"/>
      <c r="C3086" s="141"/>
      <c r="D3086" s="141"/>
      <c r="E3086" s="141"/>
      <c r="F3086" s="141"/>
      <c r="G3086" s="141"/>
      <c r="H3086" s="73"/>
    </row>
    <row r="3087" spans="1:9" s="212" customFormat="1">
      <c r="A3087" s="150"/>
      <c r="B3087" s="83"/>
      <c r="C3087" s="148"/>
      <c r="D3087" s="84"/>
      <c r="E3087" s="84"/>
      <c r="F3087" s="84"/>
      <c r="G3087" s="146"/>
      <c r="H3087" s="221"/>
    </row>
    <row r="3088" spans="1:9" s="212" customFormat="1">
      <c r="A3088" s="84"/>
      <c r="B3088" s="83"/>
      <c r="C3088" s="84"/>
      <c r="D3088" s="84"/>
      <c r="E3088" s="84"/>
      <c r="G3088" s="213"/>
      <c r="H3088" s="222"/>
    </row>
    <row r="3089" spans="1:8" s="212" customFormat="1">
      <c r="A3089" s="120"/>
      <c r="B3089" s="73"/>
      <c r="C3089" s="73"/>
      <c r="D3089" s="73"/>
      <c r="E3089" s="73"/>
      <c r="G3089" s="73"/>
      <c r="H3089" s="222"/>
    </row>
    <row r="3090" spans="1:8" s="212" customFormat="1">
      <c r="A3090" s="220"/>
      <c r="B3090" s="141"/>
      <c r="C3090" s="141"/>
      <c r="D3090" s="141"/>
      <c r="E3090" s="141"/>
      <c r="F3090" s="141"/>
      <c r="G3090" s="141"/>
      <c r="H3090" s="222"/>
    </row>
    <row r="3091" spans="1:8" s="212" customFormat="1" ht="16.5">
      <c r="A3091" s="150"/>
      <c r="B3091" s="161"/>
      <c r="C3091" s="148"/>
      <c r="D3091" s="160"/>
      <c r="E3091" s="84"/>
      <c r="F3091" s="84"/>
      <c r="G3091" s="146"/>
      <c r="H3091" s="221"/>
    </row>
    <row r="3092" spans="1:8" s="212" customFormat="1">
      <c r="A3092" s="91"/>
      <c r="B3092" s="91"/>
      <c r="C3092" s="91"/>
      <c r="D3092" s="91"/>
      <c r="E3092" s="91"/>
      <c r="G3092" s="213"/>
      <c r="H3092" s="222"/>
    </row>
    <row r="3093" spans="1:8" s="212" customFormat="1">
      <c r="A3093" s="120"/>
      <c r="B3093" s="73"/>
      <c r="C3093" s="73"/>
      <c r="D3093" s="73"/>
      <c r="E3093" s="73"/>
      <c r="G3093" s="73"/>
      <c r="H3093" s="222"/>
    </row>
    <row r="3094" spans="1:8" s="212" customFormat="1">
      <c r="A3094" s="220"/>
      <c r="B3094" s="141"/>
      <c r="C3094" s="141"/>
      <c r="D3094" s="141"/>
      <c r="E3094" s="141"/>
      <c r="F3094" s="141"/>
      <c r="G3094" s="141"/>
      <c r="H3094" s="222"/>
    </row>
    <row r="3095" spans="1:8" s="212" customFormat="1">
      <c r="A3095" s="146"/>
      <c r="B3095" s="83"/>
      <c r="C3095" s="148"/>
      <c r="D3095" s="84"/>
      <c r="E3095" s="84"/>
      <c r="F3095" s="84"/>
      <c r="G3095" s="146"/>
      <c r="H3095" s="221"/>
    </row>
    <row r="3096" spans="1:8" s="212" customFormat="1">
      <c r="A3096" s="91"/>
      <c r="B3096" s="91"/>
      <c r="C3096" s="91"/>
      <c r="D3096" s="91"/>
      <c r="E3096" s="91"/>
      <c r="G3096" s="213"/>
      <c r="H3096" s="222"/>
    </row>
    <row r="3097" spans="1:8" s="212" customFormat="1">
      <c r="A3097" s="120"/>
      <c r="B3097" s="73"/>
      <c r="C3097" s="73"/>
      <c r="D3097" s="73"/>
      <c r="E3097" s="73"/>
      <c r="G3097" s="73"/>
      <c r="H3097" s="222"/>
    </row>
    <row r="3098" spans="1:8" s="212" customFormat="1">
      <c r="A3098" s="220"/>
      <c r="B3098" s="141"/>
      <c r="C3098" s="141"/>
      <c r="D3098" s="141"/>
      <c r="E3098" s="141"/>
      <c r="F3098" s="141"/>
      <c r="G3098" s="141"/>
      <c r="H3098" s="222"/>
    </row>
    <row r="3099" spans="1:8" s="212" customFormat="1">
      <c r="A3099" s="142"/>
      <c r="B3099" s="143"/>
      <c r="C3099" s="143"/>
      <c r="D3099" s="143"/>
      <c r="E3099" s="143"/>
      <c r="F3099" s="84"/>
      <c r="G3099" s="146"/>
      <c r="H3099" s="221"/>
    </row>
    <row r="3100" spans="1:8" s="212" customFormat="1">
      <c r="A3100" s="123"/>
      <c r="B3100" s="95"/>
      <c r="C3100" s="95"/>
      <c r="D3100" s="95"/>
      <c r="E3100" s="95"/>
      <c r="G3100" s="213"/>
      <c r="H3100" s="73"/>
    </row>
    <row r="3101" spans="1:8" s="212" customFormat="1">
      <c r="A3101" s="123"/>
      <c r="B3101" s="95"/>
      <c r="C3101" s="95"/>
      <c r="D3101" s="95"/>
      <c r="E3101" s="95"/>
      <c r="G3101" s="73"/>
      <c r="H3101" s="225"/>
    </row>
    <row r="3102" spans="1:8" s="212" customFormat="1">
      <c r="B3102" s="97"/>
      <c r="C3102" s="98"/>
      <c r="D3102" s="98"/>
      <c r="E3102" s="98"/>
      <c r="G3102" s="220"/>
    </row>
    <row r="3103" spans="1:8" s="212" customFormat="1">
      <c r="B3103" s="97"/>
      <c r="C3103" s="98"/>
      <c r="D3103" s="98"/>
      <c r="E3103" s="98"/>
      <c r="F3103" s="220"/>
      <c r="G3103" s="225"/>
      <c r="H3103" s="226"/>
    </row>
    <row r="3104" spans="1:8" s="212" customFormat="1">
      <c r="A3104" s="633"/>
      <c r="B3104" s="633"/>
      <c r="C3104" s="633"/>
      <c r="D3104" s="633"/>
      <c r="E3104" s="633"/>
      <c r="F3104" s="633"/>
      <c r="G3104" s="633"/>
    </row>
    <row r="3105" spans="1:9" s="212" customFormat="1">
      <c r="H3105" s="227"/>
      <c r="I3105" s="228"/>
    </row>
    <row r="3106" spans="1:9" s="212" customFormat="1">
      <c r="A3106" s="658"/>
      <c r="B3106" s="227"/>
      <c r="C3106" s="227"/>
      <c r="D3106" s="227"/>
      <c r="E3106" s="227"/>
      <c r="F3106" s="227"/>
      <c r="G3106" s="227"/>
      <c r="H3106" s="227"/>
      <c r="I3106" s="229"/>
    </row>
    <row r="3107" spans="1:9" s="212" customFormat="1">
      <c r="A3107" s="658"/>
      <c r="B3107" s="227"/>
      <c r="C3107" s="227"/>
      <c r="D3107" s="227"/>
      <c r="E3107" s="227"/>
      <c r="F3107" s="227"/>
      <c r="G3107" s="227"/>
    </row>
    <row r="3108" spans="1:9" s="212" customFormat="1">
      <c r="A3108" s="69"/>
      <c r="B3108" s="69"/>
      <c r="C3108" s="69"/>
      <c r="D3108" s="69"/>
      <c r="E3108" s="69"/>
    </row>
    <row r="3109" spans="1:9" s="212" customFormat="1">
      <c r="A3109" s="120"/>
      <c r="B3109" s="73"/>
      <c r="C3109" s="73"/>
      <c r="D3109" s="73"/>
      <c r="E3109" s="73"/>
      <c r="F3109" s="73"/>
      <c r="G3109" s="73"/>
      <c r="H3109" s="73"/>
    </row>
    <row r="3110" spans="1:9" s="212" customFormat="1">
      <c r="A3110" s="220"/>
      <c r="B3110" s="141"/>
      <c r="C3110" s="141"/>
      <c r="D3110" s="141"/>
      <c r="E3110" s="141"/>
      <c r="F3110" s="141"/>
      <c r="G3110" s="141"/>
      <c r="H3110" s="73"/>
    </row>
    <row r="3111" spans="1:9" s="212" customFormat="1">
      <c r="A3111" s="150"/>
      <c r="B3111" s="83"/>
      <c r="C3111" s="148"/>
      <c r="D3111" s="84"/>
      <c r="E3111" s="84"/>
      <c r="F3111" s="84"/>
      <c r="G3111" s="146"/>
      <c r="H3111" s="221"/>
    </row>
    <row r="3112" spans="1:9" s="212" customFormat="1">
      <c r="A3112" s="84"/>
      <c r="B3112" s="83"/>
      <c r="C3112" s="84"/>
      <c r="D3112" s="84"/>
      <c r="E3112" s="84"/>
      <c r="G3112" s="213"/>
      <c r="H3112" s="222"/>
    </row>
    <row r="3113" spans="1:9" s="212" customFormat="1">
      <c r="A3113" s="120"/>
      <c r="B3113" s="73"/>
      <c r="C3113" s="73"/>
      <c r="D3113" s="73"/>
      <c r="E3113" s="73"/>
      <c r="G3113" s="73"/>
      <c r="H3113" s="222"/>
    </row>
    <row r="3114" spans="1:9" s="212" customFormat="1">
      <c r="A3114" s="220"/>
      <c r="B3114" s="141"/>
      <c r="C3114" s="141"/>
      <c r="D3114" s="141"/>
      <c r="E3114" s="141"/>
      <c r="F3114" s="141"/>
      <c r="G3114" s="141"/>
      <c r="H3114" s="222"/>
    </row>
    <row r="3115" spans="1:9" s="212" customFormat="1" ht="16.5">
      <c r="A3115" s="150"/>
      <c r="B3115" s="161"/>
      <c r="C3115" s="148"/>
      <c r="D3115" s="160"/>
      <c r="E3115" s="84"/>
      <c r="F3115" s="84"/>
      <c r="G3115" s="146"/>
      <c r="H3115" s="221"/>
    </row>
    <row r="3116" spans="1:9" s="212" customFormat="1">
      <c r="A3116" s="91"/>
      <c r="B3116" s="91"/>
      <c r="C3116" s="91"/>
      <c r="D3116" s="91"/>
      <c r="E3116" s="91"/>
      <c r="G3116" s="213"/>
      <c r="H3116" s="222"/>
    </row>
    <row r="3117" spans="1:9" s="212" customFormat="1">
      <c r="A3117" s="120"/>
      <c r="B3117" s="73"/>
      <c r="C3117" s="73"/>
      <c r="D3117" s="73"/>
      <c r="E3117" s="73"/>
      <c r="G3117" s="73"/>
      <c r="H3117" s="222"/>
    </row>
    <row r="3118" spans="1:9" s="212" customFormat="1">
      <c r="A3118" s="220"/>
      <c r="B3118" s="141"/>
      <c r="C3118" s="141"/>
      <c r="D3118" s="141"/>
      <c r="E3118" s="141"/>
      <c r="F3118" s="141"/>
      <c r="G3118" s="141"/>
      <c r="H3118" s="222"/>
    </row>
    <row r="3119" spans="1:9" s="212" customFormat="1">
      <c r="A3119" s="146"/>
      <c r="B3119" s="83"/>
      <c r="C3119" s="148"/>
      <c r="D3119" s="84"/>
      <c r="E3119" s="84"/>
      <c r="F3119" s="84"/>
      <c r="G3119" s="146"/>
      <c r="H3119" s="221"/>
    </row>
    <row r="3120" spans="1:9" s="212" customFormat="1">
      <c r="A3120" s="91"/>
      <c r="B3120" s="91"/>
      <c r="C3120" s="91"/>
      <c r="D3120" s="91"/>
      <c r="E3120" s="91"/>
      <c r="G3120" s="213"/>
      <c r="H3120" s="222"/>
    </row>
    <row r="3121" spans="1:9" s="212" customFormat="1">
      <c r="A3121" s="120"/>
      <c r="B3121" s="73"/>
      <c r="C3121" s="73"/>
      <c r="D3121" s="73"/>
      <c r="E3121" s="73"/>
      <c r="G3121" s="73"/>
      <c r="H3121" s="222"/>
    </row>
    <row r="3122" spans="1:9" s="212" customFormat="1">
      <c r="A3122" s="220"/>
      <c r="B3122" s="141"/>
      <c r="C3122" s="141"/>
      <c r="D3122" s="141"/>
      <c r="E3122" s="141"/>
      <c r="F3122" s="141"/>
      <c r="G3122" s="141"/>
      <c r="H3122" s="222"/>
    </row>
    <row r="3123" spans="1:9" s="212" customFormat="1">
      <c r="A3123" s="142"/>
      <c r="B3123" s="143"/>
      <c r="C3123" s="143"/>
      <c r="D3123" s="143"/>
      <c r="E3123" s="143"/>
      <c r="F3123" s="84"/>
      <c r="G3123" s="146"/>
      <c r="H3123" s="221"/>
    </row>
    <row r="3124" spans="1:9" s="212" customFormat="1">
      <c r="A3124" s="123"/>
      <c r="B3124" s="95"/>
      <c r="C3124" s="95"/>
      <c r="D3124" s="95"/>
      <c r="E3124" s="95"/>
      <c r="G3124" s="213"/>
      <c r="H3124" s="73"/>
    </row>
    <row r="3125" spans="1:9" s="212" customFormat="1">
      <c r="A3125" s="123"/>
      <c r="B3125" s="95"/>
      <c r="C3125" s="95"/>
      <c r="D3125" s="95"/>
      <c r="E3125" s="95"/>
      <c r="G3125" s="73"/>
      <c r="H3125" s="225"/>
    </row>
    <row r="3126" spans="1:9" s="212" customFormat="1">
      <c r="B3126" s="97"/>
      <c r="C3126" s="98"/>
      <c r="D3126" s="98"/>
      <c r="E3126" s="98"/>
      <c r="G3126" s="220"/>
    </row>
    <row r="3127" spans="1:9" s="212" customFormat="1">
      <c r="B3127" s="97"/>
      <c r="C3127" s="98"/>
      <c r="D3127" s="98"/>
      <c r="E3127" s="98"/>
      <c r="F3127" s="220"/>
      <c r="G3127" s="225"/>
      <c r="H3127" s="226"/>
    </row>
    <row r="3128" spans="1:9" s="212" customFormat="1">
      <c r="A3128" s="633"/>
      <c r="B3128" s="633"/>
      <c r="C3128" s="633"/>
      <c r="D3128" s="633"/>
      <c r="E3128" s="633"/>
      <c r="F3128" s="633"/>
      <c r="G3128" s="633"/>
    </row>
    <row r="3129" spans="1:9" s="212" customFormat="1">
      <c r="H3129" s="227"/>
      <c r="I3129" s="228"/>
    </row>
    <row r="3130" spans="1:9" s="212" customFormat="1">
      <c r="A3130" s="658"/>
      <c r="B3130" s="227"/>
      <c r="C3130" s="227"/>
      <c r="D3130" s="227"/>
      <c r="E3130" s="227"/>
      <c r="F3130" s="227"/>
      <c r="G3130" s="227"/>
      <c r="H3130" s="227"/>
      <c r="I3130" s="229"/>
    </row>
    <row r="3131" spans="1:9" s="212" customFormat="1">
      <c r="A3131" s="658"/>
      <c r="B3131" s="227"/>
      <c r="C3131" s="227"/>
      <c r="D3131" s="227"/>
      <c r="E3131" s="227"/>
      <c r="F3131" s="227"/>
      <c r="G3131" s="227"/>
    </row>
    <row r="3132" spans="1:9" s="212" customFormat="1">
      <c r="A3132" s="69"/>
      <c r="B3132" s="69"/>
      <c r="C3132" s="69"/>
      <c r="D3132" s="69"/>
      <c r="E3132" s="69"/>
    </row>
    <row r="3133" spans="1:9" s="212" customFormat="1">
      <c r="A3133" s="120"/>
      <c r="B3133" s="73"/>
      <c r="C3133" s="73"/>
      <c r="D3133" s="73"/>
      <c r="E3133" s="73"/>
      <c r="F3133" s="73"/>
      <c r="G3133" s="73"/>
      <c r="H3133" s="73"/>
    </row>
    <row r="3134" spans="1:9" s="212" customFormat="1">
      <c r="A3134" s="220"/>
      <c r="B3134" s="141"/>
      <c r="C3134" s="141"/>
      <c r="D3134" s="141"/>
      <c r="E3134" s="141"/>
      <c r="F3134" s="141"/>
      <c r="G3134" s="141"/>
      <c r="H3134" s="73"/>
    </row>
    <row r="3135" spans="1:9" s="212" customFormat="1">
      <c r="A3135" s="150"/>
      <c r="B3135" s="83"/>
      <c r="C3135" s="148"/>
      <c r="D3135" s="84"/>
      <c r="E3135" s="84"/>
      <c r="F3135" s="84"/>
      <c r="G3135" s="146"/>
      <c r="H3135" s="221"/>
    </row>
    <row r="3136" spans="1:9" s="212" customFormat="1">
      <c r="A3136" s="84"/>
      <c r="B3136" s="83"/>
      <c r="C3136" s="84"/>
      <c r="D3136" s="84"/>
      <c r="E3136" s="84"/>
      <c r="G3136" s="213"/>
      <c r="H3136" s="222"/>
    </row>
    <row r="3137" spans="1:8" s="212" customFormat="1">
      <c r="A3137" s="120"/>
      <c r="B3137" s="73"/>
      <c r="C3137" s="73"/>
      <c r="D3137" s="73"/>
      <c r="E3137" s="73"/>
      <c r="G3137" s="73"/>
      <c r="H3137" s="222"/>
    </row>
    <row r="3138" spans="1:8" s="212" customFormat="1">
      <c r="A3138" s="220"/>
      <c r="B3138" s="141"/>
      <c r="C3138" s="141"/>
      <c r="D3138" s="141"/>
      <c r="E3138" s="141"/>
      <c r="F3138" s="141"/>
      <c r="G3138" s="141"/>
      <c r="H3138" s="222"/>
    </row>
    <row r="3139" spans="1:8" s="212" customFormat="1" ht="16.5">
      <c r="A3139" s="150"/>
      <c r="B3139" s="161"/>
      <c r="C3139" s="148"/>
      <c r="D3139" s="160"/>
      <c r="E3139" s="84"/>
      <c r="F3139" s="84"/>
      <c r="G3139" s="146"/>
      <c r="H3139" s="221"/>
    </row>
    <row r="3140" spans="1:8" s="212" customFormat="1">
      <c r="A3140" s="91"/>
      <c r="B3140" s="91"/>
      <c r="C3140" s="91"/>
      <c r="D3140" s="91"/>
      <c r="E3140" s="91"/>
      <c r="G3140" s="213"/>
      <c r="H3140" s="222"/>
    </row>
    <row r="3141" spans="1:8" s="212" customFormat="1">
      <c r="A3141" s="120"/>
      <c r="B3141" s="73"/>
      <c r="C3141" s="73"/>
      <c r="D3141" s="73"/>
      <c r="E3141" s="73"/>
      <c r="G3141" s="73"/>
      <c r="H3141" s="222"/>
    </row>
    <row r="3142" spans="1:8" s="212" customFormat="1">
      <c r="A3142" s="220"/>
      <c r="B3142" s="141"/>
      <c r="C3142" s="141"/>
      <c r="D3142" s="141"/>
      <c r="E3142" s="141"/>
      <c r="F3142" s="141"/>
      <c r="G3142" s="141"/>
      <c r="H3142" s="222"/>
    </row>
    <row r="3143" spans="1:8" s="212" customFormat="1">
      <c r="A3143" s="146"/>
      <c r="B3143" s="83"/>
      <c r="C3143" s="148"/>
      <c r="D3143" s="84"/>
      <c r="E3143" s="84"/>
      <c r="F3143" s="84"/>
      <c r="G3143" s="146"/>
      <c r="H3143" s="221"/>
    </row>
    <row r="3144" spans="1:8" s="212" customFormat="1">
      <c r="A3144" s="91"/>
      <c r="B3144" s="91"/>
      <c r="C3144" s="91"/>
      <c r="D3144" s="91"/>
      <c r="E3144" s="91"/>
      <c r="G3144" s="213"/>
      <c r="H3144" s="222"/>
    </row>
    <row r="3145" spans="1:8" s="212" customFormat="1">
      <c r="A3145" s="120"/>
      <c r="B3145" s="73"/>
      <c r="C3145" s="73"/>
      <c r="D3145" s="73"/>
      <c r="E3145" s="73"/>
      <c r="G3145" s="73"/>
      <c r="H3145" s="222"/>
    </row>
    <row r="3146" spans="1:8" s="212" customFormat="1">
      <c r="A3146" s="220"/>
      <c r="B3146" s="141"/>
      <c r="C3146" s="141"/>
      <c r="D3146" s="141"/>
      <c r="E3146" s="141"/>
      <c r="F3146" s="141"/>
      <c r="G3146" s="141"/>
      <c r="H3146" s="222"/>
    </row>
    <row r="3147" spans="1:8" s="212" customFormat="1">
      <c r="A3147" s="142"/>
      <c r="B3147" s="143"/>
      <c r="C3147" s="143"/>
      <c r="D3147" s="143"/>
      <c r="E3147" s="143"/>
      <c r="F3147" s="84"/>
      <c r="G3147" s="146"/>
      <c r="H3147" s="221"/>
    </row>
    <row r="3148" spans="1:8" s="212" customFormat="1">
      <c r="A3148" s="123"/>
      <c r="B3148" s="95"/>
      <c r="C3148" s="95"/>
      <c r="D3148" s="95"/>
      <c r="E3148" s="95"/>
      <c r="G3148" s="213"/>
      <c r="H3148" s="73"/>
    </row>
    <row r="3149" spans="1:8" s="212" customFormat="1">
      <c r="A3149" s="123"/>
      <c r="B3149" s="95"/>
      <c r="C3149" s="95"/>
      <c r="D3149" s="95"/>
      <c r="E3149" s="95"/>
      <c r="G3149" s="73"/>
      <c r="H3149" s="225"/>
    </row>
    <row r="3150" spans="1:8" s="212" customFormat="1">
      <c r="B3150" s="97"/>
      <c r="C3150" s="98"/>
      <c r="D3150" s="98"/>
      <c r="E3150" s="98"/>
      <c r="G3150" s="220"/>
    </row>
    <row r="3151" spans="1:8" s="212" customFormat="1">
      <c r="B3151" s="97"/>
      <c r="C3151" s="98"/>
      <c r="D3151" s="98"/>
      <c r="E3151" s="98"/>
      <c r="F3151" s="220"/>
      <c r="G3151" s="225"/>
      <c r="H3151" s="226"/>
    </row>
    <row r="3152" spans="1:8" s="212" customFormat="1">
      <c r="A3152" s="633"/>
      <c r="B3152" s="633"/>
      <c r="C3152" s="633"/>
      <c r="D3152" s="633"/>
      <c r="E3152" s="633"/>
      <c r="F3152" s="633"/>
      <c r="G3152" s="633"/>
    </row>
    <row r="3153" spans="1:9" s="212" customFormat="1">
      <c r="H3153" s="227"/>
      <c r="I3153" s="228"/>
    </row>
    <row r="3154" spans="1:9" s="212" customFormat="1">
      <c r="A3154" s="658"/>
      <c r="B3154" s="227"/>
      <c r="C3154" s="227"/>
      <c r="D3154" s="227"/>
      <c r="E3154" s="227"/>
      <c r="F3154" s="227"/>
      <c r="G3154" s="227"/>
      <c r="H3154" s="227"/>
      <c r="I3154" s="229"/>
    </row>
    <row r="3155" spans="1:9" s="212" customFormat="1">
      <c r="A3155" s="658"/>
      <c r="B3155" s="227"/>
      <c r="C3155" s="227"/>
      <c r="D3155" s="227"/>
      <c r="E3155" s="227"/>
      <c r="F3155" s="227"/>
      <c r="G3155" s="227"/>
    </row>
    <row r="3156" spans="1:9" s="212" customFormat="1">
      <c r="A3156" s="69"/>
      <c r="B3156" s="69"/>
      <c r="C3156" s="69"/>
      <c r="D3156" s="69"/>
      <c r="E3156" s="69"/>
    </row>
    <row r="3157" spans="1:9" s="212" customFormat="1">
      <c r="A3157" s="120"/>
      <c r="B3157" s="73"/>
      <c r="C3157" s="73"/>
      <c r="D3157" s="73"/>
      <c r="E3157" s="73"/>
      <c r="F3157" s="73"/>
      <c r="G3157" s="73"/>
      <c r="H3157" s="73"/>
    </row>
    <row r="3158" spans="1:9" s="212" customFormat="1">
      <c r="A3158" s="220"/>
      <c r="B3158" s="141"/>
      <c r="C3158" s="141"/>
      <c r="D3158" s="141"/>
      <c r="E3158" s="141"/>
      <c r="F3158" s="141"/>
      <c r="G3158" s="141"/>
      <c r="H3158" s="73"/>
    </row>
    <row r="3159" spans="1:9" s="212" customFormat="1">
      <c r="A3159" s="150"/>
      <c r="B3159" s="83"/>
      <c r="C3159" s="148"/>
      <c r="D3159" s="84"/>
      <c r="E3159" s="84"/>
      <c r="F3159" s="84"/>
      <c r="G3159" s="146"/>
      <c r="H3159" s="221"/>
    </row>
    <row r="3160" spans="1:9" s="212" customFormat="1">
      <c r="A3160" s="84"/>
      <c r="B3160" s="83"/>
      <c r="C3160" s="84"/>
      <c r="D3160" s="84"/>
      <c r="E3160" s="84"/>
      <c r="G3160" s="213"/>
      <c r="H3160" s="222"/>
    </row>
    <row r="3161" spans="1:9" s="212" customFormat="1">
      <c r="A3161" s="120"/>
      <c r="B3161" s="73"/>
      <c r="C3161" s="73"/>
      <c r="D3161" s="73"/>
      <c r="E3161" s="73"/>
      <c r="G3161" s="73"/>
      <c r="H3161" s="222"/>
    </row>
    <row r="3162" spans="1:9" s="212" customFormat="1">
      <c r="A3162" s="220"/>
      <c r="B3162" s="141"/>
      <c r="C3162" s="141"/>
      <c r="D3162" s="141"/>
      <c r="E3162" s="141"/>
      <c r="F3162" s="141"/>
      <c r="G3162" s="141"/>
      <c r="H3162" s="222"/>
    </row>
    <row r="3163" spans="1:9" s="212" customFormat="1" ht="16.5">
      <c r="A3163" s="150"/>
      <c r="B3163" s="161"/>
      <c r="C3163" s="148"/>
      <c r="D3163" s="84"/>
      <c r="E3163" s="84"/>
      <c r="F3163" s="84"/>
      <c r="G3163" s="146"/>
      <c r="H3163" s="222"/>
    </row>
    <row r="3164" spans="1:9" s="212" customFormat="1" ht="16.5">
      <c r="A3164" s="150"/>
      <c r="B3164" s="161"/>
      <c r="C3164" s="148"/>
      <c r="D3164" s="84"/>
      <c r="E3164" s="84"/>
      <c r="F3164" s="84"/>
      <c r="G3164" s="146"/>
      <c r="H3164" s="222"/>
    </row>
    <row r="3165" spans="1:9" s="212" customFormat="1" ht="16.5">
      <c r="A3165" s="150"/>
      <c r="B3165" s="161"/>
      <c r="C3165" s="148"/>
      <c r="D3165" s="84"/>
      <c r="E3165" s="84"/>
      <c r="F3165" s="84"/>
      <c r="G3165" s="146"/>
      <c r="H3165" s="221"/>
    </row>
    <row r="3166" spans="1:9" s="212" customFormat="1">
      <c r="A3166" s="91"/>
      <c r="B3166" s="91"/>
      <c r="C3166" s="91"/>
      <c r="D3166" s="91"/>
      <c r="E3166" s="91"/>
      <c r="G3166" s="213"/>
      <c r="H3166" s="222"/>
    </row>
    <row r="3167" spans="1:9" s="212" customFormat="1">
      <c r="A3167" s="120"/>
      <c r="B3167" s="73"/>
      <c r="C3167" s="73"/>
      <c r="D3167" s="73"/>
      <c r="E3167" s="73"/>
      <c r="G3167" s="73"/>
      <c r="H3167" s="222"/>
    </row>
    <row r="3168" spans="1:9" s="212" customFormat="1">
      <c r="A3168" s="220"/>
      <c r="B3168" s="141"/>
      <c r="C3168" s="141"/>
      <c r="D3168" s="141"/>
      <c r="E3168" s="141"/>
      <c r="F3168" s="141"/>
      <c r="G3168" s="141"/>
      <c r="H3168" s="222"/>
    </row>
    <row r="3169" spans="1:9" s="212" customFormat="1">
      <c r="A3169" s="146"/>
      <c r="B3169" s="83"/>
      <c r="C3169" s="148"/>
      <c r="D3169" s="84"/>
      <c r="E3169" s="84"/>
      <c r="F3169" s="84"/>
      <c r="G3169" s="146"/>
      <c r="H3169" s="222"/>
    </row>
    <row r="3170" spans="1:9" s="212" customFormat="1">
      <c r="A3170" s="146"/>
      <c r="B3170" s="83"/>
      <c r="C3170" s="148"/>
      <c r="D3170" s="84"/>
      <c r="E3170" s="84"/>
      <c r="F3170" s="84"/>
      <c r="G3170" s="146"/>
      <c r="H3170" s="221"/>
    </row>
    <row r="3171" spans="1:9" s="212" customFormat="1">
      <c r="A3171" s="91"/>
      <c r="B3171" s="91"/>
      <c r="C3171" s="91"/>
      <c r="D3171" s="91"/>
      <c r="E3171" s="91"/>
      <c r="G3171" s="213"/>
      <c r="H3171" s="222"/>
    </row>
    <row r="3172" spans="1:9" s="212" customFormat="1">
      <c r="A3172" s="120"/>
      <c r="B3172" s="73"/>
      <c r="C3172" s="73"/>
      <c r="D3172" s="73"/>
      <c r="E3172" s="73"/>
      <c r="G3172" s="73"/>
      <c r="H3172" s="222"/>
    </row>
    <row r="3173" spans="1:9" s="212" customFormat="1">
      <c r="A3173" s="220"/>
      <c r="B3173" s="141"/>
      <c r="C3173" s="141"/>
      <c r="D3173" s="141"/>
      <c r="E3173" s="141"/>
      <c r="F3173" s="141"/>
      <c r="G3173" s="141"/>
      <c r="H3173" s="222"/>
    </row>
    <row r="3174" spans="1:9" s="212" customFormat="1">
      <c r="A3174" s="142"/>
      <c r="B3174" s="143"/>
      <c r="C3174" s="143"/>
      <c r="D3174" s="143"/>
      <c r="E3174" s="143"/>
      <c r="F3174" s="84"/>
      <c r="G3174" s="146"/>
      <c r="H3174" s="221"/>
    </row>
    <row r="3175" spans="1:9" s="212" customFormat="1">
      <c r="A3175" s="123"/>
      <c r="B3175" s="95"/>
      <c r="C3175" s="95"/>
      <c r="D3175" s="95"/>
      <c r="E3175" s="95"/>
      <c r="G3175" s="213"/>
      <c r="H3175" s="73"/>
    </row>
    <row r="3176" spans="1:9" s="212" customFormat="1">
      <c r="A3176" s="123"/>
      <c r="B3176" s="95"/>
      <c r="C3176" s="95"/>
      <c r="D3176" s="95"/>
      <c r="E3176" s="95"/>
      <c r="G3176" s="73"/>
      <c r="H3176" s="225"/>
    </row>
    <row r="3177" spans="1:9" s="212" customFormat="1">
      <c r="B3177" s="97"/>
      <c r="C3177" s="98"/>
      <c r="D3177" s="98"/>
      <c r="E3177" s="98"/>
      <c r="G3177" s="220"/>
    </row>
    <row r="3178" spans="1:9" s="212" customFormat="1">
      <c r="B3178" s="97"/>
      <c r="C3178" s="98"/>
      <c r="D3178" s="98"/>
      <c r="E3178" s="98"/>
      <c r="F3178" s="220"/>
      <c r="G3178" s="225"/>
      <c r="H3178" s="226"/>
    </row>
    <row r="3179" spans="1:9" s="212" customFormat="1">
      <c r="A3179" s="633"/>
      <c r="B3179" s="633"/>
      <c r="C3179" s="633"/>
      <c r="D3179" s="633"/>
      <c r="E3179" s="633"/>
      <c r="F3179" s="633"/>
      <c r="G3179" s="633"/>
    </row>
    <row r="3180" spans="1:9" s="212" customFormat="1">
      <c r="H3180" s="227"/>
      <c r="I3180" s="228"/>
    </row>
    <row r="3181" spans="1:9" s="212" customFormat="1">
      <c r="A3181" s="658"/>
      <c r="B3181" s="227"/>
      <c r="C3181" s="227"/>
      <c r="D3181" s="227"/>
      <c r="E3181" s="227"/>
      <c r="F3181" s="227"/>
      <c r="G3181" s="227"/>
      <c r="H3181" s="227"/>
      <c r="I3181" s="229"/>
    </row>
    <row r="3182" spans="1:9" s="212" customFormat="1">
      <c r="A3182" s="658"/>
      <c r="B3182" s="227"/>
      <c r="C3182" s="227"/>
      <c r="D3182" s="227"/>
      <c r="E3182" s="227"/>
      <c r="F3182" s="227"/>
      <c r="G3182" s="227"/>
    </row>
    <row r="3183" spans="1:9" s="212" customFormat="1">
      <c r="A3183" s="69"/>
      <c r="B3183" s="69"/>
      <c r="C3183" s="69"/>
      <c r="D3183" s="69"/>
      <c r="E3183" s="69"/>
    </row>
    <row r="3184" spans="1:9" s="212" customFormat="1">
      <c r="A3184" s="120"/>
      <c r="B3184" s="73"/>
      <c r="C3184" s="73"/>
      <c r="D3184" s="73"/>
      <c r="E3184" s="73"/>
      <c r="F3184" s="73"/>
      <c r="G3184" s="73"/>
      <c r="H3184" s="73"/>
    </row>
    <row r="3185" spans="1:8" s="212" customFormat="1">
      <c r="A3185" s="220"/>
      <c r="B3185" s="141"/>
      <c r="C3185" s="141"/>
      <c r="D3185" s="141"/>
      <c r="E3185" s="141"/>
      <c r="F3185" s="141"/>
      <c r="G3185" s="141"/>
      <c r="H3185" s="73"/>
    </row>
    <row r="3186" spans="1:8" s="212" customFormat="1">
      <c r="A3186" s="142"/>
      <c r="B3186" s="143"/>
      <c r="C3186" s="143"/>
      <c r="D3186" s="84"/>
      <c r="E3186" s="84"/>
      <c r="F3186" s="84"/>
      <c r="G3186" s="146"/>
      <c r="H3186" s="221"/>
    </row>
    <row r="3187" spans="1:8" s="212" customFormat="1">
      <c r="A3187" s="84"/>
      <c r="B3187" s="83"/>
      <c r="C3187" s="84"/>
      <c r="D3187" s="84"/>
      <c r="E3187" s="84"/>
      <c r="G3187" s="213"/>
      <c r="H3187" s="222"/>
    </row>
    <row r="3188" spans="1:8" s="212" customFormat="1">
      <c r="A3188" s="120"/>
      <c r="B3188" s="73"/>
      <c r="C3188" s="73"/>
      <c r="D3188" s="73"/>
      <c r="E3188" s="73"/>
      <c r="G3188" s="73"/>
      <c r="H3188" s="222"/>
    </row>
    <row r="3189" spans="1:8" s="212" customFormat="1">
      <c r="A3189" s="220"/>
      <c r="B3189" s="141"/>
      <c r="C3189" s="141"/>
      <c r="D3189" s="141"/>
      <c r="E3189" s="141"/>
      <c r="F3189" s="141"/>
      <c r="G3189" s="141"/>
      <c r="H3189" s="222"/>
    </row>
    <row r="3190" spans="1:8" s="212" customFormat="1">
      <c r="A3190" s="142"/>
      <c r="B3190" s="143"/>
      <c r="C3190" s="143"/>
      <c r="D3190" s="143"/>
      <c r="E3190" s="143"/>
      <c r="F3190" s="84"/>
      <c r="G3190" s="146"/>
      <c r="H3190" s="221"/>
    </row>
    <row r="3191" spans="1:8" s="212" customFormat="1">
      <c r="A3191" s="91"/>
      <c r="B3191" s="91"/>
      <c r="C3191" s="91"/>
      <c r="D3191" s="91"/>
      <c r="E3191" s="91"/>
      <c r="G3191" s="213"/>
      <c r="H3191" s="222"/>
    </row>
    <row r="3192" spans="1:8" s="212" customFormat="1">
      <c r="A3192" s="120"/>
      <c r="B3192" s="73"/>
      <c r="C3192" s="73"/>
      <c r="D3192" s="73"/>
      <c r="E3192" s="73"/>
      <c r="G3192" s="73"/>
      <c r="H3192" s="222"/>
    </row>
    <row r="3193" spans="1:8" s="212" customFormat="1">
      <c r="A3193" s="220"/>
      <c r="B3193" s="141"/>
      <c r="C3193" s="141"/>
      <c r="D3193" s="141"/>
      <c r="E3193" s="141"/>
      <c r="F3193" s="141"/>
      <c r="G3193" s="141"/>
      <c r="H3193" s="222"/>
    </row>
    <row r="3194" spans="1:8" s="212" customFormat="1">
      <c r="A3194" s="142"/>
      <c r="B3194" s="143"/>
      <c r="C3194" s="143"/>
      <c r="D3194" s="143"/>
      <c r="E3194" s="143"/>
      <c r="F3194" s="84"/>
      <c r="G3194" s="146"/>
      <c r="H3194" s="221"/>
    </row>
    <row r="3195" spans="1:8" s="212" customFormat="1">
      <c r="A3195" s="91"/>
      <c r="B3195" s="91"/>
      <c r="C3195" s="91"/>
      <c r="D3195" s="91"/>
      <c r="E3195" s="91"/>
      <c r="G3195" s="213"/>
      <c r="H3195" s="222"/>
    </row>
    <row r="3196" spans="1:8" s="212" customFormat="1">
      <c r="A3196" s="120"/>
      <c r="B3196" s="73"/>
      <c r="C3196" s="73"/>
      <c r="D3196" s="73"/>
      <c r="E3196" s="73"/>
      <c r="G3196" s="73"/>
      <c r="H3196" s="222"/>
    </row>
    <row r="3197" spans="1:8" s="212" customFormat="1">
      <c r="A3197" s="220"/>
      <c r="B3197" s="141"/>
      <c r="C3197" s="141"/>
      <c r="D3197" s="141"/>
      <c r="E3197" s="141"/>
      <c r="F3197" s="141"/>
      <c r="G3197" s="141"/>
      <c r="H3197" s="222"/>
    </row>
    <row r="3198" spans="1:8" s="212" customFormat="1">
      <c r="A3198" s="142"/>
      <c r="B3198" s="143"/>
      <c r="C3198" s="143"/>
      <c r="D3198" s="143"/>
      <c r="E3198" s="143"/>
      <c r="F3198" s="84"/>
      <c r="G3198" s="146"/>
      <c r="H3198" s="221"/>
    </row>
    <row r="3199" spans="1:8" s="212" customFormat="1">
      <c r="A3199" s="123"/>
      <c r="B3199" s="95"/>
      <c r="C3199" s="95"/>
      <c r="D3199" s="95"/>
      <c r="E3199" s="95"/>
      <c r="G3199" s="213"/>
      <c r="H3199" s="73"/>
    </row>
    <row r="3200" spans="1:8" s="212" customFormat="1">
      <c r="A3200" s="123"/>
      <c r="B3200" s="95"/>
      <c r="C3200" s="95"/>
      <c r="D3200" s="95"/>
      <c r="E3200" s="95"/>
      <c r="G3200" s="73"/>
      <c r="H3200" s="225"/>
    </row>
    <row r="3201" spans="1:9" s="212" customFormat="1">
      <c r="B3201" s="97"/>
      <c r="C3201" s="98"/>
      <c r="D3201" s="98"/>
      <c r="E3201" s="98"/>
      <c r="G3201" s="220"/>
    </row>
    <row r="3202" spans="1:9" s="212" customFormat="1">
      <c r="B3202" s="97"/>
      <c r="C3202" s="98"/>
      <c r="D3202" s="98"/>
      <c r="E3202" s="98"/>
      <c r="F3202" s="220"/>
      <c r="G3202" s="225"/>
      <c r="H3202" s="226"/>
    </row>
    <row r="3203" spans="1:9" s="212" customFormat="1">
      <c r="A3203" s="633"/>
      <c r="B3203" s="633"/>
      <c r="C3203" s="633"/>
      <c r="D3203" s="633"/>
      <c r="E3203" s="633"/>
      <c r="F3203" s="633"/>
      <c r="G3203" s="633"/>
    </row>
    <row r="3204" spans="1:9" s="212" customFormat="1">
      <c r="H3204" s="227"/>
      <c r="I3204" s="228"/>
    </row>
    <row r="3205" spans="1:9" s="212" customFormat="1">
      <c r="A3205" s="658"/>
      <c r="B3205" s="227"/>
      <c r="C3205" s="227"/>
      <c r="D3205" s="227"/>
      <c r="E3205" s="227"/>
      <c r="F3205" s="227"/>
      <c r="G3205" s="227"/>
      <c r="H3205" s="227"/>
      <c r="I3205" s="229"/>
    </row>
    <row r="3206" spans="1:9" s="212" customFormat="1">
      <c r="A3206" s="658"/>
      <c r="B3206" s="227"/>
      <c r="C3206" s="227"/>
      <c r="D3206" s="227"/>
      <c r="E3206" s="227"/>
      <c r="F3206" s="227"/>
      <c r="G3206" s="227"/>
    </row>
    <row r="3207" spans="1:9" s="212" customFormat="1">
      <c r="A3207" s="69"/>
      <c r="B3207" s="69"/>
      <c r="C3207" s="69"/>
      <c r="D3207" s="69"/>
      <c r="E3207" s="69"/>
    </row>
    <row r="3208" spans="1:9" s="212" customFormat="1">
      <c r="A3208" s="120"/>
      <c r="B3208" s="73"/>
      <c r="C3208" s="73"/>
      <c r="D3208" s="73"/>
      <c r="E3208" s="73"/>
      <c r="F3208" s="73"/>
      <c r="G3208" s="73"/>
      <c r="H3208" s="73"/>
    </row>
    <row r="3209" spans="1:9" s="212" customFormat="1">
      <c r="A3209" s="220"/>
      <c r="B3209" s="141"/>
      <c r="C3209" s="141"/>
      <c r="D3209" s="141"/>
      <c r="E3209" s="141"/>
      <c r="F3209" s="141"/>
      <c r="G3209" s="141"/>
      <c r="H3209" s="73"/>
    </row>
    <row r="3210" spans="1:9" s="212" customFormat="1">
      <c r="A3210" s="142"/>
      <c r="B3210" s="167"/>
      <c r="C3210" s="143"/>
      <c r="D3210" s="84"/>
      <c r="E3210" s="84"/>
      <c r="F3210" s="84"/>
      <c r="G3210" s="146"/>
      <c r="H3210" s="73"/>
    </row>
    <row r="3211" spans="1:9" s="212" customFormat="1">
      <c r="A3211" s="142"/>
      <c r="B3211" s="167"/>
      <c r="C3211" s="143"/>
      <c r="D3211" s="84"/>
      <c r="E3211" s="84"/>
      <c r="F3211" s="84"/>
      <c r="G3211" s="146"/>
      <c r="H3211" s="221"/>
    </row>
    <row r="3212" spans="1:9" s="212" customFormat="1">
      <c r="A3212" s="84"/>
      <c r="B3212" s="83"/>
      <c r="C3212" s="84"/>
      <c r="D3212" s="84"/>
      <c r="E3212" s="84"/>
      <c r="G3212" s="213"/>
      <c r="H3212" s="222"/>
    </row>
    <row r="3213" spans="1:9" s="212" customFormat="1">
      <c r="A3213" s="120"/>
      <c r="B3213" s="73"/>
      <c r="C3213" s="73"/>
      <c r="D3213" s="73"/>
      <c r="E3213" s="73"/>
      <c r="G3213" s="73"/>
      <c r="H3213" s="222"/>
    </row>
    <row r="3214" spans="1:9" s="212" customFormat="1">
      <c r="A3214" s="220"/>
      <c r="B3214" s="141"/>
      <c r="C3214" s="141"/>
      <c r="D3214" s="141"/>
      <c r="E3214" s="141"/>
      <c r="F3214" s="141"/>
      <c r="G3214" s="141"/>
      <c r="H3214" s="222"/>
    </row>
    <row r="3215" spans="1:9" s="212" customFormat="1">
      <c r="A3215" s="142"/>
      <c r="B3215" s="167"/>
      <c r="C3215" s="143"/>
      <c r="D3215" s="84"/>
      <c r="E3215" s="84"/>
      <c r="F3215" s="84"/>
      <c r="G3215" s="146"/>
      <c r="H3215" s="222"/>
    </row>
    <row r="3216" spans="1:9" s="212" customFormat="1">
      <c r="A3216" s="142"/>
      <c r="B3216" s="167"/>
      <c r="C3216" s="143"/>
      <c r="D3216" s="84"/>
      <c r="E3216" s="84"/>
      <c r="F3216" s="84"/>
      <c r="G3216" s="146"/>
      <c r="H3216" s="222"/>
    </row>
    <row r="3217" spans="1:9" s="212" customFormat="1">
      <c r="A3217" s="142"/>
      <c r="B3217" s="167"/>
      <c r="C3217" s="143"/>
      <c r="D3217" s="84"/>
      <c r="E3217" s="84"/>
      <c r="F3217" s="84"/>
      <c r="G3217" s="146"/>
      <c r="H3217" s="221"/>
    </row>
    <row r="3218" spans="1:9" s="212" customFormat="1">
      <c r="A3218" s="91"/>
      <c r="B3218" s="91"/>
      <c r="C3218" s="91"/>
      <c r="D3218" s="91"/>
      <c r="E3218" s="91"/>
      <c r="G3218" s="213"/>
      <c r="H3218" s="222"/>
    </row>
    <row r="3219" spans="1:9" s="212" customFormat="1">
      <c r="A3219" s="120"/>
      <c r="B3219" s="73"/>
      <c r="C3219" s="73"/>
      <c r="D3219" s="73"/>
      <c r="E3219" s="73"/>
      <c r="G3219" s="73"/>
      <c r="H3219" s="222"/>
    </row>
    <row r="3220" spans="1:9" s="212" customFormat="1">
      <c r="A3220" s="220"/>
      <c r="B3220" s="141"/>
      <c r="C3220" s="141"/>
      <c r="D3220" s="141"/>
      <c r="E3220" s="141"/>
      <c r="F3220" s="141"/>
      <c r="G3220" s="141"/>
      <c r="H3220" s="222"/>
    </row>
    <row r="3221" spans="1:9" s="212" customFormat="1">
      <c r="A3221" s="142"/>
      <c r="B3221" s="167"/>
      <c r="C3221" s="143"/>
      <c r="D3221" s="84"/>
      <c r="E3221" s="84"/>
      <c r="F3221" s="84"/>
      <c r="G3221" s="146"/>
      <c r="H3221" s="221"/>
    </row>
    <row r="3222" spans="1:9" s="212" customFormat="1">
      <c r="A3222" s="91"/>
      <c r="B3222" s="91"/>
      <c r="C3222" s="91"/>
      <c r="D3222" s="91"/>
      <c r="E3222" s="91"/>
      <c r="G3222" s="213"/>
      <c r="H3222" s="222"/>
    </row>
    <row r="3223" spans="1:9" s="212" customFormat="1">
      <c r="A3223" s="120"/>
      <c r="B3223" s="73"/>
      <c r="C3223" s="73"/>
      <c r="D3223" s="73"/>
      <c r="E3223" s="73"/>
      <c r="G3223" s="73"/>
      <c r="H3223" s="222"/>
    </row>
    <row r="3224" spans="1:9" s="212" customFormat="1">
      <c r="A3224" s="220"/>
      <c r="B3224" s="141"/>
      <c r="C3224" s="141"/>
      <c r="D3224" s="141"/>
      <c r="E3224" s="141"/>
      <c r="F3224" s="141"/>
      <c r="G3224" s="141"/>
      <c r="H3224" s="222"/>
    </row>
    <row r="3225" spans="1:9" s="212" customFormat="1">
      <c r="A3225" s="142"/>
      <c r="B3225" s="143"/>
      <c r="C3225" s="143"/>
      <c r="D3225" s="143"/>
      <c r="E3225" s="143"/>
      <c r="F3225" s="84"/>
      <c r="G3225" s="146"/>
      <c r="H3225" s="221"/>
    </row>
    <row r="3226" spans="1:9" s="212" customFormat="1">
      <c r="A3226" s="123"/>
      <c r="B3226" s="95"/>
      <c r="C3226" s="95"/>
      <c r="D3226" s="95"/>
      <c r="E3226" s="95"/>
      <c r="G3226" s="213"/>
      <c r="H3226" s="73"/>
    </row>
    <row r="3227" spans="1:9" s="212" customFormat="1">
      <c r="A3227" s="123"/>
      <c r="B3227" s="95"/>
      <c r="C3227" s="95"/>
      <c r="D3227" s="95"/>
      <c r="E3227" s="95"/>
      <c r="G3227" s="73"/>
      <c r="H3227" s="225"/>
    </row>
    <row r="3228" spans="1:9" s="212" customFormat="1">
      <c r="B3228" s="97"/>
      <c r="C3228" s="98"/>
      <c r="D3228" s="98"/>
      <c r="E3228" s="98"/>
      <c r="G3228" s="220"/>
    </row>
    <row r="3229" spans="1:9" s="212" customFormat="1">
      <c r="B3229" s="97"/>
      <c r="C3229" s="98"/>
      <c r="D3229" s="98"/>
      <c r="E3229" s="98"/>
      <c r="F3229" s="220"/>
      <c r="G3229" s="225"/>
      <c r="H3229" s="226"/>
    </row>
    <row r="3230" spans="1:9" s="212" customFormat="1">
      <c r="A3230" s="633"/>
      <c r="B3230" s="633"/>
      <c r="C3230" s="633"/>
      <c r="D3230" s="633"/>
      <c r="E3230" s="633"/>
      <c r="F3230" s="633"/>
      <c r="G3230" s="633"/>
    </row>
    <row r="3231" spans="1:9" s="212" customFormat="1">
      <c r="H3231" s="227"/>
      <c r="I3231" s="228"/>
    </row>
    <row r="3232" spans="1:9" s="212" customFormat="1">
      <c r="A3232" s="658"/>
      <c r="B3232" s="227"/>
      <c r="C3232" s="227"/>
      <c r="D3232" s="227"/>
      <c r="E3232" s="227"/>
      <c r="F3232" s="227"/>
      <c r="G3232" s="227"/>
      <c r="H3232" s="227"/>
      <c r="I3232" s="229"/>
    </row>
    <row r="3233" spans="1:8" s="212" customFormat="1">
      <c r="A3233" s="658"/>
      <c r="B3233" s="227"/>
      <c r="C3233" s="227"/>
      <c r="D3233" s="227"/>
      <c r="E3233" s="227"/>
      <c r="F3233" s="227"/>
      <c r="G3233" s="227"/>
    </row>
    <row r="3234" spans="1:8" s="212" customFormat="1">
      <c r="A3234" s="69"/>
      <c r="B3234" s="69"/>
      <c r="C3234" s="69"/>
      <c r="D3234" s="69"/>
      <c r="E3234" s="69"/>
    </row>
    <row r="3235" spans="1:8" s="212" customFormat="1">
      <c r="A3235" s="120"/>
      <c r="B3235" s="73"/>
      <c r="C3235" s="73"/>
      <c r="D3235" s="73"/>
      <c r="E3235" s="73"/>
      <c r="F3235" s="73"/>
      <c r="G3235" s="73"/>
      <c r="H3235" s="73"/>
    </row>
    <row r="3236" spans="1:8" s="212" customFormat="1">
      <c r="A3236" s="220"/>
      <c r="B3236" s="141"/>
      <c r="C3236" s="141"/>
      <c r="D3236" s="141"/>
      <c r="E3236" s="141"/>
      <c r="F3236" s="141"/>
      <c r="G3236" s="141"/>
      <c r="H3236" s="73"/>
    </row>
    <row r="3237" spans="1:8" s="212" customFormat="1">
      <c r="A3237" s="142"/>
      <c r="B3237" s="143"/>
      <c r="C3237" s="143"/>
      <c r="D3237" s="143"/>
      <c r="E3237" s="143"/>
      <c r="F3237" s="84"/>
      <c r="G3237" s="146"/>
      <c r="H3237" s="221"/>
    </row>
    <row r="3238" spans="1:8" s="212" customFormat="1">
      <c r="A3238" s="84"/>
      <c r="B3238" s="83"/>
      <c r="C3238" s="84"/>
      <c r="D3238" s="84"/>
      <c r="E3238" s="84"/>
      <c r="G3238" s="213"/>
      <c r="H3238" s="222"/>
    </row>
    <row r="3239" spans="1:8" s="212" customFormat="1">
      <c r="A3239" s="120"/>
      <c r="B3239" s="73"/>
      <c r="C3239" s="73"/>
      <c r="D3239" s="73"/>
      <c r="E3239" s="73"/>
      <c r="G3239" s="73"/>
      <c r="H3239" s="222"/>
    </row>
    <row r="3240" spans="1:8" s="212" customFormat="1">
      <c r="A3240" s="220"/>
      <c r="B3240" s="141"/>
      <c r="C3240" s="141"/>
      <c r="D3240" s="141"/>
      <c r="E3240" s="141"/>
      <c r="F3240" s="141"/>
      <c r="G3240" s="141"/>
      <c r="H3240" s="222"/>
    </row>
    <row r="3241" spans="1:8" s="212" customFormat="1">
      <c r="A3241" s="142"/>
      <c r="B3241" s="143"/>
      <c r="C3241" s="143"/>
      <c r="D3241" s="84"/>
      <c r="E3241" s="84"/>
      <c r="F3241" s="84"/>
      <c r="G3241" s="146"/>
      <c r="H3241" s="221"/>
    </row>
    <row r="3242" spans="1:8" s="212" customFormat="1">
      <c r="A3242" s="91"/>
      <c r="B3242" s="91"/>
      <c r="C3242" s="91"/>
      <c r="D3242" s="91"/>
      <c r="E3242" s="91"/>
      <c r="G3242" s="213"/>
      <c r="H3242" s="222"/>
    </row>
    <row r="3243" spans="1:8" s="212" customFormat="1">
      <c r="A3243" s="120"/>
      <c r="B3243" s="73"/>
      <c r="C3243" s="73"/>
      <c r="D3243" s="73"/>
      <c r="E3243" s="73"/>
      <c r="G3243" s="73"/>
      <c r="H3243" s="222"/>
    </row>
    <row r="3244" spans="1:8" s="212" customFormat="1">
      <c r="A3244" s="220"/>
      <c r="B3244" s="141"/>
      <c r="C3244" s="141"/>
      <c r="D3244" s="141"/>
      <c r="E3244" s="141"/>
      <c r="F3244" s="141"/>
      <c r="G3244" s="141"/>
      <c r="H3244" s="222"/>
    </row>
    <row r="3245" spans="1:8" s="212" customFormat="1">
      <c r="A3245" s="142"/>
      <c r="B3245" s="143"/>
      <c r="C3245" s="143"/>
      <c r="D3245" s="143"/>
      <c r="E3245" s="143"/>
      <c r="F3245" s="84"/>
      <c r="G3245" s="146"/>
      <c r="H3245" s="221"/>
    </row>
    <row r="3246" spans="1:8" s="212" customFormat="1">
      <c r="A3246" s="91"/>
      <c r="B3246" s="91"/>
      <c r="C3246" s="91"/>
      <c r="D3246" s="91"/>
      <c r="E3246" s="91"/>
      <c r="G3246" s="213"/>
      <c r="H3246" s="222"/>
    </row>
    <row r="3247" spans="1:8" s="212" customFormat="1">
      <c r="A3247" s="120"/>
      <c r="B3247" s="73"/>
      <c r="C3247" s="73"/>
      <c r="D3247" s="73"/>
      <c r="E3247" s="73"/>
      <c r="G3247" s="73"/>
      <c r="H3247" s="222"/>
    </row>
    <row r="3248" spans="1:8" s="212" customFormat="1">
      <c r="A3248" s="220"/>
      <c r="B3248" s="141"/>
      <c r="C3248" s="141"/>
      <c r="D3248" s="141"/>
      <c r="E3248" s="141"/>
      <c r="F3248" s="141"/>
      <c r="G3248" s="141"/>
      <c r="H3248" s="222"/>
    </row>
    <row r="3249" spans="1:9" s="212" customFormat="1">
      <c r="A3249" s="142"/>
      <c r="B3249" s="143"/>
      <c r="C3249" s="143"/>
      <c r="D3249" s="143"/>
      <c r="E3249" s="143"/>
      <c r="F3249" s="84"/>
      <c r="G3249" s="146"/>
      <c r="H3249" s="221"/>
    </row>
    <row r="3250" spans="1:9" s="212" customFormat="1">
      <c r="A3250" s="123"/>
      <c r="B3250" s="95"/>
      <c r="C3250" s="95"/>
      <c r="D3250" s="95"/>
      <c r="E3250" s="95"/>
      <c r="G3250" s="213"/>
      <c r="H3250" s="73"/>
    </row>
    <row r="3251" spans="1:9" s="212" customFormat="1">
      <c r="A3251" s="123"/>
      <c r="B3251" s="95"/>
      <c r="C3251" s="95"/>
      <c r="D3251" s="95"/>
      <c r="E3251" s="95"/>
      <c r="G3251" s="73"/>
      <c r="H3251" s="225"/>
    </row>
    <row r="3252" spans="1:9" s="212" customFormat="1">
      <c r="B3252" s="97"/>
      <c r="C3252" s="98"/>
      <c r="D3252" s="98"/>
      <c r="E3252" s="98"/>
      <c r="G3252" s="220"/>
    </row>
    <row r="3253" spans="1:9" s="212" customFormat="1">
      <c r="B3253" s="97"/>
      <c r="C3253" s="98"/>
      <c r="D3253" s="98"/>
      <c r="E3253" s="98"/>
      <c r="F3253" s="220"/>
      <c r="G3253" s="225"/>
      <c r="H3253" s="226"/>
    </row>
    <row r="3254" spans="1:9" s="212" customFormat="1">
      <c r="A3254" s="633"/>
      <c r="B3254" s="633"/>
      <c r="C3254" s="633"/>
      <c r="D3254" s="633"/>
      <c r="E3254" s="633"/>
      <c r="F3254" s="633"/>
      <c r="G3254" s="633"/>
    </row>
    <row r="3255" spans="1:9" s="212" customFormat="1">
      <c r="H3255" s="227"/>
      <c r="I3255" s="228"/>
    </row>
    <row r="3256" spans="1:9" s="212" customFormat="1">
      <c r="A3256" s="658"/>
      <c r="B3256" s="227"/>
      <c r="C3256" s="227"/>
      <c r="D3256" s="227"/>
      <c r="E3256" s="227"/>
      <c r="F3256" s="227"/>
      <c r="G3256" s="227"/>
      <c r="H3256" s="227"/>
      <c r="I3256" s="229"/>
    </row>
    <row r="3257" spans="1:9" s="212" customFormat="1">
      <c r="A3257" s="658"/>
      <c r="B3257" s="227"/>
      <c r="C3257" s="227"/>
      <c r="D3257" s="227"/>
      <c r="E3257" s="227"/>
      <c r="F3257" s="227"/>
      <c r="G3257" s="227"/>
    </row>
    <row r="3258" spans="1:9" s="212" customFormat="1">
      <c r="A3258" s="69"/>
      <c r="B3258" s="69"/>
      <c r="C3258" s="69"/>
      <c r="D3258" s="69"/>
      <c r="E3258" s="69"/>
    </row>
    <row r="3259" spans="1:9" s="212" customFormat="1">
      <c r="A3259" s="120"/>
      <c r="B3259" s="73"/>
      <c r="C3259" s="73"/>
      <c r="D3259" s="73"/>
      <c r="E3259" s="73"/>
      <c r="F3259" s="73"/>
      <c r="G3259" s="73"/>
      <c r="H3259" s="73"/>
    </row>
    <row r="3260" spans="1:9" s="212" customFormat="1">
      <c r="A3260" s="220"/>
      <c r="B3260" s="141"/>
      <c r="C3260" s="141"/>
      <c r="D3260" s="141"/>
      <c r="E3260" s="141"/>
      <c r="F3260" s="141"/>
      <c r="G3260" s="141"/>
      <c r="H3260" s="73"/>
    </row>
    <row r="3261" spans="1:9" s="212" customFormat="1">
      <c r="A3261" s="142"/>
      <c r="B3261" s="143"/>
      <c r="C3261" s="143"/>
      <c r="D3261" s="143"/>
      <c r="E3261" s="143"/>
      <c r="F3261" s="84"/>
      <c r="G3261" s="146"/>
      <c r="H3261" s="221"/>
    </row>
    <row r="3262" spans="1:9" s="212" customFormat="1">
      <c r="A3262" s="84"/>
      <c r="B3262" s="83"/>
      <c r="C3262" s="84"/>
      <c r="D3262" s="84"/>
      <c r="E3262" s="84"/>
      <c r="G3262" s="213"/>
      <c r="H3262" s="222"/>
    </row>
    <row r="3263" spans="1:9" s="212" customFormat="1">
      <c r="A3263" s="120"/>
      <c r="B3263" s="73"/>
      <c r="C3263" s="73"/>
      <c r="D3263" s="73"/>
      <c r="E3263" s="73"/>
      <c r="G3263" s="73"/>
      <c r="H3263" s="222"/>
    </row>
    <row r="3264" spans="1:9" s="212" customFormat="1">
      <c r="A3264" s="220"/>
      <c r="B3264" s="141"/>
      <c r="C3264" s="141"/>
      <c r="D3264" s="141"/>
      <c r="E3264" s="141"/>
      <c r="F3264" s="141"/>
      <c r="G3264" s="141"/>
      <c r="H3264" s="222"/>
    </row>
    <row r="3265" spans="1:8" s="212" customFormat="1" ht="16.5">
      <c r="A3265" s="150"/>
      <c r="B3265" s="161"/>
      <c r="C3265" s="148"/>
      <c r="D3265" s="84"/>
      <c r="E3265" s="84"/>
      <c r="F3265" s="84"/>
      <c r="G3265" s="224"/>
      <c r="H3265" s="222"/>
    </row>
    <row r="3266" spans="1:8" s="212" customFormat="1" ht="16.5">
      <c r="A3266" s="150"/>
      <c r="B3266" s="161"/>
      <c r="C3266" s="148"/>
      <c r="D3266" s="84"/>
      <c r="E3266" s="84"/>
      <c r="F3266" s="84"/>
      <c r="G3266" s="224"/>
      <c r="H3266" s="222"/>
    </row>
    <row r="3267" spans="1:8" s="212" customFormat="1" ht="16.5">
      <c r="A3267" s="150"/>
      <c r="B3267" s="161"/>
      <c r="C3267" s="148"/>
      <c r="D3267" s="84"/>
      <c r="E3267" s="84"/>
      <c r="F3267" s="84"/>
      <c r="G3267" s="224"/>
      <c r="H3267" s="222"/>
    </row>
    <row r="3268" spans="1:8" s="212" customFormat="1" ht="16.5">
      <c r="A3268" s="150"/>
      <c r="B3268" s="161"/>
      <c r="C3268" s="148"/>
      <c r="D3268" s="84"/>
      <c r="E3268" s="84"/>
      <c r="F3268" s="84"/>
      <c r="G3268" s="224"/>
      <c r="H3268" s="222"/>
    </row>
    <row r="3269" spans="1:8" s="212" customFormat="1" ht="16.5">
      <c r="A3269" s="150"/>
      <c r="B3269" s="161"/>
      <c r="C3269" s="148"/>
      <c r="D3269" s="84"/>
      <c r="E3269" s="84"/>
      <c r="F3269" s="84"/>
      <c r="G3269" s="224"/>
      <c r="H3269" s="222"/>
    </row>
    <row r="3270" spans="1:8" s="212" customFormat="1" ht="16.5">
      <c r="A3270" s="150"/>
      <c r="B3270" s="161"/>
      <c r="C3270" s="148"/>
      <c r="D3270" s="84"/>
      <c r="E3270" s="84"/>
      <c r="F3270" s="84"/>
      <c r="G3270" s="224"/>
      <c r="H3270" s="221"/>
    </row>
    <row r="3271" spans="1:8" s="212" customFormat="1">
      <c r="A3271" s="91"/>
      <c r="B3271" s="91"/>
      <c r="C3271" s="91"/>
      <c r="D3271" s="91"/>
      <c r="E3271" s="91"/>
      <c r="G3271" s="213"/>
      <c r="H3271" s="222"/>
    </row>
    <row r="3272" spans="1:8" s="212" customFormat="1">
      <c r="A3272" s="120"/>
      <c r="B3272" s="73"/>
      <c r="C3272" s="73"/>
      <c r="D3272" s="73"/>
      <c r="E3272" s="73"/>
      <c r="G3272" s="73"/>
      <c r="H3272" s="222"/>
    </row>
    <row r="3273" spans="1:8" s="212" customFormat="1">
      <c r="A3273" s="220"/>
      <c r="B3273" s="141"/>
      <c r="C3273" s="141"/>
      <c r="D3273" s="141"/>
      <c r="E3273" s="141"/>
      <c r="F3273" s="141"/>
      <c r="G3273" s="141"/>
      <c r="H3273" s="222"/>
    </row>
    <row r="3274" spans="1:8" s="212" customFormat="1">
      <c r="A3274" s="146"/>
      <c r="B3274" s="83"/>
      <c r="C3274" s="148"/>
      <c r="D3274" s="84"/>
      <c r="E3274" s="84"/>
      <c r="F3274" s="84"/>
      <c r="G3274" s="146"/>
      <c r="H3274" s="221"/>
    </row>
    <row r="3275" spans="1:8" s="212" customFormat="1">
      <c r="A3275" s="91"/>
      <c r="B3275" s="91"/>
      <c r="C3275" s="91"/>
      <c r="D3275" s="91"/>
      <c r="E3275" s="91"/>
      <c r="G3275" s="213"/>
      <c r="H3275" s="222"/>
    </row>
    <row r="3276" spans="1:8" s="212" customFormat="1">
      <c r="A3276" s="120"/>
      <c r="B3276" s="73"/>
      <c r="C3276" s="73"/>
      <c r="D3276" s="73"/>
      <c r="E3276" s="73"/>
      <c r="G3276" s="73"/>
      <c r="H3276" s="222"/>
    </row>
    <row r="3277" spans="1:8" s="212" customFormat="1">
      <c r="A3277" s="220"/>
      <c r="B3277" s="141"/>
      <c r="C3277" s="141"/>
      <c r="D3277" s="141"/>
      <c r="E3277" s="141"/>
      <c r="F3277" s="141"/>
      <c r="G3277" s="141"/>
      <c r="H3277" s="222"/>
    </row>
    <row r="3278" spans="1:8" s="212" customFormat="1">
      <c r="A3278" s="142"/>
      <c r="B3278" s="143"/>
      <c r="C3278" s="143"/>
      <c r="D3278" s="143"/>
      <c r="E3278" s="143"/>
      <c r="F3278" s="84"/>
      <c r="G3278" s="146"/>
      <c r="H3278" s="221"/>
    </row>
    <row r="3279" spans="1:8" s="212" customFormat="1">
      <c r="A3279" s="123"/>
      <c r="B3279" s="95"/>
      <c r="C3279" s="95"/>
      <c r="D3279" s="95"/>
      <c r="E3279" s="95"/>
      <c r="G3279" s="213"/>
      <c r="H3279" s="73"/>
    </row>
    <row r="3280" spans="1:8" s="212" customFormat="1">
      <c r="A3280" s="123"/>
      <c r="B3280" s="95"/>
      <c r="C3280" s="95"/>
      <c r="D3280" s="95"/>
      <c r="E3280" s="95"/>
      <c r="G3280" s="73"/>
      <c r="H3280" s="225"/>
    </row>
    <row r="3281" spans="1:10" s="212" customFormat="1">
      <c r="B3281" s="97"/>
      <c r="C3281" s="98"/>
      <c r="D3281" s="98"/>
      <c r="E3281" s="98"/>
      <c r="G3281" s="220"/>
    </row>
    <row r="3282" spans="1:10" s="212" customFormat="1">
      <c r="B3282" s="97"/>
      <c r="C3282" s="98"/>
      <c r="D3282" s="98"/>
      <c r="E3282" s="98"/>
      <c r="F3282" s="220"/>
      <c r="G3282" s="225"/>
      <c r="H3282" s="226"/>
    </row>
    <row r="3283" spans="1:10" s="212" customFormat="1">
      <c r="A3283" s="633"/>
      <c r="B3283" s="633"/>
      <c r="C3283" s="633"/>
      <c r="D3283" s="633"/>
      <c r="E3283" s="633"/>
      <c r="F3283" s="633"/>
      <c r="G3283" s="633"/>
    </row>
    <row r="3284" spans="1:10">
      <c r="A3284" s="212"/>
      <c r="B3284" s="212"/>
      <c r="C3284" s="212"/>
      <c r="D3284" s="212"/>
      <c r="E3284" s="212"/>
      <c r="F3284" s="212"/>
      <c r="G3284" s="212"/>
      <c r="H3284" s="227"/>
      <c r="I3284" s="228"/>
      <c r="J3284" s="231"/>
    </row>
    <row r="3285" spans="1:10" s="212" customFormat="1">
      <c r="A3285" s="658"/>
      <c r="B3285" s="227"/>
      <c r="C3285" s="227"/>
      <c r="D3285" s="227"/>
      <c r="E3285" s="227"/>
      <c r="F3285" s="227"/>
      <c r="G3285" s="227"/>
      <c r="H3285" s="227"/>
      <c r="I3285" s="229"/>
    </row>
    <row r="3286" spans="1:10" s="212" customFormat="1">
      <c r="A3286" s="658"/>
      <c r="B3286" s="227"/>
      <c r="C3286" s="227"/>
      <c r="D3286" s="227"/>
      <c r="E3286" s="227"/>
      <c r="F3286" s="227"/>
      <c r="G3286" s="227"/>
    </row>
    <row r="3287" spans="1:10" s="212" customFormat="1">
      <c r="A3287" s="69"/>
      <c r="B3287" s="69"/>
      <c r="C3287" s="69"/>
      <c r="D3287" s="69"/>
      <c r="E3287" s="69"/>
    </row>
    <row r="3288" spans="1:10" s="212" customFormat="1" ht="15" customHeight="1">
      <c r="A3288" s="120"/>
      <c r="B3288" s="73"/>
      <c r="C3288" s="73"/>
      <c r="D3288" s="73"/>
      <c r="E3288" s="73"/>
      <c r="F3288" s="73"/>
      <c r="G3288" s="73"/>
      <c r="H3288" s="73"/>
    </row>
    <row r="3289" spans="1:10" s="212" customFormat="1">
      <c r="A3289" s="220"/>
      <c r="B3289" s="141"/>
      <c r="C3289" s="141"/>
      <c r="D3289" s="141"/>
      <c r="E3289" s="141"/>
      <c r="F3289" s="141"/>
      <c r="G3289" s="141"/>
      <c r="H3289" s="73"/>
    </row>
    <row r="3290" spans="1:10" s="212" customFormat="1" ht="14.25" customHeight="1">
      <c r="A3290" s="142"/>
      <c r="B3290" s="143"/>
      <c r="C3290" s="143"/>
      <c r="D3290" s="143"/>
      <c r="E3290" s="143"/>
      <c r="F3290" s="84"/>
      <c r="G3290" s="146"/>
      <c r="H3290" s="221"/>
    </row>
    <row r="3291" spans="1:10" s="212" customFormat="1" ht="14.25" customHeight="1">
      <c r="A3291" s="84"/>
      <c r="B3291" s="83"/>
      <c r="C3291" s="84"/>
      <c r="D3291" s="84"/>
      <c r="E3291" s="84"/>
      <c r="G3291" s="213"/>
      <c r="H3291" s="222"/>
    </row>
    <row r="3292" spans="1:10" s="212" customFormat="1" ht="14.25" customHeight="1">
      <c r="A3292" s="120"/>
      <c r="B3292" s="73"/>
      <c r="C3292" s="73"/>
      <c r="D3292" s="73"/>
      <c r="E3292" s="73"/>
      <c r="G3292" s="73"/>
      <c r="H3292" s="222"/>
    </row>
    <row r="3293" spans="1:10" s="212" customFormat="1" ht="14.25" customHeight="1">
      <c r="A3293" s="220"/>
      <c r="B3293" s="141"/>
      <c r="C3293" s="141"/>
      <c r="D3293" s="141"/>
      <c r="E3293" s="141"/>
      <c r="F3293" s="141"/>
      <c r="G3293" s="141"/>
      <c r="H3293" s="222"/>
    </row>
    <row r="3294" spans="1:10" s="212" customFormat="1" ht="16.5">
      <c r="A3294" s="150"/>
      <c r="B3294" s="161"/>
      <c r="C3294" s="148"/>
      <c r="D3294" s="84"/>
      <c r="E3294" s="84"/>
      <c r="F3294" s="84"/>
      <c r="G3294" s="224"/>
      <c r="H3294" s="222"/>
    </row>
    <row r="3295" spans="1:10" s="212" customFormat="1" ht="16.5">
      <c r="A3295" s="150"/>
      <c r="B3295" s="161"/>
      <c r="C3295" s="148"/>
      <c r="D3295" s="84"/>
      <c r="E3295" s="84"/>
      <c r="F3295" s="84"/>
      <c r="G3295" s="224"/>
      <c r="H3295" s="222"/>
    </row>
    <row r="3296" spans="1:10" s="212" customFormat="1" ht="16.5">
      <c r="A3296" s="150"/>
      <c r="B3296" s="161"/>
      <c r="C3296" s="148"/>
      <c r="D3296" s="84"/>
      <c r="E3296" s="84"/>
      <c r="F3296" s="84"/>
      <c r="G3296" s="224"/>
      <c r="H3296" s="222"/>
    </row>
    <row r="3297" spans="1:9" s="212" customFormat="1" ht="16.5">
      <c r="A3297" s="150"/>
      <c r="B3297" s="161"/>
      <c r="C3297" s="148"/>
      <c r="D3297" s="84"/>
      <c r="E3297" s="84"/>
      <c r="F3297" s="84"/>
      <c r="G3297" s="224"/>
      <c r="H3297" s="222"/>
    </row>
    <row r="3298" spans="1:9" s="212" customFormat="1" ht="16.5">
      <c r="A3298" s="150"/>
      <c r="B3298" s="161"/>
      <c r="C3298" s="148"/>
      <c r="D3298" s="84"/>
      <c r="E3298" s="84"/>
      <c r="F3298" s="84"/>
      <c r="G3298" s="224"/>
      <c r="H3298" s="222"/>
    </row>
    <row r="3299" spans="1:9" s="212" customFormat="1" ht="16.5">
      <c r="A3299" s="150"/>
      <c r="B3299" s="161"/>
      <c r="C3299" s="148"/>
      <c r="D3299" s="84"/>
      <c r="E3299" s="84"/>
      <c r="F3299" s="84"/>
      <c r="G3299" s="224"/>
      <c r="H3299" s="221"/>
    </row>
    <row r="3300" spans="1:9" s="212" customFormat="1">
      <c r="A3300" s="91"/>
      <c r="B3300" s="91"/>
      <c r="C3300" s="91"/>
      <c r="D3300" s="91"/>
      <c r="E3300" s="91"/>
      <c r="G3300" s="213"/>
      <c r="H3300" s="222"/>
    </row>
    <row r="3301" spans="1:9" s="212" customFormat="1">
      <c r="A3301" s="120"/>
      <c r="B3301" s="73"/>
      <c r="C3301" s="73"/>
      <c r="D3301" s="73"/>
      <c r="E3301" s="73"/>
      <c r="G3301" s="73"/>
      <c r="H3301" s="222"/>
    </row>
    <row r="3302" spans="1:9" s="212" customFormat="1">
      <c r="A3302" s="220"/>
      <c r="B3302" s="141"/>
      <c r="C3302" s="141"/>
      <c r="D3302" s="141"/>
      <c r="E3302" s="141"/>
      <c r="F3302" s="141"/>
      <c r="G3302" s="141"/>
      <c r="H3302" s="222"/>
    </row>
    <row r="3303" spans="1:9" s="212" customFormat="1">
      <c r="A3303" s="146"/>
      <c r="B3303" s="83"/>
      <c r="C3303" s="148"/>
      <c r="D3303" s="84"/>
      <c r="E3303" s="84"/>
      <c r="F3303" s="84"/>
      <c r="G3303" s="146"/>
      <c r="H3303" s="221"/>
    </row>
    <row r="3304" spans="1:9" s="212" customFormat="1">
      <c r="A3304" s="91"/>
      <c r="B3304" s="91"/>
      <c r="C3304" s="91"/>
      <c r="D3304" s="91"/>
      <c r="E3304" s="91"/>
      <c r="G3304" s="213"/>
      <c r="H3304" s="222"/>
    </row>
    <row r="3305" spans="1:9" s="212" customFormat="1">
      <c r="A3305" s="120"/>
      <c r="B3305" s="73"/>
      <c r="C3305" s="73"/>
      <c r="D3305" s="73"/>
      <c r="E3305" s="73"/>
      <c r="G3305" s="73"/>
      <c r="H3305" s="222"/>
    </row>
    <row r="3306" spans="1:9" s="212" customFormat="1">
      <c r="A3306" s="220"/>
      <c r="B3306" s="141"/>
      <c r="C3306" s="141"/>
      <c r="D3306" s="141"/>
      <c r="E3306" s="141"/>
      <c r="F3306" s="141"/>
      <c r="G3306" s="141"/>
      <c r="H3306" s="222"/>
    </row>
    <row r="3307" spans="1:9" s="212" customFormat="1">
      <c r="A3307" s="142"/>
      <c r="B3307" s="143"/>
      <c r="C3307" s="143"/>
      <c r="D3307" s="143"/>
      <c r="E3307" s="143"/>
      <c r="F3307" s="84"/>
      <c r="G3307" s="146"/>
      <c r="H3307" s="221"/>
    </row>
    <row r="3308" spans="1:9" s="212" customFormat="1">
      <c r="A3308" s="123"/>
      <c r="B3308" s="95"/>
      <c r="C3308" s="95"/>
      <c r="D3308" s="95"/>
      <c r="E3308" s="95"/>
      <c r="G3308" s="213"/>
      <c r="H3308" s="73"/>
    </row>
    <row r="3309" spans="1:9" s="212" customFormat="1">
      <c r="A3309" s="123"/>
      <c r="B3309" s="95"/>
      <c r="C3309" s="95"/>
      <c r="D3309" s="95"/>
      <c r="E3309" s="95"/>
      <c r="G3309" s="73"/>
      <c r="H3309" s="225"/>
    </row>
    <row r="3310" spans="1:9" s="212" customFormat="1">
      <c r="B3310" s="97"/>
      <c r="C3310" s="98"/>
      <c r="D3310" s="98"/>
      <c r="E3310" s="98"/>
      <c r="G3310" s="220"/>
    </row>
    <row r="3311" spans="1:9" s="212" customFormat="1">
      <c r="B3311" s="97"/>
      <c r="C3311" s="98"/>
      <c r="D3311" s="98"/>
      <c r="E3311" s="98"/>
      <c r="F3311" s="220"/>
      <c r="G3311" s="225"/>
      <c r="H3311" s="226"/>
    </row>
    <row r="3312" spans="1:9" s="212" customFormat="1">
      <c r="A3312" s="633"/>
      <c r="B3312" s="633"/>
      <c r="C3312" s="633"/>
      <c r="D3312" s="633"/>
      <c r="E3312" s="633"/>
      <c r="F3312" s="633"/>
      <c r="G3312" s="633"/>
      <c r="H3312" s="216"/>
      <c r="I3312" s="216"/>
    </row>
    <row r="3313" spans="1:9" s="212" customFormat="1">
      <c r="A3313" s="216"/>
      <c r="B3313" s="216"/>
      <c r="C3313" s="216"/>
      <c r="D3313" s="216"/>
      <c r="E3313" s="216"/>
      <c r="F3313" s="216"/>
      <c r="G3313" s="216"/>
      <c r="H3313" s="227"/>
      <c r="I3313" s="228"/>
    </row>
    <row r="3314" spans="1:9" s="212" customFormat="1">
      <c r="A3314" s="658"/>
      <c r="B3314" s="227"/>
      <c r="C3314" s="227"/>
      <c r="D3314" s="227"/>
      <c r="E3314" s="227"/>
      <c r="F3314" s="227"/>
      <c r="G3314" s="227"/>
      <c r="H3314" s="227"/>
      <c r="I3314" s="229"/>
    </row>
    <row r="3315" spans="1:9" s="212" customFormat="1">
      <c r="A3315" s="658"/>
      <c r="B3315" s="227"/>
      <c r="C3315" s="227"/>
      <c r="D3315" s="227"/>
      <c r="E3315" s="227"/>
      <c r="F3315" s="227"/>
      <c r="G3315" s="227"/>
    </row>
    <row r="3316" spans="1:9" s="212" customFormat="1">
      <c r="A3316" s="69"/>
      <c r="B3316" s="69"/>
      <c r="C3316" s="69"/>
      <c r="D3316" s="69"/>
      <c r="E3316" s="69"/>
    </row>
    <row r="3317" spans="1:9" s="212" customFormat="1">
      <c r="A3317" s="120"/>
      <c r="B3317" s="73"/>
      <c r="C3317" s="73"/>
      <c r="D3317" s="73"/>
      <c r="E3317" s="73"/>
      <c r="F3317" s="73"/>
      <c r="G3317" s="73"/>
      <c r="H3317" s="73"/>
    </row>
    <row r="3318" spans="1:9" s="212" customFormat="1">
      <c r="A3318" s="220"/>
      <c r="B3318" s="141"/>
      <c r="C3318" s="141"/>
      <c r="D3318" s="141"/>
      <c r="E3318" s="141"/>
      <c r="F3318" s="141"/>
      <c r="G3318" s="141"/>
      <c r="H3318" s="73"/>
    </row>
    <row r="3319" spans="1:9" s="212" customFormat="1" ht="16.5">
      <c r="A3319" s="150"/>
      <c r="B3319" s="161"/>
      <c r="C3319" s="148"/>
      <c r="D3319" s="84"/>
      <c r="E3319" s="84"/>
      <c r="F3319" s="84"/>
      <c r="G3319" s="224"/>
      <c r="H3319" s="73"/>
    </row>
    <row r="3320" spans="1:9" s="212" customFormat="1" ht="16.5">
      <c r="A3320" s="150"/>
      <c r="B3320" s="161"/>
      <c r="C3320" s="148"/>
      <c r="D3320" s="84"/>
      <c r="E3320" s="84"/>
      <c r="F3320" s="84"/>
      <c r="G3320" s="224"/>
      <c r="H3320" s="73"/>
    </row>
    <row r="3321" spans="1:9" s="212" customFormat="1" ht="16.5">
      <c r="A3321" s="150"/>
      <c r="B3321" s="161"/>
      <c r="C3321" s="148"/>
      <c r="D3321" s="84"/>
      <c r="E3321" s="84"/>
      <c r="F3321" s="84"/>
      <c r="G3321" s="224"/>
      <c r="H3321" s="221"/>
    </row>
    <row r="3322" spans="1:9" s="212" customFormat="1">
      <c r="A3322" s="84"/>
      <c r="B3322" s="83"/>
      <c r="C3322" s="84"/>
      <c r="D3322" s="84"/>
      <c r="E3322" s="84"/>
      <c r="G3322" s="213"/>
      <c r="H3322" s="222"/>
    </row>
    <row r="3323" spans="1:9" s="212" customFormat="1">
      <c r="A3323" s="120"/>
      <c r="B3323" s="73"/>
      <c r="C3323" s="73"/>
      <c r="D3323" s="73"/>
      <c r="E3323" s="73"/>
      <c r="G3323" s="73"/>
      <c r="H3323" s="222"/>
    </row>
    <row r="3324" spans="1:9" s="212" customFormat="1">
      <c r="A3324" s="220"/>
      <c r="B3324" s="141"/>
      <c r="C3324" s="141"/>
      <c r="D3324" s="141"/>
      <c r="E3324" s="141"/>
      <c r="F3324" s="141"/>
      <c r="G3324" s="141"/>
      <c r="H3324" s="222"/>
    </row>
    <row r="3325" spans="1:9" s="212" customFormat="1">
      <c r="A3325" s="142"/>
      <c r="B3325" s="143"/>
      <c r="C3325" s="143"/>
      <c r="D3325" s="143"/>
      <c r="E3325" s="143"/>
      <c r="F3325" s="84"/>
      <c r="G3325" s="146"/>
      <c r="H3325" s="221"/>
    </row>
    <row r="3326" spans="1:9" s="212" customFormat="1">
      <c r="A3326" s="91"/>
      <c r="B3326" s="91"/>
      <c r="C3326" s="91"/>
      <c r="D3326" s="91"/>
      <c r="E3326" s="91"/>
      <c r="G3326" s="213"/>
      <c r="H3326" s="222"/>
    </row>
    <row r="3327" spans="1:9" s="212" customFormat="1">
      <c r="A3327" s="120"/>
      <c r="B3327" s="73"/>
      <c r="C3327" s="73"/>
      <c r="D3327" s="73"/>
      <c r="E3327" s="73"/>
      <c r="G3327" s="73"/>
      <c r="H3327" s="222"/>
    </row>
    <row r="3328" spans="1:9" s="212" customFormat="1">
      <c r="A3328" s="220"/>
      <c r="B3328" s="141"/>
      <c r="C3328" s="141"/>
      <c r="D3328" s="141"/>
      <c r="E3328" s="141"/>
      <c r="F3328" s="141"/>
      <c r="G3328" s="141"/>
      <c r="H3328" s="222"/>
    </row>
    <row r="3329" spans="1:9" s="212" customFormat="1">
      <c r="A3329" s="142"/>
      <c r="B3329" s="143"/>
      <c r="C3329" s="143"/>
      <c r="D3329" s="143"/>
      <c r="E3329" s="143"/>
      <c r="F3329" s="84"/>
      <c r="G3329" s="146"/>
      <c r="H3329" s="221"/>
    </row>
    <row r="3330" spans="1:9" s="212" customFormat="1">
      <c r="A3330" s="91"/>
      <c r="B3330" s="91"/>
      <c r="C3330" s="91"/>
      <c r="D3330" s="91"/>
      <c r="E3330" s="91"/>
      <c r="G3330" s="213"/>
      <c r="H3330" s="222"/>
    </row>
    <row r="3331" spans="1:9" s="212" customFormat="1">
      <c r="A3331" s="120"/>
      <c r="B3331" s="73"/>
      <c r="C3331" s="73"/>
      <c r="D3331" s="73"/>
      <c r="E3331" s="73"/>
      <c r="G3331" s="73"/>
      <c r="H3331" s="222"/>
    </row>
    <row r="3332" spans="1:9" s="212" customFormat="1">
      <c r="A3332" s="220"/>
      <c r="B3332" s="141"/>
      <c r="C3332" s="141"/>
      <c r="D3332" s="141"/>
      <c r="E3332" s="141"/>
      <c r="F3332" s="141"/>
      <c r="G3332" s="141"/>
      <c r="H3332" s="222"/>
    </row>
    <row r="3333" spans="1:9" s="212" customFormat="1">
      <c r="A3333" s="142"/>
      <c r="B3333" s="143"/>
      <c r="C3333" s="143"/>
      <c r="D3333" s="143"/>
      <c r="E3333" s="143"/>
      <c r="F3333" s="84"/>
      <c r="G3333" s="146"/>
      <c r="H3333" s="221"/>
    </row>
    <row r="3334" spans="1:9" s="212" customFormat="1">
      <c r="A3334" s="123"/>
      <c r="B3334" s="95"/>
      <c r="C3334" s="95"/>
      <c r="D3334" s="95"/>
      <c r="E3334" s="95"/>
      <c r="G3334" s="213"/>
      <c r="H3334" s="73"/>
    </row>
    <row r="3335" spans="1:9" s="212" customFormat="1">
      <c r="A3335" s="123"/>
      <c r="B3335" s="95"/>
      <c r="C3335" s="95"/>
      <c r="D3335" s="95"/>
      <c r="E3335" s="95"/>
      <c r="G3335" s="73"/>
      <c r="H3335" s="225"/>
    </row>
    <row r="3336" spans="1:9" s="212" customFormat="1">
      <c r="B3336" s="97"/>
      <c r="C3336" s="98"/>
      <c r="D3336" s="98"/>
      <c r="E3336" s="98"/>
      <c r="G3336" s="220"/>
    </row>
    <row r="3337" spans="1:9" s="212" customFormat="1">
      <c r="B3337" s="97"/>
      <c r="C3337" s="98"/>
      <c r="D3337" s="98"/>
      <c r="E3337" s="98"/>
      <c r="F3337" s="220"/>
      <c r="G3337" s="225"/>
      <c r="H3337" s="226"/>
    </row>
    <row r="3338" spans="1:9" s="212" customFormat="1">
      <c r="A3338" s="633"/>
      <c r="B3338" s="633"/>
      <c r="C3338" s="633"/>
      <c r="D3338" s="633"/>
      <c r="E3338" s="633"/>
      <c r="F3338" s="633"/>
      <c r="G3338" s="633"/>
    </row>
    <row r="3339" spans="1:9" s="212" customFormat="1">
      <c r="H3339" s="227"/>
      <c r="I3339" s="228"/>
    </row>
    <row r="3340" spans="1:9" s="212" customFormat="1">
      <c r="A3340" s="658"/>
      <c r="B3340" s="227"/>
      <c r="C3340" s="227"/>
      <c r="D3340" s="227"/>
      <c r="E3340" s="227"/>
      <c r="F3340" s="227"/>
      <c r="G3340" s="227"/>
      <c r="H3340" s="227"/>
      <c r="I3340" s="229"/>
    </row>
    <row r="3341" spans="1:9" s="212" customFormat="1">
      <c r="A3341" s="658"/>
      <c r="B3341" s="227"/>
      <c r="C3341" s="227"/>
      <c r="D3341" s="227"/>
      <c r="E3341" s="227"/>
      <c r="F3341" s="227"/>
      <c r="G3341" s="227"/>
    </row>
    <row r="3342" spans="1:9" s="212" customFormat="1">
      <c r="A3342" s="69"/>
      <c r="B3342" s="69"/>
      <c r="C3342" s="69"/>
      <c r="D3342" s="69"/>
      <c r="E3342" s="69"/>
    </row>
    <row r="3343" spans="1:9" s="212" customFormat="1">
      <c r="A3343" s="120"/>
      <c r="B3343" s="73"/>
      <c r="C3343" s="73"/>
      <c r="D3343" s="73"/>
      <c r="E3343" s="73"/>
      <c r="F3343" s="73"/>
      <c r="G3343" s="73"/>
      <c r="H3343" s="73"/>
    </row>
    <row r="3344" spans="1:9" s="212" customFormat="1">
      <c r="A3344" s="220"/>
      <c r="B3344" s="141"/>
      <c r="C3344" s="141"/>
      <c r="D3344" s="141"/>
      <c r="E3344" s="141"/>
      <c r="F3344" s="141"/>
      <c r="G3344" s="141"/>
      <c r="H3344" s="73"/>
    </row>
    <row r="3345" spans="1:8" s="212" customFormat="1" ht="16.5">
      <c r="A3345" s="150"/>
      <c r="B3345" s="161"/>
      <c r="C3345" s="148"/>
      <c r="D3345" s="84"/>
      <c r="E3345" s="84"/>
      <c r="F3345" s="84"/>
      <c r="G3345" s="224"/>
      <c r="H3345" s="221"/>
    </row>
    <row r="3346" spans="1:8" s="212" customFormat="1">
      <c r="A3346" s="84"/>
      <c r="B3346" s="83"/>
      <c r="C3346" s="84"/>
      <c r="D3346" s="84"/>
      <c r="E3346" s="84"/>
      <c r="G3346" s="213"/>
      <c r="H3346" s="222"/>
    </row>
    <row r="3347" spans="1:8" s="212" customFormat="1">
      <c r="A3347" s="120"/>
      <c r="B3347" s="73"/>
      <c r="C3347" s="73"/>
      <c r="D3347" s="73"/>
      <c r="E3347" s="73"/>
      <c r="G3347" s="73"/>
      <c r="H3347" s="222"/>
    </row>
    <row r="3348" spans="1:8" s="212" customFormat="1">
      <c r="A3348" s="220"/>
      <c r="B3348" s="141"/>
      <c r="C3348" s="141"/>
      <c r="D3348" s="141"/>
      <c r="E3348" s="141"/>
      <c r="F3348" s="141"/>
      <c r="G3348" s="141"/>
      <c r="H3348" s="222"/>
    </row>
    <row r="3349" spans="1:8" s="212" customFormat="1" ht="16.5">
      <c r="A3349" s="150"/>
      <c r="B3349" s="161"/>
      <c r="C3349" s="148"/>
      <c r="D3349" s="84"/>
      <c r="E3349" s="84"/>
      <c r="F3349" s="84"/>
      <c r="G3349" s="224"/>
      <c r="H3349" s="222"/>
    </row>
    <row r="3350" spans="1:8" s="212" customFormat="1" ht="16.5">
      <c r="A3350" s="150"/>
      <c r="B3350" s="161"/>
      <c r="C3350" s="148"/>
      <c r="D3350" s="84"/>
      <c r="E3350" s="84"/>
      <c r="F3350" s="84"/>
      <c r="G3350" s="224"/>
      <c r="H3350" s="222"/>
    </row>
    <row r="3351" spans="1:8" s="212" customFormat="1" ht="16.5">
      <c r="A3351" s="150"/>
      <c r="B3351" s="161"/>
      <c r="C3351" s="148"/>
      <c r="D3351" s="84"/>
      <c r="E3351" s="84"/>
      <c r="F3351" s="84"/>
      <c r="G3351" s="224"/>
      <c r="H3351" s="222"/>
    </row>
    <row r="3352" spans="1:8" s="212" customFormat="1" ht="16.5">
      <c r="A3352" s="150"/>
      <c r="B3352" s="161"/>
      <c r="C3352" s="148"/>
      <c r="D3352" s="84"/>
      <c r="E3352" s="84"/>
      <c r="F3352" s="84"/>
      <c r="G3352" s="224"/>
      <c r="H3352" s="222"/>
    </row>
    <row r="3353" spans="1:8" s="212" customFormat="1" ht="16.5">
      <c r="A3353" s="150"/>
      <c r="B3353" s="161"/>
      <c r="C3353" s="148"/>
      <c r="D3353" s="84"/>
      <c r="E3353" s="84"/>
      <c r="F3353" s="84"/>
      <c r="G3353" s="224"/>
      <c r="H3353" s="221"/>
    </row>
    <row r="3354" spans="1:8" s="212" customFormat="1">
      <c r="A3354" s="91"/>
      <c r="B3354" s="91"/>
      <c r="C3354" s="91"/>
      <c r="D3354" s="91"/>
      <c r="E3354" s="91"/>
      <c r="G3354" s="213"/>
      <c r="H3354" s="222"/>
    </row>
    <row r="3355" spans="1:8" s="212" customFormat="1">
      <c r="A3355" s="120"/>
      <c r="B3355" s="73"/>
      <c r="C3355" s="73"/>
      <c r="D3355" s="73"/>
      <c r="E3355" s="73"/>
      <c r="G3355" s="73"/>
      <c r="H3355" s="222"/>
    </row>
    <row r="3356" spans="1:8" s="212" customFormat="1">
      <c r="A3356" s="220"/>
      <c r="B3356" s="141"/>
      <c r="C3356" s="141"/>
      <c r="D3356" s="141"/>
      <c r="E3356" s="141"/>
      <c r="F3356" s="141"/>
      <c r="G3356" s="141"/>
      <c r="H3356" s="222"/>
    </row>
    <row r="3357" spans="1:8" s="212" customFormat="1" ht="16.5">
      <c r="A3357" s="150"/>
      <c r="B3357" s="161"/>
      <c r="C3357" s="148"/>
      <c r="D3357" s="84"/>
      <c r="E3357" s="84"/>
      <c r="F3357" s="84"/>
      <c r="G3357" s="224"/>
      <c r="H3357" s="221"/>
    </row>
    <row r="3358" spans="1:8" s="212" customFormat="1">
      <c r="A3358" s="91"/>
      <c r="B3358" s="91"/>
      <c r="C3358" s="91"/>
      <c r="D3358" s="91"/>
      <c r="E3358" s="91"/>
      <c r="G3358" s="213"/>
      <c r="H3358" s="222"/>
    </row>
    <row r="3359" spans="1:8" s="212" customFormat="1">
      <c r="A3359" s="120"/>
      <c r="B3359" s="73"/>
      <c r="C3359" s="73"/>
      <c r="D3359" s="73"/>
      <c r="E3359" s="73"/>
      <c r="G3359" s="73"/>
      <c r="H3359" s="222"/>
    </row>
    <row r="3360" spans="1:8" s="212" customFormat="1">
      <c r="A3360" s="220"/>
      <c r="B3360" s="141"/>
      <c r="C3360" s="141"/>
      <c r="D3360" s="141"/>
      <c r="E3360" s="141"/>
      <c r="F3360" s="141"/>
      <c r="G3360" s="141"/>
      <c r="H3360" s="222"/>
    </row>
    <row r="3361" spans="1:9" s="212" customFormat="1">
      <c r="A3361" s="142"/>
      <c r="B3361" s="143"/>
      <c r="C3361" s="143"/>
      <c r="D3361" s="143"/>
      <c r="E3361" s="143"/>
      <c r="F3361" s="84"/>
      <c r="G3361" s="146"/>
      <c r="H3361" s="221"/>
    </row>
    <row r="3362" spans="1:9" s="212" customFormat="1">
      <c r="A3362" s="123"/>
      <c r="B3362" s="95"/>
      <c r="C3362" s="95"/>
      <c r="D3362" s="95"/>
      <c r="E3362" s="95"/>
      <c r="G3362" s="213"/>
      <c r="H3362" s="73"/>
    </row>
    <row r="3363" spans="1:9" s="212" customFormat="1">
      <c r="A3363" s="123"/>
      <c r="B3363" s="95"/>
      <c r="C3363" s="95"/>
      <c r="D3363" s="95"/>
      <c r="E3363" s="95"/>
      <c r="G3363" s="73"/>
      <c r="H3363" s="225"/>
    </row>
    <row r="3364" spans="1:9" s="212" customFormat="1">
      <c r="B3364" s="97"/>
      <c r="C3364" s="98"/>
      <c r="D3364" s="98"/>
      <c r="E3364" s="98"/>
      <c r="G3364" s="220"/>
    </row>
    <row r="3365" spans="1:9" s="212" customFormat="1">
      <c r="B3365" s="97"/>
      <c r="C3365" s="98"/>
      <c r="D3365" s="98"/>
      <c r="E3365" s="98"/>
      <c r="F3365" s="220"/>
      <c r="G3365" s="225"/>
      <c r="H3365" s="226"/>
    </row>
    <row r="3366" spans="1:9" s="212" customFormat="1">
      <c r="A3366" s="633"/>
      <c r="B3366" s="633"/>
      <c r="C3366" s="633"/>
      <c r="D3366" s="633"/>
      <c r="E3366" s="633"/>
      <c r="F3366" s="633"/>
      <c r="G3366" s="633"/>
    </row>
    <row r="3367" spans="1:9" s="212" customFormat="1">
      <c r="H3367" s="227"/>
      <c r="I3367" s="228"/>
    </row>
    <row r="3368" spans="1:9" s="212" customFormat="1">
      <c r="A3368" s="658"/>
      <c r="B3368" s="227"/>
      <c r="C3368" s="227"/>
      <c r="D3368" s="227"/>
      <c r="E3368" s="227"/>
      <c r="F3368" s="227"/>
      <c r="G3368" s="227"/>
      <c r="H3368" s="227"/>
      <c r="I3368" s="229"/>
    </row>
    <row r="3369" spans="1:9" s="212" customFormat="1">
      <c r="A3369" s="658"/>
      <c r="B3369" s="227"/>
      <c r="C3369" s="227"/>
      <c r="D3369" s="227"/>
      <c r="E3369" s="227"/>
      <c r="F3369" s="227"/>
      <c r="G3369" s="227"/>
    </row>
    <row r="3370" spans="1:9" s="212" customFormat="1">
      <c r="A3370" s="69"/>
      <c r="B3370" s="69"/>
      <c r="C3370" s="69"/>
      <c r="D3370" s="69"/>
      <c r="E3370" s="69"/>
    </row>
    <row r="3371" spans="1:9" s="212" customFormat="1">
      <c r="A3371" s="120"/>
      <c r="B3371" s="73"/>
      <c r="C3371" s="73"/>
      <c r="D3371" s="73"/>
      <c r="E3371" s="73"/>
      <c r="F3371" s="73"/>
      <c r="G3371" s="73"/>
      <c r="H3371" s="73"/>
    </row>
    <row r="3372" spans="1:9" s="212" customFormat="1">
      <c r="A3372" s="220"/>
      <c r="B3372" s="141"/>
      <c r="C3372" s="141"/>
      <c r="D3372" s="141"/>
      <c r="E3372" s="141"/>
      <c r="F3372" s="141"/>
      <c r="G3372" s="141"/>
      <c r="H3372" s="73"/>
    </row>
    <row r="3373" spans="1:9" s="212" customFormat="1" ht="16.5">
      <c r="A3373" s="150"/>
      <c r="B3373" s="161"/>
      <c r="C3373" s="148"/>
      <c r="D3373" s="84"/>
      <c r="E3373" s="84"/>
      <c r="F3373" s="84"/>
      <c r="G3373" s="224"/>
      <c r="H3373" s="221"/>
    </row>
    <row r="3374" spans="1:9" s="212" customFormat="1">
      <c r="A3374" s="84"/>
      <c r="B3374" s="83"/>
      <c r="C3374" s="84"/>
      <c r="D3374" s="84"/>
      <c r="E3374" s="84"/>
      <c r="G3374" s="213"/>
      <c r="H3374" s="222"/>
    </row>
    <row r="3375" spans="1:9" s="212" customFormat="1">
      <c r="A3375" s="120"/>
      <c r="B3375" s="73"/>
      <c r="C3375" s="73"/>
      <c r="D3375" s="73"/>
      <c r="E3375" s="73"/>
      <c r="G3375" s="73"/>
      <c r="H3375" s="222"/>
    </row>
    <row r="3376" spans="1:9" s="212" customFormat="1">
      <c r="A3376" s="220"/>
      <c r="B3376" s="141"/>
      <c r="C3376" s="141"/>
      <c r="D3376" s="141"/>
      <c r="E3376" s="141"/>
      <c r="F3376" s="141"/>
      <c r="G3376" s="141"/>
      <c r="H3376" s="222"/>
    </row>
    <row r="3377" spans="1:8" s="212" customFormat="1" ht="16.5">
      <c r="A3377" s="150"/>
      <c r="B3377" s="161"/>
      <c r="C3377" s="148"/>
      <c r="D3377" s="84"/>
      <c r="E3377" s="84"/>
      <c r="F3377" s="84"/>
      <c r="G3377" s="224"/>
      <c r="H3377" s="222"/>
    </row>
    <row r="3378" spans="1:8" s="212" customFormat="1" ht="16.5">
      <c r="A3378" s="150"/>
      <c r="B3378" s="161"/>
      <c r="C3378" s="148"/>
      <c r="D3378" s="84"/>
      <c r="E3378" s="84"/>
      <c r="F3378" s="84"/>
      <c r="G3378" s="224"/>
      <c r="H3378" s="222"/>
    </row>
    <row r="3379" spans="1:8" s="212" customFormat="1" ht="16.5">
      <c r="A3379" s="150"/>
      <c r="B3379" s="161"/>
      <c r="C3379" s="148"/>
      <c r="D3379" s="84"/>
      <c r="E3379" s="84"/>
      <c r="F3379" s="84"/>
      <c r="G3379" s="224"/>
      <c r="H3379" s="222"/>
    </row>
    <row r="3380" spans="1:8" s="212" customFormat="1" ht="16.5">
      <c r="A3380" s="150"/>
      <c r="B3380" s="161"/>
      <c r="C3380" s="148"/>
      <c r="D3380" s="84"/>
      <c r="E3380" s="84"/>
      <c r="F3380" s="84"/>
      <c r="G3380" s="224"/>
      <c r="H3380" s="221"/>
    </row>
    <row r="3381" spans="1:8" s="212" customFormat="1">
      <c r="A3381" s="91"/>
      <c r="B3381" s="91"/>
      <c r="C3381" s="91"/>
      <c r="D3381" s="91"/>
      <c r="E3381" s="91"/>
      <c r="G3381" s="213"/>
      <c r="H3381" s="222"/>
    </row>
    <row r="3382" spans="1:8" s="212" customFormat="1">
      <c r="A3382" s="120"/>
      <c r="B3382" s="73"/>
      <c r="C3382" s="73"/>
      <c r="D3382" s="73"/>
      <c r="E3382" s="73"/>
      <c r="G3382" s="73"/>
      <c r="H3382" s="222"/>
    </row>
    <row r="3383" spans="1:8" s="212" customFormat="1">
      <c r="A3383" s="220"/>
      <c r="B3383" s="141"/>
      <c r="C3383" s="141"/>
      <c r="D3383" s="141"/>
      <c r="E3383" s="141"/>
      <c r="F3383" s="141"/>
      <c r="G3383" s="141"/>
      <c r="H3383" s="222"/>
    </row>
    <row r="3384" spans="1:8" s="212" customFormat="1" ht="16.5">
      <c r="A3384" s="150"/>
      <c r="B3384" s="161"/>
      <c r="C3384" s="148"/>
      <c r="D3384" s="84"/>
      <c r="E3384" s="84"/>
      <c r="F3384" s="84"/>
      <c r="G3384" s="224"/>
      <c r="H3384" s="221"/>
    </row>
    <row r="3385" spans="1:8" s="212" customFormat="1">
      <c r="A3385" s="91"/>
      <c r="B3385" s="91"/>
      <c r="C3385" s="91"/>
      <c r="D3385" s="91"/>
      <c r="E3385" s="91"/>
      <c r="G3385" s="213"/>
      <c r="H3385" s="222"/>
    </row>
    <row r="3386" spans="1:8" s="212" customFormat="1">
      <c r="A3386" s="120"/>
      <c r="B3386" s="73"/>
      <c r="C3386" s="73"/>
      <c r="D3386" s="73"/>
      <c r="E3386" s="73"/>
      <c r="G3386" s="73"/>
      <c r="H3386" s="222"/>
    </row>
    <row r="3387" spans="1:8" s="212" customFormat="1">
      <c r="A3387" s="220"/>
      <c r="B3387" s="141"/>
      <c r="C3387" s="141"/>
      <c r="D3387" s="141"/>
      <c r="E3387" s="141"/>
      <c r="F3387" s="141"/>
      <c r="G3387" s="141"/>
      <c r="H3387" s="222"/>
    </row>
    <row r="3388" spans="1:8" s="212" customFormat="1">
      <c r="A3388" s="142"/>
      <c r="B3388" s="143"/>
      <c r="C3388" s="143"/>
      <c r="D3388" s="143"/>
      <c r="E3388" s="143"/>
      <c r="F3388" s="84"/>
      <c r="G3388" s="146"/>
      <c r="H3388" s="221"/>
    </row>
    <row r="3389" spans="1:8" s="212" customFormat="1">
      <c r="A3389" s="123"/>
      <c r="B3389" s="95"/>
      <c r="C3389" s="95"/>
      <c r="D3389" s="95"/>
      <c r="E3389" s="95"/>
      <c r="G3389" s="213"/>
      <c r="H3389" s="73"/>
    </row>
    <row r="3390" spans="1:8" s="212" customFormat="1">
      <c r="A3390" s="123"/>
      <c r="B3390" s="95"/>
      <c r="C3390" s="95"/>
      <c r="D3390" s="95"/>
      <c r="E3390" s="95"/>
      <c r="G3390" s="73"/>
      <c r="H3390" s="225"/>
    </row>
    <row r="3391" spans="1:8" s="212" customFormat="1">
      <c r="B3391" s="97"/>
      <c r="C3391" s="98"/>
      <c r="D3391" s="98"/>
      <c r="E3391" s="98"/>
      <c r="G3391" s="220"/>
    </row>
    <row r="3392" spans="1:8" s="212" customFormat="1">
      <c r="B3392" s="97"/>
      <c r="C3392" s="98"/>
      <c r="D3392" s="98"/>
      <c r="E3392" s="98"/>
      <c r="F3392" s="220"/>
      <c r="G3392" s="225"/>
      <c r="H3392" s="226"/>
    </row>
    <row r="3393" spans="1:9" s="212" customFormat="1">
      <c r="A3393" s="633"/>
      <c r="B3393" s="633"/>
      <c r="C3393" s="633"/>
      <c r="D3393" s="633"/>
      <c r="E3393" s="633"/>
      <c r="F3393" s="633"/>
      <c r="G3393" s="633"/>
    </row>
    <row r="3394" spans="1:9" s="212" customFormat="1">
      <c r="H3394" s="227"/>
      <c r="I3394" s="228"/>
    </row>
    <row r="3395" spans="1:9" s="212" customFormat="1">
      <c r="A3395" s="658"/>
      <c r="B3395" s="227"/>
      <c r="C3395" s="227"/>
      <c r="D3395" s="227"/>
      <c r="E3395" s="227"/>
      <c r="F3395" s="227"/>
      <c r="G3395" s="227"/>
      <c r="H3395" s="227"/>
      <c r="I3395" s="229"/>
    </row>
    <row r="3396" spans="1:9" s="212" customFormat="1">
      <c r="A3396" s="658"/>
      <c r="B3396" s="227"/>
      <c r="C3396" s="227"/>
      <c r="D3396" s="227"/>
      <c r="E3396" s="227"/>
      <c r="F3396" s="227"/>
      <c r="G3396" s="227"/>
    </row>
    <row r="3397" spans="1:9" s="212" customFormat="1">
      <c r="A3397" s="69"/>
      <c r="B3397" s="69"/>
      <c r="C3397" s="69"/>
      <c r="D3397" s="69"/>
      <c r="E3397" s="69"/>
    </row>
    <row r="3398" spans="1:9" s="212" customFormat="1">
      <c r="A3398" s="120"/>
      <c r="B3398" s="73"/>
      <c r="C3398" s="73"/>
      <c r="D3398" s="73"/>
      <c r="E3398" s="73"/>
      <c r="F3398" s="73"/>
      <c r="G3398" s="73"/>
      <c r="H3398" s="73"/>
    </row>
    <row r="3399" spans="1:9" s="212" customFormat="1">
      <c r="A3399" s="220"/>
      <c r="B3399" s="141"/>
      <c r="C3399" s="141"/>
      <c r="D3399" s="141"/>
      <c r="E3399" s="141"/>
      <c r="F3399" s="141"/>
      <c r="G3399" s="141"/>
      <c r="H3399" s="73"/>
    </row>
    <row r="3400" spans="1:9" s="212" customFormat="1" ht="16.5">
      <c r="A3400" s="150"/>
      <c r="B3400" s="161"/>
      <c r="C3400" s="148"/>
      <c r="D3400" s="84"/>
      <c r="E3400" s="84"/>
      <c r="F3400" s="84"/>
      <c r="G3400" s="224"/>
      <c r="H3400" s="221"/>
    </row>
    <row r="3401" spans="1:9" s="212" customFormat="1">
      <c r="A3401" s="84"/>
      <c r="B3401" s="83"/>
      <c r="C3401" s="84"/>
      <c r="D3401" s="84"/>
      <c r="E3401" s="84"/>
      <c r="G3401" s="213"/>
      <c r="H3401" s="222"/>
    </row>
    <row r="3402" spans="1:9" s="212" customFormat="1">
      <c r="A3402" s="120"/>
      <c r="B3402" s="73"/>
      <c r="C3402" s="73"/>
      <c r="D3402" s="73"/>
      <c r="E3402" s="73"/>
      <c r="G3402" s="73"/>
      <c r="H3402" s="222"/>
    </row>
    <row r="3403" spans="1:9" s="212" customFormat="1">
      <c r="A3403" s="220"/>
      <c r="B3403" s="141"/>
      <c r="C3403" s="141"/>
      <c r="D3403" s="141"/>
      <c r="E3403" s="141"/>
      <c r="F3403" s="141"/>
      <c r="G3403" s="141"/>
      <c r="H3403" s="222"/>
    </row>
    <row r="3404" spans="1:9" s="212" customFormat="1" ht="16.5">
      <c r="A3404" s="150"/>
      <c r="B3404" s="161"/>
      <c r="C3404" s="148"/>
      <c r="D3404" s="84"/>
      <c r="E3404" s="84"/>
      <c r="F3404" s="84"/>
      <c r="G3404" s="224"/>
      <c r="H3404" s="222"/>
    </row>
    <row r="3405" spans="1:9" s="212" customFormat="1" ht="16.5">
      <c r="A3405" s="150"/>
      <c r="B3405" s="161"/>
      <c r="C3405" s="148"/>
      <c r="D3405" s="84"/>
      <c r="E3405" s="84"/>
      <c r="F3405" s="84"/>
      <c r="G3405" s="224"/>
      <c r="H3405" s="222"/>
    </row>
    <row r="3406" spans="1:9" s="212" customFormat="1" ht="16.5">
      <c r="A3406" s="150"/>
      <c r="B3406" s="161"/>
      <c r="C3406" s="148"/>
      <c r="D3406" s="84"/>
      <c r="E3406" s="84"/>
      <c r="F3406" s="84"/>
      <c r="G3406" s="224"/>
      <c r="H3406" s="222"/>
    </row>
    <row r="3407" spans="1:9" s="212" customFormat="1" ht="16.5">
      <c r="A3407" s="150"/>
      <c r="B3407" s="161"/>
      <c r="C3407" s="148"/>
      <c r="D3407" s="84"/>
      <c r="E3407" s="84"/>
      <c r="F3407" s="84"/>
      <c r="G3407" s="224"/>
      <c r="H3407" s="221"/>
    </row>
    <row r="3408" spans="1:9"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ht="16.5">
      <c r="A3411" s="150"/>
      <c r="B3411" s="161"/>
      <c r="C3411" s="148"/>
      <c r="D3411" s="84"/>
      <c r="E3411" s="84"/>
      <c r="F3411" s="84"/>
      <c r="G3411" s="224"/>
      <c r="H3411" s="221"/>
    </row>
    <row r="3412" spans="1:9" s="212" customFormat="1">
      <c r="A3412" s="91"/>
      <c r="B3412" s="91"/>
      <c r="C3412" s="91"/>
      <c r="D3412" s="91"/>
      <c r="E3412" s="91"/>
      <c r="G3412" s="213"/>
      <c r="H3412" s="222"/>
    </row>
    <row r="3413" spans="1:9" s="212" customFormat="1">
      <c r="A3413" s="120"/>
      <c r="B3413" s="73"/>
      <c r="C3413" s="73"/>
      <c r="D3413" s="73"/>
      <c r="E3413" s="73"/>
      <c r="G3413" s="73"/>
      <c r="H3413" s="222"/>
    </row>
    <row r="3414" spans="1:9" s="212" customFormat="1">
      <c r="A3414" s="220"/>
      <c r="B3414" s="141"/>
      <c r="C3414" s="141"/>
      <c r="D3414" s="141"/>
      <c r="E3414" s="141"/>
      <c r="F3414" s="141"/>
      <c r="G3414" s="141"/>
      <c r="H3414" s="222"/>
    </row>
    <row r="3415" spans="1:9" s="212" customFormat="1">
      <c r="A3415" s="142"/>
      <c r="B3415" s="143"/>
      <c r="C3415" s="143"/>
      <c r="D3415" s="143"/>
      <c r="E3415" s="143"/>
      <c r="F3415" s="84"/>
      <c r="G3415" s="146"/>
      <c r="H3415" s="221"/>
    </row>
    <row r="3416" spans="1:9" s="212" customFormat="1">
      <c r="A3416" s="123"/>
      <c r="B3416" s="95"/>
      <c r="C3416" s="95"/>
      <c r="D3416" s="95"/>
      <c r="E3416" s="95"/>
      <c r="G3416" s="213"/>
      <c r="H3416" s="73"/>
    </row>
    <row r="3417" spans="1:9" s="212" customFormat="1">
      <c r="A3417" s="123"/>
      <c r="B3417" s="95"/>
      <c r="C3417" s="95"/>
      <c r="D3417" s="95"/>
      <c r="E3417" s="95"/>
      <c r="G3417" s="73"/>
      <c r="H3417" s="225"/>
    </row>
    <row r="3418" spans="1:9" s="212" customFormat="1">
      <c r="B3418" s="97"/>
      <c r="C3418" s="98"/>
      <c r="D3418" s="98"/>
      <c r="E3418" s="98"/>
      <c r="G3418" s="220"/>
    </row>
    <row r="3419" spans="1:9" s="212" customFormat="1">
      <c r="B3419" s="97"/>
      <c r="C3419" s="98"/>
      <c r="D3419" s="98"/>
      <c r="E3419" s="98"/>
      <c r="F3419" s="220"/>
      <c r="G3419" s="225"/>
      <c r="H3419" s="226"/>
    </row>
    <row r="3420" spans="1:9" s="212" customFormat="1">
      <c r="A3420" s="633"/>
      <c r="B3420" s="633"/>
      <c r="C3420" s="633"/>
      <c r="D3420" s="633"/>
      <c r="E3420" s="633"/>
      <c r="F3420" s="633"/>
      <c r="G3420" s="633"/>
    </row>
    <row r="3421" spans="1:9" s="212" customFormat="1">
      <c r="H3421" s="227"/>
      <c r="I3421" s="228"/>
    </row>
    <row r="3422" spans="1:9" s="212" customFormat="1">
      <c r="A3422" s="658"/>
      <c r="B3422" s="227"/>
      <c r="C3422" s="227"/>
      <c r="D3422" s="227"/>
      <c r="E3422" s="227"/>
      <c r="F3422" s="227"/>
      <c r="G3422" s="227"/>
      <c r="H3422" s="227"/>
      <c r="I3422" s="229"/>
    </row>
    <row r="3423" spans="1:9" s="212" customFormat="1">
      <c r="A3423" s="658"/>
      <c r="B3423" s="227"/>
      <c r="C3423" s="227"/>
      <c r="D3423" s="227"/>
      <c r="E3423" s="227"/>
      <c r="F3423" s="227"/>
      <c r="G3423" s="227"/>
    </row>
    <row r="3424" spans="1:9" s="212" customFormat="1">
      <c r="A3424" s="69"/>
      <c r="B3424" s="69"/>
      <c r="C3424" s="69"/>
      <c r="D3424" s="69"/>
      <c r="E3424" s="69"/>
    </row>
    <row r="3425" spans="1:8" s="212" customFormat="1">
      <c r="A3425" s="120"/>
      <c r="B3425" s="73"/>
      <c r="C3425" s="73"/>
      <c r="D3425" s="73"/>
      <c r="E3425" s="73"/>
      <c r="F3425" s="73"/>
      <c r="G3425" s="73"/>
      <c r="H3425" s="73"/>
    </row>
    <row r="3426" spans="1:8" s="212" customFormat="1">
      <c r="A3426" s="220"/>
      <c r="B3426" s="141"/>
      <c r="C3426" s="141"/>
      <c r="D3426" s="141"/>
      <c r="E3426" s="141"/>
      <c r="F3426" s="141"/>
      <c r="G3426" s="141"/>
      <c r="H3426" s="73"/>
    </row>
    <row r="3427" spans="1:8" s="212" customFormat="1" ht="16.5">
      <c r="A3427" s="150"/>
      <c r="B3427" s="161"/>
      <c r="C3427" s="148"/>
      <c r="D3427" s="84"/>
      <c r="E3427" s="84"/>
      <c r="F3427" s="84"/>
      <c r="G3427" s="224"/>
      <c r="H3427" s="73"/>
    </row>
    <row r="3428" spans="1:8" s="212" customFormat="1" ht="16.5">
      <c r="A3428" s="150"/>
      <c r="B3428" s="161"/>
      <c r="C3428" s="148"/>
      <c r="D3428" s="84"/>
      <c r="E3428" s="84"/>
      <c r="F3428" s="84"/>
      <c r="G3428" s="224"/>
      <c r="H3428" s="221"/>
    </row>
    <row r="3429" spans="1:8" s="212" customFormat="1">
      <c r="A3429" s="84"/>
      <c r="B3429" s="83"/>
      <c r="C3429" s="84"/>
      <c r="D3429" s="84"/>
      <c r="E3429" s="84"/>
      <c r="G3429" s="213"/>
      <c r="H3429" s="222"/>
    </row>
    <row r="3430" spans="1:8" s="212" customFormat="1">
      <c r="A3430" s="120"/>
      <c r="B3430" s="73"/>
      <c r="C3430" s="73"/>
      <c r="D3430" s="73"/>
      <c r="E3430" s="73"/>
      <c r="G3430" s="73"/>
      <c r="H3430" s="222"/>
    </row>
    <row r="3431" spans="1:8" s="212" customFormat="1">
      <c r="A3431" s="220"/>
      <c r="B3431" s="141"/>
      <c r="C3431" s="141"/>
      <c r="D3431" s="141"/>
      <c r="E3431" s="141"/>
      <c r="F3431" s="141"/>
      <c r="G3431" s="141"/>
      <c r="H3431" s="222"/>
    </row>
    <row r="3432" spans="1:8" s="212" customFormat="1" ht="16.5">
      <c r="A3432" s="150"/>
      <c r="B3432" s="161"/>
      <c r="C3432" s="148"/>
      <c r="D3432" s="84"/>
      <c r="E3432" s="84"/>
      <c r="F3432" s="84"/>
      <c r="G3432" s="224"/>
      <c r="H3432" s="222"/>
    </row>
    <row r="3433" spans="1:8" s="212" customFormat="1" ht="16.5">
      <c r="A3433" s="150"/>
      <c r="B3433" s="161"/>
      <c r="C3433" s="148"/>
      <c r="D3433" s="84"/>
      <c r="E3433" s="84"/>
      <c r="F3433" s="84"/>
      <c r="G3433" s="224"/>
      <c r="H3433" s="222"/>
    </row>
    <row r="3434" spans="1:8" s="212" customFormat="1" ht="16.5">
      <c r="A3434" s="150"/>
      <c r="B3434" s="161"/>
      <c r="C3434" s="148"/>
      <c r="D3434" s="84"/>
      <c r="E3434" s="84"/>
      <c r="F3434" s="84"/>
      <c r="G3434" s="224"/>
      <c r="H3434" s="222"/>
    </row>
    <row r="3435" spans="1:8" s="212" customFormat="1" ht="16.5">
      <c r="A3435" s="150"/>
      <c r="B3435" s="161"/>
      <c r="C3435" s="148"/>
      <c r="D3435" s="84"/>
      <c r="E3435" s="84"/>
      <c r="F3435" s="84"/>
      <c r="G3435" s="224"/>
      <c r="H3435" s="222"/>
    </row>
    <row r="3436" spans="1:8" s="212" customFormat="1" ht="16.5">
      <c r="A3436" s="150"/>
      <c r="B3436" s="161"/>
      <c r="C3436" s="148"/>
      <c r="D3436" s="84"/>
      <c r="E3436" s="84"/>
      <c r="F3436" s="84"/>
      <c r="G3436" s="224"/>
      <c r="H3436" s="221"/>
    </row>
    <row r="3437" spans="1:8" s="212" customFormat="1">
      <c r="A3437" s="91"/>
      <c r="B3437" s="91"/>
      <c r="C3437" s="91"/>
      <c r="D3437" s="91"/>
      <c r="E3437" s="91"/>
      <c r="G3437" s="213"/>
      <c r="H3437" s="222"/>
    </row>
    <row r="3438" spans="1:8" s="212" customFormat="1">
      <c r="A3438" s="120"/>
      <c r="B3438" s="73"/>
      <c r="C3438" s="73"/>
      <c r="D3438" s="73"/>
      <c r="E3438" s="73"/>
      <c r="G3438" s="73"/>
      <c r="H3438" s="222"/>
    </row>
    <row r="3439" spans="1:8" s="212" customFormat="1">
      <c r="A3439" s="220"/>
      <c r="B3439" s="141"/>
      <c r="C3439" s="141"/>
      <c r="D3439" s="141"/>
      <c r="E3439" s="141"/>
      <c r="F3439" s="141"/>
      <c r="G3439" s="141"/>
      <c r="H3439" s="222"/>
    </row>
    <row r="3440" spans="1:8" s="212" customFormat="1">
      <c r="A3440" s="146"/>
      <c r="B3440" s="83"/>
      <c r="C3440" s="148"/>
      <c r="D3440" s="84"/>
      <c r="E3440" s="84"/>
      <c r="F3440" s="84"/>
      <c r="G3440" s="146"/>
      <c r="H3440" s="221"/>
    </row>
    <row r="3441" spans="1:9" s="212" customFormat="1">
      <c r="A3441" s="91"/>
      <c r="B3441" s="91"/>
      <c r="C3441" s="91"/>
      <c r="D3441" s="91"/>
      <c r="E3441" s="91"/>
      <c r="G3441" s="213"/>
      <c r="H3441" s="222"/>
    </row>
    <row r="3442" spans="1:9" s="212" customFormat="1">
      <c r="A3442" s="120"/>
      <c r="B3442" s="73"/>
      <c r="C3442" s="73"/>
      <c r="D3442" s="73"/>
      <c r="E3442" s="73"/>
      <c r="G3442" s="73"/>
      <c r="H3442" s="222"/>
    </row>
    <row r="3443" spans="1:9" s="212" customFormat="1">
      <c r="A3443" s="220"/>
      <c r="B3443" s="141"/>
      <c r="C3443" s="141"/>
      <c r="D3443" s="141"/>
      <c r="E3443" s="141"/>
      <c r="F3443" s="141"/>
      <c r="G3443" s="141"/>
      <c r="H3443" s="222"/>
    </row>
    <row r="3444" spans="1:9" s="212" customFormat="1">
      <c r="A3444" s="142"/>
      <c r="B3444" s="143"/>
      <c r="C3444" s="143"/>
      <c r="D3444" s="143"/>
      <c r="E3444" s="143"/>
      <c r="F3444" s="84"/>
      <c r="G3444" s="146"/>
      <c r="H3444" s="221"/>
    </row>
    <row r="3445" spans="1:9" s="212" customFormat="1">
      <c r="A3445" s="123"/>
      <c r="B3445" s="95"/>
      <c r="C3445" s="95"/>
      <c r="D3445" s="95"/>
      <c r="E3445" s="95"/>
      <c r="G3445" s="213"/>
      <c r="H3445" s="73"/>
    </row>
    <row r="3446" spans="1:9" s="212" customFormat="1">
      <c r="A3446" s="123"/>
      <c r="B3446" s="95"/>
      <c r="C3446" s="95"/>
      <c r="D3446" s="95"/>
      <c r="E3446" s="95"/>
      <c r="G3446" s="73"/>
      <c r="H3446" s="225"/>
    </row>
    <row r="3447" spans="1:9" s="212" customFormat="1">
      <c r="B3447" s="97"/>
      <c r="C3447" s="98"/>
      <c r="D3447" s="98"/>
      <c r="E3447" s="98"/>
      <c r="G3447" s="220"/>
    </row>
    <row r="3448" spans="1:9" s="212" customFormat="1">
      <c r="B3448" s="97"/>
      <c r="C3448" s="98"/>
      <c r="D3448" s="98"/>
      <c r="E3448" s="98"/>
      <c r="F3448" s="220"/>
      <c r="G3448" s="225"/>
      <c r="H3448" s="226"/>
    </row>
    <row r="3449" spans="1:9" s="212" customFormat="1">
      <c r="A3449" s="633"/>
      <c r="B3449" s="633"/>
      <c r="C3449" s="633"/>
      <c r="D3449" s="633"/>
      <c r="E3449" s="633"/>
      <c r="F3449" s="633"/>
      <c r="G3449" s="633"/>
    </row>
    <row r="3450" spans="1:9" s="212" customFormat="1">
      <c r="H3450" s="227"/>
      <c r="I3450" s="228"/>
    </row>
    <row r="3451" spans="1:9" s="212" customFormat="1">
      <c r="A3451" s="658"/>
      <c r="B3451" s="227"/>
      <c r="C3451" s="227"/>
      <c r="D3451" s="227"/>
      <c r="E3451" s="227"/>
      <c r="F3451" s="227"/>
      <c r="G3451" s="227"/>
      <c r="H3451" s="227"/>
      <c r="I3451" s="229"/>
    </row>
    <row r="3452" spans="1:9" s="212" customFormat="1">
      <c r="A3452" s="658"/>
      <c r="B3452" s="227"/>
      <c r="C3452" s="227"/>
      <c r="D3452" s="227"/>
      <c r="E3452" s="227"/>
      <c r="F3452" s="227"/>
      <c r="G3452" s="227"/>
    </row>
    <row r="3453" spans="1:9" s="212" customFormat="1">
      <c r="A3453" s="69"/>
      <c r="B3453" s="69"/>
      <c r="C3453" s="69"/>
      <c r="D3453" s="69"/>
      <c r="E3453" s="69"/>
    </row>
    <row r="3454" spans="1:9" s="212" customFormat="1">
      <c r="A3454" s="120"/>
      <c r="B3454" s="73"/>
      <c r="C3454" s="73"/>
      <c r="D3454" s="73"/>
      <c r="E3454" s="73"/>
      <c r="F3454" s="73"/>
      <c r="G3454" s="73"/>
      <c r="H3454" s="73"/>
    </row>
    <row r="3455" spans="1:9" s="212" customFormat="1">
      <c r="A3455" s="220"/>
      <c r="B3455" s="141"/>
      <c r="C3455" s="141"/>
      <c r="D3455" s="141"/>
      <c r="E3455" s="141"/>
      <c r="F3455" s="141"/>
      <c r="G3455" s="141"/>
      <c r="H3455" s="73"/>
    </row>
    <row r="3456" spans="1:9" s="212" customFormat="1" ht="16.5">
      <c r="A3456" s="150"/>
      <c r="B3456" s="161"/>
      <c r="C3456" s="148"/>
      <c r="D3456" s="84"/>
      <c r="E3456" s="84"/>
      <c r="F3456" s="84"/>
      <c r="G3456" s="224"/>
      <c r="H3456" s="73"/>
    </row>
    <row r="3457" spans="1:8" s="212" customFormat="1" ht="16.5">
      <c r="A3457" s="150"/>
      <c r="B3457" s="161"/>
      <c r="C3457" s="148"/>
      <c r="D3457" s="84"/>
      <c r="E3457" s="84"/>
      <c r="F3457" s="84"/>
      <c r="G3457" s="224"/>
      <c r="H3457" s="221"/>
    </row>
    <row r="3458" spans="1:8" s="212" customFormat="1">
      <c r="A3458" s="84"/>
      <c r="B3458" s="83"/>
      <c r="C3458" s="84"/>
      <c r="D3458" s="84"/>
      <c r="E3458" s="84"/>
      <c r="G3458" s="213"/>
      <c r="H3458" s="222"/>
    </row>
    <row r="3459" spans="1:8" s="212" customFormat="1">
      <c r="A3459" s="120"/>
      <c r="B3459" s="73"/>
      <c r="C3459" s="73"/>
      <c r="D3459" s="73"/>
      <c r="E3459" s="73"/>
      <c r="G3459" s="73"/>
      <c r="H3459" s="222"/>
    </row>
    <row r="3460" spans="1:8" s="212" customFormat="1">
      <c r="A3460" s="220"/>
      <c r="B3460" s="141"/>
      <c r="C3460" s="141"/>
      <c r="D3460" s="141"/>
      <c r="E3460" s="141"/>
      <c r="F3460" s="141"/>
      <c r="G3460" s="141"/>
      <c r="H3460" s="222"/>
    </row>
    <row r="3461" spans="1:8" s="212" customFormat="1" ht="16.5">
      <c r="A3461" s="150"/>
      <c r="B3461" s="161"/>
      <c r="C3461" s="148"/>
      <c r="D3461" s="84"/>
      <c r="E3461" s="84"/>
      <c r="F3461" s="84"/>
      <c r="G3461" s="224"/>
      <c r="H3461" s="222"/>
    </row>
    <row r="3462" spans="1:8" s="212" customFormat="1" ht="16.5">
      <c r="A3462" s="150"/>
      <c r="B3462" s="161"/>
      <c r="C3462" s="148"/>
      <c r="D3462" s="84"/>
      <c r="E3462" s="84"/>
      <c r="F3462" s="84"/>
      <c r="G3462" s="224"/>
      <c r="H3462" s="222"/>
    </row>
    <row r="3463" spans="1:8" s="212" customFormat="1" ht="16.5">
      <c r="A3463" s="150"/>
      <c r="B3463" s="161"/>
      <c r="C3463" s="148"/>
      <c r="D3463" s="84"/>
      <c r="E3463" s="84"/>
      <c r="F3463" s="84"/>
      <c r="G3463" s="224"/>
      <c r="H3463" s="222"/>
    </row>
    <row r="3464" spans="1:8" s="212" customFormat="1" ht="16.5">
      <c r="A3464" s="150"/>
      <c r="B3464" s="161"/>
      <c r="C3464" s="148"/>
      <c r="D3464" s="84"/>
      <c r="E3464" s="84"/>
      <c r="F3464" s="84"/>
      <c r="G3464" s="224"/>
      <c r="H3464" s="222"/>
    </row>
    <row r="3465" spans="1:8" s="212" customFormat="1" ht="16.5">
      <c r="A3465" s="150"/>
      <c r="B3465" s="161"/>
      <c r="C3465" s="148"/>
      <c r="D3465" s="84"/>
      <c r="E3465" s="84"/>
      <c r="F3465" s="84"/>
      <c r="G3465" s="224"/>
      <c r="H3465" s="221"/>
    </row>
    <row r="3466" spans="1:8" s="212" customFormat="1">
      <c r="A3466" s="91"/>
      <c r="B3466" s="91"/>
      <c r="C3466" s="91"/>
      <c r="D3466" s="91"/>
      <c r="E3466" s="91"/>
      <c r="G3466" s="213"/>
      <c r="H3466" s="222"/>
    </row>
    <row r="3467" spans="1:8" s="212" customFormat="1">
      <c r="A3467" s="120"/>
      <c r="B3467" s="73"/>
      <c r="C3467" s="73"/>
      <c r="D3467" s="73"/>
      <c r="E3467" s="73"/>
      <c r="G3467" s="73"/>
      <c r="H3467" s="222"/>
    </row>
    <row r="3468" spans="1:8" s="212" customFormat="1">
      <c r="A3468" s="220"/>
      <c r="B3468" s="141"/>
      <c r="C3468" s="141"/>
      <c r="D3468" s="141"/>
      <c r="E3468" s="141"/>
      <c r="F3468" s="141"/>
      <c r="G3468" s="141"/>
      <c r="H3468" s="222"/>
    </row>
    <row r="3469" spans="1:8" s="212" customFormat="1">
      <c r="A3469" s="146"/>
      <c r="B3469" s="83"/>
      <c r="C3469" s="148"/>
      <c r="D3469" s="84"/>
      <c r="E3469" s="84"/>
      <c r="F3469" s="84"/>
      <c r="G3469" s="146"/>
      <c r="H3469" s="222"/>
    </row>
    <row r="3470" spans="1:8" s="212" customFormat="1">
      <c r="A3470" s="146"/>
      <c r="B3470" s="83"/>
      <c r="C3470" s="148"/>
      <c r="D3470" s="84"/>
      <c r="E3470" s="84"/>
      <c r="F3470" s="84"/>
      <c r="G3470" s="146"/>
      <c r="H3470" s="221"/>
    </row>
    <row r="3471" spans="1:8" s="212" customFormat="1">
      <c r="A3471" s="91"/>
      <c r="B3471" s="91"/>
      <c r="C3471" s="91"/>
      <c r="D3471" s="91"/>
      <c r="E3471" s="91"/>
      <c r="G3471" s="213"/>
      <c r="H3471" s="222"/>
    </row>
    <row r="3472" spans="1:8" s="212" customFormat="1">
      <c r="A3472" s="120"/>
      <c r="B3472" s="73"/>
      <c r="C3472" s="73"/>
      <c r="D3472" s="73"/>
      <c r="E3472" s="73"/>
      <c r="G3472" s="73"/>
      <c r="H3472" s="222"/>
    </row>
    <row r="3473" spans="1:9" s="212" customFormat="1">
      <c r="A3473" s="220"/>
      <c r="B3473" s="141"/>
      <c r="C3473" s="141"/>
      <c r="D3473" s="141"/>
      <c r="E3473" s="141"/>
      <c r="F3473" s="141"/>
      <c r="G3473" s="141"/>
      <c r="H3473" s="222"/>
    </row>
    <row r="3474" spans="1:9" s="212" customFormat="1">
      <c r="A3474" s="142"/>
      <c r="B3474" s="143"/>
      <c r="C3474" s="143"/>
      <c r="D3474" s="143"/>
      <c r="E3474" s="143"/>
      <c r="F3474" s="84"/>
      <c r="G3474" s="146"/>
      <c r="H3474" s="221"/>
    </row>
    <row r="3475" spans="1:9" s="212" customFormat="1">
      <c r="A3475" s="123"/>
      <c r="B3475" s="95"/>
      <c r="C3475" s="95"/>
      <c r="D3475" s="95"/>
      <c r="E3475" s="95"/>
      <c r="G3475" s="213"/>
      <c r="H3475" s="73"/>
    </row>
    <row r="3476" spans="1:9" s="212" customFormat="1">
      <c r="A3476" s="123"/>
      <c r="B3476" s="95"/>
      <c r="C3476" s="95"/>
      <c r="D3476" s="95"/>
      <c r="E3476" s="95"/>
      <c r="G3476" s="73"/>
      <c r="H3476" s="225"/>
    </row>
    <row r="3477" spans="1:9" s="212" customFormat="1">
      <c r="B3477" s="97"/>
      <c r="C3477" s="98"/>
      <c r="D3477" s="98"/>
      <c r="E3477" s="98"/>
      <c r="G3477" s="220"/>
    </row>
    <row r="3478" spans="1:9" s="212" customFormat="1">
      <c r="B3478" s="97"/>
      <c r="C3478" s="98"/>
      <c r="D3478" s="98"/>
      <c r="E3478" s="98"/>
      <c r="F3478" s="220"/>
      <c r="G3478" s="225"/>
      <c r="H3478" s="226"/>
    </row>
    <row r="3479" spans="1:9" s="212" customFormat="1">
      <c r="A3479" s="633"/>
      <c r="B3479" s="633"/>
      <c r="C3479" s="633"/>
      <c r="D3479" s="633"/>
      <c r="E3479" s="633"/>
      <c r="F3479" s="633"/>
      <c r="G3479" s="633"/>
    </row>
    <row r="3480" spans="1:9" s="212" customFormat="1">
      <c r="H3480" s="227"/>
      <c r="I3480" s="228"/>
    </row>
    <row r="3481" spans="1:9" s="212" customFormat="1">
      <c r="A3481" s="658"/>
      <c r="B3481" s="227"/>
      <c r="C3481" s="227"/>
      <c r="D3481" s="227"/>
      <c r="E3481" s="227"/>
      <c r="F3481" s="227"/>
      <c r="G3481" s="227"/>
      <c r="H3481" s="227"/>
      <c r="I3481" s="229"/>
    </row>
    <row r="3482" spans="1:9" s="212" customFormat="1">
      <c r="A3482" s="658"/>
      <c r="B3482" s="227"/>
      <c r="C3482" s="227"/>
      <c r="D3482" s="227"/>
      <c r="E3482" s="227"/>
      <c r="F3482" s="227"/>
      <c r="G3482" s="227"/>
    </row>
    <row r="3483" spans="1:9" s="212" customFormat="1">
      <c r="A3483" s="69"/>
      <c r="B3483" s="69"/>
      <c r="C3483" s="69"/>
      <c r="D3483" s="69"/>
      <c r="E3483" s="69"/>
    </row>
    <row r="3484" spans="1:9" s="212" customFormat="1">
      <c r="A3484" s="120"/>
      <c r="B3484" s="73"/>
      <c r="C3484" s="73"/>
      <c r="D3484" s="73"/>
      <c r="E3484" s="73"/>
      <c r="F3484" s="73"/>
      <c r="G3484" s="73"/>
      <c r="H3484" s="73"/>
    </row>
    <row r="3485" spans="1:9" s="212" customFormat="1">
      <c r="A3485" s="220"/>
      <c r="B3485" s="141"/>
      <c r="C3485" s="141"/>
      <c r="D3485" s="141"/>
      <c r="E3485" s="141"/>
      <c r="F3485" s="141"/>
      <c r="G3485" s="141"/>
      <c r="H3485" s="73"/>
    </row>
    <row r="3486" spans="1:9" s="212" customFormat="1" ht="16.5">
      <c r="A3486" s="150"/>
      <c r="B3486" s="161"/>
      <c r="C3486" s="148"/>
      <c r="D3486" s="84"/>
      <c r="E3486" s="84"/>
      <c r="F3486" s="84"/>
      <c r="G3486" s="224"/>
      <c r="H3486" s="221"/>
    </row>
    <row r="3487" spans="1:9" s="212" customFormat="1">
      <c r="A3487" s="84"/>
      <c r="B3487" s="83"/>
      <c r="C3487" s="84"/>
      <c r="D3487" s="84"/>
      <c r="E3487" s="84"/>
      <c r="G3487" s="213"/>
      <c r="H3487" s="222"/>
    </row>
    <row r="3488" spans="1:9" s="212" customFormat="1">
      <c r="A3488" s="120"/>
      <c r="B3488" s="73"/>
      <c r="C3488" s="73"/>
      <c r="D3488" s="73"/>
      <c r="E3488" s="73"/>
      <c r="G3488" s="73"/>
      <c r="H3488" s="222"/>
    </row>
    <row r="3489" spans="1:8" s="212" customFormat="1">
      <c r="A3489" s="220"/>
      <c r="B3489" s="141"/>
      <c r="C3489" s="141"/>
      <c r="D3489" s="141"/>
      <c r="E3489" s="141"/>
      <c r="F3489" s="141"/>
      <c r="G3489" s="141"/>
      <c r="H3489" s="222"/>
    </row>
    <row r="3490" spans="1:8" s="212" customFormat="1">
      <c r="A3490" s="146"/>
      <c r="B3490" s="83"/>
      <c r="C3490" s="148"/>
      <c r="D3490" s="84"/>
      <c r="E3490" s="84"/>
      <c r="F3490" s="84"/>
      <c r="G3490" s="146"/>
      <c r="H3490" s="222"/>
    </row>
    <row r="3491" spans="1:8" s="212" customFormat="1">
      <c r="A3491" s="146"/>
      <c r="B3491" s="83"/>
      <c r="C3491" s="148"/>
      <c r="D3491" s="84"/>
      <c r="E3491" s="84"/>
      <c r="F3491" s="84"/>
      <c r="G3491" s="146"/>
      <c r="H3491" s="222"/>
    </row>
    <row r="3492" spans="1:8" s="212" customFormat="1">
      <c r="A3492" s="146"/>
      <c r="B3492" s="83"/>
      <c r="C3492" s="148"/>
      <c r="D3492" s="84"/>
      <c r="E3492" s="84"/>
      <c r="F3492" s="84"/>
      <c r="G3492" s="146"/>
      <c r="H3492" s="222"/>
    </row>
    <row r="3493" spans="1:8" s="212" customFormat="1">
      <c r="A3493" s="146"/>
      <c r="B3493" s="83"/>
      <c r="C3493" s="148"/>
      <c r="D3493" s="84"/>
      <c r="E3493" s="84"/>
      <c r="F3493" s="84"/>
      <c r="G3493" s="146"/>
      <c r="H3493" s="222"/>
    </row>
    <row r="3494" spans="1:8" s="212" customFormat="1">
      <c r="A3494" s="146"/>
      <c r="B3494" s="83"/>
      <c r="C3494" s="148"/>
      <c r="D3494" s="84"/>
      <c r="E3494" s="84"/>
      <c r="F3494" s="84"/>
      <c r="G3494" s="146"/>
      <c r="H3494" s="222"/>
    </row>
    <row r="3495" spans="1:8" s="212" customFormat="1">
      <c r="A3495" s="146"/>
      <c r="B3495" s="83"/>
      <c r="C3495" s="148"/>
      <c r="D3495" s="84"/>
      <c r="E3495" s="84"/>
      <c r="F3495" s="84"/>
      <c r="G3495" s="146"/>
      <c r="H3495" s="221"/>
    </row>
    <row r="3496" spans="1:8" s="212" customFormat="1">
      <c r="A3496" s="91"/>
      <c r="B3496" s="91"/>
      <c r="C3496" s="91"/>
      <c r="D3496" s="91"/>
      <c r="E3496" s="91"/>
      <c r="G3496" s="213"/>
      <c r="H3496" s="222"/>
    </row>
    <row r="3497" spans="1:8" s="212" customFormat="1">
      <c r="A3497" s="120"/>
      <c r="B3497" s="73"/>
      <c r="C3497" s="73"/>
      <c r="D3497" s="73"/>
      <c r="E3497" s="73"/>
      <c r="G3497" s="73"/>
      <c r="H3497" s="222"/>
    </row>
    <row r="3498" spans="1:8" s="212" customFormat="1">
      <c r="A3498" s="220"/>
      <c r="B3498" s="141"/>
      <c r="C3498" s="141"/>
      <c r="D3498" s="141"/>
      <c r="E3498" s="141"/>
      <c r="F3498" s="141"/>
      <c r="G3498" s="141"/>
      <c r="H3498" s="222"/>
    </row>
    <row r="3499" spans="1:8" s="212" customFormat="1">
      <c r="A3499" s="146"/>
      <c r="B3499" s="83"/>
      <c r="C3499" s="148"/>
      <c r="D3499" s="84"/>
      <c r="E3499" s="84"/>
      <c r="F3499" s="84"/>
      <c r="G3499" s="146"/>
      <c r="H3499" s="221"/>
    </row>
    <row r="3500" spans="1:8" s="212" customFormat="1">
      <c r="A3500" s="91"/>
      <c r="B3500" s="91"/>
      <c r="C3500" s="91"/>
      <c r="D3500" s="91"/>
      <c r="E3500" s="91"/>
      <c r="G3500" s="213"/>
      <c r="H3500" s="222"/>
    </row>
    <row r="3501" spans="1:8" s="212" customFormat="1">
      <c r="A3501" s="120"/>
      <c r="B3501" s="73"/>
      <c r="C3501" s="73"/>
      <c r="D3501" s="73"/>
      <c r="E3501" s="73"/>
      <c r="G3501" s="73"/>
      <c r="H3501" s="222"/>
    </row>
    <row r="3502" spans="1:8" s="212" customFormat="1">
      <c r="A3502" s="220"/>
      <c r="B3502" s="141"/>
      <c r="C3502" s="141"/>
      <c r="D3502" s="141"/>
      <c r="E3502" s="141"/>
      <c r="F3502" s="141"/>
      <c r="G3502" s="141"/>
      <c r="H3502" s="222"/>
    </row>
    <row r="3503" spans="1:8" s="212" customFormat="1">
      <c r="A3503" s="142"/>
      <c r="B3503" s="143"/>
      <c r="C3503" s="143"/>
      <c r="D3503" s="143"/>
      <c r="E3503" s="143"/>
      <c r="F3503" s="84"/>
      <c r="G3503" s="146"/>
      <c r="H3503" s="221"/>
    </row>
    <row r="3504" spans="1:8" s="212" customFormat="1">
      <c r="A3504" s="123"/>
      <c r="B3504" s="95"/>
      <c r="C3504" s="95"/>
      <c r="D3504" s="95"/>
      <c r="E3504" s="95"/>
      <c r="G3504" s="213"/>
      <c r="H3504" s="73"/>
    </row>
    <row r="3505" spans="1:9" s="212" customFormat="1">
      <c r="A3505" s="123"/>
      <c r="B3505" s="95"/>
      <c r="C3505" s="95"/>
      <c r="D3505" s="95"/>
      <c r="E3505" s="95"/>
      <c r="G3505" s="73"/>
      <c r="H3505" s="225"/>
    </row>
    <row r="3506" spans="1:9" s="212" customFormat="1">
      <c r="B3506" s="97"/>
      <c r="C3506" s="98"/>
      <c r="D3506" s="98"/>
      <c r="E3506" s="98"/>
      <c r="G3506" s="220"/>
    </row>
    <row r="3507" spans="1:9" s="212" customFormat="1">
      <c r="B3507" s="97"/>
      <c r="C3507" s="98"/>
      <c r="D3507" s="98"/>
      <c r="E3507" s="98"/>
      <c r="F3507" s="220"/>
      <c r="G3507" s="225"/>
      <c r="H3507" s="226"/>
    </row>
    <row r="3508" spans="1:9" s="212" customFormat="1">
      <c r="A3508" s="633"/>
      <c r="B3508" s="633"/>
      <c r="C3508" s="633"/>
      <c r="D3508" s="633"/>
      <c r="E3508" s="633"/>
      <c r="F3508" s="633"/>
      <c r="G3508" s="633"/>
    </row>
    <row r="3509" spans="1:9" s="212" customFormat="1">
      <c r="H3509" s="227"/>
      <c r="I3509" s="228"/>
    </row>
    <row r="3510" spans="1:9" s="212" customFormat="1">
      <c r="A3510" s="658"/>
      <c r="B3510" s="227"/>
      <c r="C3510" s="227"/>
      <c r="D3510" s="227"/>
      <c r="E3510" s="227"/>
      <c r="F3510" s="227"/>
      <c r="G3510" s="227"/>
      <c r="H3510" s="227"/>
      <c r="I3510" s="229"/>
    </row>
    <row r="3511" spans="1:9" s="212" customFormat="1">
      <c r="A3511" s="658"/>
      <c r="B3511" s="227"/>
      <c r="C3511" s="227"/>
      <c r="D3511" s="227"/>
      <c r="E3511" s="227"/>
      <c r="F3511" s="227"/>
      <c r="G3511" s="227"/>
    </row>
    <row r="3512" spans="1:9" s="212" customFormat="1">
      <c r="A3512" s="69"/>
      <c r="B3512" s="69"/>
      <c r="C3512" s="69"/>
      <c r="D3512" s="69"/>
      <c r="E3512" s="69"/>
    </row>
    <row r="3513" spans="1:9" s="212" customFormat="1">
      <c r="A3513" s="120"/>
      <c r="B3513" s="73"/>
      <c r="C3513" s="73"/>
      <c r="D3513" s="73"/>
      <c r="E3513" s="73"/>
      <c r="F3513" s="73"/>
      <c r="G3513" s="73"/>
      <c r="H3513" s="73"/>
    </row>
    <row r="3514" spans="1:9" s="212" customFormat="1">
      <c r="A3514" s="220"/>
      <c r="B3514" s="141"/>
      <c r="C3514" s="141"/>
      <c r="D3514" s="141"/>
      <c r="E3514" s="141"/>
      <c r="F3514" s="141"/>
      <c r="G3514" s="141"/>
      <c r="H3514" s="73"/>
    </row>
    <row r="3515" spans="1:9" s="212" customFormat="1" ht="16.5">
      <c r="A3515" s="150"/>
      <c r="B3515" s="161"/>
      <c r="C3515" s="148"/>
      <c r="D3515" s="84"/>
      <c r="E3515" s="84"/>
      <c r="F3515" s="84"/>
      <c r="G3515" s="224"/>
      <c r="H3515" s="221"/>
    </row>
    <row r="3516" spans="1:9" s="212" customFormat="1">
      <c r="A3516" s="84"/>
      <c r="B3516" s="83"/>
      <c r="C3516" s="84"/>
      <c r="D3516" s="84"/>
      <c r="E3516" s="84"/>
      <c r="G3516" s="213"/>
      <c r="H3516" s="222"/>
    </row>
    <row r="3517" spans="1:9" s="212" customFormat="1">
      <c r="A3517" s="120"/>
      <c r="B3517" s="73"/>
      <c r="C3517" s="73"/>
      <c r="D3517" s="73"/>
      <c r="E3517" s="73"/>
      <c r="G3517" s="73"/>
      <c r="H3517" s="222"/>
    </row>
    <row r="3518" spans="1:9" s="212" customFormat="1">
      <c r="A3518" s="220"/>
      <c r="B3518" s="141"/>
      <c r="C3518" s="141"/>
      <c r="D3518" s="141"/>
      <c r="E3518" s="141"/>
      <c r="F3518" s="141"/>
      <c r="G3518" s="141"/>
      <c r="H3518" s="222"/>
    </row>
    <row r="3519" spans="1:9" s="212" customFormat="1">
      <c r="A3519" s="146"/>
      <c r="B3519" s="83"/>
      <c r="C3519" s="148"/>
      <c r="D3519" s="84"/>
      <c r="E3519" s="84"/>
      <c r="F3519" s="84"/>
      <c r="G3519" s="146"/>
      <c r="H3519" s="222"/>
    </row>
    <row r="3520" spans="1:9" s="212" customFormat="1">
      <c r="A3520" s="146"/>
      <c r="B3520" s="83"/>
      <c r="C3520" s="148"/>
      <c r="D3520" s="84"/>
      <c r="E3520" s="84"/>
      <c r="F3520" s="84"/>
      <c r="G3520" s="146"/>
      <c r="H3520" s="222"/>
    </row>
    <row r="3521" spans="1:9" s="212" customFormat="1">
      <c r="A3521" s="146"/>
      <c r="B3521" s="83"/>
      <c r="C3521" s="148"/>
      <c r="D3521" s="84"/>
      <c r="E3521" s="84"/>
      <c r="F3521" s="84"/>
      <c r="G3521" s="146"/>
      <c r="H3521" s="221"/>
    </row>
    <row r="3522" spans="1:9" s="212" customFormat="1">
      <c r="A3522" s="91"/>
      <c r="B3522" s="91"/>
      <c r="C3522" s="91"/>
      <c r="D3522" s="91"/>
      <c r="E3522" s="91"/>
      <c r="G3522" s="213"/>
      <c r="H3522" s="222"/>
    </row>
    <row r="3523" spans="1:9" s="212" customFormat="1">
      <c r="A3523" s="120"/>
      <c r="B3523" s="73"/>
      <c r="C3523" s="73"/>
      <c r="D3523" s="73"/>
      <c r="E3523" s="73"/>
      <c r="G3523" s="73"/>
      <c r="H3523" s="222"/>
    </row>
    <row r="3524" spans="1:9" s="212" customFormat="1">
      <c r="A3524" s="220"/>
      <c r="B3524" s="141"/>
      <c r="C3524" s="141"/>
      <c r="D3524" s="141"/>
      <c r="E3524" s="141"/>
      <c r="F3524" s="141"/>
      <c r="G3524" s="141"/>
      <c r="H3524" s="222"/>
    </row>
    <row r="3525" spans="1:9" s="212" customFormat="1">
      <c r="A3525" s="146"/>
      <c r="B3525" s="83"/>
      <c r="C3525" s="148"/>
      <c r="D3525" s="84"/>
      <c r="E3525" s="84"/>
      <c r="F3525" s="84"/>
      <c r="G3525" s="146"/>
      <c r="H3525" s="221"/>
    </row>
    <row r="3526" spans="1:9" s="212" customFormat="1">
      <c r="A3526" s="91"/>
      <c r="B3526" s="91"/>
      <c r="C3526" s="91"/>
      <c r="D3526" s="91"/>
      <c r="E3526" s="91"/>
      <c r="G3526" s="213"/>
      <c r="H3526" s="222"/>
    </row>
    <row r="3527" spans="1:9" s="212" customFormat="1">
      <c r="A3527" s="120"/>
      <c r="B3527" s="73"/>
      <c r="C3527" s="73"/>
      <c r="D3527" s="73"/>
      <c r="E3527" s="73"/>
      <c r="G3527" s="73"/>
      <c r="H3527" s="222"/>
    </row>
    <row r="3528" spans="1:9" s="212" customFormat="1">
      <c r="A3528" s="220"/>
      <c r="B3528" s="141"/>
      <c r="C3528" s="141"/>
      <c r="D3528" s="141"/>
      <c r="E3528" s="141"/>
      <c r="F3528" s="141"/>
      <c r="G3528" s="141"/>
      <c r="H3528" s="222"/>
    </row>
    <row r="3529" spans="1:9" s="212" customFormat="1">
      <c r="A3529" s="142"/>
      <c r="B3529" s="143"/>
      <c r="C3529" s="143"/>
      <c r="D3529" s="143"/>
      <c r="E3529" s="143"/>
      <c r="F3529" s="84"/>
      <c r="G3529" s="146"/>
      <c r="H3529" s="221"/>
    </row>
    <row r="3530" spans="1:9" s="212" customFormat="1">
      <c r="A3530" s="123"/>
      <c r="B3530" s="95"/>
      <c r="C3530" s="95"/>
      <c r="D3530" s="95"/>
      <c r="E3530" s="95"/>
      <c r="G3530" s="213"/>
      <c r="H3530" s="73"/>
    </row>
    <row r="3531" spans="1:9" s="212" customFormat="1">
      <c r="A3531" s="123"/>
      <c r="B3531" s="95"/>
      <c r="C3531" s="95"/>
      <c r="D3531" s="95"/>
      <c r="E3531" s="95"/>
      <c r="G3531" s="73"/>
      <c r="H3531" s="225"/>
    </row>
    <row r="3532" spans="1:9" s="212" customFormat="1">
      <c r="B3532" s="97"/>
      <c r="C3532" s="98"/>
      <c r="D3532" s="98"/>
      <c r="E3532" s="98"/>
      <c r="G3532" s="220"/>
    </row>
    <row r="3533" spans="1:9" s="212" customFormat="1">
      <c r="B3533" s="97"/>
      <c r="C3533" s="98"/>
      <c r="D3533" s="98"/>
      <c r="E3533" s="98"/>
      <c r="F3533" s="220"/>
      <c r="G3533" s="225"/>
      <c r="H3533" s="226"/>
    </row>
    <row r="3534" spans="1:9" s="212" customFormat="1">
      <c r="A3534" s="633"/>
      <c r="B3534" s="633"/>
      <c r="C3534" s="633"/>
      <c r="D3534" s="633"/>
      <c r="E3534" s="633"/>
      <c r="F3534" s="633"/>
      <c r="G3534" s="633"/>
    </row>
    <row r="3535" spans="1:9" s="212" customFormat="1">
      <c r="H3535" s="227"/>
      <c r="I3535" s="228"/>
    </row>
    <row r="3536" spans="1:9" s="212" customFormat="1">
      <c r="A3536" s="658"/>
      <c r="B3536" s="227"/>
      <c r="C3536" s="227"/>
      <c r="D3536" s="227"/>
      <c r="E3536" s="227"/>
      <c r="F3536" s="227"/>
      <c r="G3536" s="227"/>
      <c r="H3536" s="227"/>
      <c r="I3536" s="229"/>
    </row>
    <row r="3537" spans="1:8" s="212" customFormat="1">
      <c r="A3537" s="658"/>
      <c r="B3537" s="227"/>
      <c r="C3537" s="227"/>
      <c r="D3537" s="227"/>
      <c r="E3537" s="227"/>
      <c r="F3537" s="227"/>
      <c r="G3537" s="227"/>
    </row>
    <row r="3538" spans="1:8" s="212" customFormat="1">
      <c r="A3538" s="69"/>
      <c r="B3538" s="69"/>
      <c r="C3538" s="69"/>
      <c r="D3538" s="69"/>
      <c r="E3538" s="69"/>
    </row>
    <row r="3539" spans="1:8" s="212" customFormat="1">
      <c r="A3539" s="120"/>
      <c r="B3539" s="73"/>
      <c r="C3539" s="73"/>
      <c r="D3539" s="73"/>
      <c r="E3539" s="73"/>
      <c r="F3539" s="73"/>
      <c r="G3539" s="73"/>
      <c r="H3539" s="73"/>
    </row>
    <row r="3540" spans="1:8" s="212" customFormat="1">
      <c r="A3540" s="220"/>
      <c r="B3540" s="141"/>
      <c r="C3540" s="141"/>
      <c r="D3540" s="141"/>
      <c r="E3540" s="141"/>
      <c r="F3540" s="141"/>
      <c r="G3540" s="141"/>
      <c r="H3540" s="73"/>
    </row>
    <row r="3541" spans="1:8" s="212" customFormat="1" ht="16.5">
      <c r="A3541" s="150"/>
      <c r="B3541" s="161"/>
      <c r="C3541" s="148"/>
      <c r="D3541" s="84"/>
      <c r="E3541" s="84"/>
      <c r="F3541" s="84"/>
      <c r="G3541" s="224"/>
      <c r="H3541" s="73"/>
    </row>
    <row r="3542" spans="1:8" s="212" customFormat="1" ht="16.5">
      <c r="A3542" s="150"/>
      <c r="B3542" s="161"/>
      <c r="C3542" s="148"/>
      <c r="D3542" s="84"/>
      <c r="E3542" s="84"/>
      <c r="F3542" s="84"/>
      <c r="G3542" s="224"/>
      <c r="H3542" s="221"/>
    </row>
    <row r="3543" spans="1:8" s="212" customFormat="1">
      <c r="A3543" s="84"/>
      <c r="B3543" s="83"/>
      <c r="C3543" s="84"/>
      <c r="D3543" s="84"/>
      <c r="E3543" s="84"/>
      <c r="G3543" s="213"/>
      <c r="H3543" s="222"/>
    </row>
    <row r="3544" spans="1:8" s="212" customFormat="1">
      <c r="A3544" s="120"/>
      <c r="B3544" s="73"/>
      <c r="C3544" s="73"/>
      <c r="D3544" s="73"/>
      <c r="E3544" s="73"/>
      <c r="G3544" s="73"/>
      <c r="H3544" s="222"/>
    </row>
    <row r="3545" spans="1:8" s="212" customFormat="1">
      <c r="A3545" s="220"/>
      <c r="B3545" s="141"/>
      <c r="C3545" s="141"/>
      <c r="D3545" s="141"/>
      <c r="E3545" s="141"/>
      <c r="F3545" s="141"/>
      <c r="G3545" s="141"/>
      <c r="H3545" s="222"/>
    </row>
    <row r="3546" spans="1:8" s="212" customFormat="1">
      <c r="A3546" s="146"/>
      <c r="B3546" s="83"/>
      <c r="C3546" s="148"/>
      <c r="D3546" s="84"/>
      <c r="E3546" s="84"/>
      <c r="F3546" s="84"/>
      <c r="G3546" s="146"/>
      <c r="H3546" s="222"/>
    </row>
    <row r="3547" spans="1:8" s="212" customFormat="1">
      <c r="A3547" s="146"/>
      <c r="B3547" s="83"/>
      <c r="C3547" s="148"/>
      <c r="D3547" s="84"/>
      <c r="E3547" s="84"/>
      <c r="F3547" s="84"/>
      <c r="G3547" s="146"/>
      <c r="H3547" s="222"/>
    </row>
    <row r="3548" spans="1:8" s="212" customFormat="1">
      <c r="A3548" s="146"/>
      <c r="B3548" s="83"/>
      <c r="C3548" s="148"/>
      <c r="D3548" s="84"/>
      <c r="E3548" s="84"/>
      <c r="F3548" s="84"/>
      <c r="G3548" s="146"/>
      <c r="H3548" s="221"/>
    </row>
    <row r="3549" spans="1:8" s="212" customFormat="1">
      <c r="A3549" s="91"/>
      <c r="B3549" s="91"/>
      <c r="C3549" s="91"/>
      <c r="D3549" s="91"/>
      <c r="E3549" s="91"/>
      <c r="G3549" s="213"/>
      <c r="H3549" s="222"/>
    </row>
    <row r="3550" spans="1:8" s="212" customFormat="1">
      <c r="A3550" s="120"/>
      <c r="B3550" s="73"/>
      <c r="C3550" s="73"/>
      <c r="D3550" s="73"/>
      <c r="E3550" s="73"/>
      <c r="G3550" s="73"/>
      <c r="H3550" s="222"/>
    </row>
    <row r="3551" spans="1:8" s="212" customFormat="1">
      <c r="A3551" s="220"/>
      <c r="B3551" s="141"/>
      <c r="C3551" s="141"/>
      <c r="D3551" s="141"/>
      <c r="E3551" s="141"/>
      <c r="F3551" s="141"/>
      <c r="G3551" s="141"/>
      <c r="H3551" s="222"/>
    </row>
    <row r="3552" spans="1:8" s="212" customFormat="1">
      <c r="A3552" s="146"/>
      <c r="B3552" s="83"/>
      <c r="C3552" s="148"/>
      <c r="D3552" s="148"/>
      <c r="E3552" s="84"/>
      <c r="F3552" s="84"/>
      <c r="G3552" s="146"/>
      <c r="H3552" s="221"/>
    </row>
    <row r="3553" spans="1:9" s="212" customFormat="1">
      <c r="A3553" s="91"/>
      <c r="B3553" s="91"/>
      <c r="C3553" s="91"/>
      <c r="D3553" s="91"/>
      <c r="E3553" s="91"/>
      <c r="G3553" s="213"/>
      <c r="H3553" s="222"/>
    </row>
    <row r="3554" spans="1:9" s="212" customFormat="1">
      <c r="A3554" s="120"/>
      <c r="B3554" s="73"/>
      <c r="C3554" s="73"/>
      <c r="D3554" s="73"/>
      <c r="E3554" s="73"/>
      <c r="G3554" s="73"/>
      <c r="H3554" s="222"/>
    </row>
    <row r="3555" spans="1:9" s="212" customFormat="1">
      <c r="A3555" s="220"/>
      <c r="B3555" s="141"/>
      <c r="C3555" s="141"/>
      <c r="D3555" s="141"/>
      <c r="E3555" s="141"/>
      <c r="F3555" s="141"/>
      <c r="G3555" s="141"/>
      <c r="H3555" s="222"/>
    </row>
    <row r="3556" spans="1:9" s="212" customFormat="1">
      <c r="A3556" s="142"/>
      <c r="B3556" s="143"/>
      <c r="C3556" s="143"/>
      <c r="D3556" s="143"/>
      <c r="E3556" s="143"/>
      <c r="F3556" s="84"/>
      <c r="G3556" s="146"/>
      <c r="H3556" s="221"/>
    </row>
    <row r="3557" spans="1:9" s="212" customFormat="1">
      <c r="A3557" s="123"/>
      <c r="B3557" s="95"/>
      <c r="C3557" s="95"/>
      <c r="D3557" s="95"/>
      <c r="E3557" s="95"/>
      <c r="G3557" s="213"/>
      <c r="H3557" s="73"/>
    </row>
    <row r="3558" spans="1:9" s="212" customFormat="1">
      <c r="A3558" s="123"/>
      <c r="B3558" s="95"/>
      <c r="C3558" s="95"/>
      <c r="D3558" s="95"/>
      <c r="E3558" s="95"/>
      <c r="G3558" s="73"/>
      <c r="H3558" s="225"/>
    </row>
    <row r="3559" spans="1:9" s="212" customFormat="1">
      <c r="B3559" s="97"/>
      <c r="C3559" s="98"/>
      <c r="D3559" s="98"/>
      <c r="E3559" s="98"/>
      <c r="G3559" s="220"/>
    </row>
    <row r="3560" spans="1:9" s="212" customFormat="1">
      <c r="B3560" s="97"/>
      <c r="C3560" s="98"/>
      <c r="D3560" s="98"/>
      <c r="E3560" s="98"/>
      <c r="F3560" s="220"/>
      <c r="G3560" s="225"/>
      <c r="H3560" s="226"/>
    </row>
    <row r="3561" spans="1:9" s="212" customFormat="1">
      <c r="A3561" s="633"/>
      <c r="B3561" s="633"/>
      <c r="C3561" s="633"/>
      <c r="D3561" s="633"/>
      <c r="E3561" s="633"/>
      <c r="F3561" s="633"/>
      <c r="G3561" s="633"/>
    </row>
    <row r="3562" spans="1:9" s="212" customFormat="1">
      <c r="H3562" s="227"/>
      <c r="I3562" s="228"/>
    </row>
    <row r="3563" spans="1:9" s="212" customFormat="1">
      <c r="A3563" s="658"/>
      <c r="B3563" s="227"/>
      <c r="C3563" s="227"/>
      <c r="D3563" s="227"/>
      <c r="E3563" s="227"/>
      <c r="F3563" s="227"/>
      <c r="G3563" s="227"/>
      <c r="H3563" s="227"/>
      <c r="I3563" s="229"/>
    </row>
    <row r="3564" spans="1:9" s="212" customFormat="1">
      <c r="A3564" s="658"/>
      <c r="B3564" s="227"/>
      <c r="C3564" s="227"/>
      <c r="D3564" s="227"/>
      <c r="E3564" s="227"/>
      <c r="F3564" s="227"/>
      <c r="G3564" s="227"/>
    </row>
    <row r="3565" spans="1:9" s="212" customFormat="1">
      <c r="A3565" s="69"/>
      <c r="B3565" s="69"/>
      <c r="C3565" s="69"/>
      <c r="D3565" s="69"/>
      <c r="E3565" s="69"/>
    </row>
    <row r="3566" spans="1:9" s="212" customFormat="1">
      <c r="A3566" s="120"/>
      <c r="B3566" s="73"/>
      <c r="C3566" s="73"/>
      <c r="D3566" s="73"/>
      <c r="E3566" s="73"/>
      <c r="F3566" s="73"/>
      <c r="G3566" s="73"/>
      <c r="H3566" s="73"/>
    </row>
    <row r="3567" spans="1:9" s="212" customFormat="1">
      <c r="A3567" s="220"/>
      <c r="B3567" s="141"/>
      <c r="C3567" s="141"/>
      <c r="D3567" s="141"/>
      <c r="E3567" s="141"/>
      <c r="F3567" s="141"/>
      <c r="G3567" s="141"/>
      <c r="H3567" s="73"/>
    </row>
    <row r="3568" spans="1:9" s="212" customFormat="1" ht="16.5">
      <c r="A3568" s="150"/>
      <c r="B3568" s="161"/>
      <c r="C3568" s="148"/>
      <c r="D3568" s="84"/>
      <c r="E3568" s="84"/>
      <c r="F3568" s="84"/>
      <c r="G3568" s="224"/>
      <c r="H3568" s="73"/>
    </row>
    <row r="3569" spans="1:8" s="212" customFormat="1" ht="16.5">
      <c r="A3569" s="150"/>
      <c r="B3569" s="161"/>
      <c r="C3569" s="148"/>
      <c r="D3569" s="84"/>
      <c r="E3569" s="84"/>
      <c r="F3569" s="84"/>
      <c r="G3569" s="224"/>
      <c r="H3569" s="221"/>
    </row>
    <row r="3570" spans="1:8" s="212" customFormat="1">
      <c r="A3570" s="84"/>
      <c r="B3570" s="83"/>
      <c r="C3570" s="84"/>
      <c r="D3570" s="84"/>
      <c r="E3570" s="84"/>
      <c r="G3570" s="213"/>
      <c r="H3570" s="222"/>
    </row>
    <row r="3571" spans="1:8" s="212" customFormat="1">
      <c r="A3571" s="120"/>
      <c r="B3571" s="73"/>
      <c r="C3571" s="73"/>
      <c r="D3571" s="73"/>
      <c r="E3571" s="73"/>
      <c r="G3571" s="73"/>
      <c r="H3571" s="222"/>
    </row>
    <row r="3572" spans="1:8" s="212" customFormat="1">
      <c r="A3572" s="220"/>
      <c r="B3572" s="141"/>
      <c r="C3572" s="141"/>
      <c r="D3572" s="141"/>
      <c r="E3572" s="141"/>
      <c r="F3572" s="141"/>
      <c r="G3572" s="141"/>
      <c r="H3572" s="222"/>
    </row>
    <row r="3573" spans="1:8" s="212" customFormat="1">
      <c r="A3573" s="146"/>
      <c r="B3573" s="83"/>
      <c r="C3573" s="148"/>
      <c r="D3573" s="84"/>
      <c r="E3573" s="84"/>
      <c r="F3573" s="84"/>
      <c r="G3573" s="146"/>
      <c r="H3573" s="222"/>
    </row>
    <row r="3574" spans="1:8" s="212" customFormat="1">
      <c r="A3574" s="146"/>
      <c r="B3574" s="83"/>
      <c r="C3574" s="148"/>
      <c r="D3574" s="84"/>
      <c r="E3574" s="84"/>
      <c r="F3574" s="84"/>
      <c r="G3574" s="146"/>
      <c r="H3574" s="221"/>
    </row>
    <row r="3575" spans="1:8" s="212" customFormat="1">
      <c r="A3575" s="91"/>
      <c r="B3575" s="91"/>
      <c r="C3575" s="91"/>
      <c r="D3575" s="91"/>
      <c r="E3575" s="91"/>
      <c r="G3575" s="213"/>
      <c r="H3575" s="222"/>
    </row>
    <row r="3576" spans="1:8" s="212" customFormat="1">
      <c r="A3576" s="120"/>
      <c r="B3576" s="73"/>
      <c r="C3576" s="73"/>
      <c r="D3576" s="73"/>
      <c r="E3576" s="73"/>
      <c r="G3576" s="73"/>
      <c r="H3576" s="222"/>
    </row>
    <row r="3577" spans="1:8" s="212" customFormat="1">
      <c r="A3577" s="220"/>
      <c r="B3577" s="141"/>
      <c r="C3577" s="141"/>
      <c r="D3577" s="141"/>
      <c r="E3577" s="141"/>
      <c r="F3577" s="141"/>
      <c r="G3577" s="141"/>
      <c r="H3577" s="222"/>
    </row>
    <row r="3578" spans="1:8" s="212" customFormat="1">
      <c r="A3578" s="146"/>
      <c r="B3578" s="83"/>
      <c r="C3578" s="148"/>
      <c r="D3578" s="148"/>
      <c r="E3578" s="84"/>
      <c r="F3578" s="84"/>
      <c r="G3578" s="146"/>
      <c r="H3578" s="221"/>
    </row>
    <row r="3579" spans="1:8" s="212" customFormat="1">
      <c r="A3579" s="91"/>
      <c r="B3579" s="91"/>
      <c r="C3579" s="91"/>
      <c r="D3579" s="91"/>
      <c r="E3579" s="91"/>
      <c r="G3579" s="213"/>
      <c r="H3579" s="222"/>
    </row>
    <row r="3580" spans="1:8" s="212" customFormat="1">
      <c r="A3580" s="120"/>
      <c r="B3580" s="73"/>
      <c r="C3580" s="73"/>
      <c r="D3580" s="73"/>
      <c r="E3580" s="73"/>
      <c r="G3580" s="73"/>
      <c r="H3580" s="222"/>
    </row>
    <row r="3581" spans="1:8" s="212" customFormat="1">
      <c r="A3581" s="220"/>
      <c r="B3581" s="141"/>
      <c r="C3581" s="141"/>
      <c r="D3581" s="141"/>
      <c r="E3581" s="141"/>
      <c r="F3581" s="141"/>
      <c r="G3581" s="141"/>
      <c r="H3581" s="222"/>
    </row>
    <row r="3582" spans="1:8" s="212" customFormat="1">
      <c r="A3582" s="142"/>
      <c r="B3582" s="143"/>
      <c r="C3582" s="143"/>
      <c r="D3582" s="143"/>
      <c r="E3582" s="143"/>
      <c r="F3582" s="84"/>
      <c r="G3582" s="146"/>
      <c r="H3582" s="221"/>
    </row>
    <row r="3583" spans="1:8" s="212" customFormat="1">
      <c r="A3583" s="123"/>
      <c r="B3583" s="95"/>
      <c r="C3583" s="95"/>
      <c r="D3583" s="95"/>
      <c r="E3583" s="95"/>
      <c r="G3583" s="213"/>
      <c r="H3583" s="73"/>
    </row>
    <row r="3584" spans="1:8" s="212" customFormat="1">
      <c r="A3584" s="123"/>
      <c r="B3584" s="95"/>
      <c r="C3584" s="95"/>
      <c r="D3584" s="95"/>
      <c r="E3584" s="95"/>
      <c r="G3584" s="73"/>
      <c r="H3584" s="225"/>
    </row>
    <row r="3585" spans="1:9" s="212" customFormat="1">
      <c r="B3585" s="97"/>
      <c r="C3585" s="98"/>
      <c r="D3585" s="98"/>
      <c r="E3585" s="98"/>
      <c r="G3585" s="220"/>
    </row>
    <row r="3586" spans="1:9" s="212" customFormat="1">
      <c r="B3586" s="97"/>
      <c r="C3586" s="98"/>
      <c r="D3586" s="98"/>
      <c r="E3586" s="98"/>
      <c r="F3586" s="220"/>
      <c r="G3586" s="225"/>
      <c r="H3586" s="226"/>
    </row>
    <row r="3587" spans="1:9" s="212" customFormat="1">
      <c r="A3587" s="633"/>
      <c r="B3587" s="633"/>
      <c r="C3587" s="633"/>
      <c r="D3587" s="633"/>
      <c r="E3587" s="633"/>
      <c r="F3587" s="633"/>
      <c r="G3587" s="633"/>
    </row>
    <row r="3588" spans="1:9" s="212" customFormat="1">
      <c r="H3588" s="227"/>
      <c r="I3588" s="228"/>
    </row>
    <row r="3589" spans="1:9" s="212" customFormat="1">
      <c r="A3589" s="658"/>
      <c r="B3589" s="227"/>
      <c r="C3589" s="227"/>
      <c r="D3589" s="227"/>
      <c r="E3589" s="227"/>
      <c r="F3589" s="227"/>
      <c r="G3589" s="227"/>
      <c r="H3589" s="227"/>
      <c r="I3589" s="229"/>
    </row>
    <row r="3590" spans="1:9" s="212" customFormat="1">
      <c r="A3590" s="658"/>
      <c r="B3590" s="227"/>
      <c r="C3590" s="227"/>
      <c r="D3590" s="227"/>
      <c r="E3590" s="227"/>
      <c r="F3590" s="227"/>
      <c r="G3590" s="227"/>
    </row>
    <row r="3591" spans="1:9" s="212" customFormat="1">
      <c r="A3591" s="69"/>
      <c r="B3591" s="69"/>
      <c r="C3591" s="69"/>
      <c r="D3591" s="69"/>
      <c r="E3591" s="69"/>
    </row>
    <row r="3592" spans="1:9" s="212" customFormat="1">
      <c r="A3592" s="120"/>
      <c r="B3592" s="73"/>
      <c r="C3592" s="73"/>
      <c r="D3592" s="73"/>
      <c r="E3592" s="73"/>
      <c r="F3592" s="73"/>
      <c r="G3592" s="73"/>
      <c r="H3592" s="73"/>
    </row>
    <row r="3593" spans="1:9" s="212" customFormat="1">
      <c r="A3593" s="220"/>
      <c r="B3593" s="141"/>
      <c r="C3593" s="141"/>
      <c r="D3593" s="141"/>
      <c r="E3593" s="141"/>
      <c r="F3593" s="141"/>
      <c r="G3593" s="141"/>
      <c r="H3593" s="73"/>
    </row>
    <row r="3594" spans="1:9" s="212" customFormat="1" ht="16.5">
      <c r="A3594" s="150"/>
      <c r="B3594" s="161"/>
      <c r="C3594" s="148"/>
      <c r="D3594" s="84"/>
      <c r="E3594" s="84"/>
      <c r="F3594" s="84"/>
      <c r="G3594" s="224"/>
      <c r="H3594" s="73"/>
    </row>
    <row r="3595" spans="1:9" s="212" customFormat="1" ht="16.5">
      <c r="A3595" s="150"/>
      <c r="B3595" s="161"/>
      <c r="C3595" s="148"/>
      <c r="D3595" s="84"/>
      <c r="E3595" s="84"/>
      <c r="F3595" s="84"/>
      <c r="G3595" s="224"/>
      <c r="H3595" s="221"/>
    </row>
    <row r="3596" spans="1:9" s="212" customFormat="1">
      <c r="A3596" s="84"/>
      <c r="B3596" s="83"/>
      <c r="C3596" s="84"/>
      <c r="D3596" s="84"/>
      <c r="E3596" s="84"/>
      <c r="G3596" s="213"/>
      <c r="H3596" s="222"/>
    </row>
    <row r="3597" spans="1:9" s="212" customFormat="1">
      <c r="A3597" s="120"/>
      <c r="B3597" s="73"/>
      <c r="C3597" s="73"/>
      <c r="D3597" s="73"/>
      <c r="E3597" s="73"/>
      <c r="G3597" s="73"/>
      <c r="H3597" s="222"/>
    </row>
    <row r="3598" spans="1:9" s="212" customFormat="1">
      <c r="A3598" s="220"/>
      <c r="B3598" s="141"/>
      <c r="C3598" s="141"/>
      <c r="D3598" s="141"/>
      <c r="E3598" s="141"/>
      <c r="F3598" s="141"/>
      <c r="G3598" s="141"/>
      <c r="H3598" s="222"/>
    </row>
    <row r="3599" spans="1:9" s="212" customFormat="1">
      <c r="A3599" s="146"/>
      <c r="B3599" s="83"/>
      <c r="C3599" s="148"/>
      <c r="D3599" s="84"/>
      <c r="E3599" s="84"/>
      <c r="F3599" s="84"/>
      <c r="G3599" s="146"/>
      <c r="H3599" s="222"/>
    </row>
    <row r="3600" spans="1:9" s="212" customFormat="1">
      <c r="A3600" s="146"/>
      <c r="B3600" s="83"/>
      <c r="C3600" s="148"/>
      <c r="D3600" s="84"/>
      <c r="E3600" s="84"/>
      <c r="F3600" s="84"/>
      <c r="G3600" s="146"/>
      <c r="H3600" s="222"/>
    </row>
    <row r="3601" spans="1:9" s="212" customFormat="1">
      <c r="A3601" s="146"/>
      <c r="B3601" s="83"/>
      <c r="C3601" s="148"/>
      <c r="D3601" s="84"/>
      <c r="E3601" s="84"/>
      <c r="F3601" s="84"/>
      <c r="G3601" s="146"/>
      <c r="H3601" s="222"/>
    </row>
    <row r="3602" spans="1:9" s="212" customFormat="1">
      <c r="A3602" s="146"/>
      <c r="B3602" s="83"/>
      <c r="C3602" s="148"/>
      <c r="D3602" s="84"/>
      <c r="E3602" s="84"/>
      <c r="F3602" s="84"/>
      <c r="G3602" s="146"/>
      <c r="H3602" s="221"/>
    </row>
    <row r="3603" spans="1:9" s="212" customFormat="1">
      <c r="A3603" s="91"/>
      <c r="B3603" s="91"/>
      <c r="C3603" s="91"/>
      <c r="D3603" s="91"/>
      <c r="E3603" s="91"/>
      <c r="G3603" s="213"/>
      <c r="H3603" s="222"/>
    </row>
    <row r="3604" spans="1:9" s="212" customFormat="1">
      <c r="A3604" s="120"/>
      <c r="B3604" s="73"/>
      <c r="C3604" s="73"/>
      <c r="D3604" s="73"/>
      <c r="E3604" s="73"/>
      <c r="G3604" s="73"/>
      <c r="H3604" s="222"/>
    </row>
    <row r="3605" spans="1:9" s="212" customFormat="1">
      <c r="A3605" s="220"/>
      <c r="B3605" s="141"/>
      <c r="C3605" s="141"/>
      <c r="D3605" s="141"/>
      <c r="E3605" s="141"/>
      <c r="F3605" s="141"/>
      <c r="G3605" s="141"/>
      <c r="H3605" s="222"/>
    </row>
    <row r="3606" spans="1:9" s="212" customFormat="1">
      <c r="A3606" s="146"/>
      <c r="B3606" s="83"/>
      <c r="C3606" s="148"/>
      <c r="D3606" s="148"/>
      <c r="E3606" s="84"/>
      <c r="F3606" s="84"/>
      <c r="G3606" s="146"/>
      <c r="H3606" s="221"/>
    </row>
    <row r="3607" spans="1:9" s="212" customFormat="1">
      <c r="A3607" s="91"/>
      <c r="B3607" s="91"/>
      <c r="C3607" s="91"/>
      <c r="D3607" s="91"/>
      <c r="E3607" s="91"/>
      <c r="G3607" s="213"/>
      <c r="H3607" s="222"/>
    </row>
    <row r="3608" spans="1:9" s="212" customFormat="1">
      <c r="A3608" s="120"/>
      <c r="B3608" s="73"/>
      <c r="C3608" s="73"/>
      <c r="D3608" s="73"/>
      <c r="E3608" s="73"/>
      <c r="G3608" s="73"/>
      <c r="H3608" s="222"/>
    </row>
    <row r="3609" spans="1:9" s="212" customFormat="1">
      <c r="A3609" s="220"/>
      <c r="B3609" s="141"/>
      <c r="C3609" s="141"/>
      <c r="D3609" s="141"/>
      <c r="E3609" s="141"/>
      <c r="F3609" s="141"/>
      <c r="G3609" s="141"/>
      <c r="H3609" s="222"/>
    </row>
    <row r="3610" spans="1:9" s="212" customFormat="1">
      <c r="A3610" s="142"/>
      <c r="B3610" s="143"/>
      <c r="C3610" s="143"/>
      <c r="D3610" s="143"/>
      <c r="E3610" s="143"/>
      <c r="F3610" s="84"/>
      <c r="G3610" s="146"/>
      <c r="H3610" s="221"/>
    </row>
    <row r="3611" spans="1:9" s="212" customFormat="1">
      <c r="A3611" s="123"/>
      <c r="B3611" s="95"/>
      <c r="C3611" s="95"/>
      <c r="D3611" s="95"/>
      <c r="E3611" s="95"/>
      <c r="G3611" s="213"/>
      <c r="H3611" s="73"/>
    </row>
    <row r="3612" spans="1:9" s="212" customFormat="1">
      <c r="A3612" s="123"/>
      <c r="B3612" s="95"/>
      <c r="C3612" s="95"/>
      <c r="D3612" s="95"/>
      <c r="E3612" s="95"/>
      <c r="G3612" s="73"/>
      <c r="H3612" s="225"/>
    </row>
    <row r="3613" spans="1:9" s="212" customFormat="1">
      <c r="B3613" s="97"/>
      <c r="C3613" s="98"/>
      <c r="D3613" s="98"/>
      <c r="E3613" s="98"/>
      <c r="G3613" s="220"/>
    </row>
    <row r="3614" spans="1:9" s="212" customFormat="1">
      <c r="B3614" s="97"/>
      <c r="C3614" s="98"/>
      <c r="D3614" s="98"/>
      <c r="E3614" s="98"/>
      <c r="F3614" s="220"/>
      <c r="G3614" s="225"/>
      <c r="H3614" s="226"/>
    </row>
    <row r="3615" spans="1:9" s="212" customFormat="1">
      <c r="A3615" s="633"/>
      <c r="B3615" s="633"/>
      <c r="C3615" s="633"/>
      <c r="D3615" s="633"/>
      <c r="E3615" s="633"/>
      <c r="F3615" s="633"/>
      <c r="G3615" s="633"/>
    </row>
    <row r="3616" spans="1:9" s="212" customFormat="1">
      <c r="H3616" s="227"/>
      <c r="I3616" s="228"/>
    </row>
    <row r="3617" spans="1:9" s="212" customFormat="1">
      <c r="A3617" s="658"/>
      <c r="B3617" s="227"/>
      <c r="C3617" s="227"/>
      <c r="D3617" s="227"/>
      <c r="E3617" s="227"/>
      <c r="F3617" s="227"/>
      <c r="G3617" s="227"/>
      <c r="H3617" s="227"/>
      <c r="I3617" s="229"/>
    </row>
    <row r="3618" spans="1:9" s="212" customFormat="1">
      <c r="A3618" s="658"/>
      <c r="B3618" s="227"/>
      <c r="C3618" s="227"/>
      <c r="D3618" s="227"/>
      <c r="E3618" s="227"/>
      <c r="F3618" s="227"/>
      <c r="G3618" s="227"/>
    </row>
    <row r="3619" spans="1:9" s="212" customFormat="1">
      <c r="A3619" s="69"/>
      <c r="B3619" s="69"/>
      <c r="C3619" s="69"/>
      <c r="D3619" s="69"/>
      <c r="E3619" s="69"/>
    </row>
    <row r="3620" spans="1:9" s="212" customFormat="1">
      <c r="A3620" s="120"/>
      <c r="B3620" s="73"/>
      <c r="C3620" s="73"/>
      <c r="D3620" s="73"/>
      <c r="E3620" s="73"/>
      <c r="F3620" s="73"/>
      <c r="G3620" s="73"/>
      <c r="H3620" s="73"/>
    </row>
    <row r="3621" spans="1:9" s="212" customFormat="1">
      <c r="A3621" s="220"/>
      <c r="B3621" s="141"/>
      <c r="C3621" s="141"/>
      <c r="D3621" s="141"/>
      <c r="E3621" s="141"/>
      <c r="F3621" s="141"/>
      <c r="G3621" s="141"/>
      <c r="H3621" s="73"/>
    </row>
    <row r="3622" spans="1:9" s="212" customFormat="1" ht="16.5">
      <c r="A3622" s="150"/>
      <c r="B3622" s="161"/>
      <c r="C3622" s="148"/>
      <c r="D3622" s="84"/>
      <c r="E3622" s="84"/>
      <c r="F3622" s="84"/>
      <c r="G3622" s="224"/>
      <c r="H3622" s="73"/>
    </row>
    <row r="3623" spans="1:9" s="212" customFormat="1" ht="16.5">
      <c r="A3623" s="150"/>
      <c r="B3623" s="161"/>
      <c r="C3623" s="148"/>
      <c r="D3623" s="84"/>
      <c r="E3623" s="84"/>
      <c r="F3623" s="84"/>
      <c r="G3623" s="224"/>
      <c r="H3623" s="73"/>
    </row>
    <row r="3624" spans="1:9" s="212" customFormat="1" ht="16.5">
      <c r="A3624" s="150"/>
      <c r="B3624" s="161"/>
      <c r="C3624" s="148"/>
      <c r="D3624" s="84"/>
      <c r="E3624" s="84"/>
      <c r="F3624" s="84"/>
      <c r="G3624" s="224"/>
      <c r="H3624" s="73"/>
    </row>
    <row r="3625" spans="1:9" s="212" customFormat="1" ht="16.5">
      <c r="A3625" s="150"/>
      <c r="B3625" s="161"/>
      <c r="C3625" s="148"/>
      <c r="D3625" s="84"/>
      <c r="E3625" s="84"/>
      <c r="F3625" s="84"/>
      <c r="G3625" s="224"/>
      <c r="H3625" s="73"/>
    </row>
    <row r="3626" spans="1:9" s="212" customFormat="1" ht="16.5">
      <c r="A3626" s="150"/>
      <c r="B3626" s="161"/>
      <c r="C3626" s="148"/>
      <c r="D3626" s="84"/>
      <c r="E3626" s="84"/>
      <c r="F3626" s="84"/>
      <c r="G3626" s="224"/>
      <c r="H3626" s="221"/>
    </row>
    <row r="3627" spans="1:9" s="212" customFormat="1">
      <c r="A3627" s="84"/>
      <c r="B3627" s="83"/>
      <c r="C3627" s="84"/>
      <c r="D3627" s="84"/>
      <c r="E3627" s="84"/>
      <c r="G3627" s="213"/>
      <c r="H3627" s="222"/>
    </row>
    <row r="3628" spans="1:9" s="212" customFormat="1">
      <c r="A3628" s="120"/>
      <c r="B3628" s="73"/>
      <c r="C3628" s="73"/>
      <c r="D3628" s="73"/>
      <c r="E3628" s="73"/>
      <c r="G3628" s="73"/>
      <c r="H3628" s="222"/>
    </row>
    <row r="3629" spans="1:9" s="212" customFormat="1">
      <c r="A3629" s="220"/>
      <c r="B3629" s="141"/>
      <c r="C3629" s="141"/>
      <c r="D3629" s="141"/>
      <c r="E3629" s="141"/>
      <c r="F3629" s="141"/>
      <c r="G3629" s="141"/>
      <c r="H3629" s="222"/>
    </row>
    <row r="3630" spans="1:9" s="212" customFormat="1">
      <c r="A3630" s="146"/>
      <c r="B3630" s="83"/>
      <c r="C3630" s="148"/>
      <c r="D3630" s="84"/>
      <c r="E3630" s="84"/>
      <c r="F3630" s="84"/>
      <c r="G3630" s="146"/>
      <c r="H3630" s="222"/>
    </row>
    <row r="3631" spans="1:9" s="212" customFormat="1">
      <c r="A3631" s="146"/>
      <c r="B3631" s="83"/>
      <c r="C3631" s="148"/>
      <c r="D3631" s="84"/>
      <c r="E3631" s="84"/>
      <c r="F3631" s="84"/>
      <c r="G3631" s="146"/>
      <c r="H3631" s="222"/>
    </row>
    <row r="3632" spans="1:9" s="212" customFormat="1">
      <c r="A3632" s="146"/>
      <c r="B3632" s="83"/>
      <c r="C3632" s="148"/>
      <c r="D3632" s="84"/>
      <c r="E3632" s="84"/>
      <c r="F3632" s="84"/>
      <c r="G3632" s="150"/>
      <c r="H3632" s="221"/>
    </row>
    <row r="3633" spans="1:9" s="212" customFormat="1">
      <c r="A3633" s="91"/>
      <c r="B3633" s="91"/>
      <c r="C3633" s="91"/>
      <c r="D3633" s="91"/>
      <c r="E3633" s="91"/>
      <c r="G3633" s="213"/>
      <c r="H3633" s="222"/>
    </row>
    <row r="3634" spans="1:9" s="212" customFormat="1">
      <c r="A3634" s="120"/>
      <c r="B3634" s="73"/>
      <c r="C3634" s="73"/>
      <c r="D3634" s="73"/>
      <c r="E3634" s="73"/>
      <c r="G3634" s="73"/>
      <c r="H3634" s="222"/>
    </row>
    <row r="3635" spans="1:9" s="212" customFormat="1">
      <c r="A3635" s="220"/>
      <c r="B3635" s="141"/>
      <c r="C3635" s="141"/>
      <c r="D3635" s="141"/>
      <c r="E3635" s="141"/>
      <c r="F3635" s="141"/>
      <c r="G3635" s="141"/>
      <c r="H3635" s="222"/>
    </row>
    <row r="3636" spans="1:9" s="212" customFormat="1">
      <c r="A3636" s="146"/>
      <c r="B3636" s="83"/>
      <c r="C3636" s="148"/>
      <c r="D3636" s="148"/>
      <c r="E3636" s="84"/>
      <c r="F3636" s="84"/>
      <c r="G3636" s="146"/>
      <c r="H3636" s="221"/>
    </row>
    <row r="3637" spans="1:9" s="212" customFormat="1">
      <c r="A3637" s="91"/>
      <c r="B3637" s="91"/>
      <c r="C3637" s="91"/>
      <c r="D3637" s="91"/>
      <c r="E3637" s="91"/>
      <c r="G3637" s="213"/>
      <c r="H3637" s="222"/>
    </row>
    <row r="3638" spans="1:9" s="212" customFormat="1">
      <c r="A3638" s="120"/>
      <c r="B3638" s="73"/>
      <c r="C3638" s="73"/>
      <c r="D3638" s="73"/>
      <c r="E3638" s="73"/>
      <c r="G3638" s="73"/>
      <c r="H3638" s="222"/>
    </row>
    <row r="3639" spans="1:9" s="212" customFormat="1">
      <c r="A3639" s="220"/>
      <c r="B3639" s="141"/>
      <c r="C3639" s="141"/>
      <c r="D3639" s="141"/>
      <c r="E3639" s="141"/>
      <c r="F3639" s="141"/>
      <c r="G3639" s="141"/>
      <c r="H3639" s="222"/>
    </row>
    <row r="3640" spans="1:9" s="212" customFormat="1">
      <c r="A3640" s="142"/>
      <c r="B3640" s="143"/>
      <c r="C3640" s="143"/>
      <c r="D3640" s="143"/>
      <c r="E3640" s="143"/>
      <c r="F3640" s="84"/>
      <c r="G3640" s="146"/>
      <c r="H3640" s="221"/>
    </row>
    <row r="3641" spans="1:9" s="212" customFormat="1">
      <c r="A3641" s="123"/>
      <c r="B3641" s="95"/>
      <c r="C3641" s="95"/>
      <c r="D3641" s="95"/>
      <c r="E3641" s="95"/>
      <c r="G3641" s="213"/>
      <c r="H3641" s="73"/>
    </row>
    <row r="3642" spans="1:9" s="212" customFormat="1">
      <c r="A3642" s="123"/>
      <c r="B3642" s="95"/>
      <c r="C3642" s="95"/>
      <c r="D3642" s="95"/>
      <c r="E3642" s="95"/>
      <c r="G3642" s="73"/>
      <c r="H3642" s="225"/>
    </row>
    <row r="3643" spans="1:9" s="212" customFormat="1">
      <c r="B3643" s="97"/>
      <c r="C3643" s="98"/>
      <c r="D3643" s="98"/>
      <c r="E3643" s="98"/>
      <c r="G3643" s="220"/>
    </row>
    <row r="3644" spans="1:9" s="212" customFormat="1">
      <c r="B3644" s="97"/>
      <c r="C3644" s="98"/>
      <c r="D3644" s="98"/>
      <c r="E3644" s="98"/>
      <c r="F3644" s="220"/>
      <c r="G3644" s="225"/>
      <c r="H3644" s="226"/>
    </row>
    <row r="3645" spans="1:9" s="212" customFormat="1">
      <c r="A3645" s="633"/>
      <c r="B3645" s="633"/>
      <c r="C3645" s="633"/>
      <c r="D3645" s="633"/>
      <c r="E3645" s="633"/>
      <c r="F3645" s="633"/>
      <c r="G3645" s="633"/>
    </row>
    <row r="3646" spans="1:9" s="212" customFormat="1">
      <c r="H3646" s="227"/>
      <c r="I3646" s="228"/>
    </row>
    <row r="3647" spans="1:9" s="212" customFormat="1">
      <c r="A3647" s="658"/>
      <c r="B3647" s="227"/>
      <c r="C3647" s="227"/>
      <c r="D3647" s="227"/>
      <c r="E3647" s="227"/>
      <c r="F3647" s="227"/>
      <c r="G3647" s="227"/>
      <c r="H3647" s="227"/>
      <c r="I3647" s="229"/>
    </row>
    <row r="3648" spans="1:9" s="212" customFormat="1">
      <c r="A3648" s="658"/>
      <c r="B3648" s="227"/>
      <c r="C3648" s="227"/>
      <c r="D3648" s="227"/>
      <c r="E3648" s="227"/>
      <c r="F3648" s="227"/>
      <c r="G3648" s="227"/>
    </row>
    <row r="3649" spans="1:8" s="212" customFormat="1">
      <c r="A3649" s="69"/>
      <c r="B3649" s="69"/>
      <c r="C3649" s="69"/>
      <c r="D3649" s="69"/>
      <c r="E3649" s="69"/>
    </row>
    <row r="3650" spans="1:8" s="212" customFormat="1">
      <c r="A3650" s="120"/>
      <c r="B3650" s="73"/>
      <c r="C3650" s="73"/>
      <c r="D3650" s="73"/>
      <c r="E3650" s="73"/>
      <c r="F3650" s="73"/>
      <c r="G3650" s="73"/>
      <c r="H3650" s="73"/>
    </row>
    <row r="3651" spans="1:8" s="212" customFormat="1">
      <c r="A3651" s="220"/>
      <c r="B3651" s="141"/>
      <c r="C3651" s="141"/>
      <c r="D3651" s="141"/>
      <c r="E3651" s="141"/>
      <c r="F3651" s="141"/>
      <c r="G3651" s="141"/>
      <c r="H3651" s="73"/>
    </row>
    <row r="3652" spans="1:8" s="212" customFormat="1" ht="16.5">
      <c r="A3652" s="150"/>
      <c r="B3652" s="161"/>
      <c r="C3652" s="148"/>
      <c r="D3652" s="84"/>
      <c r="E3652" s="84"/>
      <c r="F3652" s="84"/>
      <c r="G3652" s="224"/>
      <c r="H3652" s="73"/>
    </row>
    <row r="3653" spans="1:8" s="212" customFormat="1" ht="16.5">
      <c r="A3653" s="150"/>
      <c r="B3653" s="161"/>
      <c r="C3653" s="148"/>
      <c r="D3653" s="84"/>
      <c r="E3653" s="84"/>
      <c r="F3653" s="84"/>
      <c r="G3653" s="224"/>
      <c r="H3653" s="221"/>
    </row>
    <row r="3654" spans="1:8" s="212" customFormat="1">
      <c r="A3654" s="84"/>
      <c r="B3654" s="83"/>
      <c r="C3654" s="84"/>
      <c r="D3654" s="84"/>
      <c r="E3654" s="84"/>
      <c r="G3654" s="213"/>
      <c r="H3654" s="222"/>
    </row>
    <row r="3655" spans="1:8" s="212" customFormat="1">
      <c r="A3655" s="120"/>
      <c r="B3655" s="73"/>
      <c r="C3655" s="73"/>
      <c r="D3655" s="73"/>
      <c r="E3655" s="73"/>
      <c r="G3655" s="73"/>
      <c r="H3655" s="222"/>
    </row>
    <row r="3656" spans="1:8" s="212" customFormat="1">
      <c r="A3656" s="220"/>
      <c r="B3656" s="141"/>
      <c r="C3656" s="141"/>
      <c r="D3656" s="141"/>
      <c r="E3656" s="141"/>
      <c r="F3656" s="141"/>
      <c r="G3656" s="141"/>
      <c r="H3656" s="222"/>
    </row>
    <row r="3657" spans="1:8" s="212" customFormat="1">
      <c r="A3657" s="146"/>
      <c r="B3657" s="83"/>
      <c r="C3657" s="148"/>
      <c r="D3657" s="84"/>
      <c r="E3657" s="84"/>
      <c r="F3657" s="84"/>
      <c r="G3657" s="146"/>
      <c r="H3657" s="222"/>
    </row>
    <row r="3658" spans="1:8" s="212" customFormat="1">
      <c r="A3658" s="146"/>
      <c r="B3658" s="83"/>
      <c r="C3658" s="148"/>
      <c r="D3658" s="84"/>
      <c r="E3658" s="84"/>
      <c r="F3658" s="84"/>
      <c r="G3658" s="232"/>
      <c r="H3658" s="221"/>
    </row>
    <row r="3659" spans="1:8" s="212" customFormat="1">
      <c r="A3659" s="91"/>
      <c r="B3659" s="91"/>
      <c r="C3659" s="91"/>
      <c r="D3659" s="91"/>
      <c r="E3659" s="91"/>
      <c r="G3659" s="213"/>
      <c r="H3659" s="222"/>
    </row>
    <row r="3660" spans="1:8" s="212" customFormat="1">
      <c r="A3660" s="120"/>
      <c r="B3660" s="73"/>
      <c r="C3660" s="73"/>
      <c r="D3660" s="73"/>
      <c r="E3660" s="73"/>
      <c r="G3660" s="73"/>
      <c r="H3660" s="222"/>
    </row>
    <row r="3661" spans="1:8" s="212" customFormat="1">
      <c r="A3661" s="220"/>
      <c r="B3661" s="141"/>
      <c r="C3661" s="141"/>
      <c r="D3661" s="141"/>
      <c r="E3661" s="141"/>
      <c r="F3661" s="141"/>
      <c r="G3661" s="141"/>
      <c r="H3661" s="222"/>
    </row>
    <row r="3662" spans="1:8" s="212" customFormat="1">
      <c r="A3662" s="146"/>
      <c r="B3662" s="83"/>
      <c r="C3662" s="148"/>
      <c r="D3662" s="148"/>
      <c r="E3662" s="84"/>
      <c r="F3662" s="84"/>
      <c r="G3662" s="146"/>
      <c r="H3662" s="221"/>
    </row>
    <row r="3663" spans="1:8" s="212" customFormat="1">
      <c r="A3663" s="91"/>
      <c r="B3663" s="91"/>
      <c r="C3663" s="91"/>
      <c r="D3663" s="91"/>
      <c r="E3663" s="91"/>
      <c r="G3663" s="213"/>
      <c r="H3663" s="222"/>
    </row>
    <row r="3664" spans="1:8" s="212" customFormat="1">
      <c r="A3664" s="120"/>
      <c r="B3664" s="73"/>
      <c r="C3664" s="73"/>
      <c r="D3664" s="73"/>
      <c r="E3664" s="73"/>
      <c r="G3664" s="73"/>
      <c r="H3664" s="222"/>
    </row>
    <row r="3665" spans="1:9" s="212" customFormat="1">
      <c r="A3665" s="220"/>
      <c r="B3665" s="141"/>
      <c r="C3665" s="141"/>
      <c r="D3665" s="141"/>
      <c r="E3665" s="141"/>
      <c r="F3665" s="141"/>
      <c r="G3665" s="141"/>
      <c r="H3665" s="222"/>
    </row>
    <row r="3666" spans="1:9" s="212" customFormat="1">
      <c r="A3666" s="142"/>
      <c r="B3666" s="143"/>
      <c r="C3666" s="143"/>
      <c r="D3666" s="143"/>
      <c r="E3666" s="143"/>
      <c r="F3666" s="84"/>
      <c r="G3666" s="146"/>
      <c r="H3666" s="221"/>
    </row>
    <row r="3667" spans="1:9" s="212" customFormat="1">
      <c r="A3667" s="123"/>
      <c r="B3667" s="95"/>
      <c r="C3667" s="95"/>
      <c r="D3667" s="95"/>
      <c r="E3667" s="95"/>
      <c r="G3667" s="213"/>
      <c r="H3667" s="73"/>
    </row>
    <row r="3668" spans="1:9" s="212" customFormat="1">
      <c r="A3668" s="123"/>
      <c r="B3668" s="95"/>
      <c r="C3668" s="95"/>
      <c r="D3668" s="95"/>
      <c r="E3668" s="95"/>
      <c r="G3668" s="73"/>
      <c r="H3668" s="225"/>
    </row>
    <row r="3669" spans="1:9" s="212" customFormat="1">
      <c r="B3669" s="97"/>
      <c r="C3669" s="98"/>
      <c r="D3669" s="98"/>
      <c r="E3669" s="98"/>
      <c r="G3669" s="220"/>
    </row>
    <row r="3670" spans="1:9" s="212" customFormat="1">
      <c r="B3670" s="97"/>
      <c r="C3670" s="98"/>
      <c r="D3670" s="98"/>
      <c r="E3670" s="98"/>
      <c r="F3670" s="220"/>
      <c r="G3670" s="225"/>
      <c r="H3670" s="226"/>
    </row>
    <row r="3671" spans="1:9" s="212" customFormat="1">
      <c r="A3671" s="633"/>
      <c r="B3671" s="633"/>
      <c r="C3671" s="633"/>
      <c r="D3671" s="633"/>
      <c r="E3671" s="633"/>
      <c r="F3671" s="633"/>
      <c r="G3671" s="633"/>
    </row>
    <row r="3672" spans="1:9" s="212" customFormat="1">
      <c r="H3672" s="227"/>
      <c r="I3672" s="228"/>
    </row>
    <row r="3673" spans="1:9" s="212" customFormat="1">
      <c r="A3673" s="658"/>
      <c r="B3673" s="227"/>
      <c r="C3673" s="227"/>
      <c r="D3673" s="227"/>
      <c r="E3673" s="227"/>
      <c r="F3673" s="227"/>
      <c r="G3673" s="227"/>
      <c r="H3673" s="227"/>
      <c r="I3673" s="229"/>
    </row>
    <row r="3674" spans="1:9" s="212" customFormat="1">
      <c r="A3674" s="658"/>
      <c r="B3674" s="227"/>
      <c r="C3674" s="227"/>
      <c r="D3674" s="227"/>
      <c r="E3674" s="227"/>
      <c r="F3674" s="227"/>
      <c r="G3674" s="227"/>
    </row>
    <row r="3675" spans="1:9" s="212" customFormat="1">
      <c r="A3675" s="69"/>
      <c r="B3675" s="69"/>
      <c r="C3675" s="69"/>
      <c r="D3675" s="69"/>
      <c r="E3675" s="69"/>
    </row>
    <row r="3676" spans="1:9" s="212" customFormat="1">
      <c r="A3676" s="120"/>
      <c r="B3676" s="73"/>
      <c r="C3676" s="73"/>
      <c r="D3676" s="73"/>
      <c r="E3676" s="73"/>
      <c r="F3676" s="73"/>
      <c r="G3676" s="73"/>
      <c r="H3676" s="73"/>
    </row>
    <row r="3677" spans="1:9" s="212" customFormat="1">
      <c r="A3677" s="220"/>
      <c r="B3677" s="141"/>
      <c r="C3677" s="141"/>
      <c r="D3677" s="141"/>
      <c r="E3677" s="141"/>
      <c r="F3677" s="141"/>
      <c r="G3677" s="141"/>
      <c r="H3677" s="73"/>
    </row>
    <row r="3678" spans="1:9" s="212" customFormat="1" ht="16.5">
      <c r="A3678" s="150"/>
      <c r="B3678" s="161"/>
      <c r="C3678" s="148"/>
      <c r="D3678" s="84"/>
      <c r="E3678" s="84"/>
      <c r="F3678" s="84"/>
      <c r="G3678" s="224"/>
      <c r="H3678" s="73"/>
    </row>
    <row r="3679" spans="1:9" s="212" customFormat="1" ht="16.5">
      <c r="A3679" s="150"/>
      <c r="B3679" s="161"/>
      <c r="C3679" s="148"/>
      <c r="D3679" s="84"/>
      <c r="E3679" s="84"/>
      <c r="F3679" s="84"/>
      <c r="G3679" s="224"/>
      <c r="H3679" s="73"/>
    </row>
    <row r="3680" spans="1:9" s="212" customFormat="1" ht="16.5">
      <c r="A3680" s="150"/>
      <c r="B3680" s="161"/>
      <c r="C3680" s="148"/>
      <c r="D3680" s="84"/>
      <c r="E3680" s="84"/>
      <c r="F3680" s="84"/>
      <c r="G3680" s="224"/>
      <c r="H3680" s="73"/>
    </row>
    <row r="3681" spans="1:8" s="212" customFormat="1" ht="16.5">
      <c r="A3681" s="150"/>
      <c r="B3681" s="161"/>
      <c r="C3681" s="148"/>
      <c r="D3681" s="84"/>
      <c r="E3681" s="84"/>
      <c r="F3681" s="84"/>
      <c r="G3681" s="224"/>
      <c r="H3681" s="73"/>
    </row>
    <row r="3682" spans="1:8" s="212" customFormat="1" ht="16.5">
      <c r="A3682" s="150"/>
      <c r="B3682" s="161"/>
      <c r="C3682" s="148"/>
      <c r="D3682" s="84"/>
      <c r="E3682" s="84"/>
      <c r="F3682" s="84"/>
      <c r="G3682" s="224"/>
      <c r="H3682" s="221"/>
    </row>
    <row r="3683" spans="1:8" s="212" customFormat="1">
      <c r="A3683" s="84"/>
      <c r="B3683" s="83"/>
      <c r="C3683" s="84"/>
      <c r="D3683" s="84"/>
      <c r="E3683" s="84"/>
      <c r="G3683" s="213"/>
      <c r="H3683" s="222"/>
    </row>
    <row r="3684" spans="1:8" s="212" customFormat="1">
      <c r="A3684" s="120"/>
      <c r="B3684" s="73"/>
      <c r="C3684" s="73"/>
      <c r="D3684" s="73"/>
      <c r="E3684" s="73"/>
      <c r="G3684" s="73"/>
      <c r="H3684" s="222"/>
    </row>
    <row r="3685" spans="1:8" s="212" customFormat="1">
      <c r="A3685" s="220"/>
      <c r="B3685" s="141"/>
      <c r="C3685" s="141"/>
      <c r="D3685" s="141"/>
      <c r="E3685" s="141"/>
      <c r="F3685" s="141"/>
      <c r="G3685" s="141"/>
      <c r="H3685" s="222"/>
    </row>
    <row r="3686" spans="1:8" s="212" customFormat="1">
      <c r="A3686" s="146"/>
      <c r="B3686" s="83"/>
      <c r="C3686" s="148"/>
      <c r="D3686" s="84"/>
      <c r="E3686" s="84"/>
      <c r="F3686" s="84"/>
      <c r="G3686" s="146"/>
      <c r="H3686" s="222"/>
    </row>
    <row r="3687" spans="1:8" s="212" customFormat="1">
      <c r="A3687" s="146"/>
      <c r="B3687" s="83"/>
      <c r="C3687" s="148"/>
      <c r="D3687" s="84"/>
      <c r="E3687" s="84"/>
      <c r="F3687" s="84"/>
      <c r="G3687" s="232"/>
      <c r="H3687" s="222"/>
    </row>
    <row r="3688" spans="1:8" s="212" customFormat="1">
      <c r="A3688" s="146"/>
      <c r="B3688" s="83"/>
      <c r="C3688" s="148"/>
      <c r="D3688" s="84"/>
      <c r="E3688" s="84"/>
      <c r="F3688" s="84"/>
      <c r="G3688" s="232"/>
      <c r="H3688" s="221"/>
    </row>
    <row r="3689" spans="1:8" s="212" customFormat="1">
      <c r="A3689" s="91"/>
      <c r="B3689" s="91"/>
      <c r="C3689" s="91"/>
      <c r="D3689" s="91"/>
      <c r="E3689" s="91"/>
      <c r="G3689" s="213"/>
      <c r="H3689" s="222"/>
    </row>
    <row r="3690" spans="1:8" s="212" customFormat="1">
      <c r="A3690" s="120"/>
      <c r="B3690" s="73"/>
      <c r="C3690" s="73"/>
      <c r="D3690" s="73"/>
      <c r="E3690" s="73"/>
      <c r="G3690" s="73"/>
      <c r="H3690" s="222"/>
    </row>
    <row r="3691" spans="1:8" s="212" customFormat="1">
      <c r="A3691" s="220"/>
      <c r="B3691" s="141"/>
      <c r="C3691" s="141"/>
      <c r="D3691" s="141"/>
      <c r="E3691" s="141"/>
      <c r="F3691" s="141"/>
      <c r="G3691" s="141"/>
      <c r="H3691" s="222"/>
    </row>
    <row r="3692" spans="1:8" s="212" customFormat="1">
      <c r="A3692" s="146"/>
      <c r="B3692" s="83"/>
      <c r="C3692" s="148"/>
      <c r="D3692" s="148"/>
      <c r="E3692" s="84"/>
      <c r="F3692" s="84"/>
      <c r="G3692" s="146"/>
      <c r="H3692" s="221"/>
    </row>
    <row r="3693" spans="1:8" s="212" customFormat="1">
      <c r="A3693" s="91"/>
      <c r="B3693" s="91"/>
      <c r="C3693" s="91"/>
      <c r="D3693" s="91"/>
      <c r="E3693" s="91"/>
      <c r="G3693" s="213"/>
      <c r="H3693" s="222"/>
    </row>
    <row r="3694" spans="1:8" s="212" customFormat="1">
      <c r="A3694" s="120"/>
      <c r="B3694" s="73"/>
      <c r="C3694" s="73"/>
      <c r="D3694" s="73"/>
      <c r="E3694" s="73"/>
      <c r="G3694" s="73"/>
      <c r="H3694" s="222"/>
    </row>
    <row r="3695" spans="1:8" s="212" customFormat="1">
      <c r="A3695" s="220"/>
      <c r="B3695" s="141"/>
      <c r="C3695" s="141"/>
      <c r="D3695" s="141"/>
      <c r="E3695" s="141"/>
      <c r="F3695" s="141"/>
      <c r="G3695" s="141"/>
      <c r="H3695" s="222"/>
    </row>
    <row r="3696" spans="1:8" s="212" customFormat="1">
      <c r="A3696" s="142"/>
      <c r="B3696" s="143"/>
      <c r="C3696" s="143"/>
      <c r="D3696" s="143"/>
      <c r="E3696" s="143"/>
      <c r="F3696" s="84"/>
      <c r="G3696" s="146"/>
      <c r="H3696" s="221"/>
    </row>
    <row r="3697" spans="1:9" s="212" customFormat="1">
      <c r="A3697" s="123"/>
      <c r="B3697" s="95"/>
      <c r="C3697" s="95"/>
      <c r="D3697" s="95"/>
      <c r="E3697" s="95"/>
      <c r="G3697" s="213"/>
      <c r="H3697" s="73"/>
    </row>
    <row r="3698" spans="1:9" s="212" customFormat="1">
      <c r="A3698" s="123"/>
      <c r="B3698" s="95"/>
      <c r="C3698" s="95"/>
      <c r="D3698" s="95"/>
      <c r="E3698" s="95"/>
      <c r="G3698" s="73"/>
      <c r="H3698" s="225"/>
    </row>
    <row r="3699" spans="1:9" s="212" customFormat="1">
      <c r="B3699" s="97"/>
      <c r="C3699" s="98"/>
      <c r="D3699" s="98"/>
      <c r="E3699" s="98"/>
      <c r="G3699" s="220"/>
    </row>
    <row r="3700" spans="1:9" s="212" customFormat="1">
      <c r="B3700" s="97"/>
      <c r="C3700" s="98"/>
      <c r="D3700" s="98"/>
      <c r="E3700" s="98"/>
      <c r="F3700" s="220"/>
      <c r="G3700" s="225"/>
      <c r="H3700" s="226"/>
    </row>
    <row r="3701" spans="1:9" s="212" customFormat="1">
      <c r="A3701" s="633"/>
      <c r="B3701" s="633"/>
      <c r="C3701" s="633"/>
      <c r="D3701" s="633"/>
      <c r="E3701" s="633"/>
      <c r="F3701" s="633"/>
      <c r="G3701" s="633"/>
    </row>
    <row r="3702" spans="1:9" s="212" customFormat="1">
      <c r="H3702" s="227"/>
      <c r="I3702" s="228"/>
    </row>
    <row r="3703" spans="1:9" s="212" customFormat="1">
      <c r="A3703" s="658"/>
      <c r="B3703" s="227"/>
      <c r="C3703" s="227"/>
      <c r="D3703" s="227"/>
      <c r="E3703" s="227"/>
      <c r="F3703" s="227"/>
      <c r="G3703" s="227"/>
      <c r="H3703" s="227"/>
      <c r="I3703" s="229"/>
    </row>
    <row r="3704" spans="1:9" s="212" customFormat="1">
      <c r="A3704" s="658"/>
      <c r="B3704" s="227"/>
      <c r="C3704" s="227"/>
      <c r="D3704" s="227"/>
      <c r="E3704" s="227"/>
      <c r="F3704" s="227"/>
      <c r="G3704" s="227"/>
    </row>
    <row r="3705" spans="1:9" s="212" customFormat="1">
      <c r="A3705" s="69"/>
      <c r="B3705" s="69"/>
      <c r="C3705" s="69"/>
      <c r="D3705" s="69"/>
      <c r="E3705" s="69"/>
    </row>
    <row r="3706" spans="1:9" s="212" customFormat="1">
      <c r="A3706" s="120"/>
      <c r="B3706" s="73"/>
      <c r="C3706" s="73"/>
      <c r="D3706" s="73"/>
      <c r="E3706" s="73"/>
      <c r="F3706" s="73"/>
      <c r="G3706" s="73"/>
      <c r="H3706" s="73"/>
    </row>
    <row r="3707" spans="1:9" s="212" customFormat="1">
      <c r="A3707" s="220"/>
      <c r="B3707" s="141"/>
      <c r="C3707" s="141"/>
      <c r="D3707" s="141"/>
      <c r="E3707" s="141"/>
      <c r="F3707" s="141"/>
      <c r="G3707" s="141"/>
      <c r="H3707" s="73"/>
    </row>
    <row r="3708" spans="1:9" s="212" customFormat="1">
      <c r="A3708" s="150"/>
      <c r="B3708" s="83"/>
      <c r="C3708" s="148"/>
      <c r="D3708" s="84"/>
      <c r="E3708" s="84"/>
      <c r="F3708" s="84"/>
      <c r="G3708" s="224"/>
      <c r="H3708" s="221"/>
    </row>
    <row r="3709" spans="1:9" s="212" customFormat="1">
      <c r="A3709" s="84"/>
      <c r="B3709" s="83"/>
      <c r="C3709" s="84"/>
      <c r="D3709" s="84"/>
      <c r="E3709" s="84"/>
      <c r="G3709" s="213"/>
      <c r="H3709" s="222"/>
    </row>
    <row r="3710" spans="1:9" s="212" customFormat="1">
      <c r="A3710" s="120"/>
      <c r="B3710" s="73"/>
      <c r="C3710" s="73"/>
      <c r="D3710" s="73"/>
      <c r="E3710" s="73"/>
      <c r="G3710" s="73"/>
      <c r="H3710" s="222"/>
    </row>
    <row r="3711" spans="1:9" s="212" customFormat="1">
      <c r="A3711" s="220"/>
      <c r="B3711" s="141"/>
      <c r="C3711" s="141"/>
      <c r="D3711" s="141"/>
      <c r="E3711" s="141"/>
      <c r="F3711" s="141"/>
      <c r="G3711" s="141"/>
      <c r="H3711" s="222"/>
    </row>
    <row r="3712" spans="1:9" s="212" customFormat="1">
      <c r="A3712" s="150"/>
      <c r="B3712" s="83"/>
      <c r="C3712" s="148"/>
      <c r="D3712" s="84"/>
      <c r="E3712" s="84"/>
      <c r="F3712" s="84"/>
      <c r="G3712" s="224"/>
      <c r="H3712" s="222"/>
    </row>
    <row r="3713" spans="1:8" s="212" customFormat="1">
      <c r="A3713" s="150"/>
      <c r="B3713" s="83"/>
      <c r="C3713" s="148"/>
      <c r="D3713" s="84"/>
      <c r="E3713" s="84"/>
      <c r="F3713" s="84"/>
      <c r="G3713" s="224"/>
      <c r="H3713" s="222"/>
    </row>
    <row r="3714" spans="1:8" s="212" customFormat="1">
      <c r="A3714" s="150"/>
      <c r="B3714" s="83"/>
      <c r="C3714" s="148"/>
      <c r="D3714" s="84"/>
      <c r="E3714" s="84"/>
      <c r="F3714" s="84"/>
      <c r="G3714" s="224"/>
      <c r="H3714" s="222"/>
    </row>
    <row r="3715" spans="1:8" s="212" customFormat="1">
      <c r="A3715" s="150"/>
      <c r="B3715" s="83"/>
      <c r="C3715" s="148"/>
      <c r="D3715" s="84"/>
      <c r="E3715" s="84"/>
      <c r="F3715" s="84"/>
      <c r="G3715" s="224"/>
      <c r="H3715" s="222"/>
    </row>
    <row r="3716" spans="1:8" s="212" customFormat="1">
      <c r="A3716" s="150"/>
      <c r="B3716" s="83"/>
      <c r="C3716" s="148"/>
      <c r="D3716" s="84"/>
      <c r="E3716" s="84"/>
      <c r="F3716" s="84"/>
      <c r="G3716" s="224"/>
      <c r="H3716" s="222"/>
    </row>
    <row r="3717" spans="1:8" s="212" customFormat="1">
      <c r="A3717" s="150"/>
      <c r="B3717" s="83"/>
      <c r="C3717" s="148"/>
      <c r="D3717" s="84"/>
      <c r="E3717" s="84"/>
      <c r="F3717" s="84"/>
      <c r="G3717" s="224"/>
      <c r="H3717" s="221"/>
    </row>
    <row r="3718" spans="1:8" s="212" customFormat="1">
      <c r="A3718" s="91"/>
      <c r="B3718" s="91"/>
      <c r="C3718" s="91"/>
      <c r="D3718" s="91"/>
      <c r="E3718" s="91"/>
      <c r="G3718" s="213"/>
      <c r="H3718" s="222"/>
    </row>
    <row r="3719" spans="1:8" s="212" customFormat="1">
      <c r="A3719" s="120"/>
      <c r="B3719" s="73"/>
      <c r="C3719" s="73"/>
      <c r="D3719" s="73"/>
      <c r="E3719" s="73"/>
      <c r="G3719" s="73"/>
      <c r="H3719" s="222"/>
    </row>
    <row r="3720" spans="1:8" s="212" customFormat="1">
      <c r="A3720" s="220"/>
      <c r="B3720" s="141"/>
      <c r="C3720" s="141"/>
      <c r="D3720" s="141"/>
      <c r="E3720" s="141"/>
      <c r="F3720" s="141"/>
      <c r="G3720" s="141"/>
      <c r="H3720" s="222"/>
    </row>
    <row r="3721" spans="1:8" s="212" customFormat="1">
      <c r="A3721" s="146"/>
      <c r="B3721" s="83"/>
      <c r="C3721" s="148"/>
      <c r="D3721" s="84"/>
      <c r="E3721" s="84"/>
      <c r="F3721" s="84"/>
      <c r="G3721" s="146"/>
      <c r="H3721" s="221"/>
    </row>
    <row r="3722" spans="1:8" s="212" customFormat="1">
      <c r="A3722" s="91"/>
      <c r="B3722" s="91"/>
      <c r="C3722" s="91"/>
      <c r="D3722" s="91"/>
      <c r="E3722" s="91"/>
      <c r="G3722" s="213"/>
      <c r="H3722" s="222"/>
    </row>
    <row r="3723" spans="1:8" s="212" customFormat="1">
      <c r="A3723" s="120"/>
      <c r="B3723" s="73"/>
      <c r="C3723" s="73"/>
      <c r="D3723" s="73"/>
      <c r="E3723" s="73"/>
      <c r="G3723" s="73"/>
      <c r="H3723" s="222"/>
    </row>
    <row r="3724" spans="1:8" s="212" customFormat="1">
      <c r="A3724" s="220"/>
      <c r="B3724" s="141"/>
      <c r="C3724" s="141"/>
      <c r="D3724" s="141"/>
      <c r="E3724" s="141"/>
      <c r="F3724" s="141"/>
      <c r="G3724" s="141"/>
      <c r="H3724" s="222"/>
    </row>
    <row r="3725" spans="1:8" s="212" customFormat="1">
      <c r="A3725" s="142"/>
      <c r="B3725" s="143"/>
      <c r="C3725" s="143"/>
      <c r="D3725" s="143"/>
      <c r="E3725" s="143"/>
      <c r="F3725" s="84"/>
      <c r="G3725" s="146"/>
      <c r="H3725" s="221"/>
    </row>
    <row r="3726" spans="1:8" s="212" customFormat="1">
      <c r="A3726" s="123"/>
      <c r="B3726" s="95"/>
      <c r="C3726" s="95"/>
      <c r="D3726" s="95"/>
      <c r="E3726" s="95"/>
      <c r="G3726" s="213"/>
      <c r="H3726" s="73"/>
    </row>
    <row r="3727" spans="1:8" s="212" customFormat="1">
      <c r="A3727" s="123"/>
      <c r="B3727" s="95"/>
      <c r="C3727" s="95"/>
      <c r="D3727" s="95"/>
      <c r="E3727" s="95"/>
      <c r="G3727" s="73"/>
      <c r="H3727" s="225"/>
    </row>
    <row r="3728" spans="1:8" s="212" customFormat="1">
      <c r="B3728" s="97"/>
      <c r="C3728" s="98"/>
      <c r="D3728" s="98"/>
      <c r="E3728" s="98"/>
      <c r="G3728" s="220"/>
    </row>
    <row r="3729" spans="1:9" s="212" customFormat="1">
      <c r="B3729" s="97"/>
      <c r="C3729" s="98"/>
      <c r="D3729" s="98"/>
      <c r="E3729" s="98"/>
      <c r="F3729" s="220"/>
      <c r="G3729" s="225"/>
      <c r="H3729" s="226"/>
    </row>
    <row r="3730" spans="1:9" s="212" customFormat="1">
      <c r="A3730" s="633"/>
      <c r="B3730" s="633"/>
      <c r="C3730" s="633"/>
      <c r="D3730" s="633"/>
      <c r="E3730" s="633"/>
      <c r="F3730" s="633"/>
      <c r="G3730" s="633"/>
    </row>
    <row r="3731" spans="1:9" s="212" customFormat="1">
      <c r="H3731" s="227"/>
      <c r="I3731" s="228"/>
    </row>
    <row r="3732" spans="1:9" s="212" customFormat="1">
      <c r="A3732" s="658"/>
      <c r="B3732" s="227"/>
      <c r="C3732" s="227"/>
      <c r="D3732" s="227"/>
      <c r="E3732" s="227"/>
      <c r="F3732" s="227"/>
      <c r="G3732" s="227"/>
      <c r="H3732" s="227"/>
      <c r="I3732" s="229"/>
    </row>
    <row r="3733" spans="1:9" s="212" customFormat="1">
      <c r="A3733" s="658"/>
      <c r="B3733" s="227"/>
      <c r="C3733" s="227"/>
      <c r="D3733" s="227"/>
      <c r="E3733" s="227"/>
      <c r="F3733" s="227"/>
      <c r="G3733" s="227"/>
    </row>
    <row r="3734" spans="1:9" s="212" customFormat="1">
      <c r="A3734" s="69"/>
      <c r="B3734" s="69"/>
      <c r="C3734" s="69"/>
      <c r="D3734" s="69"/>
      <c r="E3734" s="69"/>
    </row>
    <row r="3735" spans="1:9" s="212" customFormat="1">
      <c r="A3735" s="120"/>
      <c r="B3735" s="73"/>
      <c r="C3735" s="73"/>
      <c r="D3735" s="73"/>
      <c r="E3735" s="73"/>
      <c r="F3735" s="73"/>
      <c r="G3735" s="73"/>
      <c r="H3735" s="73"/>
    </row>
    <row r="3736" spans="1:9" s="212" customFormat="1">
      <c r="A3736" s="220"/>
      <c r="B3736" s="141"/>
      <c r="C3736" s="141"/>
      <c r="D3736" s="141"/>
      <c r="E3736" s="141"/>
      <c r="F3736" s="141"/>
      <c r="G3736" s="141"/>
      <c r="H3736" s="73"/>
    </row>
    <row r="3737" spans="1:9" s="212" customFormat="1">
      <c r="A3737" s="150"/>
      <c r="B3737" s="83"/>
      <c r="C3737" s="148"/>
      <c r="D3737" s="84"/>
      <c r="E3737" s="84"/>
      <c r="F3737" s="84"/>
      <c r="G3737" s="224"/>
      <c r="H3737" s="73"/>
    </row>
    <row r="3738" spans="1:9" s="212" customFormat="1">
      <c r="A3738" s="150"/>
      <c r="B3738" s="83"/>
      <c r="C3738" s="148"/>
      <c r="D3738" s="84"/>
      <c r="E3738" s="84"/>
      <c r="F3738" s="84"/>
      <c r="G3738" s="224"/>
      <c r="H3738" s="73"/>
    </row>
    <row r="3739" spans="1:9" s="212" customFormat="1">
      <c r="A3739" s="150"/>
      <c r="B3739" s="83"/>
      <c r="C3739" s="148"/>
      <c r="D3739" s="84"/>
      <c r="E3739" s="84"/>
      <c r="F3739" s="84"/>
      <c r="G3739" s="224"/>
      <c r="H3739" s="221"/>
    </row>
    <row r="3740" spans="1:9" s="212" customFormat="1">
      <c r="A3740" s="84"/>
      <c r="B3740" s="83"/>
      <c r="C3740" s="84"/>
      <c r="D3740" s="84"/>
      <c r="E3740" s="84"/>
      <c r="G3740" s="213"/>
      <c r="H3740" s="222"/>
    </row>
    <row r="3741" spans="1:9" s="212" customFormat="1">
      <c r="A3741" s="120"/>
      <c r="B3741" s="73"/>
      <c r="C3741" s="73"/>
      <c r="D3741" s="73"/>
      <c r="E3741" s="73"/>
      <c r="G3741" s="73"/>
      <c r="H3741" s="222"/>
    </row>
    <row r="3742" spans="1:9" s="212" customFormat="1">
      <c r="A3742" s="220"/>
      <c r="B3742" s="141"/>
      <c r="C3742" s="141"/>
      <c r="D3742" s="141"/>
      <c r="E3742" s="141"/>
      <c r="F3742" s="141"/>
      <c r="G3742" s="141"/>
      <c r="H3742" s="222"/>
    </row>
    <row r="3743" spans="1:9" s="212" customFormat="1">
      <c r="A3743" s="150"/>
      <c r="B3743" s="83"/>
      <c r="C3743" s="148"/>
      <c r="D3743" s="84"/>
      <c r="E3743" s="84"/>
      <c r="F3743" s="84"/>
      <c r="G3743" s="224"/>
      <c r="H3743" s="222"/>
    </row>
    <row r="3744" spans="1:9" s="212" customFormat="1">
      <c r="A3744" s="150"/>
      <c r="B3744" s="83"/>
      <c r="C3744" s="148"/>
      <c r="D3744" s="84"/>
      <c r="E3744" s="84"/>
      <c r="F3744" s="84"/>
      <c r="G3744" s="224"/>
      <c r="H3744" s="222"/>
    </row>
    <row r="3745" spans="1:9" s="212" customFormat="1">
      <c r="A3745" s="150"/>
      <c r="B3745" s="83"/>
      <c r="C3745" s="148"/>
      <c r="D3745" s="84"/>
      <c r="E3745" s="84"/>
      <c r="F3745" s="84"/>
      <c r="G3745" s="224"/>
      <c r="H3745" s="222"/>
    </row>
    <row r="3746" spans="1:9" s="212" customFormat="1">
      <c r="A3746" s="150"/>
      <c r="B3746" s="83"/>
      <c r="C3746" s="148"/>
      <c r="D3746" s="84"/>
      <c r="E3746" s="84"/>
      <c r="F3746" s="84"/>
      <c r="G3746" s="224"/>
      <c r="H3746" s="221"/>
    </row>
    <row r="3747" spans="1:9" s="212" customFormat="1">
      <c r="A3747" s="91"/>
      <c r="B3747" s="91"/>
      <c r="C3747" s="91"/>
      <c r="D3747" s="91"/>
      <c r="E3747" s="91"/>
      <c r="G3747" s="213"/>
      <c r="H3747" s="222"/>
    </row>
    <row r="3748" spans="1:9" s="212" customFormat="1">
      <c r="A3748" s="120"/>
      <c r="B3748" s="73"/>
      <c r="C3748" s="73"/>
      <c r="D3748" s="73"/>
      <c r="E3748" s="73"/>
      <c r="G3748" s="73"/>
      <c r="H3748" s="222"/>
    </row>
    <row r="3749" spans="1:9" s="212" customFormat="1">
      <c r="A3749" s="220"/>
      <c r="B3749" s="141"/>
      <c r="C3749" s="141"/>
      <c r="D3749" s="141"/>
      <c r="E3749" s="141"/>
      <c r="F3749" s="141"/>
      <c r="G3749" s="141"/>
      <c r="H3749" s="222"/>
    </row>
    <row r="3750" spans="1:9" s="212" customFormat="1">
      <c r="A3750" s="146"/>
      <c r="B3750" s="83"/>
      <c r="C3750" s="148"/>
      <c r="D3750" s="84"/>
      <c r="E3750" s="84"/>
      <c r="F3750" s="84"/>
      <c r="G3750" s="146"/>
      <c r="H3750" s="221"/>
    </row>
    <row r="3751" spans="1:9" s="212" customFormat="1">
      <c r="A3751" s="91"/>
      <c r="B3751" s="91"/>
      <c r="C3751" s="91"/>
      <c r="D3751" s="91"/>
      <c r="E3751" s="91"/>
      <c r="G3751" s="213"/>
      <c r="H3751" s="222"/>
    </row>
    <row r="3752" spans="1:9" s="212" customFormat="1">
      <c r="A3752" s="120"/>
      <c r="B3752" s="73"/>
      <c r="C3752" s="73"/>
      <c r="D3752" s="73"/>
      <c r="E3752" s="73"/>
      <c r="G3752" s="73"/>
      <c r="H3752" s="222"/>
    </row>
    <row r="3753" spans="1:9" s="212" customFormat="1">
      <c r="A3753" s="220"/>
      <c r="B3753" s="141"/>
      <c r="C3753" s="141"/>
      <c r="D3753" s="141"/>
      <c r="E3753" s="141"/>
      <c r="F3753" s="141"/>
      <c r="G3753" s="141"/>
      <c r="H3753" s="222"/>
    </row>
    <row r="3754" spans="1:9" s="212" customFormat="1">
      <c r="A3754" s="142"/>
      <c r="B3754" s="143"/>
      <c r="C3754" s="143"/>
      <c r="D3754" s="143"/>
      <c r="E3754" s="143"/>
      <c r="F3754" s="84"/>
      <c r="G3754" s="146"/>
      <c r="H3754" s="221"/>
    </row>
    <row r="3755" spans="1:9" s="212" customFormat="1">
      <c r="A3755" s="123"/>
      <c r="B3755" s="95"/>
      <c r="C3755" s="95"/>
      <c r="D3755" s="95"/>
      <c r="E3755" s="95"/>
      <c r="G3755" s="213"/>
      <c r="H3755" s="73"/>
    </row>
    <row r="3756" spans="1:9" s="212" customFormat="1">
      <c r="A3756" s="123"/>
      <c r="B3756" s="95"/>
      <c r="C3756" s="95"/>
      <c r="D3756" s="95"/>
      <c r="E3756" s="95"/>
      <c r="G3756" s="73"/>
      <c r="H3756" s="225"/>
    </row>
    <row r="3757" spans="1:9" s="212" customFormat="1">
      <c r="B3757" s="97"/>
      <c r="C3757" s="98"/>
      <c r="D3757" s="98"/>
      <c r="E3757" s="98"/>
      <c r="G3757" s="220"/>
    </row>
    <row r="3758" spans="1:9" s="212" customFormat="1">
      <c r="B3758" s="97"/>
      <c r="C3758" s="98"/>
      <c r="D3758" s="98"/>
      <c r="E3758" s="98"/>
      <c r="F3758" s="220"/>
      <c r="G3758" s="225"/>
      <c r="H3758" s="226"/>
    </row>
    <row r="3759" spans="1:9" s="212" customFormat="1">
      <c r="A3759" s="633"/>
      <c r="B3759" s="633"/>
      <c r="C3759" s="633"/>
      <c r="D3759" s="633"/>
      <c r="E3759" s="633"/>
      <c r="F3759" s="633"/>
      <c r="G3759" s="633"/>
    </row>
    <row r="3760" spans="1:9" s="212" customFormat="1">
      <c r="H3760" s="227"/>
      <c r="I3760" s="228"/>
    </row>
    <row r="3761" spans="1:9" s="212" customFormat="1">
      <c r="A3761" s="658"/>
      <c r="B3761" s="227"/>
      <c r="C3761" s="227"/>
      <c r="D3761" s="227"/>
      <c r="E3761" s="227"/>
      <c r="F3761" s="227"/>
      <c r="G3761" s="227"/>
      <c r="H3761" s="227"/>
      <c r="I3761" s="229"/>
    </row>
    <row r="3762" spans="1:9" s="212" customFormat="1">
      <c r="A3762" s="658"/>
      <c r="B3762" s="227"/>
      <c r="C3762" s="227"/>
      <c r="D3762" s="227"/>
      <c r="E3762" s="227"/>
      <c r="F3762" s="227"/>
      <c r="G3762" s="227"/>
    </row>
    <row r="3763" spans="1:9" s="212" customFormat="1">
      <c r="A3763" s="69"/>
      <c r="B3763" s="69"/>
      <c r="C3763" s="69"/>
      <c r="D3763" s="69"/>
      <c r="E3763" s="69"/>
    </row>
    <row r="3764" spans="1:9" s="212" customFormat="1">
      <c r="A3764" s="120"/>
      <c r="B3764" s="73"/>
      <c r="C3764" s="73"/>
      <c r="D3764" s="73"/>
      <c r="E3764" s="73"/>
      <c r="F3764" s="73"/>
      <c r="G3764" s="73"/>
      <c r="H3764" s="73"/>
    </row>
    <row r="3765" spans="1:9" s="212" customFormat="1">
      <c r="A3765" s="220"/>
      <c r="B3765" s="141"/>
      <c r="C3765" s="141"/>
      <c r="D3765" s="141"/>
      <c r="E3765" s="141"/>
      <c r="F3765" s="141"/>
      <c r="G3765" s="141"/>
      <c r="H3765" s="73"/>
    </row>
    <row r="3766" spans="1:9" s="212" customFormat="1">
      <c r="A3766" s="150"/>
      <c r="B3766" s="83"/>
      <c r="C3766" s="148"/>
      <c r="D3766" s="84"/>
      <c r="E3766" s="84"/>
      <c r="F3766" s="84"/>
      <c r="G3766" s="224"/>
      <c r="H3766" s="221"/>
    </row>
    <row r="3767" spans="1:9" s="212" customFormat="1">
      <c r="A3767" s="84"/>
      <c r="B3767" s="83"/>
      <c r="C3767" s="84"/>
      <c r="D3767" s="84"/>
      <c r="E3767" s="84"/>
      <c r="G3767" s="213"/>
      <c r="H3767" s="222"/>
    </row>
    <row r="3768" spans="1:9" s="212" customFormat="1">
      <c r="A3768" s="120"/>
      <c r="B3768" s="73"/>
      <c r="C3768" s="73"/>
      <c r="D3768" s="73"/>
      <c r="E3768" s="73"/>
      <c r="G3768" s="73"/>
      <c r="H3768" s="222"/>
    </row>
    <row r="3769" spans="1:9" s="212" customFormat="1">
      <c r="A3769" s="220"/>
      <c r="B3769" s="141"/>
      <c r="C3769" s="141"/>
      <c r="D3769" s="141"/>
      <c r="E3769" s="141"/>
      <c r="F3769" s="141"/>
      <c r="G3769" s="141"/>
      <c r="H3769" s="222"/>
    </row>
    <row r="3770" spans="1:9" s="212" customFormat="1">
      <c r="A3770" s="150"/>
      <c r="B3770" s="83"/>
      <c r="C3770" s="148"/>
      <c r="D3770" s="84"/>
      <c r="E3770" s="84"/>
      <c r="F3770" s="84"/>
      <c r="G3770" s="224"/>
      <c r="H3770" s="222"/>
    </row>
    <row r="3771" spans="1:9" s="212" customFormat="1">
      <c r="A3771" s="150"/>
      <c r="B3771" s="83"/>
      <c r="C3771" s="148"/>
      <c r="D3771" s="84"/>
      <c r="E3771" s="84"/>
      <c r="F3771" s="84"/>
      <c r="G3771" s="224"/>
      <c r="H3771" s="222"/>
    </row>
    <row r="3772" spans="1:9" s="212" customFormat="1">
      <c r="A3772" s="150"/>
      <c r="B3772" s="83"/>
      <c r="C3772" s="148"/>
      <c r="D3772" s="84"/>
      <c r="E3772" s="84"/>
      <c r="F3772" s="84"/>
      <c r="G3772" s="224"/>
      <c r="H3772" s="222"/>
    </row>
    <row r="3773" spans="1:9" s="212" customFormat="1">
      <c r="A3773" s="150"/>
      <c r="B3773" s="83"/>
      <c r="C3773" s="148"/>
      <c r="D3773" s="84"/>
      <c r="E3773" s="84"/>
      <c r="F3773" s="84"/>
      <c r="G3773" s="224"/>
      <c r="H3773" s="221"/>
    </row>
    <row r="3774" spans="1:9" s="212" customFormat="1">
      <c r="A3774" s="91"/>
      <c r="B3774" s="91"/>
      <c r="C3774" s="91"/>
      <c r="D3774" s="91"/>
      <c r="E3774" s="91"/>
      <c r="G3774" s="213"/>
      <c r="H3774" s="222"/>
    </row>
    <row r="3775" spans="1:9" s="212" customFormat="1">
      <c r="A3775" s="120"/>
      <c r="B3775" s="73"/>
      <c r="C3775" s="73"/>
      <c r="D3775" s="73"/>
      <c r="E3775" s="73"/>
      <c r="G3775" s="73"/>
      <c r="H3775" s="222"/>
    </row>
    <row r="3776" spans="1:9" s="212" customFormat="1">
      <c r="A3776" s="220"/>
      <c r="B3776" s="141"/>
      <c r="C3776" s="141"/>
      <c r="D3776" s="141"/>
      <c r="E3776" s="141"/>
      <c r="F3776" s="141"/>
      <c r="G3776" s="141"/>
      <c r="H3776" s="222"/>
    </row>
    <row r="3777" spans="1:9" s="212" customFormat="1">
      <c r="A3777" s="146"/>
      <c r="B3777" s="83"/>
      <c r="C3777" s="148"/>
      <c r="D3777" s="84"/>
      <c r="E3777" s="84"/>
      <c r="F3777" s="84"/>
      <c r="G3777" s="146"/>
      <c r="H3777" s="221"/>
    </row>
    <row r="3778" spans="1:9" s="212" customFormat="1">
      <c r="A3778" s="91"/>
      <c r="B3778" s="91"/>
      <c r="C3778" s="91"/>
      <c r="D3778" s="91"/>
      <c r="E3778" s="91"/>
      <c r="G3778" s="213"/>
      <c r="H3778" s="222"/>
    </row>
    <row r="3779" spans="1:9" s="212" customFormat="1">
      <c r="A3779" s="120"/>
      <c r="B3779" s="73"/>
      <c r="C3779" s="73"/>
      <c r="D3779" s="73"/>
      <c r="E3779" s="73"/>
      <c r="G3779" s="73"/>
      <c r="H3779" s="222"/>
    </row>
    <row r="3780" spans="1:9" s="212" customFormat="1">
      <c r="A3780" s="220"/>
      <c r="B3780" s="141"/>
      <c r="C3780" s="141"/>
      <c r="D3780" s="141"/>
      <c r="E3780" s="141"/>
      <c r="F3780" s="141"/>
      <c r="G3780" s="141"/>
      <c r="H3780" s="222"/>
    </row>
    <row r="3781" spans="1:9" s="212" customFormat="1">
      <c r="A3781" s="142"/>
      <c r="B3781" s="143"/>
      <c r="C3781" s="143"/>
      <c r="D3781" s="143"/>
      <c r="E3781" s="143"/>
      <c r="F3781" s="84"/>
      <c r="G3781" s="146"/>
      <c r="H3781" s="221"/>
    </row>
    <row r="3782" spans="1:9" s="212" customFormat="1">
      <c r="A3782" s="123"/>
      <c r="B3782" s="95"/>
      <c r="C3782" s="95"/>
      <c r="D3782" s="95"/>
      <c r="E3782" s="95"/>
      <c r="G3782" s="213"/>
      <c r="H3782" s="73"/>
    </row>
    <row r="3783" spans="1:9" s="212" customFormat="1">
      <c r="A3783" s="123"/>
      <c r="B3783" s="95"/>
      <c r="C3783" s="95"/>
      <c r="D3783" s="95"/>
      <c r="E3783" s="95"/>
      <c r="G3783" s="73"/>
      <c r="H3783" s="225"/>
    </row>
    <row r="3784" spans="1:9" s="212" customFormat="1">
      <c r="B3784" s="97"/>
      <c r="C3784" s="98"/>
      <c r="D3784" s="98"/>
      <c r="E3784" s="98"/>
      <c r="G3784" s="220"/>
    </row>
    <row r="3785" spans="1:9" s="212" customFormat="1">
      <c r="B3785" s="97"/>
      <c r="C3785" s="98"/>
      <c r="D3785" s="98"/>
      <c r="E3785" s="98"/>
      <c r="F3785" s="220"/>
      <c r="G3785" s="225"/>
      <c r="H3785" s="226"/>
    </row>
    <row r="3786" spans="1:9" s="212" customFormat="1">
      <c r="A3786" s="633"/>
      <c r="B3786" s="633"/>
      <c r="C3786" s="633"/>
      <c r="D3786" s="633"/>
      <c r="E3786" s="633"/>
      <c r="F3786" s="633"/>
      <c r="G3786" s="633"/>
    </row>
    <row r="3787" spans="1:9" s="212" customFormat="1">
      <c r="H3787" s="227"/>
      <c r="I3787" s="228"/>
    </row>
    <row r="3788" spans="1:9" s="212" customFormat="1">
      <c r="A3788" s="658"/>
      <c r="B3788" s="227"/>
      <c r="C3788" s="227"/>
      <c r="D3788" s="227"/>
      <c r="E3788" s="227"/>
      <c r="F3788" s="227"/>
      <c r="G3788" s="227"/>
      <c r="H3788" s="227"/>
      <c r="I3788" s="229"/>
    </row>
    <row r="3789" spans="1:9" s="212" customFormat="1">
      <c r="A3789" s="658"/>
      <c r="B3789" s="227"/>
      <c r="C3789" s="227"/>
      <c r="D3789" s="227"/>
      <c r="E3789" s="227"/>
      <c r="F3789" s="227"/>
      <c r="G3789" s="227"/>
    </row>
    <row r="3790" spans="1:9" s="212" customFormat="1">
      <c r="A3790" s="69"/>
      <c r="B3790" s="69"/>
      <c r="C3790" s="69"/>
      <c r="D3790" s="69"/>
      <c r="E3790" s="69"/>
    </row>
    <row r="3791" spans="1:9" s="212" customFormat="1">
      <c r="A3791" s="120"/>
      <c r="B3791" s="73"/>
      <c r="C3791" s="73"/>
      <c r="D3791" s="73"/>
      <c r="E3791" s="73"/>
      <c r="F3791" s="73"/>
      <c r="G3791" s="73"/>
      <c r="H3791" s="73"/>
    </row>
    <row r="3792" spans="1:9" s="212" customFormat="1">
      <c r="A3792" s="220"/>
      <c r="B3792" s="141"/>
      <c r="C3792" s="141"/>
      <c r="D3792" s="141"/>
      <c r="E3792" s="141"/>
      <c r="F3792" s="141"/>
      <c r="G3792" s="141"/>
      <c r="H3792" s="73"/>
    </row>
    <row r="3793" spans="1:8" s="212" customFormat="1">
      <c r="A3793" s="150"/>
      <c r="B3793" s="83"/>
      <c r="C3793" s="148"/>
      <c r="D3793" s="84"/>
      <c r="E3793" s="84"/>
      <c r="F3793" s="84"/>
      <c r="G3793" s="224"/>
      <c r="H3793" s="73"/>
    </row>
    <row r="3794" spans="1:8" s="212" customFormat="1">
      <c r="A3794" s="150"/>
      <c r="B3794" s="83"/>
      <c r="C3794" s="148"/>
      <c r="D3794" s="84"/>
      <c r="E3794" s="84"/>
      <c r="F3794" s="84"/>
      <c r="G3794" s="224"/>
      <c r="H3794" s="221"/>
    </row>
    <row r="3795" spans="1:8" s="212" customFormat="1">
      <c r="A3795" s="84"/>
      <c r="B3795" s="83"/>
      <c r="C3795" s="84"/>
      <c r="D3795" s="84"/>
      <c r="E3795" s="84"/>
      <c r="G3795" s="213"/>
      <c r="H3795" s="222"/>
    </row>
    <row r="3796" spans="1:8" s="212" customFormat="1">
      <c r="A3796" s="120"/>
      <c r="B3796" s="73"/>
      <c r="C3796" s="73"/>
      <c r="D3796" s="73"/>
      <c r="E3796" s="73"/>
      <c r="G3796" s="73"/>
      <c r="H3796" s="222"/>
    </row>
    <row r="3797" spans="1:8" s="212" customFormat="1">
      <c r="A3797" s="220"/>
      <c r="B3797" s="141"/>
      <c r="C3797" s="141"/>
      <c r="D3797" s="141"/>
      <c r="E3797" s="141"/>
      <c r="F3797" s="141"/>
      <c r="G3797" s="141"/>
      <c r="H3797" s="222"/>
    </row>
    <row r="3798" spans="1:8" s="212" customFormat="1">
      <c r="A3798" s="150"/>
      <c r="B3798" s="83"/>
      <c r="C3798" s="148"/>
      <c r="D3798" s="84"/>
      <c r="E3798" s="84"/>
      <c r="F3798" s="84"/>
      <c r="G3798" s="224"/>
      <c r="H3798" s="222"/>
    </row>
    <row r="3799" spans="1:8" s="212" customFormat="1">
      <c r="A3799" s="150"/>
      <c r="B3799" s="83"/>
      <c r="C3799" s="148"/>
      <c r="D3799" s="84"/>
      <c r="E3799" s="84"/>
      <c r="F3799" s="84"/>
      <c r="G3799" s="224"/>
      <c r="H3799" s="222"/>
    </row>
    <row r="3800" spans="1:8" s="212" customFormat="1">
      <c r="A3800" s="150"/>
      <c r="B3800" s="83"/>
      <c r="C3800" s="148"/>
      <c r="D3800" s="84"/>
      <c r="E3800" s="84"/>
      <c r="F3800" s="84"/>
      <c r="G3800" s="224"/>
      <c r="H3800" s="221"/>
    </row>
    <row r="3801" spans="1:8" s="212" customFormat="1">
      <c r="A3801" s="91"/>
      <c r="B3801" s="91"/>
      <c r="C3801" s="91"/>
      <c r="D3801" s="91"/>
      <c r="E3801" s="91"/>
      <c r="G3801" s="213"/>
      <c r="H3801" s="222"/>
    </row>
    <row r="3802" spans="1:8" s="212" customFormat="1">
      <c r="A3802" s="120"/>
      <c r="B3802" s="73"/>
      <c r="C3802" s="73"/>
      <c r="D3802" s="73"/>
      <c r="E3802" s="73"/>
      <c r="G3802" s="73"/>
      <c r="H3802" s="222"/>
    </row>
    <row r="3803" spans="1:8" s="212" customFormat="1">
      <c r="A3803" s="220"/>
      <c r="B3803" s="141"/>
      <c r="C3803" s="141"/>
      <c r="D3803" s="141"/>
      <c r="E3803" s="141"/>
      <c r="F3803" s="141"/>
      <c r="G3803" s="141"/>
      <c r="H3803" s="222"/>
    </row>
    <row r="3804" spans="1:8" s="212" customFormat="1">
      <c r="A3804" s="146"/>
      <c r="B3804" s="83"/>
      <c r="C3804" s="148"/>
      <c r="D3804" s="84"/>
      <c r="E3804" s="84"/>
      <c r="F3804" s="84"/>
      <c r="G3804" s="146"/>
      <c r="H3804" s="221"/>
    </row>
    <row r="3805" spans="1:8" s="212" customFormat="1">
      <c r="A3805" s="91"/>
      <c r="B3805" s="91"/>
      <c r="C3805" s="91"/>
      <c r="D3805" s="91"/>
      <c r="E3805" s="91"/>
      <c r="G3805" s="213"/>
      <c r="H3805" s="222"/>
    </row>
    <row r="3806" spans="1:8" s="212" customFormat="1">
      <c r="A3806" s="120"/>
      <c r="B3806" s="73"/>
      <c r="C3806" s="73"/>
      <c r="D3806" s="73"/>
      <c r="E3806" s="73"/>
      <c r="G3806" s="73"/>
      <c r="H3806" s="222"/>
    </row>
    <row r="3807" spans="1:8" s="212" customFormat="1">
      <c r="A3807" s="220"/>
      <c r="B3807" s="141"/>
      <c r="C3807" s="141"/>
      <c r="D3807" s="141"/>
      <c r="E3807" s="141"/>
      <c r="F3807" s="141"/>
      <c r="G3807" s="141"/>
      <c r="H3807" s="222"/>
    </row>
    <row r="3808" spans="1:8" s="212" customFormat="1">
      <c r="A3808" s="142"/>
      <c r="B3808" s="143"/>
      <c r="C3808" s="143"/>
      <c r="D3808" s="143"/>
      <c r="E3808" s="143"/>
      <c r="F3808" s="84"/>
      <c r="G3808" s="146"/>
      <c r="H3808" s="221"/>
    </row>
    <row r="3809" spans="1:9" s="212" customFormat="1">
      <c r="A3809" s="123"/>
      <c r="B3809" s="95"/>
      <c r="C3809" s="95"/>
      <c r="D3809" s="95"/>
      <c r="E3809" s="95"/>
      <c r="G3809" s="213"/>
      <c r="H3809" s="73"/>
    </row>
    <row r="3810" spans="1:9" s="212" customFormat="1">
      <c r="A3810" s="123"/>
      <c r="B3810" s="95"/>
      <c r="C3810" s="95"/>
      <c r="D3810" s="95"/>
      <c r="E3810" s="95"/>
      <c r="G3810" s="73"/>
      <c r="H3810" s="225"/>
    </row>
    <row r="3811" spans="1:9" s="212" customFormat="1">
      <c r="B3811" s="97"/>
      <c r="C3811" s="98"/>
      <c r="D3811" s="98"/>
      <c r="E3811" s="98"/>
      <c r="G3811" s="220"/>
    </row>
    <row r="3812" spans="1:9" s="212" customFormat="1">
      <c r="B3812" s="97"/>
      <c r="C3812" s="98"/>
      <c r="D3812" s="98"/>
      <c r="E3812" s="98"/>
      <c r="F3812" s="220"/>
      <c r="G3812" s="225"/>
      <c r="H3812" s="226"/>
    </row>
    <row r="3813" spans="1:9" s="212" customFormat="1">
      <c r="A3813" s="633"/>
      <c r="B3813" s="633"/>
      <c r="C3813" s="633"/>
      <c r="D3813" s="633"/>
      <c r="E3813" s="633"/>
      <c r="F3813" s="633"/>
      <c r="G3813" s="633"/>
    </row>
    <row r="3814" spans="1:9" s="212" customFormat="1">
      <c r="H3814" s="227"/>
      <c r="I3814" s="228"/>
    </row>
    <row r="3815" spans="1:9" s="212" customFormat="1">
      <c r="A3815" s="658"/>
      <c r="B3815" s="227"/>
      <c r="C3815" s="227"/>
      <c r="D3815" s="227"/>
      <c r="E3815" s="227"/>
      <c r="F3815" s="227"/>
      <c r="G3815" s="227"/>
      <c r="H3815" s="227"/>
      <c r="I3815" s="229"/>
    </row>
    <row r="3816" spans="1:9" s="212" customFormat="1">
      <c r="A3816" s="658"/>
      <c r="B3816" s="227"/>
      <c r="C3816" s="227"/>
      <c r="D3816" s="227"/>
      <c r="E3816" s="227"/>
      <c r="F3816" s="227"/>
      <c r="G3816" s="227"/>
    </row>
    <row r="3817" spans="1:9" s="212" customFormat="1">
      <c r="A3817" s="69"/>
      <c r="B3817" s="69"/>
      <c r="C3817" s="69"/>
      <c r="D3817" s="69"/>
      <c r="E3817" s="69"/>
    </row>
    <row r="3818" spans="1:9" s="212" customFormat="1">
      <c r="A3818" s="120"/>
      <c r="B3818" s="73"/>
      <c r="C3818" s="73"/>
      <c r="D3818" s="73"/>
      <c r="E3818" s="73"/>
      <c r="F3818" s="73"/>
      <c r="G3818" s="73"/>
      <c r="H3818" s="73"/>
    </row>
    <row r="3819" spans="1:9" s="212" customFormat="1">
      <c r="A3819" s="220"/>
      <c r="B3819" s="141"/>
      <c r="C3819" s="141"/>
      <c r="D3819" s="141"/>
      <c r="E3819" s="141"/>
      <c r="F3819" s="141"/>
      <c r="G3819" s="141"/>
      <c r="H3819" s="73"/>
    </row>
    <row r="3820" spans="1:9" s="212" customFormat="1">
      <c r="A3820" s="150"/>
      <c r="B3820" s="83"/>
      <c r="C3820" s="148"/>
      <c r="D3820" s="84"/>
      <c r="E3820" s="84"/>
      <c r="F3820" s="84"/>
      <c r="G3820" s="224"/>
      <c r="H3820" s="221"/>
    </row>
    <row r="3821" spans="1:9" s="212" customFormat="1">
      <c r="A3821" s="84"/>
      <c r="B3821" s="83"/>
      <c r="C3821" s="84"/>
      <c r="D3821" s="84"/>
      <c r="E3821" s="84"/>
      <c r="G3821" s="213"/>
      <c r="H3821" s="222"/>
    </row>
    <row r="3822" spans="1:9" s="212" customFormat="1">
      <c r="A3822" s="120"/>
      <c r="B3822" s="73"/>
      <c r="C3822" s="73"/>
      <c r="D3822" s="73"/>
      <c r="E3822" s="73"/>
      <c r="G3822" s="73"/>
      <c r="H3822" s="222"/>
    </row>
    <row r="3823" spans="1:9" s="212" customFormat="1">
      <c r="A3823" s="220"/>
      <c r="B3823" s="141"/>
      <c r="C3823" s="141"/>
      <c r="D3823" s="141"/>
      <c r="E3823" s="141"/>
      <c r="F3823" s="141"/>
      <c r="G3823" s="141"/>
      <c r="H3823" s="222"/>
    </row>
    <row r="3824" spans="1:9" s="212" customFormat="1">
      <c r="A3824" s="150"/>
      <c r="B3824" s="83"/>
      <c r="C3824" s="148"/>
      <c r="D3824" s="84"/>
      <c r="E3824" s="84"/>
      <c r="F3824" s="84"/>
      <c r="G3824" s="224"/>
      <c r="H3824" s="222"/>
    </row>
    <row r="3825" spans="1:8" s="212" customFormat="1">
      <c r="A3825" s="150"/>
      <c r="B3825" s="83"/>
      <c r="C3825" s="148"/>
      <c r="D3825" s="84"/>
      <c r="E3825" s="84"/>
      <c r="F3825" s="84"/>
      <c r="G3825" s="224"/>
      <c r="H3825" s="222"/>
    </row>
    <row r="3826" spans="1:8" s="212" customFormat="1">
      <c r="A3826" s="150"/>
      <c r="B3826" s="83"/>
      <c r="C3826" s="148"/>
      <c r="D3826" s="84"/>
      <c r="E3826" s="84"/>
      <c r="F3826" s="84"/>
      <c r="G3826" s="224"/>
      <c r="H3826" s="222"/>
    </row>
    <row r="3827" spans="1:8" s="212" customFormat="1">
      <c r="A3827" s="150"/>
      <c r="B3827" s="83"/>
      <c r="C3827" s="148"/>
      <c r="D3827" s="84"/>
      <c r="E3827" s="84"/>
      <c r="F3827" s="84"/>
      <c r="G3827" s="224"/>
      <c r="H3827" s="222"/>
    </row>
    <row r="3828" spans="1:8" s="212" customFormat="1">
      <c r="A3828" s="150"/>
      <c r="B3828" s="83"/>
      <c r="C3828" s="148"/>
      <c r="D3828" s="84"/>
      <c r="E3828" s="84"/>
      <c r="F3828" s="84"/>
      <c r="G3828" s="224"/>
      <c r="H3828" s="221"/>
    </row>
    <row r="3829" spans="1:8" s="212" customFormat="1">
      <c r="A3829" s="91"/>
      <c r="B3829" s="91"/>
      <c r="C3829" s="91"/>
      <c r="D3829" s="91"/>
      <c r="E3829" s="91"/>
      <c r="G3829" s="213"/>
      <c r="H3829" s="222"/>
    </row>
    <row r="3830" spans="1:8" s="212" customFormat="1">
      <c r="A3830" s="120"/>
      <c r="B3830" s="73"/>
      <c r="C3830" s="73"/>
      <c r="D3830" s="73"/>
      <c r="E3830" s="73"/>
      <c r="G3830" s="73"/>
      <c r="H3830" s="222"/>
    </row>
    <row r="3831" spans="1:8" s="212" customFormat="1">
      <c r="A3831" s="220"/>
      <c r="B3831" s="141"/>
      <c r="C3831" s="141"/>
      <c r="D3831" s="141"/>
      <c r="E3831" s="141"/>
      <c r="F3831" s="141"/>
      <c r="G3831" s="141"/>
      <c r="H3831" s="222"/>
    </row>
    <row r="3832" spans="1:8" s="212" customFormat="1">
      <c r="A3832" s="146"/>
      <c r="B3832" s="83"/>
      <c r="C3832" s="148"/>
      <c r="D3832" s="84"/>
      <c r="E3832" s="84"/>
      <c r="F3832" s="84"/>
      <c r="G3832" s="146"/>
      <c r="H3832" s="221"/>
    </row>
    <row r="3833" spans="1:8" s="212" customFormat="1">
      <c r="A3833" s="91"/>
      <c r="B3833" s="91"/>
      <c r="C3833" s="91"/>
      <c r="D3833" s="91"/>
      <c r="E3833" s="91"/>
      <c r="G3833" s="213"/>
      <c r="H3833" s="222"/>
    </row>
    <row r="3834" spans="1:8" s="212" customFormat="1">
      <c r="A3834" s="120"/>
      <c r="B3834" s="73"/>
      <c r="C3834" s="73"/>
      <c r="D3834" s="73"/>
      <c r="E3834" s="73"/>
      <c r="G3834" s="73"/>
      <c r="H3834" s="222"/>
    </row>
    <row r="3835" spans="1:8" s="212" customFormat="1">
      <c r="A3835" s="220"/>
      <c r="B3835" s="141"/>
      <c r="C3835" s="141"/>
      <c r="D3835" s="141"/>
      <c r="E3835" s="141"/>
      <c r="F3835" s="141"/>
      <c r="G3835" s="141"/>
      <c r="H3835" s="222"/>
    </row>
    <row r="3836" spans="1:8" s="212" customFormat="1">
      <c r="A3836" s="142"/>
      <c r="B3836" s="143"/>
      <c r="C3836" s="143"/>
      <c r="D3836" s="143"/>
      <c r="E3836" s="143"/>
      <c r="F3836" s="84"/>
      <c r="G3836" s="146"/>
      <c r="H3836" s="221"/>
    </row>
    <row r="3837" spans="1:8" s="212" customFormat="1">
      <c r="A3837" s="123"/>
      <c r="B3837" s="95"/>
      <c r="C3837" s="95"/>
      <c r="D3837" s="95"/>
      <c r="E3837" s="95"/>
      <c r="G3837" s="213"/>
      <c r="H3837" s="73"/>
    </row>
    <row r="3838" spans="1:8" s="212" customFormat="1">
      <c r="A3838" s="123"/>
      <c r="B3838" s="95"/>
      <c r="C3838" s="95"/>
      <c r="D3838" s="95"/>
      <c r="E3838" s="95"/>
      <c r="G3838" s="73"/>
      <c r="H3838" s="225"/>
    </row>
    <row r="3839" spans="1:8" s="212" customFormat="1">
      <c r="B3839" s="97"/>
      <c r="C3839" s="98"/>
      <c r="D3839" s="98"/>
      <c r="E3839" s="98"/>
      <c r="G3839" s="220"/>
    </row>
    <row r="3840" spans="1:8" s="212" customFormat="1">
      <c r="B3840" s="97"/>
      <c r="C3840" s="98"/>
      <c r="D3840" s="98"/>
      <c r="E3840" s="98"/>
      <c r="F3840" s="220"/>
      <c r="G3840" s="225"/>
      <c r="H3840" s="226"/>
    </row>
    <row r="3841" spans="1:9" s="212" customFormat="1">
      <c r="A3841" s="633"/>
      <c r="B3841" s="633"/>
      <c r="C3841" s="633"/>
      <c r="D3841" s="633"/>
      <c r="E3841" s="633"/>
      <c r="F3841" s="633"/>
      <c r="G3841" s="633"/>
    </row>
    <row r="3842" spans="1:9" s="212" customFormat="1">
      <c r="H3842" s="227"/>
      <c r="I3842" s="228"/>
    </row>
    <row r="3843" spans="1:9" s="212" customFormat="1">
      <c r="A3843" s="658"/>
      <c r="B3843" s="227"/>
      <c r="C3843" s="227"/>
      <c r="D3843" s="227"/>
      <c r="E3843" s="227"/>
      <c r="F3843" s="227"/>
      <c r="G3843" s="227"/>
      <c r="H3843" s="227"/>
      <c r="I3843" s="229"/>
    </row>
    <row r="3844" spans="1:9" s="212" customFormat="1">
      <c r="A3844" s="658"/>
      <c r="B3844" s="227"/>
      <c r="C3844" s="227"/>
      <c r="D3844" s="227"/>
      <c r="E3844" s="227"/>
      <c r="F3844" s="227"/>
      <c r="G3844" s="227"/>
    </row>
    <row r="3845" spans="1:9" s="212" customFormat="1">
      <c r="A3845" s="69"/>
      <c r="B3845" s="69"/>
      <c r="C3845" s="69"/>
      <c r="D3845" s="69"/>
      <c r="E3845" s="69"/>
    </row>
    <row r="3846" spans="1:9" s="212" customFormat="1">
      <c r="A3846" s="120"/>
      <c r="B3846" s="73"/>
      <c r="C3846" s="73"/>
      <c r="D3846" s="73"/>
      <c r="E3846" s="73"/>
      <c r="F3846" s="73"/>
      <c r="G3846" s="73"/>
      <c r="H3846" s="73"/>
    </row>
    <row r="3847" spans="1:9" s="212" customFormat="1">
      <c r="A3847" s="220"/>
      <c r="B3847" s="141"/>
      <c r="C3847" s="141"/>
      <c r="D3847" s="141"/>
      <c r="E3847" s="141"/>
      <c r="F3847" s="141"/>
      <c r="G3847" s="141"/>
      <c r="H3847" s="73"/>
    </row>
    <row r="3848" spans="1:9" s="212" customFormat="1">
      <c r="A3848" s="150"/>
      <c r="B3848" s="83"/>
      <c r="C3848" s="148"/>
      <c r="D3848" s="84"/>
      <c r="E3848" s="84"/>
      <c r="F3848" s="84"/>
      <c r="G3848" s="224"/>
      <c r="H3848" s="73"/>
    </row>
    <row r="3849" spans="1:9" s="212" customFormat="1">
      <c r="A3849" s="150"/>
      <c r="B3849" s="83"/>
      <c r="C3849" s="148"/>
      <c r="D3849" s="84"/>
      <c r="E3849" s="84"/>
      <c r="F3849" s="84"/>
      <c r="G3849" s="224"/>
      <c r="H3849" s="73"/>
    </row>
    <row r="3850" spans="1:9" s="212" customFormat="1">
      <c r="A3850" s="150"/>
      <c r="B3850" s="83"/>
      <c r="C3850" s="148"/>
      <c r="D3850" s="84"/>
      <c r="E3850" s="84"/>
      <c r="F3850" s="84"/>
      <c r="G3850" s="224"/>
      <c r="H3850" s="221"/>
    </row>
    <row r="3851" spans="1:9" s="212" customFormat="1">
      <c r="A3851" s="84"/>
      <c r="B3851" s="83"/>
      <c r="C3851" s="84"/>
      <c r="D3851" s="84"/>
      <c r="E3851" s="84"/>
      <c r="G3851" s="213"/>
      <c r="H3851" s="222"/>
    </row>
    <row r="3852" spans="1:9" s="212" customFormat="1">
      <c r="A3852" s="120"/>
      <c r="B3852" s="73"/>
      <c r="C3852" s="73"/>
      <c r="D3852" s="73"/>
      <c r="E3852" s="73"/>
      <c r="G3852" s="73"/>
      <c r="H3852" s="222"/>
    </row>
    <row r="3853" spans="1:9" s="212" customFormat="1">
      <c r="A3853" s="220"/>
      <c r="B3853" s="141"/>
      <c r="C3853" s="141"/>
      <c r="D3853" s="141"/>
      <c r="E3853" s="141"/>
      <c r="F3853" s="141"/>
      <c r="G3853" s="141"/>
      <c r="H3853" s="222"/>
    </row>
    <row r="3854" spans="1:9" s="212" customFormat="1">
      <c r="A3854" s="150"/>
      <c r="B3854" s="83"/>
      <c r="C3854" s="148"/>
      <c r="D3854" s="84"/>
      <c r="E3854" s="84"/>
      <c r="F3854" s="84"/>
      <c r="G3854" s="224"/>
      <c r="H3854" s="222"/>
    </row>
    <row r="3855" spans="1:9" s="212" customFormat="1">
      <c r="A3855" s="150"/>
      <c r="B3855" s="83"/>
      <c r="C3855" s="148"/>
      <c r="D3855" s="84"/>
      <c r="E3855" s="84"/>
      <c r="F3855" s="84"/>
      <c r="G3855" s="224"/>
      <c r="H3855" s="222"/>
    </row>
    <row r="3856" spans="1:9" s="212" customFormat="1">
      <c r="A3856" s="150"/>
      <c r="B3856" s="83"/>
      <c r="C3856" s="148"/>
      <c r="D3856" s="84"/>
      <c r="E3856" s="84"/>
      <c r="F3856" s="84"/>
      <c r="G3856" s="224"/>
      <c r="H3856" s="222"/>
    </row>
    <row r="3857" spans="1:8" s="212" customFormat="1">
      <c r="A3857" s="150"/>
      <c r="B3857" s="83"/>
      <c r="C3857" s="148"/>
      <c r="D3857" s="84"/>
      <c r="E3857" s="84"/>
      <c r="F3857" s="84"/>
      <c r="G3857" s="224"/>
      <c r="H3857" s="222"/>
    </row>
    <row r="3858" spans="1:8" s="212" customFormat="1">
      <c r="A3858" s="150"/>
      <c r="B3858" s="83"/>
      <c r="C3858" s="148"/>
      <c r="D3858" s="84"/>
      <c r="E3858" s="84"/>
      <c r="F3858" s="84"/>
      <c r="G3858" s="224"/>
      <c r="H3858" s="222"/>
    </row>
    <row r="3859" spans="1:8" s="212" customFormat="1">
      <c r="A3859" s="150"/>
      <c r="B3859" s="83"/>
      <c r="C3859" s="148"/>
      <c r="D3859" s="84"/>
      <c r="E3859" s="84"/>
      <c r="F3859" s="84"/>
      <c r="G3859" s="224"/>
      <c r="H3859" s="222"/>
    </row>
    <row r="3860" spans="1:8" s="212" customFormat="1">
      <c r="A3860" s="150"/>
      <c r="B3860" s="83"/>
      <c r="C3860" s="148"/>
      <c r="D3860" s="84"/>
      <c r="E3860" s="84"/>
      <c r="F3860" s="84"/>
      <c r="G3860" s="224"/>
      <c r="H3860" s="222"/>
    </row>
    <row r="3861" spans="1:8" s="212" customFormat="1">
      <c r="A3861" s="150"/>
      <c r="B3861" s="83"/>
      <c r="C3861" s="148"/>
      <c r="D3861" s="84"/>
      <c r="E3861" s="84"/>
      <c r="F3861" s="84"/>
      <c r="G3861" s="224"/>
      <c r="H3861" s="221"/>
    </row>
    <row r="3862" spans="1:8" s="212" customFormat="1">
      <c r="A3862" s="91"/>
      <c r="B3862" s="91"/>
      <c r="C3862" s="91"/>
      <c r="D3862" s="91"/>
      <c r="E3862" s="91"/>
      <c r="G3862" s="213"/>
      <c r="H3862" s="222"/>
    </row>
    <row r="3863" spans="1:8" s="212" customFormat="1">
      <c r="A3863" s="120"/>
      <c r="B3863" s="73"/>
      <c r="C3863" s="73"/>
      <c r="D3863" s="73"/>
      <c r="E3863" s="73"/>
      <c r="G3863" s="73"/>
      <c r="H3863" s="222"/>
    </row>
    <row r="3864" spans="1:8" s="212" customFormat="1">
      <c r="A3864" s="220"/>
      <c r="B3864" s="141"/>
      <c r="C3864" s="141"/>
      <c r="D3864" s="141"/>
      <c r="E3864" s="141"/>
      <c r="F3864" s="141"/>
      <c r="G3864" s="141"/>
      <c r="H3864" s="222"/>
    </row>
    <row r="3865" spans="1:8" s="212" customFormat="1">
      <c r="A3865" s="146"/>
      <c r="B3865" s="83"/>
      <c r="C3865" s="148"/>
      <c r="D3865" s="84"/>
      <c r="E3865" s="84"/>
      <c r="F3865" s="84"/>
      <c r="G3865" s="146"/>
      <c r="H3865" s="222"/>
    </row>
    <row r="3866" spans="1:8" s="212" customFormat="1">
      <c r="A3866" s="146"/>
      <c r="B3866" s="83"/>
      <c r="C3866" s="148"/>
      <c r="D3866" s="84"/>
      <c r="E3866" s="84"/>
      <c r="F3866" s="84"/>
      <c r="G3866" s="146"/>
      <c r="H3866" s="222"/>
    </row>
    <row r="3867" spans="1:8" s="212" customFormat="1">
      <c r="A3867" s="146"/>
      <c r="B3867" s="83"/>
      <c r="C3867" s="148"/>
      <c r="D3867" s="84"/>
      <c r="E3867" s="84"/>
      <c r="F3867" s="84"/>
      <c r="G3867" s="146"/>
      <c r="H3867" s="221"/>
    </row>
    <row r="3868" spans="1:8" s="212" customFormat="1">
      <c r="A3868" s="91"/>
      <c r="B3868" s="91"/>
      <c r="C3868" s="91"/>
      <c r="D3868" s="91"/>
      <c r="E3868" s="91"/>
      <c r="G3868" s="213"/>
      <c r="H3868" s="222"/>
    </row>
    <row r="3869" spans="1:8" s="212" customFormat="1">
      <c r="A3869" s="120"/>
      <c r="B3869" s="73"/>
      <c r="C3869" s="73"/>
      <c r="D3869" s="73"/>
      <c r="E3869" s="73"/>
      <c r="G3869" s="73"/>
      <c r="H3869" s="222"/>
    </row>
    <row r="3870" spans="1:8" s="212" customFormat="1">
      <c r="A3870" s="220"/>
      <c r="B3870" s="141"/>
      <c r="C3870" s="141"/>
      <c r="D3870" s="141"/>
      <c r="E3870" s="141"/>
      <c r="F3870" s="141"/>
      <c r="G3870" s="141"/>
      <c r="H3870" s="222"/>
    </row>
    <row r="3871" spans="1:8" s="212" customFormat="1">
      <c r="A3871" s="142"/>
      <c r="B3871" s="143"/>
      <c r="C3871" s="143"/>
      <c r="D3871" s="143"/>
      <c r="E3871" s="143"/>
      <c r="F3871" s="84"/>
      <c r="G3871" s="146"/>
      <c r="H3871" s="221"/>
    </row>
    <row r="3872" spans="1:8" s="212" customFormat="1">
      <c r="A3872" s="123"/>
      <c r="B3872" s="95"/>
      <c r="C3872" s="95"/>
      <c r="D3872" s="95"/>
      <c r="E3872" s="95"/>
      <c r="G3872" s="213"/>
      <c r="H3872" s="73"/>
    </row>
    <row r="3873" spans="1:9" s="212" customFormat="1">
      <c r="A3873" s="123"/>
      <c r="B3873" s="95"/>
      <c r="C3873" s="95"/>
      <c r="D3873" s="95"/>
      <c r="E3873" s="95"/>
      <c r="G3873" s="73"/>
      <c r="H3873" s="225"/>
    </row>
    <row r="3874" spans="1:9" s="212" customFormat="1">
      <c r="B3874" s="97"/>
      <c r="C3874" s="98"/>
      <c r="D3874" s="98"/>
      <c r="E3874" s="98"/>
      <c r="G3874" s="220"/>
    </row>
    <row r="3875" spans="1:9" s="212" customFormat="1">
      <c r="B3875" s="97"/>
      <c r="C3875" s="98"/>
      <c r="D3875" s="98"/>
      <c r="E3875" s="98"/>
      <c r="F3875" s="220"/>
      <c r="G3875" s="225"/>
      <c r="H3875" s="226"/>
    </row>
    <row r="3876" spans="1:9" s="212" customFormat="1">
      <c r="A3876" s="633"/>
      <c r="B3876" s="633"/>
      <c r="C3876" s="633"/>
      <c r="D3876" s="633"/>
      <c r="E3876" s="633"/>
      <c r="F3876" s="633"/>
      <c r="G3876" s="633"/>
    </row>
    <row r="3877" spans="1:9" s="212" customFormat="1">
      <c r="H3877" s="227"/>
      <c r="I3877" s="228"/>
    </row>
    <row r="3878" spans="1:9" s="212" customFormat="1">
      <c r="A3878" s="658"/>
      <c r="B3878" s="227"/>
      <c r="C3878" s="227"/>
      <c r="D3878" s="227"/>
      <c r="E3878" s="227"/>
      <c r="F3878" s="227"/>
      <c r="G3878" s="227"/>
      <c r="H3878" s="227"/>
      <c r="I3878" s="229"/>
    </row>
    <row r="3879" spans="1:9" s="212" customFormat="1">
      <c r="A3879" s="658"/>
      <c r="B3879" s="227"/>
      <c r="C3879" s="227"/>
      <c r="D3879" s="227"/>
      <c r="E3879" s="227"/>
      <c r="F3879" s="227"/>
      <c r="G3879" s="227"/>
    </row>
    <row r="3880" spans="1:9" s="212" customFormat="1">
      <c r="A3880" s="69"/>
      <c r="B3880" s="69"/>
      <c r="C3880" s="69"/>
      <c r="D3880" s="69"/>
      <c r="E3880" s="69"/>
    </row>
    <row r="3881" spans="1:9" s="212" customFormat="1">
      <c r="A3881" s="120"/>
      <c r="B3881" s="73"/>
      <c r="C3881" s="73"/>
      <c r="D3881" s="73"/>
      <c r="E3881" s="73"/>
      <c r="F3881" s="73"/>
      <c r="G3881" s="73"/>
      <c r="H3881" s="73"/>
    </row>
    <row r="3882" spans="1:9" s="212" customFormat="1">
      <c r="A3882" s="220"/>
      <c r="B3882" s="141"/>
      <c r="C3882" s="141"/>
      <c r="D3882" s="141"/>
      <c r="E3882" s="141"/>
      <c r="F3882" s="141"/>
      <c r="G3882" s="141"/>
      <c r="H3882" s="73"/>
    </row>
    <row r="3883" spans="1:9" s="212" customFormat="1">
      <c r="A3883" s="150"/>
      <c r="B3883" s="83"/>
      <c r="C3883" s="148"/>
      <c r="D3883" s="84"/>
      <c r="E3883" s="84"/>
      <c r="F3883" s="84"/>
      <c r="G3883" s="224"/>
      <c r="H3883" s="221"/>
    </row>
    <row r="3884" spans="1:9" s="212" customFormat="1">
      <c r="A3884" s="84"/>
      <c r="B3884" s="83"/>
      <c r="C3884" s="84"/>
      <c r="D3884" s="84"/>
      <c r="E3884" s="84"/>
      <c r="G3884" s="213"/>
      <c r="H3884" s="222"/>
    </row>
    <row r="3885" spans="1:9" s="212" customFormat="1">
      <c r="A3885" s="120"/>
      <c r="B3885" s="73"/>
      <c r="C3885" s="73"/>
      <c r="D3885" s="73"/>
      <c r="E3885" s="73"/>
      <c r="G3885" s="73"/>
      <c r="H3885" s="222"/>
    </row>
    <row r="3886" spans="1:9" s="212" customFormat="1">
      <c r="A3886" s="220"/>
      <c r="B3886" s="141"/>
      <c r="C3886" s="141"/>
      <c r="D3886" s="141"/>
      <c r="E3886" s="141"/>
      <c r="F3886" s="141"/>
      <c r="G3886" s="141"/>
      <c r="H3886" s="222"/>
    </row>
    <row r="3887" spans="1:9" s="212" customFormat="1">
      <c r="A3887" s="150"/>
      <c r="B3887" s="83"/>
      <c r="C3887" s="148"/>
      <c r="D3887" s="84"/>
      <c r="E3887" s="84"/>
      <c r="F3887" s="84"/>
      <c r="G3887" s="224"/>
      <c r="H3887" s="222"/>
    </row>
    <row r="3888" spans="1:9" s="212" customFormat="1">
      <c r="A3888" s="150"/>
      <c r="B3888" s="83"/>
      <c r="C3888" s="148"/>
      <c r="D3888" s="84"/>
      <c r="E3888" s="84"/>
      <c r="F3888" s="84"/>
      <c r="G3888" s="224"/>
      <c r="H3888" s="221"/>
    </row>
    <row r="3889" spans="1:9" s="212" customFormat="1">
      <c r="A3889" s="91"/>
      <c r="B3889" s="91"/>
      <c r="C3889" s="91"/>
      <c r="D3889" s="91"/>
      <c r="E3889" s="91"/>
      <c r="G3889" s="213"/>
      <c r="H3889" s="222"/>
    </row>
    <row r="3890" spans="1:9" s="212" customFormat="1">
      <c r="A3890" s="120"/>
      <c r="B3890" s="73"/>
      <c r="C3890" s="73"/>
      <c r="D3890" s="73"/>
      <c r="E3890" s="73"/>
      <c r="G3890" s="73"/>
      <c r="H3890" s="222"/>
    </row>
    <row r="3891" spans="1:9" s="212" customFormat="1">
      <c r="A3891" s="220"/>
      <c r="B3891" s="141"/>
      <c r="C3891" s="141"/>
      <c r="D3891" s="141"/>
      <c r="E3891" s="141"/>
      <c r="F3891" s="141"/>
      <c r="G3891" s="141"/>
      <c r="H3891" s="222"/>
    </row>
    <row r="3892" spans="1:9" s="212" customFormat="1">
      <c r="A3892" s="146"/>
      <c r="B3892" s="83"/>
      <c r="C3892" s="148"/>
      <c r="D3892" s="84"/>
      <c r="E3892" s="84"/>
      <c r="F3892" s="84"/>
      <c r="G3892" s="146"/>
      <c r="H3892" s="221"/>
    </row>
    <row r="3893" spans="1:9" s="212" customFormat="1">
      <c r="A3893" s="91"/>
      <c r="B3893" s="91"/>
      <c r="C3893" s="91"/>
      <c r="D3893" s="91"/>
      <c r="E3893" s="91"/>
      <c r="G3893" s="213"/>
      <c r="H3893" s="222"/>
    </row>
    <row r="3894" spans="1:9" s="212" customFormat="1">
      <c r="A3894" s="120"/>
      <c r="B3894" s="73"/>
      <c r="C3894" s="73"/>
      <c r="D3894" s="73"/>
      <c r="E3894" s="73"/>
      <c r="G3894" s="73"/>
      <c r="H3894" s="222"/>
    </row>
    <row r="3895" spans="1:9" s="212" customFormat="1">
      <c r="A3895" s="220"/>
      <c r="B3895" s="141"/>
      <c r="C3895" s="141"/>
      <c r="D3895" s="141"/>
      <c r="E3895" s="141"/>
      <c r="F3895" s="141"/>
      <c r="G3895" s="141"/>
      <c r="H3895" s="222"/>
    </row>
    <row r="3896" spans="1:9" s="212" customFormat="1">
      <c r="A3896" s="142"/>
      <c r="B3896" s="143"/>
      <c r="C3896" s="143"/>
      <c r="D3896" s="143"/>
      <c r="E3896" s="143"/>
      <c r="F3896" s="84"/>
      <c r="G3896" s="146"/>
      <c r="H3896" s="221"/>
    </row>
    <row r="3897" spans="1:9" s="212" customFormat="1">
      <c r="A3897" s="123"/>
      <c r="B3897" s="95"/>
      <c r="C3897" s="95"/>
      <c r="D3897" s="95"/>
      <c r="E3897" s="95"/>
      <c r="G3897" s="213"/>
      <c r="H3897" s="73"/>
    </row>
    <row r="3898" spans="1:9" s="212" customFormat="1">
      <c r="A3898" s="123"/>
      <c r="B3898" s="95"/>
      <c r="C3898" s="95"/>
      <c r="D3898" s="95"/>
      <c r="E3898" s="95"/>
      <c r="G3898" s="73"/>
      <c r="H3898" s="225"/>
    </row>
    <row r="3899" spans="1:9" s="212" customFormat="1">
      <c r="B3899" s="97"/>
      <c r="C3899" s="98"/>
      <c r="D3899" s="98"/>
      <c r="E3899" s="98"/>
      <c r="G3899" s="220"/>
    </row>
    <row r="3900" spans="1:9" s="212" customFormat="1">
      <c r="B3900" s="97"/>
      <c r="C3900" s="98"/>
      <c r="D3900" s="98"/>
      <c r="E3900" s="98"/>
      <c r="F3900" s="220"/>
      <c r="G3900" s="225"/>
      <c r="H3900" s="226"/>
    </row>
    <row r="3901" spans="1:9" s="212" customFormat="1">
      <c r="A3901" s="633"/>
      <c r="B3901" s="633"/>
      <c r="C3901" s="633"/>
      <c r="D3901" s="633"/>
      <c r="E3901" s="633"/>
      <c r="F3901" s="633"/>
      <c r="G3901" s="633"/>
    </row>
    <row r="3902" spans="1:9" s="212" customFormat="1">
      <c r="H3902" s="227"/>
      <c r="I3902" s="228"/>
    </row>
    <row r="3903" spans="1:9" s="212" customFormat="1">
      <c r="A3903" s="658"/>
      <c r="B3903" s="227"/>
      <c r="C3903" s="227"/>
      <c r="D3903" s="227"/>
      <c r="E3903" s="227"/>
      <c r="F3903" s="227"/>
      <c r="G3903" s="227"/>
      <c r="H3903" s="227"/>
      <c r="I3903" s="229"/>
    </row>
    <row r="3904" spans="1:9" s="212" customFormat="1">
      <c r="A3904" s="658"/>
      <c r="B3904" s="227"/>
      <c r="C3904" s="227"/>
      <c r="D3904" s="227"/>
      <c r="E3904" s="227"/>
      <c r="F3904" s="227"/>
      <c r="G3904" s="227"/>
    </row>
    <row r="3905" spans="1:8" s="212" customFormat="1">
      <c r="A3905" s="69"/>
      <c r="B3905" s="69"/>
      <c r="C3905" s="69"/>
      <c r="D3905" s="69"/>
      <c r="E3905" s="69"/>
    </row>
    <row r="3906" spans="1:8" s="212" customFormat="1">
      <c r="A3906" s="120"/>
      <c r="B3906" s="73"/>
      <c r="C3906" s="73"/>
      <c r="D3906" s="73"/>
      <c r="E3906" s="73"/>
      <c r="F3906" s="73"/>
      <c r="G3906" s="73"/>
      <c r="H3906" s="73"/>
    </row>
    <row r="3907" spans="1:8" s="212" customFormat="1">
      <c r="A3907" s="220"/>
      <c r="B3907" s="141"/>
      <c r="C3907" s="141"/>
      <c r="D3907" s="141"/>
      <c r="E3907" s="141"/>
      <c r="F3907" s="141"/>
      <c r="G3907" s="141"/>
      <c r="H3907" s="73"/>
    </row>
    <row r="3908" spans="1:8" s="212" customFormat="1">
      <c r="A3908" s="150"/>
      <c r="B3908" s="83"/>
      <c r="C3908" s="148"/>
      <c r="D3908" s="84"/>
      <c r="E3908" s="84"/>
      <c r="F3908" s="84"/>
      <c r="G3908" s="224"/>
      <c r="H3908" s="221"/>
    </row>
    <row r="3909" spans="1:8" s="212" customFormat="1">
      <c r="A3909" s="84"/>
      <c r="B3909" s="83"/>
      <c r="C3909" s="84"/>
      <c r="D3909" s="84"/>
      <c r="E3909" s="84"/>
      <c r="G3909" s="213"/>
      <c r="H3909" s="222"/>
    </row>
    <row r="3910" spans="1:8" s="212" customFormat="1">
      <c r="A3910" s="120"/>
      <c r="B3910" s="73"/>
      <c r="C3910" s="73"/>
      <c r="D3910" s="73"/>
      <c r="E3910" s="73"/>
      <c r="G3910" s="73"/>
      <c r="H3910" s="222"/>
    </row>
    <row r="3911" spans="1:8" s="212" customFormat="1">
      <c r="A3911" s="220"/>
      <c r="B3911" s="141"/>
      <c r="C3911" s="141"/>
      <c r="D3911" s="141"/>
      <c r="E3911" s="141"/>
      <c r="F3911" s="141"/>
      <c r="G3911" s="141"/>
      <c r="H3911" s="222"/>
    </row>
    <row r="3912" spans="1:8" s="212" customFormat="1">
      <c r="A3912" s="150"/>
      <c r="B3912" s="83"/>
      <c r="C3912" s="148"/>
      <c r="D3912" s="84"/>
      <c r="E3912" s="84"/>
      <c r="F3912" s="84"/>
      <c r="G3912" s="224"/>
      <c r="H3912" s="222"/>
    </row>
    <row r="3913" spans="1:8" s="212" customFormat="1">
      <c r="A3913" s="150"/>
      <c r="B3913" s="83"/>
      <c r="C3913" s="148"/>
      <c r="D3913" s="84"/>
      <c r="E3913" s="84"/>
      <c r="F3913" s="84"/>
      <c r="G3913" s="224"/>
      <c r="H3913" s="221"/>
    </row>
    <row r="3914" spans="1:8" s="212" customFormat="1">
      <c r="A3914" s="91"/>
      <c r="B3914" s="91"/>
      <c r="C3914" s="91"/>
      <c r="D3914" s="91"/>
      <c r="E3914" s="91"/>
      <c r="G3914" s="213"/>
      <c r="H3914" s="222"/>
    </row>
    <row r="3915" spans="1:8" s="212" customFormat="1">
      <c r="A3915" s="120"/>
      <c r="B3915" s="73"/>
      <c r="C3915" s="73"/>
      <c r="D3915" s="73"/>
      <c r="E3915" s="73"/>
      <c r="G3915" s="73"/>
      <c r="H3915" s="222"/>
    </row>
    <row r="3916" spans="1:8" s="212" customFormat="1">
      <c r="A3916" s="220"/>
      <c r="B3916" s="141"/>
      <c r="C3916" s="141"/>
      <c r="D3916" s="141"/>
      <c r="E3916" s="141"/>
      <c r="F3916" s="141"/>
      <c r="G3916" s="141"/>
      <c r="H3916" s="222"/>
    </row>
    <row r="3917" spans="1:8" s="212" customFormat="1">
      <c r="A3917" s="146"/>
      <c r="B3917" s="83"/>
      <c r="C3917" s="148"/>
      <c r="D3917" s="84"/>
      <c r="E3917" s="84"/>
      <c r="F3917" s="84"/>
      <c r="G3917" s="146"/>
      <c r="H3917" s="221"/>
    </row>
    <row r="3918" spans="1:8" s="212" customFormat="1">
      <c r="A3918" s="91"/>
      <c r="B3918" s="91"/>
      <c r="C3918" s="91"/>
      <c r="D3918" s="91"/>
      <c r="E3918" s="91"/>
      <c r="G3918" s="213"/>
      <c r="H3918" s="222"/>
    </row>
    <row r="3919" spans="1:8" s="212" customFormat="1">
      <c r="A3919" s="120"/>
      <c r="B3919" s="73"/>
      <c r="C3919" s="73"/>
      <c r="D3919" s="73"/>
      <c r="E3919" s="73"/>
      <c r="G3919" s="73"/>
      <c r="H3919" s="222"/>
    </row>
    <row r="3920" spans="1:8" s="212" customFormat="1">
      <c r="A3920" s="220"/>
      <c r="B3920" s="141"/>
      <c r="C3920" s="141"/>
      <c r="D3920" s="141"/>
      <c r="E3920" s="141"/>
      <c r="F3920" s="141"/>
      <c r="G3920" s="141"/>
      <c r="H3920" s="222"/>
    </row>
    <row r="3921" spans="1:9" s="212" customFormat="1">
      <c r="A3921" s="142"/>
      <c r="B3921" s="143"/>
      <c r="C3921" s="143"/>
      <c r="D3921" s="143"/>
      <c r="E3921" s="143"/>
      <c r="F3921" s="84"/>
      <c r="G3921" s="146"/>
      <c r="H3921" s="221"/>
    </row>
    <row r="3922" spans="1:9" s="212" customFormat="1">
      <c r="A3922" s="123"/>
      <c r="B3922" s="95"/>
      <c r="C3922" s="95"/>
      <c r="D3922" s="95"/>
      <c r="E3922" s="95"/>
      <c r="G3922" s="213"/>
      <c r="H3922" s="73"/>
    </row>
    <row r="3923" spans="1:9" s="212" customFormat="1">
      <c r="A3923" s="123"/>
      <c r="B3923" s="95"/>
      <c r="C3923" s="95"/>
      <c r="D3923" s="95"/>
      <c r="E3923" s="95"/>
      <c r="G3923" s="73"/>
      <c r="H3923" s="225"/>
    </row>
    <row r="3924" spans="1:9" s="212" customFormat="1">
      <c r="B3924" s="97"/>
      <c r="C3924" s="98"/>
      <c r="D3924" s="98"/>
      <c r="E3924" s="98"/>
      <c r="G3924" s="220"/>
    </row>
    <row r="3925" spans="1:9" s="212" customFormat="1">
      <c r="B3925" s="97"/>
      <c r="C3925" s="98"/>
      <c r="D3925" s="98"/>
      <c r="E3925" s="98"/>
      <c r="F3925" s="220"/>
      <c r="G3925" s="225"/>
      <c r="H3925" s="226"/>
    </row>
    <row r="3926" spans="1:9" s="212" customFormat="1">
      <c r="A3926" s="633"/>
      <c r="B3926" s="633"/>
      <c r="C3926" s="633"/>
      <c r="D3926" s="633"/>
      <c r="E3926" s="633"/>
      <c r="F3926" s="633"/>
      <c r="G3926" s="633"/>
    </row>
    <row r="3927" spans="1:9" s="212" customFormat="1">
      <c r="H3927" s="227"/>
      <c r="I3927" s="228"/>
    </row>
    <row r="3928" spans="1:9" s="212" customFormat="1">
      <c r="A3928" s="658"/>
      <c r="B3928" s="227"/>
      <c r="C3928" s="227"/>
      <c r="D3928" s="227"/>
      <c r="E3928" s="227"/>
      <c r="F3928" s="227"/>
      <c r="G3928" s="227"/>
      <c r="H3928" s="227"/>
      <c r="I3928" s="229"/>
    </row>
    <row r="3929" spans="1:9" s="212" customFormat="1">
      <c r="A3929" s="658"/>
      <c r="B3929" s="227"/>
      <c r="C3929" s="227"/>
      <c r="D3929" s="227"/>
      <c r="E3929" s="227"/>
      <c r="F3929" s="227"/>
      <c r="G3929" s="227"/>
    </row>
    <row r="3930" spans="1:9" s="212" customFormat="1">
      <c r="A3930" s="69"/>
      <c r="B3930" s="69"/>
      <c r="C3930" s="69"/>
      <c r="D3930" s="69"/>
      <c r="E3930" s="69"/>
    </row>
    <row r="3931" spans="1:9" s="212" customFormat="1">
      <c r="A3931" s="120"/>
      <c r="B3931" s="73"/>
      <c r="C3931" s="73"/>
      <c r="D3931" s="73"/>
      <c r="E3931" s="73"/>
      <c r="F3931" s="73"/>
      <c r="G3931" s="73"/>
      <c r="H3931" s="73"/>
    </row>
    <row r="3932" spans="1:9" s="212" customFormat="1">
      <c r="A3932" s="220"/>
      <c r="B3932" s="141"/>
      <c r="C3932" s="141"/>
      <c r="D3932" s="141"/>
      <c r="E3932" s="141"/>
      <c r="F3932" s="141"/>
      <c r="G3932" s="141"/>
      <c r="H3932" s="73"/>
    </row>
    <row r="3933" spans="1:9" s="212" customFormat="1">
      <c r="A3933" s="150"/>
      <c r="B3933" s="83"/>
      <c r="C3933" s="148"/>
      <c r="D3933" s="84"/>
      <c r="E3933" s="84"/>
      <c r="F3933" s="84"/>
      <c r="G3933" s="224"/>
      <c r="H3933" s="221"/>
    </row>
    <row r="3934" spans="1:9" s="212" customFormat="1">
      <c r="A3934" s="84"/>
      <c r="B3934" s="83"/>
      <c r="C3934" s="84"/>
      <c r="D3934" s="84"/>
      <c r="E3934" s="84"/>
      <c r="G3934" s="213"/>
      <c r="H3934" s="222"/>
    </row>
    <row r="3935" spans="1:9" s="212" customFormat="1">
      <c r="A3935" s="120"/>
      <c r="B3935" s="73"/>
      <c r="C3935" s="73"/>
      <c r="D3935" s="73"/>
      <c r="E3935" s="73"/>
      <c r="G3935" s="73"/>
      <c r="H3935" s="222"/>
    </row>
    <row r="3936" spans="1:9" s="212" customFormat="1">
      <c r="A3936" s="220"/>
      <c r="B3936" s="141"/>
      <c r="C3936" s="141"/>
      <c r="D3936" s="141"/>
      <c r="E3936" s="141"/>
      <c r="F3936" s="141"/>
      <c r="G3936" s="141"/>
      <c r="H3936" s="222"/>
    </row>
    <row r="3937" spans="1:8" s="212" customFormat="1">
      <c r="A3937" s="150"/>
      <c r="B3937" s="83"/>
      <c r="C3937" s="148"/>
      <c r="D3937" s="84"/>
      <c r="E3937" s="84"/>
      <c r="F3937" s="84"/>
      <c r="G3937" s="224"/>
      <c r="H3937" s="222"/>
    </row>
    <row r="3938" spans="1:8" s="212" customFormat="1">
      <c r="A3938" s="150"/>
      <c r="B3938" s="83"/>
      <c r="C3938" s="148"/>
      <c r="D3938" s="84"/>
      <c r="E3938" s="84"/>
      <c r="F3938" s="84"/>
      <c r="G3938" s="224"/>
      <c r="H3938" s="222"/>
    </row>
    <row r="3939" spans="1:8" s="212" customFormat="1">
      <c r="A3939" s="150"/>
      <c r="B3939" s="83"/>
      <c r="C3939" s="148"/>
      <c r="D3939" s="84"/>
      <c r="E3939" s="84"/>
      <c r="F3939" s="84"/>
      <c r="G3939" s="224"/>
      <c r="H3939" s="222"/>
    </row>
    <row r="3940" spans="1:8" s="212" customFormat="1">
      <c r="A3940" s="150"/>
      <c r="B3940" s="83"/>
      <c r="C3940" s="148"/>
      <c r="D3940" s="84"/>
      <c r="E3940" s="84"/>
      <c r="F3940" s="84"/>
      <c r="G3940" s="224"/>
      <c r="H3940" s="222"/>
    </row>
    <row r="3941" spans="1:8" s="212" customFormat="1">
      <c r="A3941" s="150"/>
      <c r="B3941" s="83"/>
      <c r="C3941" s="148"/>
      <c r="D3941" s="84"/>
      <c r="E3941" s="84"/>
      <c r="F3941" s="84"/>
      <c r="G3941" s="224"/>
      <c r="H3941" s="222"/>
    </row>
    <row r="3942" spans="1:8" s="212" customFormat="1">
      <c r="A3942" s="150"/>
      <c r="B3942" s="83"/>
      <c r="C3942" s="148"/>
      <c r="D3942" s="84"/>
      <c r="E3942" s="84"/>
      <c r="F3942" s="84"/>
      <c r="G3942" s="224"/>
      <c r="H3942" s="222"/>
    </row>
    <row r="3943" spans="1:8" s="212" customFormat="1">
      <c r="A3943" s="150"/>
      <c r="B3943" s="83"/>
      <c r="C3943" s="148"/>
      <c r="D3943" s="84"/>
      <c r="E3943" s="84"/>
      <c r="F3943" s="84"/>
      <c r="G3943" s="224"/>
      <c r="H3943" s="222"/>
    </row>
    <row r="3944" spans="1:8" s="212" customFormat="1">
      <c r="A3944" s="150"/>
      <c r="B3944" s="83"/>
      <c r="C3944" s="148"/>
      <c r="D3944" s="84"/>
      <c r="E3944" s="84"/>
      <c r="F3944" s="84"/>
      <c r="G3944" s="224"/>
      <c r="H3944" s="222"/>
    </row>
    <row r="3945" spans="1:8" s="212" customFormat="1">
      <c r="A3945" s="150"/>
      <c r="B3945" s="83"/>
      <c r="C3945" s="148"/>
      <c r="D3945" s="84"/>
      <c r="E3945" s="84"/>
      <c r="F3945" s="84"/>
      <c r="G3945" s="224"/>
      <c r="H3945" s="222"/>
    </row>
    <row r="3946" spans="1:8" s="212" customFormat="1">
      <c r="A3946" s="150"/>
      <c r="B3946" s="83"/>
      <c r="C3946" s="148"/>
      <c r="D3946" s="84"/>
      <c r="E3946" s="84"/>
      <c r="F3946" s="84"/>
      <c r="G3946" s="224"/>
      <c r="H3946" s="221"/>
    </row>
    <row r="3947" spans="1:8" s="212" customFormat="1">
      <c r="A3947" s="91"/>
      <c r="B3947" s="91"/>
      <c r="C3947" s="91"/>
      <c r="D3947" s="91"/>
      <c r="E3947" s="91"/>
      <c r="G3947" s="213"/>
      <c r="H3947" s="222"/>
    </row>
    <row r="3948" spans="1:8" s="212" customFormat="1">
      <c r="A3948" s="120"/>
      <c r="B3948" s="73"/>
      <c r="C3948" s="73"/>
      <c r="D3948" s="73"/>
      <c r="E3948" s="73"/>
      <c r="G3948" s="73"/>
      <c r="H3948" s="222"/>
    </row>
    <row r="3949" spans="1:8" s="212" customFormat="1">
      <c r="A3949" s="220"/>
      <c r="B3949" s="141"/>
      <c r="C3949" s="141"/>
      <c r="D3949" s="141"/>
      <c r="E3949" s="141"/>
      <c r="F3949" s="141"/>
      <c r="G3949" s="141"/>
      <c r="H3949" s="222"/>
    </row>
    <row r="3950" spans="1:8" s="212" customFormat="1">
      <c r="A3950" s="146"/>
      <c r="B3950" s="83"/>
      <c r="C3950" s="148"/>
      <c r="D3950" s="84"/>
      <c r="E3950" s="84"/>
      <c r="F3950" s="84"/>
      <c r="G3950" s="146"/>
      <c r="H3950" s="221"/>
    </row>
    <row r="3951" spans="1:8" s="212" customFormat="1">
      <c r="A3951" s="91"/>
      <c r="B3951" s="91"/>
      <c r="C3951" s="91"/>
      <c r="D3951" s="91"/>
      <c r="E3951" s="91"/>
      <c r="G3951" s="213"/>
      <c r="H3951" s="222"/>
    </row>
    <row r="3952" spans="1:8" s="212" customFormat="1">
      <c r="A3952" s="120"/>
      <c r="B3952" s="73"/>
      <c r="C3952" s="73"/>
      <c r="D3952" s="73"/>
      <c r="E3952" s="73"/>
      <c r="G3952" s="73"/>
      <c r="H3952" s="222"/>
    </row>
    <row r="3953" spans="1:9" s="212" customFormat="1">
      <c r="A3953" s="220"/>
      <c r="B3953" s="141"/>
      <c r="C3953" s="141"/>
      <c r="D3953" s="141"/>
      <c r="E3953" s="141"/>
      <c r="F3953" s="141"/>
      <c r="G3953" s="141"/>
      <c r="H3953" s="222"/>
    </row>
    <row r="3954" spans="1:9" s="212" customFormat="1">
      <c r="A3954" s="142"/>
      <c r="B3954" s="143"/>
      <c r="C3954" s="143"/>
      <c r="D3954" s="143"/>
      <c r="E3954" s="143"/>
      <c r="F3954" s="84"/>
      <c r="G3954" s="146"/>
      <c r="H3954" s="221"/>
    </row>
    <row r="3955" spans="1:9" s="212" customFormat="1">
      <c r="A3955" s="123"/>
      <c r="B3955" s="95"/>
      <c r="C3955" s="95"/>
      <c r="D3955" s="95"/>
      <c r="E3955" s="95"/>
      <c r="G3955" s="213"/>
      <c r="H3955" s="73"/>
    </row>
    <row r="3956" spans="1:9" s="212" customFormat="1">
      <c r="A3956" s="123"/>
      <c r="B3956" s="95"/>
      <c r="C3956" s="95"/>
      <c r="D3956" s="95"/>
      <c r="E3956" s="95"/>
      <c r="G3956" s="73"/>
      <c r="H3956" s="225"/>
    </row>
    <row r="3957" spans="1:9" s="212" customFormat="1">
      <c r="B3957" s="97"/>
      <c r="C3957" s="98"/>
      <c r="D3957" s="98"/>
      <c r="E3957" s="98"/>
      <c r="G3957" s="220"/>
    </row>
    <row r="3958" spans="1:9" s="212" customFormat="1">
      <c r="B3958" s="97"/>
      <c r="C3958" s="98"/>
      <c r="D3958" s="98"/>
      <c r="E3958" s="98"/>
      <c r="F3958" s="220"/>
      <c r="G3958" s="225"/>
      <c r="H3958" s="226"/>
    </row>
    <row r="3959" spans="1:9" s="212" customFormat="1">
      <c r="A3959" s="633"/>
      <c r="B3959" s="633"/>
      <c r="C3959" s="633"/>
      <c r="D3959" s="633"/>
      <c r="E3959" s="633"/>
      <c r="F3959" s="633"/>
      <c r="G3959" s="633"/>
    </row>
    <row r="3960" spans="1:9" s="212" customFormat="1">
      <c r="H3960" s="227"/>
      <c r="I3960" s="228"/>
    </row>
    <row r="3961" spans="1:9" s="212" customFormat="1">
      <c r="A3961" s="658"/>
      <c r="B3961" s="227"/>
      <c r="C3961" s="227"/>
      <c r="D3961" s="227"/>
      <c r="E3961" s="227"/>
      <c r="F3961" s="227"/>
      <c r="G3961" s="227"/>
      <c r="H3961" s="227"/>
      <c r="I3961" s="229"/>
    </row>
    <row r="3962" spans="1:9" s="212" customFormat="1">
      <c r="A3962" s="658"/>
      <c r="B3962" s="227"/>
      <c r="C3962" s="227"/>
      <c r="D3962" s="227"/>
      <c r="E3962" s="227"/>
      <c r="F3962" s="227"/>
      <c r="G3962" s="227"/>
    </row>
    <row r="3963" spans="1:9" s="212" customFormat="1">
      <c r="A3963" s="69"/>
      <c r="B3963" s="69"/>
      <c r="C3963" s="69"/>
      <c r="D3963" s="69"/>
      <c r="E3963" s="69"/>
    </row>
    <row r="3964" spans="1:9" s="212" customFormat="1">
      <c r="A3964" s="120"/>
      <c r="B3964" s="73"/>
      <c r="C3964" s="73"/>
      <c r="D3964" s="73"/>
      <c r="E3964" s="73"/>
      <c r="F3964" s="73"/>
      <c r="G3964" s="73"/>
      <c r="H3964" s="73"/>
    </row>
    <row r="3965" spans="1:9" s="212" customFormat="1">
      <c r="A3965" s="220"/>
      <c r="B3965" s="141"/>
      <c r="C3965" s="141"/>
      <c r="D3965" s="141"/>
      <c r="E3965" s="141"/>
      <c r="F3965" s="141"/>
      <c r="G3965" s="141"/>
      <c r="H3965" s="73"/>
    </row>
    <row r="3966" spans="1:9" s="212" customFormat="1">
      <c r="A3966" s="150"/>
      <c r="B3966" s="83"/>
      <c r="C3966" s="148"/>
      <c r="D3966" s="84"/>
      <c r="E3966" s="84"/>
      <c r="F3966" s="84"/>
      <c r="G3966" s="224"/>
      <c r="H3966" s="221"/>
    </row>
    <row r="3967" spans="1:9" s="212" customFormat="1">
      <c r="A3967" s="84"/>
      <c r="B3967" s="83"/>
      <c r="C3967" s="84"/>
      <c r="D3967" s="84"/>
      <c r="E3967" s="84"/>
      <c r="G3967" s="213"/>
      <c r="H3967" s="222"/>
    </row>
    <row r="3968" spans="1:9" s="212" customFormat="1">
      <c r="A3968" s="120"/>
      <c r="B3968" s="73"/>
      <c r="C3968" s="73"/>
      <c r="D3968" s="73"/>
      <c r="E3968" s="73"/>
      <c r="G3968" s="73"/>
      <c r="H3968" s="222"/>
    </row>
    <row r="3969" spans="1:8" s="212" customFormat="1">
      <c r="A3969" s="220"/>
      <c r="B3969" s="141"/>
      <c r="C3969" s="141"/>
      <c r="D3969" s="141"/>
      <c r="E3969" s="141"/>
      <c r="F3969" s="141"/>
      <c r="G3969" s="141"/>
      <c r="H3969" s="222"/>
    </row>
    <row r="3970" spans="1:8" s="212" customFormat="1">
      <c r="A3970" s="150"/>
      <c r="B3970" s="83"/>
      <c r="C3970" s="148"/>
      <c r="D3970" s="84"/>
      <c r="E3970" s="84"/>
      <c r="F3970" s="84"/>
      <c r="G3970" s="224"/>
      <c r="H3970" s="222"/>
    </row>
    <row r="3971" spans="1:8" s="212" customFormat="1">
      <c r="A3971" s="150"/>
      <c r="B3971" s="83"/>
      <c r="C3971" s="148"/>
      <c r="D3971" s="84"/>
      <c r="E3971" s="84"/>
      <c r="F3971" s="84"/>
      <c r="G3971" s="224"/>
      <c r="H3971" s="222"/>
    </row>
    <row r="3972" spans="1:8" s="212" customFormat="1">
      <c r="A3972" s="150"/>
      <c r="B3972" s="83"/>
      <c r="C3972" s="148"/>
      <c r="D3972" s="84"/>
      <c r="E3972" s="84"/>
      <c r="F3972" s="84"/>
      <c r="G3972" s="224"/>
      <c r="H3972" s="222"/>
    </row>
    <row r="3973" spans="1:8" s="212" customFormat="1">
      <c r="A3973" s="150"/>
      <c r="B3973" s="83"/>
      <c r="C3973" s="148"/>
      <c r="D3973" s="84"/>
      <c r="E3973" s="84"/>
      <c r="F3973" s="84"/>
      <c r="G3973" s="224"/>
      <c r="H3973" s="222"/>
    </row>
    <row r="3974" spans="1:8" s="212" customFormat="1">
      <c r="A3974" s="150"/>
      <c r="B3974" s="83"/>
      <c r="C3974" s="148"/>
      <c r="D3974" s="84"/>
      <c r="E3974" s="84"/>
      <c r="F3974" s="84"/>
      <c r="G3974" s="224"/>
      <c r="H3974" s="222"/>
    </row>
    <row r="3975" spans="1:8" s="212" customFormat="1">
      <c r="A3975" s="150"/>
      <c r="B3975" s="83"/>
      <c r="C3975" s="148"/>
      <c r="D3975" s="84"/>
      <c r="E3975" s="84"/>
      <c r="F3975" s="84"/>
      <c r="G3975" s="224"/>
      <c r="H3975" s="222"/>
    </row>
    <row r="3976" spans="1:8" s="212" customFormat="1">
      <c r="A3976" s="150"/>
      <c r="B3976" s="83"/>
      <c r="C3976" s="148"/>
      <c r="D3976" s="84"/>
      <c r="E3976" s="84"/>
      <c r="F3976" s="84"/>
      <c r="G3976" s="224"/>
      <c r="H3976" s="222"/>
    </row>
    <row r="3977" spans="1:8" s="212" customFormat="1">
      <c r="A3977" s="150"/>
      <c r="B3977" s="83"/>
      <c r="C3977" s="148"/>
      <c r="D3977" s="84"/>
      <c r="E3977" s="84"/>
      <c r="F3977" s="84"/>
      <c r="G3977" s="224"/>
      <c r="H3977" s="222"/>
    </row>
    <row r="3978" spans="1:8" s="212" customFormat="1">
      <c r="A3978" s="150"/>
      <c r="B3978" s="83"/>
      <c r="C3978" s="148"/>
      <c r="D3978" s="84"/>
      <c r="E3978" s="84"/>
      <c r="F3978" s="84"/>
      <c r="G3978" s="224"/>
      <c r="H3978" s="222"/>
    </row>
    <row r="3979" spans="1:8" s="212" customFormat="1">
      <c r="A3979" s="150"/>
      <c r="B3979" s="83"/>
      <c r="C3979" s="148"/>
      <c r="D3979" s="84"/>
      <c r="E3979" s="84"/>
      <c r="F3979" s="84"/>
      <c r="G3979" s="224"/>
      <c r="H3979" s="221"/>
    </row>
    <row r="3980" spans="1:8" s="212" customFormat="1" ht="15" customHeight="1">
      <c r="A3980" s="91"/>
      <c r="B3980" s="91"/>
      <c r="C3980" s="91"/>
      <c r="D3980" s="91"/>
      <c r="E3980" s="91"/>
      <c r="G3980" s="213"/>
      <c r="H3980" s="222"/>
    </row>
    <row r="3981" spans="1:8" s="212" customFormat="1">
      <c r="A3981" s="120"/>
      <c r="B3981" s="73"/>
      <c r="C3981" s="73"/>
      <c r="D3981" s="73"/>
      <c r="E3981" s="73"/>
      <c r="G3981" s="73"/>
      <c r="H3981" s="222"/>
    </row>
    <row r="3982" spans="1:8" s="212" customFormat="1">
      <c r="A3982" s="220"/>
      <c r="B3982" s="141"/>
      <c r="C3982" s="141"/>
      <c r="D3982" s="141"/>
      <c r="E3982" s="141"/>
      <c r="F3982" s="141"/>
      <c r="G3982" s="141"/>
      <c r="H3982" s="222"/>
    </row>
    <row r="3983" spans="1:8" s="212" customFormat="1">
      <c r="A3983" s="146"/>
      <c r="B3983" s="83"/>
      <c r="C3983" s="148"/>
      <c r="D3983" s="84"/>
      <c r="E3983" s="84"/>
      <c r="F3983" s="84"/>
      <c r="G3983" s="146"/>
      <c r="H3983" s="221"/>
    </row>
    <row r="3984" spans="1:8" s="212" customFormat="1">
      <c r="A3984" s="91"/>
      <c r="B3984" s="91"/>
      <c r="C3984" s="91"/>
      <c r="D3984" s="91"/>
      <c r="E3984" s="91"/>
      <c r="G3984" s="213"/>
      <c r="H3984" s="222"/>
    </row>
    <row r="3985" spans="1:9" s="212" customFormat="1">
      <c r="A3985" s="120"/>
      <c r="B3985" s="73"/>
      <c r="C3985" s="73"/>
      <c r="D3985" s="73"/>
      <c r="E3985" s="73"/>
      <c r="G3985" s="73"/>
      <c r="H3985" s="222"/>
    </row>
    <row r="3986" spans="1:9" s="212" customFormat="1">
      <c r="A3986" s="220"/>
      <c r="B3986" s="141"/>
      <c r="C3986" s="141"/>
      <c r="D3986" s="141"/>
      <c r="E3986" s="141"/>
      <c r="F3986" s="141"/>
      <c r="G3986" s="141"/>
      <c r="H3986" s="222"/>
    </row>
    <row r="3987" spans="1:9" s="212" customFormat="1">
      <c r="A3987" s="142"/>
      <c r="B3987" s="143"/>
      <c r="C3987" s="143"/>
      <c r="D3987" s="143"/>
      <c r="E3987" s="143"/>
      <c r="F3987" s="84"/>
      <c r="G3987" s="146"/>
      <c r="H3987" s="221"/>
    </row>
    <row r="3988" spans="1:9" s="212" customFormat="1">
      <c r="A3988" s="123"/>
      <c r="B3988" s="95"/>
      <c r="C3988" s="95"/>
      <c r="D3988" s="95"/>
      <c r="E3988" s="95"/>
      <c r="G3988" s="213"/>
      <c r="H3988" s="73"/>
    </row>
    <row r="3989" spans="1:9" s="212" customFormat="1">
      <c r="A3989" s="123"/>
      <c r="B3989" s="95"/>
      <c r="C3989" s="95"/>
      <c r="D3989" s="95"/>
      <c r="E3989" s="95"/>
      <c r="G3989" s="73"/>
      <c r="H3989" s="225"/>
    </row>
    <row r="3990" spans="1:9" s="212" customFormat="1">
      <c r="B3990" s="97"/>
      <c r="C3990" s="98"/>
      <c r="D3990" s="98"/>
      <c r="E3990" s="98"/>
      <c r="G3990" s="220"/>
    </row>
    <row r="3991" spans="1:9" s="212" customFormat="1">
      <c r="B3991" s="97"/>
      <c r="C3991" s="98"/>
      <c r="D3991" s="98"/>
      <c r="E3991" s="98"/>
      <c r="F3991" s="220"/>
      <c r="G3991" s="225"/>
      <c r="H3991" s="226"/>
    </row>
    <row r="3992" spans="1:9" s="212" customFormat="1">
      <c r="A3992" s="633"/>
      <c r="B3992" s="633"/>
      <c r="C3992" s="633"/>
      <c r="D3992" s="633"/>
      <c r="E3992" s="633"/>
      <c r="F3992" s="633"/>
      <c r="G3992" s="633"/>
    </row>
    <row r="3993" spans="1:9" s="212" customFormat="1">
      <c r="H3993" s="227"/>
      <c r="I3993" s="228"/>
    </row>
    <row r="3994" spans="1:9" s="212" customFormat="1">
      <c r="A3994" s="658"/>
      <c r="B3994" s="227"/>
      <c r="C3994" s="227"/>
      <c r="D3994" s="227"/>
      <c r="E3994" s="227"/>
      <c r="F3994" s="227"/>
      <c r="G3994" s="227"/>
      <c r="H3994" s="227"/>
      <c r="I3994" s="229"/>
    </row>
    <row r="3995" spans="1:9" s="212" customFormat="1">
      <c r="A3995" s="658"/>
      <c r="B3995" s="227"/>
      <c r="C3995" s="227"/>
      <c r="D3995" s="227"/>
      <c r="E3995" s="227"/>
      <c r="F3995" s="227"/>
      <c r="G3995" s="227"/>
    </row>
    <row r="3996" spans="1:9" s="212" customFormat="1">
      <c r="A3996" s="69"/>
      <c r="B3996" s="69"/>
      <c r="C3996" s="69"/>
      <c r="D3996" s="69"/>
      <c r="E3996" s="69"/>
    </row>
    <row r="3997" spans="1:9" s="212" customFormat="1">
      <c r="A3997" s="120"/>
      <c r="B3997" s="73"/>
      <c r="C3997" s="73"/>
      <c r="D3997" s="73"/>
      <c r="E3997" s="73"/>
      <c r="F3997" s="73"/>
      <c r="G3997" s="73"/>
      <c r="H3997" s="73"/>
    </row>
    <row r="3998" spans="1:9" s="212" customFormat="1">
      <c r="A3998" s="220"/>
      <c r="B3998" s="141"/>
      <c r="C3998" s="141"/>
      <c r="D3998" s="141"/>
      <c r="E3998" s="141"/>
      <c r="F3998" s="141"/>
      <c r="G3998" s="141"/>
      <c r="H3998" s="73"/>
    </row>
    <row r="3999" spans="1:9" s="212" customFormat="1">
      <c r="A3999" s="150"/>
      <c r="B3999" s="83"/>
      <c r="C3999" s="148"/>
      <c r="D3999" s="84"/>
      <c r="E3999" s="84"/>
      <c r="F3999" s="84"/>
      <c r="G3999" s="224"/>
      <c r="H3999" s="221"/>
    </row>
    <row r="4000" spans="1:9" s="212" customFormat="1">
      <c r="A4000" s="84"/>
      <c r="B4000" s="83"/>
      <c r="C4000" s="84"/>
      <c r="D4000" s="84"/>
      <c r="E4000" s="84"/>
      <c r="G4000" s="213"/>
      <c r="H4000" s="222"/>
    </row>
    <row r="4001" spans="1:8" s="212" customFormat="1">
      <c r="A4001" s="120"/>
      <c r="B4001" s="73"/>
      <c r="C4001" s="73"/>
      <c r="D4001" s="73"/>
      <c r="E4001" s="73"/>
      <c r="G4001" s="73"/>
      <c r="H4001" s="222"/>
    </row>
    <row r="4002" spans="1:8" s="212" customFormat="1">
      <c r="A4002" s="220"/>
      <c r="B4002" s="141"/>
      <c r="C4002" s="141"/>
      <c r="D4002" s="141"/>
      <c r="E4002" s="141"/>
      <c r="F4002" s="141"/>
      <c r="G4002" s="141"/>
      <c r="H4002" s="222"/>
    </row>
    <row r="4003" spans="1:8" s="212" customFormat="1">
      <c r="A4003" s="150"/>
      <c r="B4003" s="83"/>
      <c r="C4003" s="148"/>
      <c r="D4003" s="84"/>
      <c r="E4003" s="84"/>
      <c r="F4003" s="84"/>
      <c r="G4003" s="224"/>
      <c r="H4003" s="222"/>
    </row>
    <row r="4004" spans="1:8" s="212" customFormat="1">
      <c r="A4004" s="150"/>
      <c r="B4004" s="83"/>
      <c r="C4004" s="148"/>
      <c r="D4004" s="84"/>
      <c r="E4004" s="84"/>
      <c r="F4004" s="84"/>
      <c r="G4004" s="224"/>
      <c r="H4004" s="222"/>
    </row>
    <row r="4005" spans="1:8" s="212" customFormat="1">
      <c r="A4005" s="150"/>
      <c r="B4005" s="83"/>
      <c r="C4005" s="148"/>
      <c r="D4005" s="84"/>
      <c r="E4005" s="84"/>
      <c r="F4005" s="84"/>
      <c r="G4005" s="224"/>
      <c r="H4005" s="222"/>
    </row>
    <row r="4006" spans="1:8" s="212" customFormat="1">
      <c r="A4006" s="150"/>
      <c r="B4006" s="83"/>
      <c r="C4006" s="148"/>
      <c r="D4006" s="84"/>
      <c r="E4006" s="84"/>
      <c r="F4006" s="84"/>
      <c r="G4006" s="224"/>
      <c r="H4006" s="222"/>
    </row>
    <row r="4007" spans="1:8" s="212" customFormat="1">
      <c r="A4007" s="150"/>
      <c r="B4007" s="83"/>
      <c r="C4007" s="148"/>
      <c r="D4007" s="84"/>
      <c r="E4007" s="84"/>
      <c r="F4007" s="84"/>
      <c r="G4007" s="224"/>
      <c r="H4007" s="222"/>
    </row>
    <row r="4008" spans="1:8" s="212" customFormat="1">
      <c r="A4008" s="150"/>
      <c r="B4008" s="83"/>
      <c r="C4008" s="148"/>
      <c r="D4008" s="84"/>
      <c r="E4008" s="84"/>
      <c r="F4008" s="84"/>
      <c r="G4008" s="224"/>
      <c r="H4008" s="222"/>
    </row>
    <row r="4009" spans="1:8" s="212" customFormat="1">
      <c r="A4009" s="150"/>
      <c r="B4009" s="83"/>
      <c r="C4009" s="148"/>
      <c r="D4009" s="84"/>
      <c r="E4009" s="84"/>
      <c r="F4009" s="84"/>
      <c r="G4009" s="224"/>
      <c r="H4009" s="222"/>
    </row>
    <row r="4010" spans="1:8" s="212" customFormat="1">
      <c r="A4010" s="150"/>
      <c r="B4010" s="83"/>
      <c r="C4010" s="148"/>
      <c r="D4010" s="84"/>
      <c r="E4010" s="84"/>
      <c r="F4010" s="84"/>
      <c r="G4010" s="224"/>
      <c r="H4010" s="222"/>
    </row>
    <row r="4011" spans="1:8" s="212" customFormat="1">
      <c r="A4011" s="150"/>
      <c r="B4011" s="83"/>
      <c r="C4011" s="148"/>
      <c r="D4011" s="84"/>
      <c r="E4011" s="84"/>
      <c r="F4011" s="84"/>
      <c r="G4011" s="224"/>
      <c r="H4011" s="222"/>
    </row>
    <row r="4012" spans="1:8" s="212" customFormat="1">
      <c r="A4012" s="150"/>
      <c r="B4012" s="83"/>
      <c r="C4012" s="148"/>
      <c r="D4012" s="84"/>
      <c r="E4012" s="84"/>
      <c r="F4012" s="84"/>
      <c r="G4012" s="224"/>
      <c r="H4012" s="221"/>
    </row>
    <row r="4013" spans="1:8" s="212" customFormat="1">
      <c r="A4013" s="91"/>
      <c r="B4013" s="91"/>
      <c r="C4013" s="91"/>
      <c r="D4013" s="91"/>
      <c r="E4013" s="91"/>
      <c r="G4013" s="213"/>
      <c r="H4013" s="222"/>
    </row>
    <row r="4014" spans="1:8" s="212" customFormat="1">
      <c r="A4014" s="120"/>
      <c r="B4014" s="73"/>
      <c r="C4014" s="73"/>
      <c r="D4014" s="73"/>
      <c r="E4014" s="73"/>
      <c r="G4014" s="73"/>
      <c r="H4014" s="222"/>
    </row>
    <row r="4015" spans="1:8" s="212" customFormat="1">
      <c r="A4015" s="220"/>
      <c r="B4015" s="141"/>
      <c r="C4015" s="141"/>
      <c r="D4015" s="141"/>
      <c r="E4015" s="141"/>
      <c r="F4015" s="141"/>
      <c r="G4015" s="141"/>
      <c r="H4015" s="222"/>
    </row>
    <row r="4016" spans="1:8" s="212" customFormat="1">
      <c r="A4016" s="146"/>
      <c r="B4016" s="83"/>
      <c r="C4016" s="148"/>
      <c r="D4016" s="84"/>
      <c r="E4016" s="84"/>
      <c r="F4016" s="84"/>
      <c r="G4016" s="146"/>
      <c r="H4016" s="221"/>
    </row>
    <row r="4017" spans="1:9" s="212" customFormat="1">
      <c r="A4017" s="91"/>
      <c r="B4017" s="91"/>
      <c r="C4017" s="91"/>
      <c r="D4017" s="91"/>
      <c r="E4017" s="91"/>
      <c r="G4017" s="213"/>
      <c r="H4017" s="222"/>
    </row>
    <row r="4018" spans="1:9" s="212" customFormat="1">
      <c r="A4018" s="120"/>
      <c r="B4018" s="73"/>
      <c r="C4018" s="73"/>
      <c r="D4018" s="73"/>
      <c r="E4018" s="73"/>
      <c r="G4018" s="73"/>
      <c r="H4018" s="222"/>
    </row>
    <row r="4019" spans="1:9" s="212" customFormat="1">
      <c r="A4019" s="220"/>
      <c r="B4019" s="141"/>
      <c r="C4019" s="141"/>
      <c r="D4019" s="141"/>
      <c r="E4019" s="141"/>
      <c r="F4019" s="141"/>
      <c r="G4019" s="141"/>
      <c r="H4019" s="222"/>
    </row>
    <row r="4020" spans="1:9" s="212" customFormat="1">
      <c r="A4020" s="142"/>
      <c r="B4020" s="143"/>
      <c r="C4020" s="143"/>
      <c r="D4020" s="143"/>
      <c r="E4020" s="143"/>
      <c r="F4020" s="84"/>
      <c r="G4020" s="146"/>
      <c r="H4020" s="221"/>
    </row>
    <row r="4021" spans="1:9" s="212" customFormat="1">
      <c r="A4021" s="123"/>
      <c r="B4021" s="95"/>
      <c r="C4021" s="95"/>
      <c r="D4021" s="95"/>
      <c r="E4021" s="95"/>
      <c r="G4021" s="213"/>
      <c r="H4021" s="73"/>
    </row>
    <row r="4022" spans="1:9" s="212" customFormat="1">
      <c r="A4022" s="123"/>
      <c r="B4022" s="95"/>
      <c r="C4022" s="95"/>
      <c r="D4022" s="95"/>
      <c r="E4022" s="95"/>
      <c r="G4022" s="73"/>
      <c r="H4022" s="225"/>
    </row>
    <row r="4023" spans="1:9" s="212" customFormat="1">
      <c r="B4023" s="97"/>
      <c r="C4023" s="98"/>
      <c r="D4023" s="98"/>
      <c r="E4023" s="98"/>
      <c r="G4023" s="220"/>
    </row>
    <row r="4024" spans="1:9" s="212" customFormat="1">
      <c r="B4024" s="97"/>
      <c r="C4024" s="98"/>
      <c r="D4024" s="98"/>
      <c r="E4024" s="98"/>
      <c r="F4024" s="220"/>
      <c r="G4024" s="225"/>
      <c r="H4024" s="226"/>
    </row>
    <row r="4025" spans="1:9" s="212" customFormat="1">
      <c r="A4025" s="633"/>
      <c r="B4025" s="633"/>
      <c r="C4025" s="633"/>
      <c r="D4025" s="633"/>
      <c r="E4025" s="633"/>
      <c r="F4025" s="633"/>
      <c r="G4025" s="633"/>
    </row>
    <row r="4026" spans="1:9" s="212" customFormat="1">
      <c r="H4026" s="227"/>
      <c r="I4026" s="228"/>
    </row>
    <row r="4027" spans="1:9" s="212" customFormat="1">
      <c r="A4027" s="658"/>
      <c r="B4027" s="227"/>
      <c r="C4027" s="227"/>
      <c r="D4027" s="227"/>
      <c r="E4027" s="227"/>
      <c r="F4027" s="227"/>
      <c r="G4027" s="227"/>
      <c r="H4027" s="227"/>
      <c r="I4027" s="229"/>
    </row>
    <row r="4028" spans="1:9" s="212" customFormat="1">
      <c r="A4028" s="658"/>
      <c r="B4028" s="227"/>
      <c r="C4028" s="227"/>
      <c r="D4028" s="227"/>
      <c r="E4028" s="227"/>
      <c r="F4028" s="227"/>
      <c r="G4028" s="227"/>
    </row>
    <row r="4029" spans="1:9" s="212" customFormat="1">
      <c r="A4029" s="69"/>
      <c r="B4029" s="69"/>
      <c r="C4029" s="69"/>
      <c r="D4029" s="69"/>
      <c r="E4029" s="69"/>
    </row>
    <row r="4030" spans="1:9" s="212" customFormat="1">
      <c r="A4030" s="120"/>
      <c r="B4030" s="73"/>
      <c r="C4030" s="73"/>
      <c r="D4030" s="73"/>
      <c r="E4030" s="73"/>
      <c r="F4030" s="73"/>
      <c r="G4030" s="73"/>
      <c r="H4030" s="73"/>
    </row>
    <row r="4031" spans="1:9" s="212" customFormat="1">
      <c r="A4031" s="220"/>
      <c r="B4031" s="141"/>
      <c r="C4031" s="141"/>
      <c r="D4031" s="141"/>
      <c r="E4031" s="141"/>
      <c r="F4031" s="141"/>
      <c r="G4031" s="141"/>
      <c r="H4031" s="73"/>
    </row>
    <row r="4032" spans="1:9" s="212" customFormat="1">
      <c r="A4032" s="150"/>
      <c r="B4032" s="83"/>
      <c r="C4032" s="148"/>
      <c r="D4032" s="84"/>
      <c r="E4032" s="84"/>
      <c r="F4032" s="84"/>
      <c r="G4032" s="224"/>
      <c r="H4032" s="73"/>
    </row>
    <row r="4033" spans="1:8" s="212" customFormat="1">
      <c r="A4033" s="150"/>
      <c r="B4033" s="83"/>
      <c r="C4033" s="148"/>
      <c r="D4033" s="84"/>
      <c r="E4033" s="84"/>
      <c r="F4033" s="84"/>
      <c r="G4033" s="224"/>
      <c r="H4033" s="73"/>
    </row>
    <row r="4034" spans="1:8" s="212" customFormat="1">
      <c r="A4034" s="150"/>
      <c r="B4034" s="83"/>
      <c r="C4034" s="148"/>
      <c r="D4034" s="84"/>
      <c r="E4034" s="84"/>
      <c r="F4034" s="84"/>
      <c r="G4034" s="224"/>
      <c r="H4034" s="73"/>
    </row>
    <row r="4035" spans="1:8" s="212" customFormat="1">
      <c r="A4035" s="150"/>
      <c r="B4035" s="83"/>
      <c r="C4035" s="148"/>
      <c r="D4035" s="84"/>
      <c r="E4035" s="84"/>
      <c r="F4035" s="84"/>
      <c r="G4035" s="224"/>
      <c r="H4035" s="73"/>
    </row>
    <row r="4036" spans="1:8" s="212" customFormat="1">
      <c r="A4036" s="150"/>
      <c r="B4036" s="83"/>
      <c r="C4036" s="148"/>
      <c r="D4036" s="84"/>
      <c r="E4036" s="84"/>
      <c r="F4036" s="84"/>
      <c r="G4036" s="224"/>
      <c r="H4036" s="221"/>
    </row>
    <row r="4037" spans="1:8" s="212" customFormat="1">
      <c r="A4037" s="84"/>
      <c r="B4037" s="83"/>
      <c r="C4037" s="84"/>
      <c r="D4037" s="84"/>
      <c r="E4037" s="84"/>
      <c r="G4037" s="213"/>
      <c r="H4037" s="222"/>
    </row>
    <row r="4038" spans="1:8" s="212" customFormat="1">
      <c r="A4038" s="120"/>
      <c r="B4038" s="73"/>
      <c r="C4038" s="73"/>
      <c r="D4038" s="73"/>
      <c r="E4038" s="73"/>
      <c r="G4038" s="73"/>
      <c r="H4038" s="222"/>
    </row>
    <row r="4039" spans="1:8" s="212" customFormat="1">
      <c r="A4039" s="220"/>
      <c r="B4039" s="141"/>
      <c r="C4039" s="141"/>
      <c r="D4039" s="141"/>
      <c r="E4039" s="141"/>
      <c r="F4039" s="141"/>
      <c r="G4039" s="141"/>
      <c r="H4039" s="222"/>
    </row>
    <row r="4040" spans="1:8" s="212" customFormat="1">
      <c r="A4040" s="150"/>
      <c r="B4040" s="83"/>
      <c r="C4040" s="148"/>
      <c r="D4040" s="84"/>
      <c r="E4040" s="84"/>
      <c r="F4040" s="84"/>
      <c r="G4040" s="224"/>
      <c r="H4040" s="222"/>
    </row>
    <row r="4041" spans="1:8" s="212" customFormat="1">
      <c r="A4041" s="150"/>
      <c r="B4041" s="83"/>
      <c r="C4041" s="148"/>
      <c r="D4041" s="84"/>
      <c r="E4041" s="84"/>
      <c r="F4041" s="84"/>
      <c r="G4041" s="224"/>
      <c r="H4041" s="222"/>
    </row>
    <row r="4042" spans="1:8" s="212" customFormat="1">
      <c r="A4042" s="150"/>
      <c r="B4042" s="83"/>
      <c r="C4042" s="148"/>
      <c r="D4042" s="84"/>
      <c r="E4042" s="84"/>
      <c r="F4042" s="84"/>
      <c r="G4042" s="224"/>
      <c r="H4042" s="222"/>
    </row>
    <row r="4043" spans="1:8" s="212" customFormat="1">
      <c r="A4043" s="150"/>
      <c r="B4043" s="83"/>
      <c r="C4043" s="148"/>
      <c r="D4043" s="84"/>
      <c r="E4043" s="84"/>
      <c r="F4043" s="84"/>
      <c r="G4043" s="224"/>
      <c r="H4043" s="222"/>
    </row>
    <row r="4044" spans="1:8" s="212" customFormat="1">
      <c r="A4044" s="150"/>
      <c r="B4044" s="83"/>
      <c r="C4044" s="148"/>
      <c r="D4044" s="84"/>
      <c r="E4044" s="84"/>
      <c r="F4044" s="84"/>
      <c r="G4044" s="224"/>
      <c r="H4044" s="222"/>
    </row>
    <row r="4045" spans="1:8" s="212" customFormat="1">
      <c r="A4045" s="150"/>
      <c r="B4045" s="83"/>
      <c r="C4045" s="148"/>
      <c r="D4045" s="84"/>
      <c r="E4045" s="84"/>
      <c r="F4045" s="84"/>
      <c r="G4045" s="224"/>
      <c r="H4045" s="222"/>
    </row>
    <row r="4046" spans="1:8" s="212" customFormat="1">
      <c r="A4046" s="150"/>
      <c r="B4046" s="83"/>
      <c r="C4046" s="148"/>
      <c r="D4046" s="84"/>
      <c r="E4046" s="84"/>
      <c r="F4046" s="84"/>
      <c r="G4046" s="224"/>
      <c r="H4046" s="221"/>
    </row>
    <row r="4047" spans="1:8" s="212" customFormat="1">
      <c r="A4047" s="91"/>
      <c r="B4047" s="91"/>
      <c r="C4047" s="91"/>
      <c r="D4047" s="91"/>
      <c r="E4047" s="91"/>
      <c r="G4047" s="213"/>
      <c r="H4047" s="222"/>
    </row>
    <row r="4048" spans="1:8" s="212" customFormat="1">
      <c r="A4048" s="120"/>
      <c r="B4048" s="73"/>
      <c r="C4048" s="73"/>
      <c r="D4048" s="73"/>
      <c r="E4048" s="73"/>
      <c r="G4048" s="73"/>
      <c r="H4048" s="222"/>
    </row>
    <row r="4049" spans="1:9" s="212" customFormat="1">
      <c r="A4049" s="220"/>
      <c r="B4049" s="141"/>
      <c r="C4049" s="141"/>
      <c r="D4049" s="141"/>
      <c r="E4049" s="141"/>
      <c r="F4049" s="141"/>
      <c r="G4049" s="141"/>
      <c r="H4049" s="222"/>
    </row>
    <row r="4050" spans="1:9" s="212" customFormat="1">
      <c r="A4050" s="146"/>
      <c r="B4050" s="83"/>
      <c r="C4050" s="148"/>
      <c r="D4050" s="84"/>
      <c r="E4050" s="84"/>
      <c r="F4050" s="84"/>
      <c r="G4050" s="146"/>
      <c r="H4050" s="222"/>
    </row>
    <row r="4051" spans="1:9" s="212" customFormat="1">
      <c r="A4051" s="146"/>
      <c r="B4051" s="83"/>
      <c r="C4051" s="148"/>
      <c r="D4051" s="84"/>
      <c r="E4051" s="84"/>
      <c r="F4051" s="84"/>
      <c r="G4051" s="146"/>
      <c r="H4051" s="221"/>
    </row>
    <row r="4052" spans="1:9" s="212" customFormat="1">
      <c r="A4052" s="91"/>
      <c r="B4052" s="91"/>
      <c r="C4052" s="91"/>
      <c r="D4052" s="91"/>
      <c r="E4052" s="91"/>
      <c r="G4052" s="213"/>
      <c r="H4052" s="222"/>
    </row>
    <row r="4053" spans="1:9" s="212" customFormat="1">
      <c r="A4053" s="120"/>
      <c r="B4053" s="73"/>
      <c r="C4053" s="73"/>
      <c r="D4053" s="73"/>
      <c r="E4053" s="73"/>
      <c r="G4053" s="73"/>
      <c r="H4053" s="222"/>
    </row>
    <row r="4054" spans="1:9" s="212" customFormat="1">
      <c r="A4054" s="220"/>
      <c r="B4054" s="141"/>
      <c r="C4054" s="141"/>
      <c r="D4054" s="141"/>
      <c r="E4054" s="141"/>
      <c r="F4054" s="141"/>
      <c r="G4054" s="141"/>
      <c r="H4054" s="222"/>
    </row>
    <row r="4055" spans="1:9" s="212" customFormat="1">
      <c r="A4055" s="142"/>
      <c r="B4055" s="143"/>
      <c r="C4055" s="143"/>
      <c r="D4055" s="143"/>
      <c r="E4055" s="143"/>
      <c r="F4055" s="84"/>
      <c r="G4055" s="146"/>
      <c r="H4055" s="221"/>
    </row>
    <row r="4056" spans="1:9" s="212" customFormat="1">
      <c r="A4056" s="123"/>
      <c r="B4056" s="95"/>
      <c r="C4056" s="95"/>
      <c r="D4056" s="95"/>
      <c r="E4056" s="95"/>
      <c r="G4056" s="213"/>
      <c r="H4056" s="73"/>
    </row>
    <row r="4057" spans="1:9" s="212" customFormat="1">
      <c r="A4057" s="123"/>
      <c r="B4057" s="95"/>
      <c r="C4057" s="95"/>
      <c r="D4057" s="95"/>
      <c r="E4057" s="95"/>
      <c r="G4057" s="73"/>
      <c r="H4057" s="225"/>
    </row>
    <row r="4058" spans="1:9" s="212" customFormat="1">
      <c r="B4058" s="97"/>
      <c r="C4058" s="98"/>
      <c r="D4058" s="98"/>
      <c r="E4058" s="98"/>
      <c r="G4058" s="220"/>
    </row>
    <row r="4059" spans="1:9" s="212" customFormat="1">
      <c r="B4059" s="97"/>
      <c r="C4059" s="98"/>
      <c r="D4059" s="98"/>
      <c r="E4059" s="98"/>
      <c r="F4059" s="220"/>
      <c r="G4059" s="225"/>
      <c r="H4059" s="226"/>
    </row>
    <row r="4060" spans="1:9" s="212" customFormat="1">
      <c r="A4060" s="633"/>
      <c r="B4060" s="633"/>
      <c r="C4060" s="633"/>
      <c r="D4060" s="633"/>
      <c r="E4060" s="633"/>
      <c r="F4060" s="633"/>
      <c r="G4060" s="633"/>
    </row>
    <row r="4061" spans="1:9" s="212" customFormat="1">
      <c r="H4061" s="227"/>
      <c r="I4061" s="228"/>
    </row>
    <row r="4062" spans="1:9" s="212" customFormat="1">
      <c r="A4062" s="658"/>
      <c r="B4062" s="227"/>
      <c r="C4062" s="227"/>
      <c r="D4062" s="227"/>
      <c r="E4062" s="227"/>
      <c r="F4062" s="227"/>
      <c r="G4062" s="227"/>
      <c r="H4062" s="227"/>
      <c r="I4062" s="229"/>
    </row>
    <row r="4063" spans="1:9" s="212" customFormat="1">
      <c r="A4063" s="658"/>
      <c r="B4063" s="227"/>
      <c r="C4063" s="227"/>
      <c r="D4063" s="227"/>
      <c r="E4063" s="227"/>
      <c r="F4063" s="227"/>
      <c r="G4063" s="227"/>
    </row>
    <row r="4064" spans="1:9" s="212" customFormat="1">
      <c r="A4064" s="69"/>
      <c r="B4064" s="69"/>
      <c r="C4064" s="69"/>
      <c r="D4064" s="69"/>
      <c r="E4064" s="69"/>
    </row>
    <row r="4065" spans="1:8" s="212" customFormat="1">
      <c r="A4065" s="120"/>
      <c r="B4065" s="73"/>
      <c r="C4065" s="73"/>
      <c r="D4065" s="73"/>
      <c r="E4065" s="73"/>
      <c r="F4065" s="73"/>
      <c r="G4065" s="73"/>
      <c r="H4065" s="73"/>
    </row>
    <row r="4066" spans="1:8" s="212" customFormat="1">
      <c r="A4066" s="220"/>
      <c r="B4066" s="141"/>
      <c r="C4066" s="141"/>
      <c r="D4066" s="141"/>
      <c r="E4066" s="141"/>
      <c r="F4066" s="141"/>
      <c r="G4066" s="141"/>
      <c r="H4066" s="73"/>
    </row>
    <row r="4067" spans="1:8" s="212" customFormat="1">
      <c r="A4067" s="150"/>
      <c r="B4067" s="83"/>
      <c r="C4067" s="148"/>
      <c r="D4067" s="84"/>
      <c r="E4067" s="84"/>
      <c r="F4067" s="84"/>
      <c r="G4067" s="224"/>
      <c r="H4067" s="73"/>
    </row>
    <row r="4068" spans="1:8" s="212" customFormat="1">
      <c r="A4068" s="150"/>
      <c r="B4068" s="83"/>
      <c r="C4068" s="148"/>
      <c r="D4068" s="84"/>
      <c r="E4068" s="84"/>
      <c r="F4068" s="84"/>
      <c r="G4068" s="224"/>
      <c r="H4068" s="73"/>
    </row>
    <row r="4069" spans="1:8" s="212" customFormat="1">
      <c r="A4069" s="150"/>
      <c r="B4069" s="83"/>
      <c r="C4069" s="148"/>
      <c r="D4069" s="84"/>
      <c r="E4069" s="84"/>
      <c r="F4069" s="84"/>
      <c r="G4069" s="224"/>
      <c r="H4069" s="221"/>
    </row>
    <row r="4070" spans="1:8" s="212" customFormat="1">
      <c r="A4070" s="84"/>
      <c r="B4070" s="83"/>
      <c r="C4070" s="84"/>
      <c r="D4070" s="84"/>
      <c r="E4070" s="84"/>
      <c r="G4070" s="213"/>
      <c r="H4070" s="222"/>
    </row>
    <row r="4071" spans="1:8" s="212" customFormat="1">
      <c r="A4071" s="120"/>
      <c r="B4071" s="73"/>
      <c r="C4071" s="73"/>
      <c r="D4071" s="73"/>
      <c r="E4071" s="73"/>
      <c r="G4071" s="73"/>
      <c r="H4071" s="222"/>
    </row>
    <row r="4072" spans="1:8" s="212" customFormat="1">
      <c r="A4072" s="220"/>
      <c r="B4072" s="141"/>
      <c r="C4072" s="141"/>
      <c r="D4072" s="141"/>
      <c r="E4072" s="141"/>
      <c r="F4072" s="141"/>
      <c r="G4072" s="141"/>
      <c r="H4072" s="222"/>
    </row>
    <row r="4073" spans="1:8" s="212" customFormat="1">
      <c r="A4073" s="150"/>
      <c r="B4073" s="83"/>
      <c r="C4073" s="148"/>
      <c r="D4073" s="84"/>
      <c r="E4073" s="84"/>
      <c r="F4073" s="84"/>
      <c r="G4073" s="224"/>
      <c r="H4073" s="222"/>
    </row>
    <row r="4074" spans="1:8" s="212" customFormat="1">
      <c r="A4074" s="150"/>
      <c r="B4074" s="83"/>
      <c r="C4074" s="148"/>
      <c r="D4074" s="84"/>
      <c r="E4074" s="84"/>
      <c r="F4074" s="84"/>
      <c r="G4074" s="224"/>
      <c r="H4074" s="221"/>
    </row>
    <row r="4075" spans="1:8" s="212" customFormat="1">
      <c r="A4075" s="91"/>
      <c r="B4075" s="91"/>
      <c r="C4075" s="91"/>
      <c r="D4075" s="91"/>
      <c r="E4075" s="91"/>
      <c r="G4075" s="213"/>
      <c r="H4075" s="222"/>
    </row>
    <row r="4076" spans="1:8" s="212" customFormat="1">
      <c r="A4076" s="120"/>
      <c r="B4076" s="73"/>
      <c r="C4076" s="73"/>
      <c r="D4076" s="73"/>
      <c r="E4076" s="73"/>
      <c r="G4076" s="73"/>
      <c r="H4076" s="222"/>
    </row>
    <row r="4077" spans="1:8" s="212" customFormat="1">
      <c r="A4077" s="220"/>
      <c r="B4077" s="141"/>
      <c r="C4077" s="141"/>
      <c r="D4077" s="141"/>
      <c r="E4077" s="141"/>
      <c r="F4077" s="141"/>
      <c r="G4077" s="141"/>
      <c r="H4077" s="222"/>
    </row>
    <row r="4078" spans="1:8" s="212" customFormat="1">
      <c r="A4078" s="146"/>
      <c r="B4078" s="83"/>
      <c r="C4078" s="148"/>
      <c r="D4078" s="84"/>
      <c r="E4078" s="84"/>
      <c r="F4078" s="84"/>
      <c r="G4078" s="146"/>
      <c r="H4078" s="221"/>
    </row>
    <row r="4079" spans="1:8" s="212" customFormat="1">
      <c r="A4079" s="91"/>
      <c r="B4079" s="91"/>
      <c r="C4079" s="91"/>
      <c r="D4079" s="91"/>
      <c r="E4079" s="91"/>
      <c r="G4079" s="213"/>
      <c r="H4079" s="222"/>
    </row>
    <row r="4080" spans="1:8" s="212" customFormat="1">
      <c r="A4080" s="120"/>
      <c r="B4080" s="73"/>
      <c r="C4080" s="73"/>
      <c r="D4080" s="73"/>
      <c r="E4080" s="73"/>
      <c r="G4080" s="73"/>
      <c r="H4080" s="222"/>
    </row>
    <row r="4081" spans="1:9" s="212" customFormat="1">
      <c r="A4081" s="220"/>
      <c r="B4081" s="141"/>
      <c r="C4081" s="141"/>
      <c r="D4081" s="141"/>
      <c r="E4081" s="141"/>
      <c r="F4081" s="141"/>
      <c r="G4081" s="141"/>
      <c r="H4081" s="222"/>
    </row>
    <row r="4082" spans="1:9" s="212" customFormat="1">
      <c r="A4082" s="142"/>
      <c r="B4082" s="143"/>
      <c r="C4082" s="143"/>
      <c r="D4082" s="143"/>
      <c r="E4082" s="143"/>
      <c r="F4082" s="84"/>
      <c r="G4082" s="146"/>
      <c r="H4082" s="221"/>
    </row>
    <row r="4083" spans="1:9" s="212" customFormat="1">
      <c r="A4083" s="123"/>
      <c r="B4083" s="95"/>
      <c r="C4083" s="95"/>
      <c r="D4083" s="95"/>
      <c r="E4083" s="95"/>
      <c r="G4083" s="213"/>
      <c r="H4083" s="73"/>
    </row>
    <row r="4084" spans="1:9" s="212" customFormat="1">
      <c r="A4084" s="123"/>
      <c r="B4084" s="95"/>
      <c r="C4084" s="95"/>
      <c r="D4084" s="95"/>
      <c r="E4084" s="95"/>
      <c r="G4084" s="73"/>
      <c r="H4084" s="225"/>
    </row>
    <row r="4085" spans="1:9" s="212" customFormat="1">
      <c r="B4085" s="97"/>
      <c r="C4085" s="98"/>
      <c r="D4085" s="98"/>
      <c r="E4085" s="98"/>
      <c r="G4085" s="220"/>
    </row>
    <row r="4086" spans="1:9" s="212" customFormat="1">
      <c r="B4086" s="97"/>
      <c r="C4086" s="98"/>
      <c r="D4086" s="98"/>
      <c r="E4086" s="98"/>
      <c r="F4086" s="220"/>
      <c r="G4086" s="225"/>
      <c r="H4086" s="226"/>
    </row>
    <row r="4087" spans="1:9" s="212" customFormat="1">
      <c r="A4087" s="633"/>
      <c r="B4087" s="633"/>
      <c r="C4087" s="633"/>
      <c r="D4087" s="633"/>
      <c r="E4087" s="633"/>
      <c r="F4087" s="633"/>
      <c r="G4087" s="633"/>
    </row>
    <row r="4088" spans="1:9" s="212" customFormat="1">
      <c r="H4088" s="227"/>
      <c r="I4088" s="228"/>
    </row>
    <row r="4089" spans="1:9" s="212" customFormat="1">
      <c r="A4089" s="658"/>
      <c r="B4089" s="227"/>
      <c r="C4089" s="227"/>
      <c r="D4089" s="227"/>
      <c r="E4089" s="227"/>
      <c r="F4089" s="227"/>
      <c r="G4089" s="227"/>
      <c r="H4089" s="227"/>
      <c r="I4089" s="229"/>
    </row>
    <row r="4090" spans="1:9" s="212" customFormat="1">
      <c r="A4090" s="658"/>
      <c r="B4090" s="227"/>
      <c r="C4090" s="227"/>
      <c r="D4090" s="227"/>
      <c r="E4090" s="227"/>
      <c r="F4090" s="227"/>
      <c r="G4090" s="227"/>
    </row>
    <row r="4091" spans="1:9" s="212" customFormat="1">
      <c r="A4091" s="69"/>
      <c r="B4091" s="69"/>
      <c r="C4091" s="69"/>
      <c r="D4091" s="69"/>
      <c r="E4091" s="69"/>
    </row>
    <row r="4092" spans="1:9" s="212" customFormat="1">
      <c r="A4092" s="120"/>
      <c r="B4092" s="73"/>
      <c r="C4092" s="73"/>
      <c r="D4092" s="73"/>
      <c r="E4092" s="73"/>
      <c r="F4092" s="73"/>
      <c r="G4092" s="73"/>
      <c r="H4092" s="73"/>
    </row>
    <row r="4093" spans="1:9" s="212" customFormat="1">
      <c r="A4093" s="220"/>
      <c r="B4093" s="141"/>
      <c r="C4093" s="141"/>
      <c r="D4093" s="141"/>
      <c r="E4093" s="141"/>
      <c r="F4093" s="141"/>
      <c r="G4093" s="141"/>
      <c r="H4093" s="73"/>
    </row>
    <row r="4094" spans="1:9" s="212" customFormat="1">
      <c r="A4094" s="150"/>
      <c r="B4094" s="83"/>
      <c r="C4094" s="148"/>
      <c r="D4094" s="84"/>
      <c r="E4094" s="84"/>
      <c r="F4094" s="84"/>
      <c r="G4094" s="224"/>
      <c r="H4094" s="221"/>
    </row>
    <row r="4095" spans="1:9" s="212" customFormat="1">
      <c r="A4095" s="84"/>
      <c r="B4095" s="83"/>
      <c r="C4095" s="84"/>
      <c r="D4095" s="84"/>
      <c r="E4095" s="84"/>
      <c r="G4095" s="213"/>
      <c r="H4095" s="222"/>
    </row>
    <row r="4096" spans="1:9" s="212" customFormat="1">
      <c r="A4096" s="120"/>
      <c r="B4096" s="73"/>
      <c r="C4096" s="73"/>
      <c r="D4096" s="73"/>
      <c r="E4096" s="73"/>
      <c r="G4096" s="73"/>
      <c r="H4096" s="222"/>
    </row>
    <row r="4097" spans="1:8" s="212" customFormat="1">
      <c r="A4097" s="220"/>
      <c r="B4097" s="141"/>
      <c r="C4097" s="141"/>
      <c r="D4097" s="141"/>
      <c r="E4097" s="141"/>
      <c r="F4097" s="141"/>
      <c r="G4097" s="141"/>
      <c r="H4097" s="222"/>
    </row>
    <row r="4098" spans="1:8" s="212" customFormat="1">
      <c r="A4098" s="150"/>
      <c r="B4098" s="83"/>
      <c r="C4098" s="148"/>
      <c r="D4098" s="84"/>
      <c r="E4098" s="84"/>
      <c r="F4098" s="84"/>
      <c r="G4098" s="224"/>
      <c r="H4098" s="222"/>
    </row>
    <row r="4099" spans="1:8" s="212" customFormat="1">
      <c r="A4099" s="150"/>
      <c r="B4099" s="83"/>
      <c r="C4099" s="148"/>
      <c r="D4099" s="84"/>
      <c r="E4099" s="84"/>
      <c r="F4099" s="84"/>
      <c r="G4099" s="224"/>
      <c r="H4099" s="222"/>
    </row>
    <row r="4100" spans="1:8" s="212" customFormat="1">
      <c r="A4100" s="150"/>
      <c r="B4100" s="83"/>
      <c r="C4100" s="148"/>
      <c r="D4100" s="84"/>
      <c r="E4100" s="84"/>
      <c r="F4100" s="84"/>
      <c r="G4100" s="224"/>
      <c r="H4100" s="221"/>
    </row>
    <row r="4101" spans="1:8" s="212" customFormat="1">
      <c r="A4101" s="91"/>
      <c r="B4101" s="91"/>
      <c r="C4101" s="91"/>
      <c r="D4101" s="91"/>
      <c r="E4101" s="91"/>
      <c r="G4101" s="213"/>
      <c r="H4101" s="222"/>
    </row>
    <row r="4102" spans="1:8" s="212" customFormat="1">
      <c r="A4102" s="120"/>
      <c r="B4102" s="73"/>
      <c r="C4102" s="73"/>
      <c r="D4102" s="73"/>
      <c r="E4102" s="73"/>
      <c r="G4102" s="73"/>
      <c r="H4102" s="222"/>
    </row>
    <row r="4103" spans="1:8" s="212" customFormat="1">
      <c r="A4103" s="220"/>
      <c r="B4103" s="141"/>
      <c r="C4103" s="141"/>
      <c r="D4103" s="141"/>
      <c r="E4103" s="141"/>
      <c r="F4103" s="141"/>
      <c r="G4103" s="141"/>
      <c r="H4103" s="222"/>
    </row>
    <row r="4104" spans="1:8" s="212" customFormat="1">
      <c r="A4104" s="146"/>
      <c r="B4104" s="83"/>
      <c r="C4104" s="148"/>
      <c r="D4104" s="84"/>
      <c r="E4104" s="84"/>
      <c r="F4104" s="84"/>
      <c r="G4104" s="146"/>
      <c r="H4104" s="221"/>
    </row>
    <row r="4105" spans="1:8" s="212" customFormat="1">
      <c r="A4105" s="91"/>
      <c r="B4105" s="91"/>
      <c r="C4105" s="91"/>
      <c r="D4105" s="91"/>
      <c r="E4105" s="91"/>
      <c r="G4105" s="213"/>
      <c r="H4105" s="222"/>
    </row>
    <row r="4106" spans="1:8" s="212" customFormat="1">
      <c r="A4106" s="120"/>
      <c r="B4106" s="73"/>
      <c r="C4106" s="73"/>
      <c r="D4106" s="73"/>
      <c r="E4106" s="73"/>
      <c r="G4106" s="73"/>
      <c r="H4106" s="222"/>
    </row>
    <row r="4107" spans="1:8" s="212" customFormat="1">
      <c r="A4107" s="220"/>
      <c r="B4107" s="141"/>
      <c r="C4107" s="141"/>
      <c r="D4107" s="141"/>
      <c r="E4107" s="141"/>
      <c r="F4107" s="141"/>
      <c r="G4107" s="141"/>
      <c r="H4107" s="222"/>
    </row>
    <row r="4108" spans="1:8" s="212" customFormat="1">
      <c r="A4108" s="142"/>
      <c r="B4108" s="143"/>
      <c r="C4108" s="143"/>
      <c r="D4108" s="143"/>
      <c r="E4108" s="143"/>
      <c r="F4108" s="84"/>
      <c r="G4108" s="146"/>
      <c r="H4108" s="221"/>
    </row>
    <row r="4109" spans="1:8" s="212" customFormat="1">
      <c r="A4109" s="123"/>
      <c r="B4109" s="95"/>
      <c r="C4109" s="95"/>
      <c r="D4109" s="95"/>
      <c r="E4109" s="95"/>
      <c r="G4109" s="213"/>
      <c r="H4109" s="73"/>
    </row>
    <row r="4110" spans="1:8" s="212" customFormat="1">
      <c r="A4110" s="123"/>
      <c r="B4110" s="95"/>
      <c r="C4110" s="95"/>
      <c r="D4110" s="95"/>
      <c r="E4110" s="95"/>
      <c r="G4110" s="73"/>
      <c r="H4110" s="225"/>
    </row>
    <row r="4111" spans="1:8" s="212" customFormat="1">
      <c r="B4111" s="97"/>
      <c r="C4111" s="98"/>
      <c r="D4111" s="98"/>
      <c r="E4111" s="98"/>
      <c r="G4111" s="220"/>
    </row>
    <row r="4112" spans="1:8" s="212" customFormat="1">
      <c r="B4112" s="97"/>
      <c r="C4112" s="98"/>
      <c r="D4112" s="98"/>
      <c r="E4112" s="98"/>
      <c r="F4112" s="220"/>
      <c r="G4112" s="225"/>
      <c r="H4112" s="226"/>
    </row>
    <row r="4113" spans="1:9" s="212" customFormat="1">
      <c r="A4113" s="633"/>
      <c r="B4113" s="633"/>
      <c r="C4113" s="633"/>
      <c r="D4113" s="633"/>
      <c r="E4113" s="633"/>
      <c r="F4113" s="633"/>
      <c r="G4113" s="633"/>
    </row>
    <row r="4114" spans="1:9" s="212" customFormat="1">
      <c r="H4114" s="227"/>
      <c r="I4114" s="228"/>
    </row>
    <row r="4115" spans="1:9" s="212" customFormat="1">
      <c r="A4115" s="658"/>
      <c r="B4115" s="227"/>
      <c r="C4115" s="227"/>
      <c r="D4115" s="227"/>
      <c r="E4115" s="227"/>
      <c r="F4115" s="227"/>
      <c r="G4115" s="227"/>
      <c r="H4115" s="227"/>
      <c r="I4115" s="229"/>
    </row>
    <row r="4116" spans="1:9" s="212" customFormat="1">
      <c r="A4116" s="658"/>
      <c r="B4116" s="227"/>
      <c r="C4116" s="227"/>
      <c r="D4116" s="227"/>
      <c r="E4116" s="227"/>
      <c r="F4116" s="227"/>
      <c r="G4116" s="227"/>
    </row>
    <row r="4117" spans="1:9" s="212" customFormat="1">
      <c r="A4117" s="69"/>
      <c r="B4117" s="69"/>
      <c r="C4117" s="69"/>
      <c r="D4117" s="69"/>
      <c r="E4117" s="69"/>
    </row>
    <row r="4118" spans="1:9" s="212" customFormat="1">
      <c r="A4118" s="120"/>
      <c r="B4118" s="73"/>
      <c r="C4118" s="73"/>
      <c r="D4118" s="73"/>
      <c r="E4118" s="73"/>
      <c r="F4118" s="73"/>
      <c r="G4118" s="73"/>
      <c r="H4118" s="73"/>
    </row>
    <row r="4119" spans="1:9" s="212" customFormat="1">
      <c r="A4119" s="220"/>
      <c r="B4119" s="141"/>
      <c r="C4119" s="141"/>
      <c r="D4119" s="141"/>
      <c r="E4119" s="141"/>
      <c r="F4119" s="141"/>
      <c r="G4119" s="141"/>
      <c r="H4119" s="73"/>
    </row>
    <row r="4120" spans="1:9" s="212" customFormat="1">
      <c r="A4120" s="150"/>
      <c r="B4120" s="83"/>
      <c r="C4120" s="148"/>
      <c r="D4120" s="84"/>
      <c r="E4120" s="84"/>
      <c r="F4120" s="84"/>
      <c r="G4120" s="224"/>
      <c r="H4120" s="73"/>
    </row>
    <row r="4121" spans="1:9" s="212" customFormat="1">
      <c r="A4121" s="150"/>
      <c r="B4121" s="83"/>
      <c r="C4121" s="148"/>
      <c r="D4121" s="84"/>
      <c r="E4121" s="84"/>
      <c r="F4121" s="84"/>
      <c r="G4121" s="224"/>
      <c r="H4121" s="221"/>
    </row>
    <row r="4122" spans="1:9" s="212" customFormat="1">
      <c r="A4122" s="84"/>
      <c r="B4122" s="83"/>
      <c r="C4122" s="84"/>
      <c r="D4122" s="84"/>
      <c r="E4122" s="84"/>
      <c r="G4122" s="213"/>
      <c r="H4122" s="222"/>
    </row>
    <row r="4123" spans="1:9" s="212" customFormat="1">
      <c r="A4123" s="120"/>
      <c r="B4123" s="73"/>
      <c r="C4123" s="73"/>
      <c r="D4123" s="73"/>
      <c r="E4123" s="73"/>
      <c r="G4123" s="73"/>
      <c r="H4123" s="222"/>
    </row>
    <row r="4124" spans="1:9" s="212" customFormat="1">
      <c r="A4124" s="220"/>
      <c r="B4124" s="141"/>
      <c r="C4124" s="141"/>
      <c r="D4124" s="141"/>
      <c r="E4124" s="141"/>
      <c r="F4124" s="141"/>
      <c r="G4124" s="141"/>
      <c r="H4124" s="222"/>
    </row>
    <row r="4125" spans="1:9" s="212" customFormat="1">
      <c r="A4125" s="150"/>
      <c r="B4125" s="83"/>
      <c r="C4125" s="148"/>
      <c r="D4125" s="84"/>
      <c r="E4125" s="84"/>
      <c r="F4125" s="84"/>
      <c r="G4125" s="224"/>
      <c r="H4125" s="222"/>
    </row>
    <row r="4126" spans="1:9" s="212" customFormat="1">
      <c r="A4126" s="150"/>
      <c r="B4126" s="83"/>
      <c r="C4126" s="148"/>
      <c r="D4126" s="84"/>
      <c r="E4126" s="84"/>
      <c r="F4126" s="84"/>
      <c r="G4126" s="224"/>
      <c r="H4126" s="221"/>
    </row>
    <row r="4127" spans="1:9" s="212" customFormat="1">
      <c r="A4127" s="91"/>
      <c r="B4127" s="91"/>
      <c r="C4127" s="91"/>
      <c r="D4127" s="91"/>
      <c r="E4127" s="91"/>
      <c r="G4127" s="213"/>
      <c r="H4127" s="222"/>
    </row>
    <row r="4128" spans="1:9" s="212" customFormat="1">
      <c r="A4128" s="120"/>
      <c r="B4128" s="73"/>
      <c r="C4128" s="73"/>
      <c r="D4128" s="73"/>
      <c r="E4128" s="73"/>
      <c r="G4128" s="73"/>
      <c r="H4128" s="222"/>
    </row>
    <row r="4129" spans="1:9" s="212" customFormat="1">
      <c r="A4129" s="220"/>
      <c r="B4129" s="141"/>
      <c r="C4129" s="141"/>
      <c r="D4129" s="141"/>
      <c r="E4129" s="141"/>
      <c r="F4129" s="141"/>
      <c r="G4129" s="141"/>
      <c r="H4129" s="222"/>
    </row>
    <row r="4130" spans="1:9" s="212" customFormat="1">
      <c r="A4130" s="146"/>
      <c r="B4130" s="83"/>
      <c r="C4130" s="148"/>
      <c r="D4130" s="84"/>
      <c r="E4130" s="84"/>
      <c r="F4130" s="84"/>
      <c r="G4130" s="146"/>
      <c r="H4130" s="221"/>
    </row>
    <row r="4131" spans="1:9" s="212" customFormat="1">
      <c r="A4131" s="91"/>
      <c r="B4131" s="91"/>
      <c r="C4131" s="91"/>
      <c r="D4131" s="91"/>
      <c r="E4131" s="91"/>
      <c r="G4131" s="213"/>
      <c r="H4131" s="222"/>
    </row>
    <row r="4132" spans="1:9" s="212" customFormat="1">
      <c r="A4132" s="120"/>
      <c r="B4132" s="73"/>
      <c r="C4132" s="73"/>
      <c r="D4132" s="73"/>
      <c r="E4132" s="73"/>
      <c r="G4132" s="73"/>
      <c r="H4132" s="222"/>
    </row>
    <row r="4133" spans="1:9" s="212" customFormat="1">
      <c r="A4133" s="220"/>
      <c r="B4133" s="141"/>
      <c r="C4133" s="141"/>
      <c r="D4133" s="141"/>
      <c r="E4133" s="141"/>
      <c r="F4133" s="141"/>
      <c r="G4133" s="141"/>
      <c r="H4133" s="222"/>
    </row>
    <row r="4134" spans="1:9" s="212" customFormat="1">
      <c r="A4134" s="142"/>
      <c r="B4134" s="143"/>
      <c r="C4134" s="143"/>
      <c r="D4134" s="143"/>
      <c r="E4134" s="143"/>
      <c r="F4134" s="84"/>
      <c r="G4134" s="146"/>
      <c r="H4134" s="221"/>
    </row>
    <row r="4135" spans="1:9" s="212" customFormat="1">
      <c r="A4135" s="123"/>
      <c r="B4135" s="95"/>
      <c r="C4135" s="95"/>
      <c r="D4135" s="95"/>
      <c r="E4135" s="95"/>
      <c r="G4135" s="213"/>
      <c r="H4135" s="73"/>
    </row>
    <row r="4136" spans="1:9" s="212" customFormat="1">
      <c r="A4136" s="123"/>
      <c r="B4136" s="95"/>
      <c r="C4136" s="95"/>
      <c r="D4136" s="95"/>
      <c r="E4136" s="95"/>
      <c r="G4136" s="73"/>
      <c r="H4136" s="225"/>
    </row>
    <row r="4137" spans="1:9" s="212" customFormat="1">
      <c r="B4137" s="97"/>
      <c r="C4137" s="98"/>
      <c r="D4137" s="98"/>
      <c r="E4137" s="98"/>
      <c r="G4137" s="220"/>
    </row>
    <row r="4138" spans="1:9" s="212" customFormat="1">
      <c r="B4138" s="97"/>
      <c r="C4138" s="98"/>
      <c r="D4138" s="98"/>
      <c r="E4138" s="98"/>
      <c r="F4138" s="220"/>
      <c r="G4138" s="225"/>
      <c r="H4138" s="226"/>
    </row>
    <row r="4139" spans="1:9" s="212" customFormat="1">
      <c r="A4139" s="633"/>
      <c r="B4139" s="633"/>
      <c r="C4139" s="633"/>
      <c r="D4139" s="633"/>
      <c r="E4139" s="633"/>
      <c r="F4139" s="633"/>
      <c r="G4139" s="633"/>
    </row>
    <row r="4140" spans="1:9" s="212" customFormat="1">
      <c r="H4140" s="227"/>
      <c r="I4140" s="228"/>
    </row>
    <row r="4141" spans="1:9" s="212" customFormat="1">
      <c r="A4141" s="658"/>
      <c r="B4141" s="227"/>
      <c r="C4141" s="227"/>
      <c r="D4141" s="227"/>
      <c r="E4141" s="227"/>
      <c r="F4141" s="227"/>
      <c r="G4141" s="227"/>
      <c r="H4141" s="227"/>
      <c r="I4141" s="229"/>
    </row>
    <row r="4142" spans="1:9" s="212" customFormat="1">
      <c r="A4142" s="658"/>
      <c r="B4142" s="227"/>
      <c r="C4142" s="227"/>
      <c r="D4142" s="227"/>
      <c r="E4142" s="227"/>
      <c r="F4142" s="227"/>
      <c r="G4142" s="227"/>
    </row>
    <row r="4143" spans="1:9" s="212" customFormat="1">
      <c r="A4143" s="69"/>
      <c r="B4143" s="69"/>
      <c r="C4143" s="69"/>
      <c r="D4143" s="69"/>
      <c r="E4143" s="69"/>
    </row>
    <row r="4144" spans="1:9" s="212" customFormat="1">
      <c r="A4144" s="120"/>
      <c r="B4144" s="73"/>
      <c r="C4144" s="73"/>
      <c r="D4144" s="73"/>
      <c r="E4144" s="73"/>
      <c r="F4144" s="73"/>
      <c r="G4144" s="73"/>
      <c r="H4144" s="73"/>
    </row>
    <row r="4145" spans="1:8" s="212" customFormat="1">
      <c r="A4145" s="220"/>
      <c r="B4145" s="141"/>
      <c r="C4145" s="141"/>
      <c r="D4145" s="141"/>
      <c r="E4145" s="141"/>
      <c r="F4145" s="141"/>
      <c r="G4145" s="141"/>
      <c r="H4145" s="73"/>
    </row>
    <row r="4146" spans="1:8" s="212" customFormat="1">
      <c r="A4146" s="150"/>
      <c r="B4146" s="83"/>
      <c r="C4146" s="148"/>
      <c r="D4146" s="84"/>
      <c r="E4146" s="84"/>
      <c r="F4146" s="84"/>
      <c r="G4146" s="224"/>
      <c r="H4146" s="73"/>
    </row>
    <row r="4147" spans="1:8" s="212" customFormat="1">
      <c r="A4147" s="150"/>
      <c r="B4147" s="83"/>
      <c r="C4147" s="148"/>
      <c r="D4147" s="84"/>
      <c r="E4147" s="84"/>
      <c r="F4147" s="84"/>
      <c r="G4147" s="224"/>
      <c r="H4147" s="221"/>
    </row>
    <row r="4148" spans="1:8" s="212" customFormat="1">
      <c r="A4148" s="84"/>
      <c r="B4148" s="83"/>
      <c r="C4148" s="84"/>
      <c r="D4148" s="84"/>
      <c r="E4148" s="84"/>
      <c r="G4148" s="213"/>
      <c r="H4148" s="222"/>
    </row>
    <row r="4149" spans="1:8" s="212" customFormat="1">
      <c r="A4149" s="120"/>
      <c r="B4149" s="73"/>
      <c r="C4149" s="73"/>
      <c r="D4149" s="73"/>
      <c r="E4149" s="73"/>
      <c r="G4149" s="73"/>
      <c r="H4149" s="222"/>
    </row>
    <row r="4150" spans="1:8" s="212" customFormat="1">
      <c r="A4150" s="220"/>
      <c r="B4150" s="141"/>
      <c r="C4150" s="141"/>
      <c r="D4150" s="141"/>
      <c r="E4150" s="141"/>
      <c r="F4150" s="141"/>
      <c r="G4150" s="141"/>
      <c r="H4150" s="222"/>
    </row>
    <row r="4151" spans="1:8" s="212" customFormat="1">
      <c r="A4151" s="150"/>
      <c r="B4151" s="83"/>
      <c r="C4151" s="148"/>
      <c r="D4151" s="84"/>
      <c r="E4151" s="84"/>
      <c r="F4151" s="84"/>
      <c r="G4151" s="224"/>
      <c r="H4151" s="221"/>
    </row>
    <row r="4152" spans="1:8" s="212" customFormat="1">
      <c r="A4152" s="91"/>
      <c r="B4152" s="91"/>
      <c r="C4152" s="91"/>
      <c r="D4152" s="91"/>
      <c r="E4152" s="91"/>
      <c r="G4152" s="213"/>
      <c r="H4152" s="222"/>
    </row>
    <row r="4153" spans="1:8" s="212" customFormat="1">
      <c r="A4153" s="120"/>
      <c r="B4153" s="73"/>
      <c r="C4153" s="73"/>
      <c r="D4153" s="73"/>
      <c r="E4153" s="73"/>
      <c r="G4153" s="73"/>
      <c r="H4153" s="222"/>
    </row>
    <row r="4154" spans="1:8" s="212" customFormat="1">
      <c r="A4154" s="220"/>
      <c r="B4154" s="141"/>
      <c r="C4154" s="141"/>
      <c r="D4154" s="141"/>
      <c r="E4154" s="141"/>
      <c r="F4154" s="141"/>
      <c r="G4154" s="141"/>
      <c r="H4154" s="222"/>
    </row>
    <row r="4155" spans="1:8" s="212" customFormat="1">
      <c r="A4155" s="146"/>
      <c r="B4155" s="83"/>
      <c r="C4155" s="148"/>
      <c r="D4155" s="84"/>
      <c r="E4155" s="84"/>
      <c r="F4155" s="84"/>
      <c r="G4155" s="146"/>
      <c r="H4155" s="221"/>
    </row>
    <row r="4156" spans="1:8" s="212" customFormat="1">
      <c r="A4156" s="91"/>
      <c r="B4156" s="91"/>
      <c r="C4156" s="91"/>
      <c r="D4156" s="91"/>
      <c r="E4156" s="91"/>
      <c r="G4156" s="213"/>
      <c r="H4156" s="222"/>
    </row>
    <row r="4157" spans="1:8" s="212" customFormat="1">
      <c r="A4157" s="120"/>
      <c r="B4157" s="73"/>
      <c r="C4157" s="73"/>
      <c r="D4157" s="73"/>
      <c r="E4157" s="73"/>
      <c r="G4157" s="73"/>
      <c r="H4157" s="222"/>
    </row>
    <row r="4158" spans="1:8" s="212" customFormat="1">
      <c r="A4158" s="220"/>
      <c r="B4158" s="141"/>
      <c r="C4158" s="141"/>
      <c r="D4158" s="141"/>
      <c r="E4158" s="141"/>
      <c r="F4158" s="141"/>
      <c r="G4158" s="141"/>
      <c r="H4158" s="222"/>
    </row>
    <row r="4159" spans="1:8" s="212" customFormat="1">
      <c r="A4159" s="142"/>
      <c r="B4159" s="143"/>
      <c r="C4159" s="143"/>
      <c r="D4159" s="143"/>
      <c r="E4159" s="143"/>
      <c r="F4159" s="84"/>
      <c r="G4159" s="146"/>
      <c r="H4159" s="221"/>
    </row>
    <row r="4160" spans="1:8" s="212" customFormat="1">
      <c r="A4160" s="123"/>
      <c r="B4160" s="95"/>
      <c r="C4160" s="95"/>
      <c r="D4160" s="95"/>
      <c r="E4160" s="95"/>
      <c r="G4160" s="213"/>
      <c r="H4160" s="73"/>
    </row>
    <row r="4161" spans="1:9" s="212" customFormat="1">
      <c r="A4161" s="123"/>
      <c r="B4161" s="95"/>
      <c r="C4161" s="95"/>
      <c r="D4161" s="95"/>
      <c r="E4161" s="95"/>
      <c r="G4161" s="73"/>
      <c r="H4161" s="225"/>
    </row>
    <row r="4162" spans="1:9" s="212" customFormat="1">
      <c r="B4162" s="97"/>
      <c r="C4162" s="98"/>
      <c r="D4162" s="98"/>
      <c r="E4162" s="98"/>
      <c r="G4162" s="220"/>
    </row>
    <row r="4163" spans="1:9" s="212" customFormat="1">
      <c r="B4163" s="97"/>
      <c r="C4163" s="98"/>
      <c r="D4163" s="98"/>
      <c r="E4163" s="98"/>
      <c r="F4163" s="220"/>
      <c r="G4163" s="225"/>
      <c r="H4163" s="226"/>
    </row>
    <row r="4164" spans="1:9" s="212" customFormat="1">
      <c r="A4164" s="633"/>
      <c r="B4164" s="633"/>
      <c r="C4164" s="633"/>
      <c r="D4164" s="633"/>
      <c r="E4164" s="633"/>
      <c r="F4164" s="633"/>
      <c r="G4164" s="633"/>
    </row>
    <row r="4165" spans="1:9" s="212" customFormat="1">
      <c r="H4165" s="227"/>
      <c r="I4165" s="228"/>
    </row>
    <row r="4166" spans="1:9" s="212" customFormat="1">
      <c r="A4166" s="658"/>
      <c r="B4166" s="227"/>
      <c r="C4166" s="227"/>
      <c r="D4166" s="227"/>
      <c r="E4166" s="227"/>
      <c r="F4166" s="227"/>
      <c r="G4166" s="227"/>
      <c r="H4166" s="227"/>
      <c r="I4166" s="229"/>
    </row>
    <row r="4167" spans="1:9" s="212" customFormat="1">
      <c r="A4167" s="658"/>
      <c r="B4167" s="227"/>
      <c r="C4167" s="227"/>
      <c r="D4167" s="227"/>
      <c r="E4167" s="227"/>
      <c r="F4167" s="227"/>
      <c r="G4167" s="227"/>
    </row>
    <row r="4168" spans="1:9" s="212" customFormat="1">
      <c r="A4168" s="69"/>
      <c r="B4168" s="69"/>
      <c r="C4168" s="69"/>
      <c r="D4168" s="69"/>
      <c r="E4168" s="69"/>
    </row>
    <row r="4169" spans="1:9" s="212" customFormat="1">
      <c r="A4169" s="120"/>
      <c r="B4169" s="73"/>
      <c r="C4169" s="73"/>
      <c r="D4169" s="73"/>
      <c r="E4169" s="73"/>
      <c r="F4169" s="73"/>
      <c r="G4169" s="73"/>
      <c r="H4169" s="73"/>
    </row>
    <row r="4170" spans="1:9" s="212" customFormat="1">
      <c r="A4170" s="220"/>
      <c r="B4170" s="141"/>
      <c r="C4170" s="141"/>
      <c r="D4170" s="141"/>
      <c r="E4170" s="141"/>
      <c r="F4170" s="141"/>
      <c r="G4170" s="141"/>
      <c r="H4170" s="73"/>
    </row>
    <row r="4171" spans="1:9" s="212" customFormat="1">
      <c r="A4171" s="150"/>
      <c r="B4171" s="83"/>
      <c r="C4171" s="148"/>
      <c r="D4171" s="84"/>
      <c r="E4171" s="84"/>
      <c r="F4171" s="84"/>
      <c r="G4171" s="224"/>
      <c r="H4171" s="73"/>
    </row>
    <row r="4172" spans="1:9" s="212" customFormat="1">
      <c r="A4172" s="150"/>
      <c r="B4172" s="83"/>
      <c r="C4172" s="148"/>
      <c r="D4172" s="84"/>
      <c r="E4172" s="84"/>
      <c r="F4172" s="84"/>
      <c r="G4172" s="224"/>
      <c r="H4172" s="221"/>
    </row>
    <row r="4173" spans="1:9" s="212" customFormat="1">
      <c r="A4173" s="84"/>
      <c r="B4173" s="83"/>
      <c r="C4173" s="84"/>
      <c r="D4173" s="84"/>
      <c r="E4173" s="84"/>
      <c r="G4173" s="213"/>
      <c r="H4173" s="222"/>
    </row>
    <row r="4174" spans="1:9" s="212" customFormat="1">
      <c r="A4174" s="120"/>
      <c r="B4174" s="73"/>
      <c r="C4174" s="73"/>
      <c r="D4174" s="73"/>
      <c r="E4174" s="73"/>
      <c r="G4174" s="73"/>
      <c r="H4174" s="222"/>
    </row>
    <row r="4175" spans="1:9" s="212" customFormat="1">
      <c r="A4175" s="220"/>
      <c r="B4175" s="141"/>
      <c r="C4175" s="141"/>
      <c r="D4175" s="141"/>
      <c r="E4175" s="141"/>
      <c r="F4175" s="141"/>
      <c r="G4175" s="141"/>
      <c r="H4175" s="222"/>
    </row>
    <row r="4176" spans="1:9" s="212" customFormat="1">
      <c r="A4176" s="150"/>
      <c r="B4176" s="83"/>
      <c r="C4176" s="148"/>
      <c r="D4176" s="84"/>
      <c r="E4176" s="84"/>
      <c r="F4176" s="84"/>
      <c r="G4176" s="224"/>
      <c r="H4176" s="222"/>
    </row>
    <row r="4177" spans="1:9" s="212" customFormat="1">
      <c r="A4177" s="150"/>
      <c r="B4177" s="83"/>
      <c r="C4177" s="148"/>
      <c r="D4177" s="84"/>
      <c r="E4177" s="84"/>
      <c r="F4177" s="84"/>
      <c r="G4177" s="224"/>
      <c r="H4177" s="221"/>
    </row>
    <row r="4178" spans="1:9" s="212" customFormat="1">
      <c r="A4178" s="91"/>
      <c r="B4178" s="91"/>
      <c r="C4178" s="91"/>
      <c r="D4178" s="91"/>
      <c r="E4178" s="91"/>
      <c r="G4178" s="213"/>
      <c r="H4178" s="222"/>
    </row>
    <row r="4179" spans="1:9" s="212" customFormat="1">
      <c r="A4179" s="120"/>
      <c r="B4179" s="73"/>
      <c r="C4179" s="73"/>
      <c r="D4179" s="73"/>
      <c r="E4179" s="73"/>
      <c r="G4179" s="73"/>
      <c r="H4179" s="222"/>
    </row>
    <row r="4180" spans="1:9" s="212" customFormat="1">
      <c r="A4180" s="220"/>
      <c r="B4180" s="141"/>
      <c r="C4180" s="141"/>
      <c r="D4180" s="141"/>
      <c r="E4180" s="141"/>
      <c r="F4180" s="141"/>
      <c r="G4180" s="141"/>
      <c r="H4180" s="222"/>
    </row>
    <row r="4181" spans="1:9" s="212" customFormat="1">
      <c r="A4181" s="146"/>
      <c r="B4181" s="83"/>
      <c r="C4181" s="148"/>
      <c r="D4181" s="84"/>
      <c r="E4181" s="84"/>
      <c r="F4181" s="84"/>
      <c r="G4181" s="146"/>
      <c r="H4181" s="221"/>
    </row>
    <row r="4182" spans="1:9" s="212" customFormat="1">
      <c r="A4182" s="91"/>
      <c r="B4182" s="91"/>
      <c r="C4182" s="91"/>
      <c r="D4182" s="91"/>
      <c r="E4182" s="91"/>
      <c r="G4182" s="213"/>
      <c r="H4182" s="222"/>
    </row>
    <row r="4183" spans="1:9" s="212" customFormat="1">
      <c r="A4183" s="120"/>
      <c r="B4183" s="73"/>
      <c r="C4183" s="73"/>
      <c r="D4183" s="73"/>
      <c r="E4183" s="73"/>
      <c r="G4183" s="73"/>
      <c r="H4183" s="222"/>
    </row>
    <row r="4184" spans="1:9" s="212" customFormat="1">
      <c r="A4184" s="220"/>
      <c r="B4184" s="141"/>
      <c r="C4184" s="141"/>
      <c r="D4184" s="141"/>
      <c r="E4184" s="141"/>
      <c r="F4184" s="141"/>
      <c r="G4184" s="141"/>
      <c r="H4184" s="222"/>
    </row>
    <row r="4185" spans="1:9" s="212" customFormat="1">
      <c r="A4185" s="142"/>
      <c r="B4185" s="143"/>
      <c r="C4185" s="143"/>
      <c r="D4185" s="143"/>
      <c r="E4185" s="143"/>
      <c r="F4185" s="84"/>
      <c r="G4185" s="146"/>
      <c r="H4185" s="221"/>
    </row>
    <row r="4186" spans="1:9" s="212" customFormat="1">
      <c r="A4186" s="123"/>
      <c r="B4186" s="95"/>
      <c r="C4186" s="95"/>
      <c r="D4186" s="95"/>
      <c r="E4186" s="95"/>
      <c r="G4186" s="213"/>
      <c r="H4186" s="73"/>
    </row>
    <row r="4187" spans="1:9" s="212" customFormat="1">
      <c r="A4187" s="123"/>
      <c r="B4187" s="95"/>
      <c r="C4187" s="95"/>
      <c r="D4187" s="95"/>
      <c r="E4187" s="95"/>
      <c r="G4187" s="73"/>
      <c r="H4187" s="225"/>
    </row>
    <row r="4188" spans="1:9" s="212" customFormat="1">
      <c r="B4188" s="97"/>
      <c r="C4188" s="98"/>
      <c r="D4188" s="98"/>
      <c r="E4188" s="98"/>
      <c r="G4188" s="220"/>
    </row>
    <row r="4189" spans="1:9" s="212" customFormat="1">
      <c r="B4189" s="97"/>
      <c r="C4189" s="98"/>
      <c r="D4189" s="98"/>
      <c r="E4189" s="98"/>
      <c r="F4189" s="220"/>
      <c r="G4189" s="225"/>
      <c r="H4189" s="226"/>
    </row>
    <row r="4190" spans="1:9" s="212" customFormat="1">
      <c r="A4190" s="633"/>
      <c r="B4190" s="633"/>
      <c r="C4190" s="633"/>
      <c r="D4190" s="633"/>
      <c r="E4190" s="633"/>
      <c r="F4190" s="633"/>
      <c r="G4190" s="633"/>
    </row>
    <row r="4191" spans="1:9" s="212" customFormat="1">
      <c r="H4191" s="227"/>
      <c r="I4191" s="228"/>
    </row>
    <row r="4192" spans="1:9" s="212" customFormat="1">
      <c r="A4192" s="658"/>
      <c r="B4192" s="227"/>
      <c r="C4192" s="227"/>
      <c r="D4192" s="227"/>
      <c r="E4192" s="227"/>
      <c r="F4192" s="227"/>
      <c r="G4192" s="227"/>
      <c r="H4192" s="227"/>
      <c r="I4192" s="229"/>
    </row>
    <row r="4193" spans="1:8" s="212" customFormat="1">
      <c r="A4193" s="658"/>
      <c r="B4193" s="227"/>
      <c r="C4193" s="227"/>
      <c r="D4193" s="227"/>
      <c r="E4193" s="227"/>
      <c r="F4193" s="227"/>
      <c r="G4193" s="227"/>
    </row>
    <row r="4194" spans="1:8" s="212" customFormat="1">
      <c r="A4194" s="69"/>
      <c r="B4194" s="69"/>
      <c r="C4194" s="69"/>
      <c r="D4194" s="69"/>
      <c r="E4194" s="69"/>
    </row>
    <row r="4195" spans="1:8" s="212" customFormat="1">
      <c r="A4195" s="120"/>
      <c r="B4195" s="73"/>
      <c r="C4195" s="73"/>
      <c r="D4195" s="73"/>
      <c r="E4195" s="73"/>
      <c r="F4195" s="73"/>
      <c r="G4195" s="73"/>
      <c r="H4195" s="73"/>
    </row>
    <row r="4196" spans="1:8" s="212" customFormat="1">
      <c r="A4196" s="220"/>
      <c r="B4196" s="141"/>
      <c r="C4196" s="141"/>
      <c r="D4196" s="141"/>
      <c r="E4196" s="141"/>
      <c r="F4196" s="141"/>
      <c r="G4196" s="141"/>
      <c r="H4196" s="73"/>
    </row>
    <row r="4197" spans="1:8" s="212" customFormat="1">
      <c r="A4197" s="150"/>
      <c r="B4197" s="83"/>
      <c r="C4197" s="148"/>
      <c r="D4197" s="84"/>
      <c r="E4197" s="84"/>
      <c r="F4197" s="84"/>
      <c r="G4197" s="224"/>
      <c r="H4197" s="221"/>
    </row>
    <row r="4198" spans="1:8" s="212" customFormat="1">
      <c r="A4198" s="84"/>
      <c r="B4198" s="83"/>
      <c r="C4198" s="84"/>
      <c r="D4198" s="84"/>
      <c r="E4198" s="84"/>
      <c r="G4198" s="213"/>
      <c r="H4198" s="222"/>
    </row>
    <row r="4199" spans="1:8" s="212" customFormat="1">
      <c r="A4199" s="120"/>
      <c r="B4199" s="73"/>
      <c r="C4199" s="73"/>
      <c r="D4199" s="73"/>
      <c r="E4199" s="73"/>
      <c r="G4199" s="73"/>
      <c r="H4199" s="222"/>
    </row>
    <row r="4200" spans="1:8" s="212" customFormat="1">
      <c r="A4200" s="220"/>
      <c r="B4200" s="141"/>
      <c r="C4200" s="141"/>
      <c r="D4200" s="141"/>
      <c r="E4200" s="141"/>
      <c r="F4200" s="141"/>
      <c r="G4200" s="141"/>
      <c r="H4200" s="222"/>
    </row>
    <row r="4201" spans="1:8" s="212" customFormat="1">
      <c r="A4201" s="150"/>
      <c r="B4201" s="83"/>
      <c r="C4201" s="148"/>
      <c r="D4201" s="84"/>
      <c r="E4201" s="84"/>
      <c r="F4201" s="84"/>
      <c r="G4201" s="224"/>
      <c r="H4201" s="222"/>
    </row>
    <row r="4202" spans="1:8" s="212" customFormat="1">
      <c r="A4202" s="150"/>
      <c r="B4202" s="83"/>
      <c r="C4202" s="148"/>
      <c r="D4202" s="84"/>
      <c r="E4202" s="84"/>
      <c r="F4202" s="84"/>
      <c r="G4202" s="224"/>
      <c r="H4202" s="222"/>
    </row>
    <row r="4203" spans="1:8" s="212" customFormat="1">
      <c r="A4203" s="150"/>
      <c r="B4203" s="83"/>
      <c r="C4203" s="148"/>
      <c r="D4203" s="84"/>
      <c r="E4203" s="84"/>
      <c r="F4203" s="84"/>
      <c r="G4203" s="224"/>
      <c r="H4203" s="222"/>
    </row>
    <row r="4204" spans="1:8" s="212" customFormat="1">
      <c r="A4204" s="150"/>
      <c r="B4204" s="83"/>
      <c r="C4204" s="148"/>
      <c r="D4204" s="84"/>
      <c r="E4204" s="84"/>
      <c r="F4204" s="84"/>
      <c r="G4204" s="224"/>
      <c r="H4204" s="222"/>
    </row>
    <row r="4205" spans="1:8" s="212" customFormat="1">
      <c r="A4205" s="150"/>
      <c r="B4205" s="83"/>
      <c r="C4205" s="148"/>
      <c r="D4205" s="84"/>
      <c r="E4205" s="84"/>
      <c r="F4205" s="84"/>
      <c r="G4205" s="224"/>
      <c r="H4205" s="221"/>
    </row>
    <row r="4206" spans="1:8" s="212" customFormat="1">
      <c r="A4206" s="91"/>
      <c r="B4206" s="91"/>
      <c r="C4206" s="91"/>
      <c r="D4206" s="91"/>
      <c r="E4206" s="91"/>
      <c r="G4206" s="213"/>
      <c r="H4206" s="222"/>
    </row>
    <row r="4207" spans="1:8" s="212" customFormat="1">
      <c r="A4207" s="120"/>
      <c r="B4207" s="73"/>
      <c r="C4207" s="73"/>
      <c r="D4207" s="73"/>
      <c r="E4207" s="73"/>
      <c r="G4207" s="73"/>
      <c r="H4207" s="222"/>
    </row>
    <row r="4208" spans="1:8" s="212" customFormat="1">
      <c r="A4208" s="220"/>
      <c r="B4208" s="141"/>
      <c r="C4208" s="141"/>
      <c r="D4208" s="141"/>
      <c r="E4208" s="141"/>
      <c r="F4208" s="141"/>
      <c r="G4208" s="141"/>
      <c r="H4208" s="222"/>
    </row>
    <row r="4209" spans="1:9" s="212" customFormat="1">
      <c r="A4209" s="146"/>
      <c r="B4209" s="83"/>
      <c r="C4209" s="148"/>
      <c r="D4209" s="84"/>
      <c r="E4209" s="84"/>
      <c r="F4209" s="84"/>
      <c r="G4209" s="146"/>
      <c r="H4209" s="221"/>
    </row>
    <row r="4210" spans="1:9" s="212" customFormat="1">
      <c r="A4210" s="91"/>
      <c r="B4210" s="91"/>
      <c r="C4210" s="91"/>
      <c r="D4210" s="91"/>
      <c r="E4210" s="91"/>
      <c r="G4210" s="213"/>
      <c r="H4210" s="222"/>
    </row>
    <row r="4211" spans="1:9" s="212" customFormat="1">
      <c r="A4211" s="120"/>
      <c r="B4211" s="73"/>
      <c r="C4211" s="73"/>
      <c r="D4211" s="73"/>
      <c r="E4211" s="73"/>
      <c r="G4211" s="73"/>
      <c r="H4211" s="222"/>
    </row>
    <row r="4212" spans="1:9" s="212" customFormat="1">
      <c r="A4212" s="220"/>
      <c r="B4212" s="141"/>
      <c r="C4212" s="141"/>
      <c r="D4212" s="141"/>
      <c r="E4212" s="141"/>
      <c r="F4212" s="141"/>
      <c r="G4212" s="141"/>
      <c r="H4212" s="222"/>
    </row>
    <row r="4213" spans="1:9" s="212" customFormat="1">
      <c r="A4213" s="142"/>
      <c r="B4213" s="143"/>
      <c r="C4213" s="143"/>
      <c r="D4213" s="143"/>
      <c r="E4213" s="143"/>
      <c r="F4213" s="84"/>
      <c r="G4213" s="146"/>
      <c r="H4213" s="221"/>
    </row>
    <row r="4214" spans="1:9" s="212" customFormat="1">
      <c r="A4214" s="123"/>
      <c r="B4214" s="95"/>
      <c r="C4214" s="95"/>
      <c r="D4214" s="95"/>
      <c r="E4214" s="95"/>
      <c r="G4214" s="213"/>
      <c r="H4214" s="73"/>
    </row>
    <row r="4215" spans="1:9" s="212" customFormat="1">
      <c r="A4215" s="123"/>
      <c r="B4215" s="95"/>
      <c r="C4215" s="95"/>
      <c r="D4215" s="95"/>
      <c r="E4215" s="95"/>
      <c r="G4215" s="73"/>
      <c r="H4215" s="225"/>
    </row>
    <row r="4216" spans="1:9" s="212" customFormat="1">
      <c r="B4216" s="97"/>
      <c r="C4216" s="98"/>
      <c r="D4216" s="98"/>
      <c r="E4216" s="98"/>
      <c r="G4216" s="220"/>
    </row>
    <row r="4217" spans="1:9" s="212" customFormat="1">
      <c r="B4217" s="97"/>
      <c r="C4217" s="98"/>
      <c r="D4217" s="98"/>
      <c r="E4217" s="98"/>
      <c r="F4217" s="220"/>
      <c r="G4217" s="225"/>
      <c r="H4217" s="226"/>
    </row>
    <row r="4218" spans="1:9" s="212" customFormat="1">
      <c r="A4218" s="633"/>
      <c r="B4218" s="633"/>
      <c r="C4218" s="633"/>
      <c r="D4218" s="633"/>
      <c r="E4218" s="633"/>
      <c r="F4218" s="633"/>
      <c r="G4218" s="633"/>
    </row>
    <row r="4219" spans="1:9" s="212" customFormat="1">
      <c r="H4219" s="227"/>
      <c r="I4219" s="228"/>
    </row>
    <row r="4220" spans="1:9" s="212" customFormat="1">
      <c r="A4220" s="658"/>
      <c r="B4220" s="227"/>
      <c r="C4220" s="227"/>
      <c r="D4220" s="227"/>
      <c r="E4220" s="227"/>
      <c r="F4220" s="227"/>
      <c r="G4220" s="227"/>
      <c r="H4220" s="227"/>
      <c r="I4220" s="229"/>
    </row>
    <row r="4221" spans="1:9" s="212" customFormat="1">
      <c r="A4221" s="658"/>
      <c r="B4221" s="227"/>
      <c r="C4221" s="227"/>
      <c r="D4221" s="227"/>
      <c r="E4221" s="227"/>
      <c r="F4221" s="227"/>
      <c r="G4221" s="227"/>
    </row>
    <row r="4222" spans="1:9" s="212" customFormat="1">
      <c r="A4222" s="69"/>
      <c r="B4222" s="69"/>
      <c r="C4222" s="69"/>
      <c r="D4222" s="69"/>
      <c r="E4222" s="69"/>
    </row>
    <row r="4223" spans="1:9" s="212" customFormat="1">
      <c r="A4223" s="120"/>
      <c r="B4223" s="73"/>
      <c r="C4223" s="73"/>
      <c r="D4223" s="73"/>
      <c r="E4223" s="73"/>
      <c r="F4223" s="73"/>
      <c r="G4223" s="73"/>
      <c r="H4223" s="73"/>
    </row>
    <row r="4224" spans="1:9" s="212" customFormat="1">
      <c r="A4224" s="220"/>
      <c r="B4224" s="141"/>
      <c r="C4224" s="141"/>
      <c r="D4224" s="141"/>
      <c r="E4224" s="141"/>
      <c r="F4224" s="141"/>
      <c r="G4224" s="141"/>
      <c r="H4224" s="73"/>
    </row>
    <row r="4225" spans="1:8" s="212" customFormat="1">
      <c r="A4225" s="150"/>
      <c r="B4225" s="83"/>
      <c r="C4225" s="148"/>
      <c r="D4225" s="84"/>
      <c r="E4225" s="84"/>
      <c r="F4225" s="84"/>
      <c r="G4225" s="224"/>
      <c r="H4225" s="221"/>
    </row>
    <row r="4226" spans="1:8" s="212" customFormat="1">
      <c r="A4226" s="84"/>
      <c r="B4226" s="83"/>
      <c r="C4226" s="84"/>
      <c r="D4226" s="84"/>
      <c r="E4226" s="84"/>
      <c r="G4226" s="213"/>
      <c r="H4226" s="222"/>
    </row>
    <row r="4227" spans="1:8" s="212" customFormat="1">
      <c r="A4227" s="120"/>
      <c r="B4227" s="73"/>
      <c r="C4227" s="73"/>
      <c r="D4227" s="73"/>
      <c r="E4227" s="73"/>
      <c r="G4227" s="73"/>
      <c r="H4227" s="222"/>
    </row>
    <row r="4228" spans="1:8" s="212" customFormat="1">
      <c r="A4228" s="220"/>
      <c r="B4228" s="141"/>
      <c r="C4228" s="141"/>
      <c r="D4228" s="141"/>
      <c r="E4228" s="141"/>
      <c r="F4228" s="141"/>
      <c r="G4228" s="141"/>
      <c r="H4228" s="222"/>
    </row>
    <row r="4229" spans="1:8" s="212" customFormat="1">
      <c r="A4229" s="150"/>
      <c r="B4229" s="83"/>
      <c r="C4229" s="148"/>
      <c r="D4229" s="84"/>
      <c r="E4229" s="84"/>
      <c r="F4229" s="84"/>
      <c r="G4229" s="224"/>
      <c r="H4229" s="222"/>
    </row>
    <row r="4230" spans="1:8" s="212" customFormat="1">
      <c r="A4230" s="150"/>
      <c r="B4230" s="83"/>
      <c r="C4230" s="148"/>
      <c r="D4230" s="84"/>
      <c r="E4230" s="84"/>
      <c r="F4230" s="84"/>
      <c r="G4230" s="224"/>
      <c r="H4230" s="222"/>
    </row>
    <row r="4231" spans="1:8" s="212" customFormat="1">
      <c r="A4231" s="150"/>
      <c r="B4231" s="83"/>
      <c r="C4231" s="148"/>
      <c r="D4231" s="84"/>
      <c r="E4231" s="84"/>
      <c r="F4231" s="84"/>
      <c r="G4231" s="224"/>
      <c r="H4231" s="222"/>
    </row>
    <row r="4232" spans="1:8" s="212" customFormat="1">
      <c r="A4232" s="150"/>
      <c r="B4232" s="83"/>
      <c r="C4232" s="148"/>
      <c r="D4232" s="84"/>
      <c r="E4232" s="84"/>
      <c r="F4232" s="84"/>
      <c r="G4232" s="224"/>
      <c r="H4232" s="222"/>
    </row>
    <row r="4233" spans="1:8" s="212" customFormat="1">
      <c r="A4233" s="150"/>
      <c r="B4233" s="83"/>
      <c r="C4233" s="148"/>
      <c r="D4233" s="84"/>
      <c r="E4233" s="84"/>
      <c r="F4233" s="84"/>
      <c r="G4233" s="224"/>
      <c r="H4233" s="222"/>
    </row>
    <row r="4234" spans="1:8" s="212" customFormat="1">
      <c r="A4234" s="150"/>
      <c r="B4234" s="83"/>
      <c r="C4234" s="148"/>
      <c r="D4234" s="84"/>
      <c r="E4234" s="84"/>
      <c r="F4234" s="84"/>
      <c r="G4234" s="224"/>
      <c r="H4234" s="222"/>
    </row>
    <row r="4235" spans="1:8" s="212" customFormat="1">
      <c r="A4235" s="150"/>
      <c r="B4235" s="83"/>
      <c r="C4235" s="148"/>
      <c r="D4235" s="84"/>
      <c r="E4235" s="84"/>
      <c r="F4235" s="84"/>
      <c r="G4235" s="224"/>
      <c r="H4235" s="222"/>
    </row>
    <row r="4236" spans="1:8" s="212" customFormat="1">
      <c r="A4236" s="150"/>
      <c r="B4236" s="83"/>
      <c r="C4236" s="148"/>
      <c r="D4236" s="84"/>
      <c r="E4236" s="84"/>
      <c r="F4236" s="84"/>
      <c r="G4236" s="224"/>
      <c r="H4236" s="222"/>
    </row>
    <row r="4237" spans="1:8" s="212" customFormat="1">
      <c r="A4237" s="150"/>
      <c r="B4237" s="83"/>
      <c r="C4237" s="148"/>
      <c r="D4237" s="84"/>
      <c r="E4237" s="84"/>
      <c r="F4237" s="84"/>
      <c r="G4237" s="224"/>
      <c r="H4237" s="221"/>
    </row>
    <row r="4238" spans="1:8" s="212" customFormat="1">
      <c r="A4238" s="91"/>
      <c r="B4238" s="91"/>
      <c r="C4238" s="91"/>
      <c r="D4238" s="91"/>
      <c r="E4238" s="91"/>
      <c r="G4238" s="213"/>
      <c r="H4238" s="222"/>
    </row>
    <row r="4239" spans="1:8" s="212" customFormat="1">
      <c r="A4239" s="120"/>
      <c r="B4239" s="73"/>
      <c r="C4239" s="73"/>
      <c r="D4239" s="73"/>
      <c r="E4239" s="73"/>
      <c r="G4239" s="73"/>
      <c r="H4239" s="222"/>
    </row>
    <row r="4240" spans="1:8" s="212" customFormat="1">
      <c r="A4240" s="220"/>
      <c r="B4240" s="141"/>
      <c r="C4240" s="141"/>
      <c r="D4240" s="141"/>
      <c r="E4240" s="141"/>
      <c r="F4240" s="141"/>
      <c r="G4240" s="141"/>
      <c r="H4240" s="222"/>
    </row>
    <row r="4241" spans="1:9" s="212" customFormat="1">
      <c r="A4241" s="146"/>
      <c r="B4241" s="83"/>
      <c r="C4241" s="148"/>
      <c r="D4241" s="84"/>
      <c r="E4241" s="84"/>
      <c r="F4241" s="84"/>
      <c r="G4241" s="146"/>
      <c r="H4241" s="222"/>
    </row>
    <row r="4242" spans="1:9" s="212" customFormat="1">
      <c r="A4242" s="146"/>
      <c r="B4242" s="83"/>
      <c r="C4242" s="148"/>
      <c r="D4242" s="84"/>
      <c r="E4242" s="84"/>
      <c r="F4242" s="84"/>
      <c r="G4242" s="146"/>
      <c r="H4242" s="221"/>
    </row>
    <row r="4243" spans="1:9" s="212" customFormat="1">
      <c r="A4243" s="91"/>
      <c r="B4243" s="91"/>
      <c r="C4243" s="91"/>
      <c r="D4243" s="91"/>
      <c r="E4243" s="91"/>
      <c r="G4243" s="213"/>
      <c r="H4243" s="222"/>
    </row>
    <row r="4244" spans="1:9" s="212" customFormat="1">
      <c r="A4244" s="120"/>
      <c r="B4244" s="73"/>
      <c r="C4244" s="73"/>
      <c r="D4244" s="73"/>
      <c r="E4244" s="73"/>
      <c r="G4244" s="73"/>
      <c r="H4244" s="222"/>
    </row>
    <row r="4245" spans="1:9" s="212" customFormat="1">
      <c r="A4245" s="220"/>
      <c r="B4245" s="141"/>
      <c r="C4245" s="141"/>
      <c r="D4245" s="141"/>
      <c r="E4245" s="141"/>
      <c r="F4245" s="141"/>
      <c r="G4245" s="141"/>
      <c r="H4245" s="222"/>
    </row>
    <row r="4246" spans="1:9" s="212" customFormat="1">
      <c r="A4246" s="142"/>
      <c r="B4246" s="143"/>
      <c r="C4246" s="143"/>
      <c r="D4246" s="143"/>
      <c r="E4246" s="143"/>
      <c r="F4246" s="84"/>
      <c r="G4246" s="146"/>
      <c r="H4246" s="221"/>
    </row>
    <row r="4247" spans="1:9" s="212" customFormat="1">
      <c r="A4247" s="123"/>
      <c r="B4247" s="95"/>
      <c r="C4247" s="95"/>
      <c r="D4247" s="95"/>
      <c r="E4247" s="95"/>
      <c r="G4247" s="213"/>
      <c r="H4247" s="73"/>
    </row>
    <row r="4248" spans="1:9" s="212" customFormat="1">
      <c r="A4248" s="123"/>
      <c r="B4248" s="95"/>
      <c r="C4248" s="95"/>
      <c r="D4248" s="95"/>
      <c r="E4248" s="95"/>
      <c r="G4248" s="73"/>
      <c r="H4248" s="225"/>
    </row>
    <row r="4249" spans="1:9" s="212" customFormat="1">
      <c r="B4249" s="97"/>
      <c r="C4249" s="98"/>
      <c r="D4249" s="98"/>
      <c r="E4249" s="98"/>
      <c r="G4249" s="220"/>
    </row>
    <row r="4250" spans="1:9" s="212" customFormat="1">
      <c r="B4250" s="97"/>
      <c r="C4250" s="98"/>
      <c r="D4250" s="98"/>
      <c r="E4250" s="98"/>
      <c r="F4250" s="220"/>
      <c r="G4250" s="225"/>
      <c r="H4250" s="226"/>
    </row>
    <row r="4251" spans="1:9" s="212" customFormat="1">
      <c r="A4251" s="633"/>
      <c r="B4251" s="633"/>
      <c r="C4251" s="633"/>
      <c r="D4251" s="633"/>
      <c r="E4251" s="633"/>
      <c r="F4251" s="633"/>
      <c r="G4251" s="633"/>
    </row>
    <row r="4252" spans="1:9" s="212" customFormat="1">
      <c r="H4252" s="227"/>
      <c r="I4252" s="228"/>
    </row>
    <row r="4253" spans="1:9" s="212" customFormat="1">
      <c r="A4253" s="658"/>
      <c r="B4253" s="227"/>
      <c r="C4253" s="227"/>
      <c r="D4253" s="227"/>
      <c r="E4253" s="227"/>
      <c r="F4253" s="227"/>
      <c r="G4253" s="227"/>
      <c r="H4253" s="227"/>
      <c r="I4253" s="229"/>
    </row>
    <row r="4254" spans="1:9" s="212" customFormat="1">
      <c r="A4254" s="658"/>
      <c r="B4254" s="227"/>
      <c r="C4254" s="227"/>
      <c r="D4254" s="227"/>
      <c r="E4254" s="227"/>
      <c r="F4254" s="227"/>
      <c r="G4254" s="227"/>
    </row>
    <row r="4255" spans="1:9" s="212" customFormat="1">
      <c r="A4255" s="69"/>
      <c r="B4255" s="69"/>
      <c r="C4255" s="69"/>
      <c r="D4255" s="69"/>
      <c r="E4255" s="69"/>
    </row>
    <row r="4256" spans="1:9" s="212" customFormat="1">
      <c r="A4256" s="120"/>
      <c r="B4256" s="73"/>
      <c r="C4256" s="73"/>
      <c r="D4256" s="73"/>
      <c r="E4256" s="73"/>
      <c r="F4256" s="73"/>
      <c r="G4256" s="73"/>
      <c r="H4256" s="73"/>
    </row>
    <row r="4257" spans="1:8" s="212" customFormat="1">
      <c r="A4257" s="220"/>
      <c r="B4257" s="141"/>
      <c r="C4257" s="141"/>
      <c r="D4257" s="141"/>
      <c r="E4257" s="141"/>
      <c r="F4257" s="141"/>
      <c r="G4257" s="141"/>
      <c r="H4257" s="73"/>
    </row>
    <row r="4258" spans="1:8" s="212" customFormat="1">
      <c r="A4258" s="150"/>
      <c r="B4258" s="83"/>
      <c r="C4258" s="148"/>
      <c r="D4258" s="84"/>
      <c r="E4258" s="84"/>
      <c r="F4258" s="84"/>
      <c r="G4258" s="224"/>
      <c r="H4258" s="221"/>
    </row>
    <row r="4259" spans="1:8" s="212" customFormat="1">
      <c r="A4259" s="84"/>
      <c r="B4259" s="83"/>
      <c r="C4259" s="84"/>
      <c r="D4259" s="84"/>
      <c r="E4259" s="84"/>
      <c r="G4259" s="213"/>
      <c r="H4259" s="222"/>
    </row>
    <row r="4260" spans="1:8" s="212" customFormat="1">
      <c r="A4260" s="120"/>
      <c r="B4260" s="73"/>
      <c r="C4260" s="73"/>
      <c r="D4260" s="73"/>
      <c r="E4260" s="73"/>
      <c r="G4260" s="73"/>
      <c r="H4260" s="222"/>
    </row>
    <row r="4261" spans="1:8" s="212" customFormat="1">
      <c r="A4261" s="220"/>
      <c r="B4261" s="141"/>
      <c r="C4261" s="141"/>
      <c r="D4261" s="141"/>
      <c r="E4261" s="141"/>
      <c r="F4261" s="141"/>
      <c r="G4261" s="141"/>
      <c r="H4261" s="222"/>
    </row>
    <row r="4262" spans="1:8" s="212" customFormat="1">
      <c r="A4262" s="150"/>
      <c r="B4262" s="83"/>
      <c r="C4262" s="148"/>
      <c r="D4262" s="84"/>
      <c r="E4262" s="84"/>
      <c r="F4262" s="84"/>
      <c r="G4262" s="224"/>
      <c r="H4262" s="222"/>
    </row>
    <row r="4263" spans="1:8" s="212" customFormat="1">
      <c r="A4263" s="150"/>
      <c r="B4263" s="83"/>
      <c r="C4263" s="148"/>
      <c r="D4263" s="84"/>
      <c r="E4263" s="84"/>
      <c r="F4263" s="84"/>
      <c r="G4263" s="224"/>
      <c r="H4263" s="222"/>
    </row>
    <row r="4264" spans="1:8" s="212" customFormat="1">
      <c r="A4264" s="150"/>
      <c r="B4264" s="83"/>
      <c r="C4264" s="148"/>
      <c r="D4264" s="84"/>
      <c r="E4264" s="84"/>
      <c r="F4264" s="84"/>
      <c r="G4264" s="224"/>
      <c r="H4264" s="222"/>
    </row>
    <row r="4265" spans="1:8" s="212" customFormat="1">
      <c r="A4265" s="150"/>
      <c r="B4265" s="83"/>
      <c r="C4265" s="148"/>
      <c r="D4265" s="84"/>
      <c r="E4265" s="84"/>
      <c r="F4265" s="84"/>
      <c r="G4265" s="224"/>
      <c r="H4265" s="222"/>
    </row>
    <row r="4266" spans="1:8" s="212" customFormat="1">
      <c r="A4266" s="150"/>
      <c r="B4266" s="83"/>
      <c r="C4266" s="148"/>
      <c r="D4266" s="84"/>
      <c r="E4266" s="84"/>
      <c r="F4266" s="84"/>
      <c r="G4266" s="224"/>
      <c r="H4266" s="222"/>
    </row>
    <row r="4267" spans="1:8" s="212" customFormat="1">
      <c r="A4267" s="150"/>
      <c r="B4267" s="83"/>
      <c r="C4267" s="148"/>
      <c r="D4267" s="84"/>
      <c r="E4267" s="84"/>
      <c r="F4267" s="84"/>
      <c r="G4267" s="224"/>
      <c r="H4267" s="221"/>
    </row>
    <row r="4268" spans="1:8" s="212" customFormat="1">
      <c r="A4268" s="91"/>
      <c r="B4268" s="91"/>
      <c r="C4268" s="91"/>
      <c r="D4268" s="91"/>
      <c r="E4268" s="91"/>
      <c r="G4268" s="213"/>
      <c r="H4268" s="222"/>
    </row>
    <row r="4269" spans="1:8" s="212" customFormat="1">
      <c r="A4269" s="120"/>
      <c r="B4269" s="73"/>
      <c r="C4269" s="73"/>
      <c r="D4269" s="73"/>
      <c r="E4269" s="73"/>
      <c r="G4269" s="73"/>
      <c r="H4269" s="222"/>
    </row>
    <row r="4270" spans="1:8" s="212" customFormat="1">
      <c r="A4270" s="220"/>
      <c r="B4270" s="141"/>
      <c r="C4270" s="141"/>
      <c r="D4270" s="141"/>
      <c r="E4270" s="141"/>
      <c r="F4270" s="141"/>
      <c r="G4270" s="141"/>
      <c r="H4270" s="222"/>
    </row>
    <row r="4271" spans="1:8" s="212" customFormat="1">
      <c r="A4271" s="146"/>
      <c r="B4271" s="83"/>
      <c r="C4271" s="148"/>
      <c r="D4271" s="84"/>
      <c r="E4271" s="84"/>
      <c r="F4271" s="84"/>
      <c r="G4271" s="146"/>
      <c r="H4271" s="221"/>
    </row>
    <row r="4272" spans="1:8" s="212" customFormat="1">
      <c r="A4272" s="91"/>
      <c r="B4272" s="91"/>
      <c r="C4272" s="91"/>
      <c r="D4272" s="91"/>
      <c r="E4272" s="91"/>
      <c r="G4272" s="213"/>
      <c r="H4272" s="222"/>
    </row>
    <row r="4273" spans="1:9" s="212" customFormat="1">
      <c r="A4273" s="120"/>
      <c r="B4273" s="73"/>
      <c r="C4273" s="73"/>
      <c r="D4273" s="73"/>
      <c r="E4273" s="73"/>
      <c r="G4273" s="73"/>
      <c r="H4273" s="222"/>
    </row>
    <row r="4274" spans="1:9" s="212" customFormat="1">
      <c r="A4274" s="220"/>
      <c r="B4274" s="141"/>
      <c r="C4274" s="141"/>
      <c r="D4274" s="141"/>
      <c r="E4274" s="141"/>
      <c r="F4274" s="141"/>
      <c r="G4274" s="141"/>
      <c r="H4274" s="222"/>
    </row>
    <row r="4275" spans="1:9" s="212" customFormat="1">
      <c r="A4275" s="142"/>
      <c r="B4275" s="143"/>
      <c r="C4275" s="143"/>
      <c r="D4275" s="143"/>
      <c r="E4275" s="143"/>
      <c r="F4275" s="84"/>
      <c r="G4275" s="146"/>
      <c r="H4275" s="221"/>
    </row>
    <row r="4276" spans="1:9" s="212" customFormat="1">
      <c r="A4276" s="123"/>
      <c r="B4276" s="95"/>
      <c r="C4276" s="95"/>
      <c r="D4276" s="95"/>
      <c r="E4276" s="95"/>
      <c r="G4276" s="213"/>
      <c r="H4276" s="73"/>
    </row>
    <row r="4277" spans="1:9" s="212" customFormat="1">
      <c r="A4277" s="123"/>
      <c r="B4277" s="95"/>
      <c r="C4277" s="95"/>
      <c r="D4277" s="95"/>
      <c r="E4277" s="95"/>
      <c r="G4277" s="73"/>
      <c r="H4277" s="225"/>
    </row>
    <row r="4278" spans="1:9" s="212" customFormat="1">
      <c r="B4278" s="97"/>
      <c r="C4278" s="98"/>
      <c r="D4278" s="98"/>
      <c r="E4278" s="98"/>
      <c r="G4278" s="220"/>
    </row>
    <row r="4279" spans="1:9" s="212" customFormat="1">
      <c r="B4279" s="97"/>
      <c r="C4279" s="98"/>
      <c r="D4279" s="98"/>
      <c r="E4279" s="98"/>
      <c r="F4279" s="220"/>
      <c r="G4279" s="225"/>
      <c r="H4279" s="226"/>
    </row>
    <row r="4280" spans="1:9" s="212" customFormat="1">
      <c r="A4280" s="633"/>
      <c r="B4280" s="633"/>
      <c r="C4280" s="633"/>
      <c r="D4280" s="633"/>
      <c r="E4280" s="633"/>
      <c r="F4280" s="633"/>
      <c r="G4280" s="633"/>
    </row>
    <row r="4281" spans="1:9" s="212" customFormat="1">
      <c r="H4281" s="227"/>
      <c r="I4281" s="228"/>
    </row>
    <row r="4282" spans="1:9" s="212" customFormat="1">
      <c r="A4282" s="658"/>
      <c r="B4282" s="227"/>
      <c r="C4282" s="227"/>
      <c r="D4282" s="227"/>
      <c r="E4282" s="227"/>
      <c r="F4282" s="227"/>
      <c r="G4282" s="227"/>
      <c r="H4282" s="227"/>
      <c r="I4282" s="229"/>
    </row>
    <row r="4283" spans="1:9" s="212" customFormat="1">
      <c r="A4283" s="658"/>
      <c r="B4283" s="227"/>
      <c r="C4283" s="227"/>
      <c r="D4283" s="227"/>
      <c r="E4283" s="227"/>
      <c r="F4283" s="227"/>
      <c r="G4283" s="227"/>
    </row>
    <row r="4284" spans="1:9" s="212" customFormat="1">
      <c r="A4284" s="69"/>
      <c r="B4284" s="69"/>
      <c r="C4284" s="69"/>
      <c r="D4284" s="69"/>
      <c r="E4284" s="69"/>
    </row>
    <row r="4285" spans="1:9" s="212" customFormat="1">
      <c r="A4285" s="120"/>
      <c r="B4285" s="73"/>
      <c r="C4285" s="73"/>
      <c r="D4285" s="73"/>
      <c r="E4285" s="73"/>
      <c r="F4285" s="73"/>
      <c r="G4285" s="73"/>
      <c r="H4285" s="73"/>
    </row>
    <row r="4286" spans="1:9" s="212" customFormat="1">
      <c r="A4286" s="220"/>
      <c r="B4286" s="141"/>
      <c r="C4286" s="141"/>
      <c r="D4286" s="141"/>
      <c r="E4286" s="141"/>
      <c r="F4286" s="141"/>
      <c r="G4286" s="141"/>
      <c r="H4286" s="73"/>
    </row>
    <row r="4287" spans="1:9" s="212" customFormat="1">
      <c r="A4287" s="150"/>
      <c r="B4287" s="83"/>
      <c r="C4287" s="148"/>
      <c r="D4287" s="84"/>
      <c r="E4287" s="84"/>
      <c r="F4287" s="84"/>
      <c r="G4287" s="224"/>
      <c r="H4287" s="73"/>
    </row>
    <row r="4288" spans="1:9" s="212" customFormat="1">
      <c r="A4288" s="150"/>
      <c r="B4288" s="83"/>
      <c r="C4288" s="148"/>
      <c r="D4288" s="84"/>
      <c r="E4288" s="84"/>
      <c r="F4288" s="84"/>
      <c r="G4288" s="224"/>
      <c r="H4288" s="73"/>
    </row>
    <row r="4289" spans="1:8" s="212" customFormat="1">
      <c r="A4289" s="150"/>
      <c r="B4289" s="83"/>
      <c r="C4289" s="148"/>
      <c r="D4289" s="84"/>
      <c r="E4289" s="84"/>
      <c r="F4289" s="84"/>
      <c r="G4289" s="224"/>
      <c r="H4289" s="73"/>
    </row>
    <row r="4290" spans="1:8" s="212" customFormat="1">
      <c r="A4290" s="150"/>
      <c r="B4290" s="83"/>
      <c r="C4290" s="148"/>
      <c r="D4290" s="84"/>
      <c r="E4290" s="84"/>
      <c r="F4290" s="84"/>
      <c r="G4290" s="224"/>
      <c r="H4290" s="221"/>
    </row>
    <row r="4291" spans="1:8" s="212" customFormat="1">
      <c r="A4291" s="84"/>
      <c r="B4291" s="83"/>
      <c r="C4291" s="84"/>
      <c r="D4291" s="84"/>
      <c r="E4291" s="84"/>
      <c r="G4291" s="213"/>
      <c r="H4291" s="222"/>
    </row>
    <row r="4292" spans="1:8" s="212" customFormat="1">
      <c r="A4292" s="120"/>
      <c r="B4292" s="73"/>
      <c r="C4292" s="73"/>
      <c r="D4292" s="73"/>
      <c r="E4292" s="73"/>
      <c r="G4292" s="73"/>
      <c r="H4292" s="222"/>
    </row>
    <row r="4293" spans="1:8" s="212" customFormat="1">
      <c r="A4293" s="220"/>
      <c r="B4293" s="141"/>
      <c r="C4293" s="141"/>
      <c r="D4293" s="141"/>
      <c r="E4293" s="141"/>
      <c r="F4293" s="141"/>
      <c r="G4293" s="141"/>
      <c r="H4293" s="222"/>
    </row>
    <row r="4294" spans="1:8" s="212" customFormat="1">
      <c r="A4294" s="150"/>
      <c r="B4294" s="83"/>
      <c r="C4294" s="148"/>
      <c r="D4294" s="84"/>
      <c r="E4294" s="84"/>
      <c r="F4294" s="84"/>
      <c r="G4294" s="224"/>
      <c r="H4294" s="222"/>
    </row>
    <row r="4295" spans="1:8" s="212" customFormat="1">
      <c r="A4295" s="150"/>
      <c r="B4295" s="83"/>
      <c r="C4295" s="148"/>
      <c r="D4295" s="84"/>
      <c r="E4295" s="84"/>
      <c r="F4295" s="84"/>
      <c r="G4295" s="224"/>
      <c r="H4295" s="222"/>
    </row>
    <row r="4296" spans="1:8" s="212" customFormat="1">
      <c r="A4296" s="150"/>
      <c r="B4296" s="83"/>
      <c r="C4296" s="148"/>
      <c r="D4296" s="84"/>
      <c r="E4296" s="84"/>
      <c r="F4296" s="84"/>
      <c r="G4296" s="224"/>
      <c r="H4296" s="222"/>
    </row>
    <row r="4297" spans="1:8" s="212" customFormat="1">
      <c r="A4297" s="150"/>
      <c r="B4297" s="83"/>
      <c r="C4297" s="148"/>
      <c r="D4297" s="84"/>
      <c r="E4297" s="84"/>
      <c r="F4297" s="84"/>
      <c r="G4297" s="224"/>
      <c r="H4297" s="222"/>
    </row>
    <row r="4298" spans="1:8" s="212" customFormat="1">
      <c r="A4298" s="150"/>
      <c r="B4298" s="83"/>
      <c r="C4298" s="148"/>
      <c r="D4298" s="84"/>
      <c r="E4298" s="84"/>
      <c r="F4298" s="84"/>
      <c r="G4298" s="224"/>
      <c r="H4298" s="222"/>
    </row>
    <row r="4299" spans="1:8" s="212" customFormat="1">
      <c r="A4299" s="150"/>
      <c r="B4299" s="83"/>
      <c r="C4299" s="148"/>
      <c r="D4299" s="84"/>
      <c r="E4299" s="84"/>
      <c r="F4299" s="84"/>
      <c r="G4299" s="224"/>
      <c r="H4299" s="222"/>
    </row>
    <row r="4300" spans="1:8" s="212" customFormat="1">
      <c r="A4300" s="150"/>
      <c r="B4300" s="83"/>
      <c r="C4300" s="148"/>
      <c r="D4300" s="84"/>
      <c r="E4300" s="84"/>
      <c r="F4300" s="84"/>
      <c r="G4300" s="224"/>
      <c r="H4300" s="222"/>
    </row>
    <row r="4301" spans="1:8" s="212" customFormat="1">
      <c r="A4301" s="150"/>
      <c r="B4301" s="83"/>
      <c r="C4301" s="148"/>
      <c r="D4301" s="84"/>
      <c r="E4301" s="84"/>
      <c r="F4301" s="84"/>
      <c r="G4301" s="224"/>
      <c r="H4301" s="221"/>
    </row>
    <row r="4302" spans="1:8" s="212" customFormat="1">
      <c r="A4302" s="91"/>
      <c r="B4302" s="91"/>
      <c r="C4302" s="91"/>
      <c r="D4302" s="91"/>
      <c r="E4302" s="91"/>
      <c r="G4302" s="213"/>
      <c r="H4302" s="222"/>
    </row>
    <row r="4303" spans="1:8" s="212" customFormat="1">
      <c r="A4303" s="120"/>
      <c r="B4303" s="73"/>
      <c r="C4303" s="73"/>
      <c r="D4303" s="73"/>
      <c r="E4303" s="73"/>
      <c r="G4303" s="73"/>
      <c r="H4303" s="222"/>
    </row>
    <row r="4304" spans="1:8" s="212" customFormat="1">
      <c r="A4304" s="220"/>
      <c r="B4304" s="141"/>
      <c r="C4304" s="141"/>
      <c r="D4304" s="141"/>
      <c r="E4304" s="141"/>
      <c r="F4304" s="141"/>
      <c r="G4304" s="141"/>
      <c r="H4304" s="222"/>
    </row>
    <row r="4305" spans="1:9" s="212" customFormat="1">
      <c r="A4305" s="146"/>
      <c r="B4305" s="83"/>
      <c r="C4305" s="148"/>
      <c r="D4305" s="84"/>
      <c r="E4305" s="84"/>
      <c r="F4305" s="84"/>
      <c r="G4305" s="146"/>
      <c r="H4305" s="222"/>
    </row>
    <row r="4306" spans="1:9" s="212" customFormat="1">
      <c r="A4306" s="146"/>
      <c r="B4306" s="83"/>
      <c r="C4306" s="148"/>
      <c r="D4306" s="84"/>
      <c r="E4306" s="84"/>
      <c r="F4306" s="84"/>
      <c r="G4306" s="146"/>
      <c r="H4306" s="221"/>
    </row>
    <row r="4307" spans="1:9" s="212" customFormat="1">
      <c r="A4307" s="91"/>
      <c r="B4307" s="91"/>
      <c r="C4307" s="91"/>
      <c r="D4307" s="91"/>
      <c r="E4307" s="91"/>
      <c r="G4307" s="213"/>
      <c r="H4307" s="222"/>
    </row>
    <row r="4308" spans="1:9" s="212" customFormat="1">
      <c r="A4308" s="120"/>
      <c r="B4308" s="73"/>
      <c r="C4308" s="73"/>
      <c r="D4308" s="73"/>
      <c r="E4308" s="73"/>
      <c r="G4308" s="73"/>
      <c r="H4308" s="222"/>
    </row>
    <row r="4309" spans="1:9" s="212" customFormat="1">
      <c r="A4309" s="220"/>
      <c r="B4309" s="141"/>
      <c r="C4309" s="141"/>
      <c r="D4309" s="141"/>
      <c r="E4309" s="141"/>
      <c r="F4309" s="141"/>
      <c r="G4309" s="141"/>
      <c r="H4309" s="222"/>
    </row>
    <row r="4310" spans="1:9" s="212" customFormat="1">
      <c r="A4310" s="142"/>
      <c r="B4310" s="143"/>
      <c r="C4310" s="143"/>
      <c r="D4310" s="143"/>
      <c r="E4310" s="143"/>
      <c r="F4310" s="84"/>
      <c r="G4310" s="146"/>
      <c r="H4310" s="221"/>
    </row>
    <row r="4311" spans="1:9" s="212" customFormat="1">
      <c r="A4311" s="123"/>
      <c r="B4311" s="95"/>
      <c r="C4311" s="95"/>
      <c r="D4311" s="95"/>
      <c r="E4311" s="95"/>
      <c r="G4311" s="213"/>
      <c r="H4311" s="73"/>
    </row>
    <row r="4312" spans="1:9" s="212" customFormat="1">
      <c r="A4312" s="123"/>
      <c r="B4312" s="95"/>
      <c r="C4312" s="95"/>
      <c r="D4312" s="95"/>
      <c r="E4312" s="95"/>
      <c r="G4312" s="73"/>
      <c r="H4312" s="225"/>
    </row>
    <row r="4313" spans="1:9" s="212" customFormat="1">
      <c r="B4313" s="97"/>
      <c r="C4313" s="98"/>
      <c r="D4313" s="98"/>
      <c r="E4313" s="98"/>
      <c r="G4313" s="220"/>
    </row>
    <row r="4314" spans="1:9" s="212" customFormat="1">
      <c r="B4314" s="97"/>
      <c r="C4314" s="98"/>
      <c r="D4314" s="98"/>
      <c r="E4314" s="98"/>
      <c r="F4314" s="220"/>
      <c r="G4314" s="225"/>
      <c r="H4314" s="226"/>
    </row>
    <row r="4315" spans="1:9" s="212" customFormat="1">
      <c r="A4315" s="633"/>
      <c r="B4315" s="633"/>
      <c r="C4315" s="633"/>
      <c r="D4315" s="633"/>
      <c r="E4315" s="633"/>
      <c r="F4315" s="633"/>
      <c r="G4315" s="633"/>
    </row>
    <row r="4316" spans="1:9" s="212" customFormat="1">
      <c r="H4316" s="227"/>
      <c r="I4316" s="228"/>
    </row>
    <row r="4317" spans="1:9" s="212" customFormat="1">
      <c r="A4317" s="658"/>
      <c r="B4317" s="227"/>
      <c r="C4317" s="227"/>
      <c r="D4317" s="227"/>
      <c r="E4317" s="227"/>
      <c r="F4317" s="227"/>
      <c r="G4317" s="227"/>
      <c r="H4317" s="227"/>
      <c r="I4317" s="229"/>
    </row>
    <row r="4318" spans="1:9" s="212" customFormat="1">
      <c r="A4318" s="658"/>
      <c r="B4318" s="227"/>
      <c r="C4318" s="227"/>
      <c r="D4318" s="227"/>
      <c r="E4318" s="227"/>
      <c r="F4318" s="227"/>
      <c r="G4318" s="227"/>
    </row>
    <row r="4319" spans="1:9" s="212" customFormat="1">
      <c r="A4319" s="69"/>
      <c r="B4319" s="69"/>
      <c r="C4319" s="69"/>
      <c r="D4319" s="69"/>
      <c r="E4319" s="69"/>
    </row>
    <row r="4320" spans="1:9" s="212" customFormat="1">
      <c r="A4320" s="120"/>
      <c r="B4320" s="73"/>
      <c r="C4320" s="73"/>
      <c r="D4320" s="73"/>
      <c r="E4320" s="73"/>
      <c r="F4320" s="73"/>
      <c r="G4320" s="73"/>
      <c r="H4320" s="73"/>
    </row>
    <row r="4321" spans="1:8" s="212" customFormat="1">
      <c r="A4321" s="220"/>
      <c r="B4321" s="141"/>
      <c r="C4321" s="141"/>
      <c r="D4321" s="141"/>
      <c r="E4321" s="141"/>
      <c r="F4321" s="141"/>
      <c r="G4321" s="141"/>
      <c r="H4321" s="73"/>
    </row>
    <row r="4322" spans="1:8" s="212" customFormat="1">
      <c r="A4322" s="150"/>
      <c r="B4322" s="83"/>
      <c r="C4322" s="148"/>
      <c r="D4322" s="84"/>
      <c r="E4322" s="84"/>
      <c r="F4322" s="84"/>
      <c r="G4322" s="224"/>
      <c r="H4322" s="221"/>
    </row>
    <row r="4323" spans="1:8" s="212" customFormat="1">
      <c r="A4323" s="84"/>
      <c r="B4323" s="83"/>
      <c r="C4323" s="84"/>
      <c r="D4323" s="84"/>
      <c r="E4323" s="84"/>
      <c r="G4323" s="213"/>
      <c r="H4323" s="222"/>
    </row>
    <row r="4324" spans="1:8" s="212" customFormat="1">
      <c r="A4324" s="120"/>
      <c r="B4324" s="73"/>
      <c r="C4324" s="73"/>
      <c r="D4324" s="73"/>
      <c r="E4324" s="73"/>
      <c r="G4324" s="73"/>
      <c r="H4324" s="222"/>
    </row>
    <row r="4325" spans="1:8" s="212" customFormat="1">
      <c r="A4325" s="220"/>
      <c r="B4325" s="141"/>
      <c r="C4325" s="141"/>
      <c r="D4325" s="141"/>
      <c r="E4325" s="141"/>
      <c r="F4325" s="141"/>
      <c r="G4325" s="141"/>
      <c r="H4325" s="222"/>
    </row>
    <row r="4326" spans="1:8" s="212" customFormat="1">
      <c r="A4326" s="150"/>
      <c r="B4326" s="83"/>
      <c r="C4326" s="148"/>
      <c r="D4326" s="84"/>
      <c r="E4326" s="84"/>
      <c r="F4326" s="84"/>
      <c r="G4326" s="224"/>
      <c r="H4326" s="221"/>
    </row>
    <row r="4327" spans="1:8" s="212" customFormat="1">
      <c r="A4327" s="91"/>
      <c r="B4327" s="91"/>
      <c r="C4327" s="91"/>
      <c r="D4327" s="91"/>
      <c r="E4327" s="91"/>
      <c r="G4327" s="213"/>
      <c r="H4327" s="222"/>
    </row>
    <row r="4328" spans="1:8" s="212" customFormat="1">
      <c r="A4328" s="120"/>
      <c r="B4328" s="73"/>
      <c r="C4328" s="73"/>
      <c r="D4328" s="73"/>
      <c r="E4328" s="73"/>
      <c r="G4328" s="73"/>
      <c r="H4328" s="222"/>
    </row>
    <row r="4329" spans="1:8" s="212" customFormat="1">
      <c r="A4329" s="220"/>
      <c r="B4329" s="141"/>
      <c r="C4329" s="141"/>
      <c r="D4329" s="141"/>
      <c r="E4329" s="141"/>
      <c r="F4329" s="141"/>
      <c r="G4329" s="141"/>
      <c r="H4329" s="222"/>
    </row>
    <row r="4330" spans="1:8" s="212" customFormat="1">
      <c r="A4330" s="146"/>
      <c r="B4330" s="83"/>
      <c r="C4330" s="148"/>
      <c r="D4330" s="84"/>
      <c r="E4330" s="84"/>
      <c r="F4330" s="84"/>
      <c r="G4330" s="146"/>
      <c r="H4330" s="221"/>
    </row>
    <row r="4331" spans="1:8" s="212" customFormat="1">
      <c r="A4331" s="91"/>
      <c r="B4331" s="91"/>
      <c r="C4331" s="91"/>
      <c r="D4331" s="91"/>
      <c r="E4331" s="91"/>
      <c r="G4331" s="213"/>
      <c r="H4331" s="222"/>
    </row>
    <row r="4332" spans="1:8" s="212" customFormat="1">
      <c r="A4332" s="120"/>
      <c r="B4332" s="73"/>
      <c r="C4332" s="73"/>
      <c r="D4332" s="73"/>
      <c r="E4332" s="73"/>
      <c r="G4332" s="73"/>
      <c r="H4332" s="222"/>
    </row>
    <row r="4333" spans="1:8" s="212" customFormat="1">
      <c r="A4333" s="220"/>
      <c r="B4333" s="141"/>
      <c r="C4333" s="141"/>
      <c r="D4333" s="141"/>
      <c r="E4333" s="141"/>
      <c r="F4333" s="141"/>
      <c r="G4333" s="141"/>
      <c r="H4333" s="222"/>
    </row>
    <row r="4334" spans="1:8" s="212" customFormat="1">
      <c r="A4334" s="142"/>
      <c r="B4334" s="143"/>
      <c r="C4334" s="143"/>
      <c r="D4334" s="143"/>
      <c r="E4334" s="143"/>
      <c r="F4334" s="84"/>
      <c r="G4334" s="146"/>
      <c r="H4334" s="221"/>
    </row>
    <row r="4335" spans="1:8" s="212" customFormat="1">
      <c r="A4335" s="123"/>
      <c r="B4335" s="95"/>
      <c r="C4335" s="95"/>
      <c r="D4335" s="95"/>
      <c r="E4335" s="95"/>
      <c r="G4335" s="213"/>
      <c r="H4335" s="73"/>
    </row>
    <row r="4336" spans="1:8" s="212" customFormat="1">
      <c r="A4336" s="123"/>
      <c r="B4336" s="95"/>
      <c r="C4336" s="95"/>
      <c r="D4336" s="95"/>
      <c r="E4336" s="95"/>
      <c r="G4336" s="73"/>
      <c r="H4336" s="225"/>
    </row>
    <row r="4337" spans="1:9" s="212" customFormat="1">
      <c r="B4337" s="97"/>
      <c r="C4337" s="98"/>
      <c r="D4337" s="98"/>
      <c r="E4337" s="98"/>
      <c r="G4337" s="220"/>
    </row>
    <row r="4338" spans="1:9" s="212" customFormat="1">
      <c r="B4338" s="97"/>
      <c r="C4338" s="98"/>
      <c r="D4338" s="98"/>
      <c r="E4338" s="98"/>
      <c r="F4338" s="220"/>
      <c r="G4338" s="225"/>
      <c r="H4338" s="226"/>
    </row>
    <row r="4339" spans="1:9" s="212" customFormat="1">
      <c r="A4339" s="633"/>
      <c r="B4339" s="633"/>
      <c r="C4339" s="633"/>
      <c r="D4339" s="633"/>
      <c r="E4339" s="633"/>
      <c r="F4339" s="633"/>
      <c r="G4339" s="633"/>
    </row>
    <row r="4340" spans="1:9" s="212" customFormat="1">
      <c r="H4340" s="227"/>
      <c r="I4340" s="228"/>
    </row>
    <row r="4341" spans="1:9" s="212" customFormat="1">
      <c r="A4341" s="658"/>
      <c r="B4341" s="227"/>
      <c r="C4341" s="227"/>
      <c r="D4341" s="227"/>
      <c r="E4341" s="227"/>
      <c r="F4341" s="227"/>
      <c r="G4341" s="227"/>
      <c r="H4341" s="227"/>
      <c r="I4341" s="229"/>
    </row>
    <row r="4342" spans="1:9" s="212" customFormat="1">
      <c r="A4342" s="658"/>
      <c r="B4342" s="227"/>
      <c r="C4342" s="227"/>
      <c r="D4342" s="227"/>
      <c r="E4342" s="227"/>
      <c r="F4342" s="227"/>
      <c r="G4342" s="227"/>
    </row>
    <row r="4343" spans="1:9" s="212" customFormat="1">
      <c r="A4343" s="69"/>
      <c r="B4343" s="69"/>
      <c r="C4343" s="69"/>
      <c r="D4343" s="69"/>
      <c r="E4343" s="69"/>
    </row>
    <row r="4344" spans="1:9" s="212" customFormat="1">
      <c r="A4344" s="120"/>
      <c r="B4344" s="73"/>
      <c r="C4344" s="73"/>
      <c r="D4344" s="73"/>
      <c r="E4344" s="73"/>
      <c r="F4344" s="73"/>
      <c r="G4344" s="73"/>
      <c r="H4344" s="73"/>
    </row>
    <row r="4345" spans="1:9" s="212" customFormat="1">
      <c r="A4345" s="220"/>
      <c r="B4345" s="141"/>
      <c r="C4345" s="141"/>
      <c r="D4345" s="141"/>
      <c r="E4345" s="141"/>
      <c r="F4345" s="141"/>
      <c r="G4345" s="141"/>
      <c r="H4345" s="73"/>
    </row>
    <row r="4346" spans="1:9" s="212" customFormat="1">
      <c r="A4346" s="150"/>
      <c r="B4346" s="83"/>
      <c r="C4346" s="148"/>
      <c r="D4346" s="84"/>
      <c r="E4346" s="84"/>
      <c r="F4346" s="84"/>
      <c r="G4346" s="224"/>
      <c r="H4346" s="221"/>
    </row>
    <row r="4347" spans="1:9" s="212" customFormat="1">
      <c r="A4347" s="84"/>
      <c r="B4347" s="83"/>
      <c r="C4347" s="84"/>
      <c r="D4347" s="84"/>
      <c r="E4347" s="84"/>
      <c r="G4347" s="213"/>
      <c r="H4347" s="222"/>
    </row>
    <row r="4348" spans="1:9" s="212" customFormat="1">
      <c r="A4348" s="120"/>
      <c r="B4348" s="73"/>
      <c r="C4348" s="73"/>
      <c r="D4348" s="73"/>
      <c r="E4348" s="73"/>
      <c r="G4348" s="73"/>
      <c r="H4348" s="222"/>
    </row>
    <row r="4349" spans="1:9" s="212" customFormat="1">
      <c r="A4349" s="220"/>
      <c r="B4349" s="141"/>
      <c r="C4349" s="141"/>
      <c r="D4349" s="141"/>
      <c r="E4349" s="141"/>
      <c r="F4349" s="141"/>
      <c r="G4349" s="141"/>
      <c r="H4349" s="222"/>
    </row>
    <row r="4350" spans="1:9" s="212" customFormat="1">
      <c r="A4350" s="150"/>
      <c r="B4350" s="83"/>
      <c r="C4350" s="148"/>
      <c r="D4350" s="84"/>
      <c r="E4350" s="84"/>
      <c r="F4350" s="84"/>
      <c r="G4350" s="224"/>
      <c r="H4350" s="222"/>
    </row>
    <row r="4351" spans="1:9" s="212" customFormat="1">
      <c r="A4351" s="150"/>
      <c r="B4351" s="83"/>
      <c r="C4351" s="148"/>
      <c r="D4351" s="84"/>
      <c r="E4351" s="84"/>
      <c r="F4351" s="84"/>
      <c r="G4351" s="224"/>
      <c r="H4351" s="222"/>
    </row>
    <row r="4352" spans="1:9" s="212" customFormat="1">
      <c r="A4352" s="150"/>
      <c r="B4352" s="83"/>
      <c r="C4352" s="148"/>
      <c r="D4352" s="84"/>
      <c r="E4352" s="84"/>
      <c r="F4352" s="84"/>
      <c r="G4352" s="224"/>
      <c r="H4352" s="222"/>
    </row>
    <row r="4353" spans="1:8" s="212" customFormat="1">
      <c r="A4353" s="150"/>
      <c r="B4353" s="83"/>
      <c r="C4353" s="148"/>
      <c r="D4353" s="84"/>
      <c r="E4353" s="84"/>
      <c r="F4353" s="84"/>
      <c r="G4353" s="224"/>
      <c r="H4353" s="222"/>
    </row>
    <row r="4354" spans="1:8" s="212" customFormat="1">
      <c r="A4354" s="150"/>
      <c r="B4354" s="83"/>
      <c r="C4354" s="148"/>
      <c r="D4354" s="84"/>
      <c r="E4354" s="84"/>
      <c r="F4354" s="84"/>
      <c r="G4354" s="224"/>
      <c r="H4354" s="222"/>
    </row>
    <row r="4355" spans="1:8" s="212" customFormat="1">
      <c r="A4355" s="150"/>
      <c r="B4355" s="83"/>
      <c r="C4355" s="148"/>
      <c r="D4355" s="84"/>
      <c r="E4355" s="84"/>
      <c r="F4355" s="84"/>
      <c r="G4355" s="224"/>
      <c r="H4355" s="222"/>
    </row>
    <row r="4356" spans="1:8" s="212" customFormat="1">
      <c r="A4356" s="150"/>
      <c r="B4356" s="83"/>
      <c r="C4356" s="148"/>
      <c r="D4356" s="84"/>
      <c r="E4356" s="84"/>
      <c r="F4356" s="84"/>
      <c r="G4356" s="224"/>
      <c r="H4356" s="221"/>
    </row>
    <row r="4357" spans="1:8" s="212" customFormat="1">
      <c r="A4357" s="91"/>
      <c r="B4357" s="91"/>
      <c r="C4357" s="91"/>
      <c r="D4357" s="91"/>
      <c r="E4357" s="91"/>
      <c r="G4357" s="213"/>
      <c r="H4357" s="222"/>
    </row>
    <row r="4358" spans="1:8" s="212" customFormat="1">
      <c r="A4358" s="120"/>
      <c r="B4358" s="73"/>
      <c r="C4358" s="73"/>
      <c r="D4358" s="73"/>
      <c r="E4358" s="73"/>
      <c r="G4358" s="73"/>
      <c r="H4358" s="222"/>
    </row>
    <row r="4359" spans="1:8" s="212" customFormat="1">
      <c r="A4359" s="220"/>
      <c r="B4359" s="141"/>
      <c r="C4359" s="141"/>
      <c r="D4359" s="141"/>
      <c r="E4359" s="141"/>
      <c r="F4359" s="141"/>
      <c r="G4359" s="141"/>
      <c r="H4359" s="222"/>
    </row>
    <row r="4360" spans="1:8" s="212" customFormat="1">
      <c r="A4360" s="146"/>
      <c r="B4360" s="83"/>
      <c r="C4360" s="148"/>
      <c r="D4360" s="84"/>
      <c r="E4360" s="84"/>
      <c r="F4360" s="84"/>
      <c r="G4360" s="146"/>
      <c r="H4360" s="222"/>
    </row>
    <row r="4361" spans="1:8" s="212" customFormat="1">
      <c r="A4361" s="146"/>
      <c r="B4361" s="83"/>
      <c r="C4361" s="148"/>
      <c r="D4361" s="84"/>
      <c r="E4361" s="84"/>
      <c r="F4361" s="84"/>
      <c r="G4361" s="146"/>
      <c r="H4361" s="221"/>
    </row>
    <row r="4362" spans="1:8" s="212" customFormat="1">
      <c r="A4362" s="91"/>
      <c r="B4362" s="91"/>
      <c r="C4362" s="91"/>
      <c r="D4362" s="91"/>
      <c r="E4362" s="91"/>
      <c r="G4362" s="213"/>
      <c r="H4362" s="222"/>
    </row>
    <row r="4363" spans="1:8" s="212" customFormat="1">
      <c r="A4363" s="120"/>
      <c r="B4363" s="73"/>
      <c r="C4363" s="73"/>
      <c r="D4363" s="73"/>
      <c r="E4363" s="73"/>
      <c r="G4363" s="73"/>
      <c r="H4363" s="222"/>
    </row>
    <row r="4364" spans="1:8" s="212" customFormat="1">
      <c r="A4364" s="220"/>
      <c r="B4364" s="141"/>
      <c r="C4364" s="141"/>
      <c r="D4364" s="141"/>
      <c r="E4364" s="141"/>
      <c r="F4364" s="141"/>
      <c r="G4364" s="141"/>
      <c r="H4364" s="222"/>
    </row>
    <row r="4365" spans="1:8" s="212" customFormat="1">
      <c r="A4365" s="142"/>
      <c r="B4365" s="143"/>
      <c r="C4365" s="143"/>
      <c r="D4365" s="143"/>
      <c r="E4365" s="143"/>
      <c r="F4365" s="84"/>
      <c r="G4365" s="146"/>
      <c r="H4365" s="221"/>
    </row>
    <row r="4366" spans="1:8" s="212" customFormat="1">
      <c r="A4366" s="123"/>
      <c r="B4366" s="95"/>
      <c r="C4366" s="95"/>
      <c r="D4366" s="95"/>
      <c r="E4366" s="95"/>
      <c r="G4366" s="213"/>
      <c r="H4366" s="73"/>
    </row>
    <row r="4367" spans="1:8" s="212" customFormat="1">
      <c r="A4367" s="123"/>
      <c r="B4367" s="95"/>
      <c r="C4367" s="95"/>
      <c r="D4367" s="95"/>
      <c r="E4367" s="95"/>
      <c r="G4367" s="73"/>
      <c r="H4367" s="225"/>
    </row>
    <row r="4368" spans="1:8" s="212" customFormat="1">
      <c r="B4368" s="97"/>
      <c r="C4368" s="98"/>
      <c r="D4368" s="98"/>
      <c r="E4368" s="98"/>
      <c r="G4368" s="220"/>
    </row>
    <row r="4369" spans="1:9" s="212" customFormat="1">
      <c r="B4369" s="97"/>
      <c r="C4369" s="98"/>
      <c r="D4369" s="98"/>
      <c r="E4369" s="98"/>
      <c r="F4369" s="220"/>
      <c r="G4369" s="225"/>
      <c r="H4369" s="226"/>
    </row>
    <row r="4370" spans="1:9" s="212" customFormat="1">
      <c r="A4370" s="633"/>
      <c r="B4370" s="633"/>
      <c r="C4370" s="633"/>
      <c r="D4370" s="633"/>
      <c r="E4370" s="633"/>
      <c r="F4370" s="633"/>
      <c r="G4370" s="633"/>
    </row>
    <row r="4371" spans="1:9" s="212" customFormat="1">
      <c r="H4371" s="227"/>
      <c r="I4371" s="228"/>
    </row>
    <row r="4372" spans="1:9" s="212" customFormat="1">
      <c r="A4372" s="658"/>
      <c r="B4372" s="227"/>
      <c r="C4372" s="227"/>
      <c r="D4372" s="227"/>
      <c r="E4372" s="227"/>
      <c r="F4372" s="227"/>
      <c r="G4372" s="227"/>
      <c r="H4372" s="227"/>
      <c r="I4372" s="229"/>
    </row>
    <row r="4373" spans="1:9" s="212" customFormat="1">
      <c r="A4373" s="658"/>
      <c r="B4373" s="227"/>
      <c r="C4373" s="227"/>
      <c r="D4373" s="227"/>
      <c r="E4373" s="227"/>
      <c r="F4373" s="227"/>
      <c r="G4373" s="227"/>
    </row>
    <row r="4374" spans="1:9" s="212" customFormat="1">
      <c r="A4374" s="69"/>
      <c r="B4374" s="69"/>
      <c r="C4374" s="69"/>
      <c r="D4374" s="69"/>
      <c r="E4374" s="69"/>
    </row>
    <row r="4375" spans="1:9" s="212" customFormat="1">
      <c r="A4375" s="120"/>
      <c r="B4375" s="73"/>
      <c r="C4375" s="73"/>
      <c r="D4375" s="73"/>
      <c r="E4375" s="73"/>
      <c r="F4375" s="73"/>
      <c r="G4375" s="73"/>
      <c r="H4375" s="73"/>
    </row>
    <row r="4376" spans="1:9" s="212" customFormat="1">
      <c r="A4376" s="220"/>
      <c r="B4376" s="141"/>
      <c r="C4376" s="141"/>
      <c r="D4376" s="141"/>
      <c r="E4376" s="141"/>
      <c r="F4376" s="141"/>
      <c r="G4376" s="141"/>
      <c r="H4376" s="73"/>
    </row>
    <row r="4377" spans="1:9" s="212" customFormat="1">
      <c r="A4377" s="150"/>
      <c r="B4377" s="83"/>
      <c r="C4377" s="148"/>
      <c r="D4377" s="84"/>
      <c r="E4377" s="84"/>
      <c r="F4377" s="84"/>
      <c r="G4377" s="224"/>
      <c r="H4377" s="221"/>
    </row>
    <row r="4378" spans="1:9" s="212" customFormat="1">
      <c r="A4378" s="84"/>
      <c r="B4378" s="83"/>
      <c r="C4378" s="84"/>
      <c r="D4378" s="84"/>
      <c r="E4378" s="84"/>
      <c r="G4378" s="213"/>
      <c r="H4378" s="222"/>
    </row>
    <row r="4379" spans="1:9" s="212" customFormat="1">
      <c r="A4379" s="120"/>
      <c r="B4379" s="73"/>
      <c r="C4379" s="73"/>
      <c r="D4379" s="73"/>
      <c r="E4379" s="73"/>
      <c r="G4379" s="73"/>
      <c r="H4379" s="222"/>
    </row>
    <row r="4380" spans="1:9" s="212" customFormat="1">
      <c r="A4380" s="220"/>
      <c r="B4380" s="141"/>
      <c r="C4380" s="141"/>
      <c r="D4380" s="141"/>
      <c r="E4380" s="141"/>
      <c r="F4380" s="141"/>
      <c r="G4380" s="141"/>
      <c r="H4380" s="222"/>
    </row>
    <row r="4381" spans="1:9" s="212" customFormat="1">
      <c r="A4381" s="150"/>
      <c r="B4381" s="83"/>
      <c r="C4381" s="148"/>
      <c r="D4381" s="84"/>
      <c r="E4381" s="84"/>
      <c r="F4381" s="84"/>
      <c r="G4381" s="224"/>
      <c r="H4381" s="222"/>
    </row>
    <row r="4382" spans="1:9" s="212" customFormat="1">
      <c r="A4382" s="150"/>
      <c r="B4382" s="83"/>
      <c r="C4382" s="148"/>
      <c r="D4382" s="84"/>
      <c r="E4382" s="84"/>
      <c r="F4382" s="84"/>
      <c r="G4382" s="224"/>
      <c r="H4382" s="221"/>
    </row>
    <row r="4383" spans="1:9" s="212" customFormat="1">
      <c r="A4383" s="91"/>
      <c r="B4383" s="91"/>
      <c r="C4383" s="91"/>
      <c r="D4383" s="91"/>
      <c r="E4383" s="91"/>
      <c r="G4383" s="213"/>
      <c r="H4383" s="222"/>
    </row>
    <row r="4384" spans="1:9" s="212" customFormat="1">
      <c r="A4384" s="120"/>
      <c r="B4384" s="73"/>
      <c r="C4384" s="73"/>
      <c r="D4384" s="73"/>
      <c r="E4384" s="73"/>
      <c r="G4384" s="73"/>
      <c r="H4384" s="222"/>
    </row>
    <row r="4385" spans="1:9" s="212" customFormat="1">
      <c r="A4385" s="220"/>
      <c r="B4385" s="141"/>
      <c r="C4385" s="141"/>
      <c r="D4385" s="141"/>
      <c r="E4385" s="141"/>
      <c r="F4385" s="141"/>
      <c r="G4385" s="141"/>
      <c r="H4385" s="222"/>
    </row>
    <row r="4386" spans="1:9" s="212" customFormat="1">
      <c r="A4386" s="146"/>
      <c r="B4386" s="83"/>
      <c r="C4386" s="148"/>
      <c r="D4386" s="84"/>
      <c r="E4386" s="84"/>
      <c r="F4386" s="84"/>
      <c r="G4386" s="146"/>
      <c r="H4386" s="221"/>
    </row>
    <row r="4387" spans="1:9" s="212" customFormat="1">
      <c r="A4387" s="91"/>
      <c r="B4387" s="91"/>
      <c r="C4387" s="91"/>
      <c r="D4387" s="91"/>
      <c r="E4387" s="91"/>
      <c r="G4387" s="213"/>
      <c r="H4387" s="222"/>
    </row>
    <row r="4388" spans="1:9" s="212" customFormat="1">
      <c r="A4388" s="120"/>
      <c r="B4388" s="73"/>
      <c r="C4388" s="73"/>
      <c r="D4388" s="73"/>
      <c r="E4388" s="73"/>
      <c r="G4388" s="73"/>
      <c r="H4388" s="222"/>
    </row>
    <row r="4389" spans="1:9" s="212" customFormat="1">
      <c r="A4389" s="220"/>
      <c r="B4389" s="141"/>
      <c r="C4389" s="141"/>
      <c r="D4389" s="141"/>
      <c r="E4389" s="141"/>
      <c r="F4389" s="141"/>
      <c r="G4389" s="141"/>
      <c r="H4389" s="222"/>
    </row>
    <row r="4390" spans="1:9" s="212" customFormat="1">
      <c r="A4390" s="142"/>
      <c r="B4390" s="143"/>
      <c r="C4390" s="143"/>
      <c r="D4390" s="143"/>
      <c r="E4390" s="143"/>
      <c r="F4390" s="84"/>
      <c r="G4390" s="146"/>
      <c r="H4390" s="221"/>
    </row>
    <row r="4391" spans="1:9" s="212" customFormat="1">
      <c r="A4391" s="123"/>
      <c r="B4391" s="95"/>
      <c r="C4391" s="95"/>
      <c r="D4391" s="95"/>
      <c r="E4391" s="95"/>
      <c r="G4391" s="213"/>
      <c r="H4391" s="73"/>
    </row>
    <row r="4392" spans="1:9" s="212" customFormat="1">
      <c r="A4392" s="123"/>
      <c r="B4392" s="95"/>
      <c r="C4392" s="95"/>
      <c r="D4392" s="95"/>
      <c r="E4392" s="95"/>
      <c r="G4392" s="73"/>
      <c r="H4392" s="225"/>
    </row>
    <row r="4393" spans="1:9" s="212" customFormat="1">
      <c r="B4393" s="97"/>
      <c r="C4393" s="98"/>
      <c r="D4393" s="98"/>
      <c r="E4393" s="98"/>
      <c r="G4393" s="220"/>
    </row>
    <row r="4394" spans="1:9" s="212" customFormat="1">
      <c r="B4394" s="97"/>
      <c r="C4394" s="98"/>
      <c r="D4394" s="98"/>
      <c r="E4394" s="98"/>
      <c r="F4394" s="220"/>
      <c r="G4394" s="225"/>
      <c r="H4394" s="226"/>
    </row>
    <row r="4395" spans="1:9" s="212" customFormat="1">
      <c r="A4395" s="633"/>
      <c r="B4395" s="633"/>
      <c r="C4395" s="633"/>
      <c r="D4395" s="633"/>
      <c r="E4395" s="633"/>
      <c r="F4395" s="633"/>
      <c r="G4395" s="633"/>
    </row>
    <row r="4396" spans="1:9" s="212" customFormat="1">
      <c r="H4396" s="227"/>
      <c r="I4396" s="228"/>
    </row>
    <row r="4397" spans="1:9" s="212" customFormat="1">
      <c r="A4397" s="658"/>
      <c r="B4397" s="227"/>
      <c r="C4397" s="227"/>
      <c r="D4397" s="227"/>
      <c r="E4397" s="227"/>
      <c r="F4397" s="227"/>
      <c r="G4397" s="227"/>
      <c r="H4397" s="227"/>
      <c r="I4397" s="229"/>
    </row>
    <row r="4398" spans="1:9" s="212" customFormat="1">
      <c r="A4398" s="658"/>
      <c r="B4398" s="227"/>
      <c r="C4398" s="227"/>
      <c r="D4398" s="227"/>
      <c r="E4398" s="227"/>
      <c r="F4398" s="227"/>
      <c r="G4398" s="227"/>
    </row>
    <row r="4399" spans="1:9" s="212" customFormat="1">
      <c r="A4399" s="69"/>
      <c r="B4399" s="69"/>
      <c r="C4399" s="69"/>
      <c r="D4399" s="69"/>
      <c r="E4399" s="69"/>
    </row>
    <row r="4400" spans="1:9" s="212" customFormat="1">
      <c r="A4400" s="120"/>
      <c r="B4400" s="73"/>
      <c r="C4400" s="73"/>
      <c r="D4400" s="73"/>
      <c r="E4400" s="73"/>
      <c r="F4400" s="73"/>
      <c r="G4400" s="73"/>
      <c r="H4400" s="73"/>
    </row>
    <row r="4401" spans="1:8" s="212" customFormat="1">
      <c r="A4401" s="220"/>
      <c r="B4401" s="141"/>
      <c r="C4401" s="141"/>
      <c r="D4401" s="141"/>
      <c r="E4401" s="141"/>
      <c r="F4401" s="141"/>
      <c r="G4401" s="141"/>
      <c r="H4401" s="73"/>
    </row>
    <row r="4402" spans="1:8" s="212" customFormat="1">
      <c r="A4402" s="150"/>
      <c r="B4402" s="83"/>
      <c r="C4402" s="148"/>
      <c r="D4402" s="84"/>
      <c r="E4402" s="84"/>
      <c r="F4402" s="84"/>
      <c r="G4402" s="224"/>
      <c r="H4402" s="221"/>
    </row>
    <row r="4403" spans="1:8" s="212" customFormat="1">
      <c r="A4403" s="84"/>
      <c r="B4403" s="83"/>
      <c r="C4403" s="84"/>
      <c r="D4403" s="84"/>
      <c r="E4403" s="84"/>
      <c r="G4403" s="213"/>
      <c r="H4403" s="222"/>
    </row>
    <row r="4404" spans="1:8" s="212" customFormat="1">
      <c r="A4404" s="120"/>
      <c r="B4404" s="73"/>
      <c r="C4404" s="73"/>
      <c r="D4404" s="73"/>
      <c r="E4404" s="73"/>
      <c r="G4404" s="73"/>
      <c r="H4404" s="222"/>
    </row>
    <row r="4405" spans="1:8" s="212" customFormat="1">
      <c r="A4405" s="220"/>
      <c r="B4405" s="141"/>
      <c r="C4405" s="141"/>
      <c r="D4405" s="141"/>
      <c r="E4405" s="141"/>
      <c r="F4405" s="141"/>
      <c r="G4405" s="141"/>
      <c r="H4405" s="222"/>
    </row>
    <row r="4406" spans="1:8" s="212" customFormat="1">
      <c r="A4406" s="150"/>
      <c r="B4406" s="83"/>
      <c r="C4406" s="148"/>
      <c r="D4406" s="84"/>
      <c r="E4406" s="84"/>
      <c r="F4406" s="84"/>
      <c r="G4406" s="224"/>
      <c r="H4406" s="221"/>
    </row>
    <row r="4407" spans="1:8" s="212" customFormat="1">
      <c r="A4407" s="91"/>
      <c r="B4407" s="91"/>
      <c r="C4407" s="91"/>
      <c r="D4407" s="91"/>
      <c r="E4407" s="91"/>
      <c r="G4407" s="213"/>
      <c r="H4407" s="222"/>
    </row>
    <row r="4408" spans="1:8" s="212" customFormat="1">
      <c r="A4408" s="120"/>
      <c r="B4408" s="73"/>
      <c r="C4408" s="73"/>
      <c r="D4408" s="73"/>
      <c r="E4408" s="73"/>
      <c r="G4408" s="73"/>
      <c r="H4408" s="222"/>
    </row>
    <row r="4409" spans="1:8" s="212" customFormat="1">
      <c r="A4409" s="220"/>
      <c r="B4409" s="141"/>
      <c r="C4409" s="141"/>
      <c r="D4409" s="141"/>
      <c r="E4409" s="141"/>
      <c r="F4409" s="141"/>
      <c r="G4409" s="141"/>
      <c r="H4409" s="222"/>
    </row>
    <row r="4410" spans="1:8" s="212" customFormat="1">
      <c r="A4410" s="146"/>
      <c r="B4410" s="83"/>
      <c r="C4410" s="148"/>
      <c r="D4410" s="84"/>
      <c r="E4410" s="84"/>
      <c r="F4410" s="84"/>
      <c r="G4410" s="146"/>
      <c r="H4410" s="221"/>
    </row>
    <row r="4411" spans="1:8" s="212" customFormat="1">
      <c r="A4411" s="91"/>
      <c r="B4411" s="91"/>
      <c r="C4411" s="91"/>
      <c r="D4411" s="91"/>
      <c r="E4411" s="91"/>
      <c r="G4411" s="213"/>
      <c r="H4411" s="222"/>
    </row>
    <row r="4412" spans="1:8" s="212" customFormat="1">
      <c r="A4412" s="120"/>
      <c r="B4412" s="73"/>
      <c r="C4412" s="73"/>
      <c r="D4412" s="73"/>
      <c r="E4412" s="73"/>
      <c r="G4412" s="73"/>
      <c r="H4412" s="222"/>
    </row>
    <row r="4413" spans="1:8" s="212" customFormat="1">
      <c r="A4413" s="220"/>
      <c r="B4413" s="141"/>
      <c r="C4413" s="141"/>
      <c r="D4413" s="141"/>
      <c r="E4413" s="141"/>
      <c r="F4413" s="141"/>
      <c r="G4413" s="141"/>
      <c r="H4413" s="222"/>
    </row>
    <row r="4414" spans="1:8" s="212" customFormat="1">
      <c r="A4414" s="142"/>
      <c r="B4414" s="143"/>
      <c r="C4414" s="143"/>
      <c r="D4414" s="143"/>
      <c r="E4414" s="143"/>
      <c r="F4414" s="84"/>
      <c r="G4414" s="146"/>
      <c r="H4414" s="221"/>
    </row>
    <row r="4415" spans="1:8" s="212" customFormat="1">
      <c r="A4415" s="123"/>
      <c r="B4415" s="95"/>
      <c r="C4415" s="95"/>
      <c r="D4415" s="95"/>
      <c r="E4415" s="95"/>
      <c r="G4415" s="213"/>
      <c r="H4415" s="73"/>
    </row>
    <row r="4416" spans="1:8" s="212" customFormat="1">
      <c r="A4416" s="123"/>
      <c r="B4416" s="95"/>
      <c r="C4416" s="95"/>
      <c r="D4416" s="95"/>
      <c r="E4416" s="95"/>
      <c r="G4416" s="73"/>
      <c r="H4416" s="225"/>
    </row>
    <row r="4417" spans="1:9" s="212" customFormat="1">
      <c r="B4417" s="97"/>
      <c r="C4417" s="98"/>
      <c r="D4417" s="98"/>
      <c r="E4417" s="98"/>
      <c r="G4417" s="220"/>
    </row>
    <row r="4418" spans="1:9" s="212" customFormat="1">
      <c r="B4418" s="97"/>
      <c r="C4418" s="98"/>
      <c r="D4418" s="98"/>
      <c r="E4418" s="98"/>
      <c r="F4418" s="220"/>
      <c r="G4418" s="225"/>
      <c r="H4418" s="226"/>
    </row>
    <row r="4419" spans="1:9" s="212" customFormat="1">
      <c r="A4419" s="633"/>
      <c r="B4419" s="633"/>
      <c r="C4419" s="633"/>
      <c r="D4419" s="633"/>
      <c r="E4419" s="633"/>
      <c r="F4419" s="633"/>
      <c r="G4419" s="633"/>
    </row>
    <row r="4420" spans="1:9" s="212" customFormat="1">
      <c r="H4420" s="227"/>
      <c r="I4420" s="228"/>
    </row>
    <row r="4421" spans="1:9" s="212" customFormat="1">
      <c r="A4421" s="658"/>
      <c r="B4421" s="227"/>
      <c r="C4421" s="227"/>
      <c r="D4421" s="227"/>
      <c r="E4421" s="227"/>
      <c r="F4421" s="227"/>
      <c r="G4421" s="227"/>
      <c r="H4421" s="227"/>
      <c r="I4421" s="229"/>
    </row>
    <row r="4422" spans="1:9" s="212" customFormat="1">
      <c r="A4422" s="658"/>
      <c r="B4422" s="227"/>
      <c r="C4422" s="227"/>
      <c r="D4422" s="227"/>
      <c r="E4422" s="227"/>
      <c r="F4422" s="227"/>
      <c r="G4422" s="227"/>
    </row>
    <row r="4423" spans="1:9" s="212" customFormat="1">
      <c r="A4423" s="69"/>
      <c r="B4423" s="69"/>
      <c r="C4423" s="69"/>
      <c r="D4423" s="69"/>
      <c r="E4423" s="69"/>
    </row>
    <row r="4424" spans="1:9" s="212" customFormat="1">
      <c r="A4424" s="120"/>
      <c r="B4424" s="73"/>
      <c r="C4424" s="73"/>
      <c r="D4424" s="73"/>
      <c r="E4424" s="73"/>
      <c r="F4424" s="73"/>
      <c r="G4424" s="73"/>
      <c r="H4424" s="73"/>
    </row>
    <row r="4425" spans="1:9" s="212" customFormat="1">
      <c r="A4425" s="220"/>
      <c r="B4425" s="141"/>
      <c r="C4425" s="141"/>
      <c r="D4425" s="141"/>
      <c r="E4425" s="141"/>
      <c r="F4425" s="141"/>
      <c r="G4425" s="141"/>
      <c r="H4425" s="73"/>
    </row>
    <row r="4426" spans="1:9" s="212" customFormat="1">
      <c r="A4426" s="150"/>
      <c r="B4426" s="83"/>
      <c r="C4426" s="148"/>
      <c r="D4426" s="84"/>
      <c r="E4426" s="84"/>
      <c r="F4426" s="84"/>
      <c r="G4426" s="224"/>
      <c r="H4426" s="221"/>
    </row>
    <row r="4427" spans="1:9" s="212" customFormat="1">
      <c r="A4427" s="84"/>
      <c r="B4427" s="83"/>
      <c r="C4427" s="84"/>
      <c r="D4427" s="84"/>
      <c r="E4427" s="84"/>
      <c r="G4427" s="213"/>
      <c r="H4427" s="222"/>
    </row>
    <row r="4428" spans="1:9" s="212" customFormat="1">
      <c r="A4428" s="120"/>
      <c r="B4428" s="73"/>
      <c r="C4428" s="73"/>
      <c r="D4428" s="73"/>
      <c r="E4428" s="73"/>
      <c r="G4428" s="73"/>
      <c r="H4428" s="222"/>
    </row>
    <row r="4429" spans="1:9" s="212" customFormat="1">
      <c r="A4429" s="220"/>
      <c r="B4429" s="141"/>
      <c r="C4429" s="141"/>
      <c r="D4429" s="141"/>
      <c r="E4429" s="141"/>
      <c r="F4429" s="141"/>
      <c r="G4429" s="141"/>
      <c r="H4429" s="222"/>
    </row>
    <row r="4430" spans="1:9" s="212" customFormat="1">
      <c r="A4430" s="150"/>
      <c r="B4430" s="83"/>
      <c r="C4430" s="148"/>
      <c r="D4430" s="84"/>
      <c r="E4430" s="84"/>
      <c r="F4430" s="84"/>
      <c r="G4430" s="224"/>
      <c r="H4430" s="221"/>
    </row>
    <row r="4431" spans="1:9" s="212" customFormat="1">
      <c r="A4431" s="91"/>
      <c r="B4431" s="91"/>
      <c r="C4431" s="91"/>
      <c r="D4431" s="91"/>
      <c r="E4431" s="91"/>
      <c r="G4431" s="213"/>
      <c r="H4431" s="222"/>
    </row>
    <row r="4432" spans="1:9" s="212" customFormat="1">
      <c r="A4432" s="120"/>
      <c r="B4432" s="73"/>
      <c r="C4432" s="73"/>
      <c r="D4432" s="73"/>
      <c r="E4432" s="73"/>
      <c r="G4432" s="73"/>
      <c r="H4432" s="222"/>
    </row>
    <row r="4433" spans="1:9" s="212" customFormat="1">
      <c r="A4433" s="220"/>
      <c r="B4433" s="141"/>
      <c r="C4433" s="141"/>
      <c r="D4433" s="141"/>
      <c r="E4433" s="141"/>
      <c r="F4433" s="141"/>
      <c r="G4433" s="141"/>
      <c r="H4433" s="222"/>
    </row>
    <row r="4434" spans="1:9" s="212" customFormat="1">
      <c r="A4434" s="146"/>
      <c r="B4434" s="83"/>
      <c r="C4434" s="148"/>
      <c r="D4434" s="84"/>
      <c r="E4434" s="84"/>
      <c r="F4434" s="84"/>
      <c r="G4434" s="146"/>
      <c r="H4434" s="221"/>
    </row>
    <row r="4435" spans="1:9" s="212" customFormat="1">
      <c r="A4435" s="91"/>
      <c r="B4435" s="91"/>
      <c r="C4435" s="91"/>
      <c r="D4435" s="91"/>
      <c r="E4435" s="91"/>
      <c r="G4435" s="213"/>
      <c r="H4435" s="222"/>
    </row>
    <row r="4436" spans="1:9" s="212" customFormat="1">
      <c r="A4436" s="120"/>
      <c r="B4436" s="73"/>
      <c r="C4436" s="73"/>
      <c r="D4436" s="73"/>
      <c r="E4436" s="73"/>
      <c r="G4436" s="73"/>
      <c r="H4436" s="222"/>
    </row>
    <row r="4437" spans="1:9" s="212" customFormat="1">
      <c r="A4437" s="220"/>
      <c r="B4437" s="141"/>
      <c r="C4437" s="141"/>
      <c r="D4437" s="141"/>
      <c r="E4437" s="141"/>
      <c r="F4437" s="141"/>
      <c r="G4437" s="141"/>
      <c r="H4437" s="222"/>
    </row>
    <row r="4438" spans="1:9" s="212" customFormat="1">
      <c r="A4438" s="142"/>
      <c r="B4438" s="143"/>
      <c r="C4438" s="143"/>
      <c r="D4438" s="143"/>
      <c r="E4438" s="143"/>
      <c r="F4438" s="84"/>
      <c r="G4438" s="146"/>
      <c r="H4438" s="221"/>
    </row>
    <row r="4439" spans="1:9" s="212" customFormat="1">
      <c r="A4439" s="123"/>
      <c r="B4439" s="95"/>
      <c r="C4439" s="95"/>
      <c r="D4439" s="95"/>
      <c r="E4439" s="95"/>
      <c r="G4439" s="213"/>
      <c r="H4439" s="73"/>
    </row>
    <row r="4440" spans="1:9" s="212" customFormat="1">
      <c r="A4440" s="123"/>
      <c r="B4440" s="95"/>
      <c r="C4440" s="95"/>
      <c r="D4440" s="95"/>
      <c r="E4440" s="95"/>
      <c r="G4440" s="73"/>
      <c r="H4440" s="225"/>
    </row>
    <row r="4441" spans="1:9" s="212" customFormat="1">
      <c r="B4441" s="97"/>
      <c r="C4441" s="98"/>
      <c r="D4441" s="98"/>
      <c r="E4441" s="98"/>
      <c r="G4441" s="220"/>
    </row>
    <row r="4442" spans="1:9" s="212" customFormat="1">
      <c r="B4442" s="97"/>
      <c r="C4442" s="98"/>
      <c r="D4442" s="98"/>
      <c r="E4442" s="98"/>
      <c r="F4442" s="220"/>
      <c r="G4442" s="225"/>
      <c r="H4442" s="226"/>
    </row>
    <row r="4443" spans="1:9" s="212" customFormat="1">
      <c r="A4443" s="633"/>
      <c r="B4443" s="633"/>
      <c r="C4443" s="633"/>
      <c r="D4443" s="633"/>
      <c r="E4443" s="633"/>
      <c r="F4443" s="633"/>
      <c r="G4443" s="633"/>
    </row>
    <row r="4444" spans="1:9" s="212" customFormat="1">
      <c r="H4444" s="227"/>
      <c r="I4444" s="228"/>
    </row>
    <row r="4445" spans="1:9" s="212" customFormat="1">
      <c r="A4445" s="658"/>
      <c r="B4445" s="227"/>
      <c r="C4445" s="227"/>
      <c r="D4445" s="227"/>
      <c r="E4445" s="227"/>
      <c r="F4445" s="227"/>
      <c r="G4445" s="227"/>
      <c r="H4445" s="227"/>
      <c r="I4445" s="229"/>
    </row>
    <row r="4446" spans="1:9" s="212" customFormat="1">
      <c r="A4446" s="658"/>
      <c r="B4446" s="227"/>
      <c r="C4446" s="227"/>
      <c r="D4446" s="227"/>
      <c r="E4446" s="227"/>
      <c r="F4446" s="227"/>
      <c r="G4446" s="227"/>
    </row>
    <row r="4447" spans="1:9" s="212" customFormat="1">
      <c r="A4447" s="69"/>
      <c r="B4447" s="69"/>
      <c r="C4447" s="69"/>
      <c r="D4447" s="69"/>
      <c r="E4447" s="69"/>
    </row>
    <row r="4448" spans="1:9" s="212" customFormat="1">
      <c r="A4448" s="120"/>
      <c r="B4448" s="73"/>
      <c r="C4448" s="73"/>
      <c r="D4448" s="73"/>
      <c r="E4448" s="73"/>
      <c r="F4448" s="73"/>
      <c r="G4448" s="73"/>
      <c r="H4448" s="73"/>
    </row>
    <row r="4449" spans="1:8" s="212" customFormat="1">
      <c r="A4449" s="220"/>
      <c r="B4449" s="141"/>
      <c r="C4449" s="141"/>
      <c r="D4449" s="141"/>
      <c r="E4449" s="141"/>
      <c r="F4449" s="141"/>
      <c r="G4449" s="141"/>
      <c r="H4449" s="73"/>
    </row>
    <row r="4450" spans="1:8" s="212" customFormat="1">
      <c r="A4450" s="150"/>
      <c r="B4450" s="83"/>
      <c r="C4450" s="148"/>
      <c r="D4450" s="84"/>
      <c r="E4450" s="84"/>
      <c r="F4450" s="84"/>
      <c r="G4450" s="224"/>
      <c r="H4450" s="221"/>
    </row>
    <row r="4451" spans="1:8" s="212" customFormat="1">
      <c r="A4451" s="84"/>
      <c r="B4451" s="83"/>
      <c r="C4451" s="84"/>
      <c r="D4451" s="84"/>
      <c r="E4451" s="84"/>
      <c r="G4451" s="213"/>
      <c r="H4451" s="222"/>
    </row>
    <row r="4452" spans="1:8" s="212" customFormat="1">
      <c r="A4452" s="120"/>
      <c r="B4452" s="73"/>
      <c r="C4452" s="73"/>
      <c r="D4452" s="73"/>
      <c r="E4452" s="73"/>
      <c r="G4452" s="73"/>
      <c r="H4452" s="222"/>
    </row>
    <row r="4453" spans="1:8" s="212" customFormat="1">
      <c r="A4453" s="220"/>
      <c r="B4453" s="141"/>
      <c r="C4453" s="141"/>
      <c r="D4453" s="141"/>
      <c r="E4453" s="141"/>
      <c r="F4453" s="141"/>
      <c r="G4453" s="141"/>
      <c r="H4453" s="222"/>
    </row>
    <row r="4454" spans="1:8" s="212" customFormat="1">
      <c r="A4454" s="150"/>
      <c r="B4454" s="83"/>
      <c r="C4454" s="148"/>
      <c r="D4454" s="84"/>
      <c r="E4454" s="84"/>
      <c r="F4454" s="84"/>
      <c r="G4454" s="224"/>
      <c r="H4454" s="221"/>
    </row>
    <row r="4455" spans="1:8" s="212" customFormat="1">
      <c r="A4455" s="91"/>
      <c r="B4455" s="91"/>
      <c r="C4455" s="91"/>
      <c r="D4455" s="91"/>
      <c r="E4455" s="91"/>
      <c r="G4455" s="213"/>
      <c r="H4455" s="222"/>
    </row>
    <row r="4456" spans="1:8" s="212" customFormat="1">
      <c r="A4456" s="120"/>
      <c r="B4456" s="73"/>
      <c r="C4456" s="73"/>
      <c r="D4456" s="73"/>
      <c r="E4456" s="73"/>
      <c r="G4456" s="73"/>
      <c r="H4456" s="222"/>
    </row>
    <row r="4457" spans="1:8" s="212" customFormat="1">
      <c r="A4457" s="220"/>
      <c r="B4457" s="141"/>
      <c r="C4457" s="141"/>
      <c r="D4457" s="141"/>
      <c r="E4457" s="141"/>
      <c r="F4457" s="141"/>
      <c r="G4457" s="141"/>
      <c r="H4457" s="222"/>
    </row>
    <row r="4458" spans="1:8" s="212" customFormat="1">
      <c r="A4458" s="146"/>
      <c r="B4458" s="83"/>
      <c r="C4458" s="148"/>
      <c r="D4458" s="84"/>
      <c r="E4458" s="84"/>
      <c r="F4458" s="84"/>
      <c r="G4458" s="146"/>
      <c r="H4458" s="221"/>
    </row>
    <row r="4459" spans="1:8" s="212" customFormat="1">
      <c r="A4459" s="91"/>
      <c r="B4459" s="91"/>
      <c r="C4459" s="91"/>
      <c r="D4459" s="91"/>
      <c r="E4459" s="91"/>
      <c r="G4459" s="213"/>
      <c r="H4459" s="222"/>
    </row>
    <row r="4460" spans="1:8" s="212" customFormat="1">
      <c r="A4460" s="120"/>
      <c r="B4460" s="73"/>
      <c r="C4460" s="73"/>
      <c r="D4460" s="73"/>
      <c r="E4460" s="73"/>
      <c r="G4460" s="73"/>
      <c r="H4460" s="222"/>
    </row>
    <row r="4461" spans="1:8" s="212" customFormat="1">
      <c r="A4461" s="220"/>
      <c r="B4461" s="141"/>
      <c r="C4461" s="141"/>
      <c r="D4461" s="141"/>
      <c r="E4461" s="141"/>
      <c r="F4461" s="141"/>
      <c r="G4461" s="141"/>
      <c r="H4461" s="222"/>
    </row>
    <row r="4462" spans="1:8" s="212" customFormat="1">
      <c r="A4462" s="142"/>
      <c r="B4462" s="143"/>
      <c r="C4462" s="143"/>
      <c r="D4462" s="143"/>
      <c r="E4462" s="143"/>
      <c r="F4462" s="84"/>
      <c r="G4462" s="146"/>
      <c r="H4462" s="221"/>
    </row>
    <row r="4463" spans="1:8" s="212" customFormat="1">
      <c r="A4463" s="123"/>
      <c r="B4463" s="95"/>
      <c r="C4463" s="95"/>
      <c r="D4463" s="95"/>
      <c r="E4463" s="95"/>
      <c r="G4463" s="213"/>
      <c r="H4463" s="73"/>
    </row>
    <row r="4464" spans="1:8" s="212" customFormat="1">
      <c r="A4464" s="123"/>
      <c r="B4464" s="95"/>
      <c r="C4464" s="95"/>
      <c r="D4464" s="95"/>
      <c r="E4464" s="95"/>
      <c r="G4464" s="73"/>
      <c r="H4464" s="225"/>
    </row>
    <row r="4465" spans="1:9" s="212" customFormat="1">
      <c r="B4465" s="97"/>
      <c r="C4465" s="98"/>
      <c r="D4465" s="98"/>
      <c r="E4465" s="98"/>
      <c r="G4465" s="220"/>
    </row>
    <row r="4466" spans="1:9" s="212" customFormat="1">
      <c r="B4466" s="97"/>
      <c r="C4466" s="98"/>
      <c r="D4466" s="98"/>
      <c r="E4466" s="98"/>
      <c r="F4466" s="220"/>
      <c r="G4466" s="225"/>
      <c r="H4466" s="226"/>
    </row>
    <row r="4467" spans="1:9" s="212" customFormat="1">
      <c r="A4467" s="633"/>
      <c r="B4467" s="633"/>
      <c r="C4467" s="633"/>
      <c r="D4467" s="633"/>
      <c r="E4467" s="633"/>
      <c r="F4467" s="633"/>
      <c r="G4467" s="633"/>
    </row>
    <row r="4468" spans="1:9" s="212" customFormat="1">
      <c r="H4468" s="227"/>
      <c r="I4468" s="228"/>
    </row>
    <row r="4469" spans="1:9" s="212" customFormat="1">
      <c r="A4469" s="658"/>
      <c r="B4469" s="227"/>
      <c r="C4469" s="227"/>
      <c r="D4469" s="227"/>
      <c r="E4469" s="227"/>
      <c r="F4469" s="227"/>
      <c r="G4469" s="227"/>
      <c r="H4469" s="227"/>
      <c r="I4469" s="229"/>
    </row>
    <row r="4470" spans="1:9" s="212" customFormat="1">
      <c r="A4470" s="658"/>
      <c r="B4470" s="227"/>
      <c r="C4470" s="227"/>
      <c r="D4470" s="227"/>
      <c r="E4470" s="227"/>
      <c r="F4470" s="227"/>
      <c r="G4470" s="227"/>
    </row>
    <row r="4471" spans="1:9" s="212" customFormat="1">
      <c r="A4471" s="69"/>
      <c r="B4471" s="69"/>
      <c r="C4471" s="69"/>
      <c r="D4471" s="69"/>
      <c r="E4471" s="69"/>
    </row>
    <row r="4472" spans="1:9" s="212" customFormat="1">
      <c r="A4472" s="120"/>
      <c r="B4472" s="73"/>
      <c r="C4472" s="73"/>
      <c r="D4472" s="73"/>
      <c r="E4472" s="73"/>
      <c r="F4472" s="73"/>
      <c r="G4472" s="73"/>
      <c r="H4472" s="73"/>
    </row>
    <row r="4473" spans="1:9" s="212" customFormat="1">
      <c r="A4473" s="220"/>
      <c r="B4473" s="141"/>
      <c r="C4473" s="141"/>
      <c r="D4473" s="141"/>
      <c r="E4473" s="141"/>
      <c r="F4473" s="141"/>
      <c r="G4473" s="141"/>
      <c r="H4473" s="73"/>
    </row>
    <row r="4474" spans="1:9" s="212" customFormat="1">
      <c r="A4474" s="150"/>
      <c r="B4474" s="83"/>
      <c r="C4474" s="148"/>
      <c r="D4474" s="84"/>
      <c r="E4474" s="84"/>
      <c r="F4474" s="84"/>
      <c r="G4474" s="224"/>
      <c r="H4474" s="73"/>
    </row>
    <row r="4475" spans="1:9" s="212" customFormat="1">
      <c r="A4475" s="150"/>
      <c r="B4475" s="83"/>
      <c r="C4475" s="148"/>
      <c r="D4475" s="84"/>
      <c r="E4475" s="84"/>
      <c r="F4475" s="84"/>
      <c r="G4475" s="224"/>
      <c r="H4475" s="221"/>
    </row>
    <row r="4476" spans="1:9" s="212" customFormat="1">
      <c r="A4476" s="84"/>
      <c r="B4476" s="83"/>
      <c r="C4476" s="84"/>
      <c r="D4476" s="84"/>
      <c r="E4476" s="84"/>
      <c r="G4476" s="213"/>
      <c r="H4476" s="222"/>
    </row>
    <row r="4477" spans="1:9" s="212" customFormat="1">
      <c r="A4477" s="120"/>
      <c r="B4477" s="73"/>
      <c r="C4477" s="73"/>
      <c r="D4477" s="73"/>
      <c r="E4477" s="73"/>
      <c r="G4477" s="73"/>
      <c r="H4477" s="222"/>
    </row>
    <row r="4478" spans="1:9" s="212" customFormat="1">
      <c r="A4478" s="220"/>
      <c r="B4478" s="141"/>
      <c r="C4478" s="141"/>
      <c r="D4478" s="141"/>
      <c r="E4478" s="141"/>
      <c r="F4478" s="141"/>
      <c r="G4478" s="141"/>
      <c r="H4478" s="222"/>
    </row>
    <row r="4479" spans="1:9" s="212" customFormat="1">
      <c r="A4479" s="150"/>
      <c r="B4479" s="83"/>
      <c r="C4479" s="148"/>
      <c r="D4479" s="84"/>
      <c r="E4479" s="84"/>
      <c r="F4479" s="84"/>
      <c r="G4479" s="224"/>
      <c r="H4479" s="222"/>
    </row>
    <row r="4480" spans="1:9" s="212" customFormat="1">
      <c r="A4480" s="150"/>
      <c r="B4480" s="83"/>
      <c r="C4480" s="148"/>
      <c r="D4480" s="84"/>
      <c r="E4480" s="84"/>
      <c r="F4480" s="84"/>
      <c r="G4480" s="224"/>
      <c r="H4480" s="222"/>
    </row>
    <row r="4481" spans="1:8" s="212" customFormat="1">
      <c r="A4481" s="150"/>
      <c r="B4481" s="83"/>
      <c r="C4481" s="148"/>
      <c r="D4481" s="84"/>
      <c r="E4481" s="84"/>
      <c r="F4481" s="84"/>
      <c r="G4481" s="224"/>
      <c r="H4481" s="222"/>
    </row>
    <row r="4482" spans="1:8" s="212" customFormat="1">
      <c r="A4482" s="150"/>
      <c r="B4482" s="83"/>
      <c r="C4482" s="148"/>
      <c r="D4482" s="84"/>
      <c r="E4482" s="84"/>
      <c r="F4482" s="84"/>
      <c r="G4482" s="224"/>
      <c r="H4482" s="222"/>
    </row>
    <row r="4483" spans="1:8" s="212" customFormat="1">
      <c r="A4483" s="150"/>
      <c r="B4483" s="83"/>
      <c r="C4483" s="148"/>
      <c r="D4483" s="84"/>
      <c r="E4483" s="84"/>
      <c r="F4483" s="84"/>
      <c r="G4483" s="224"/>
      <c r="H4483" s="222"/>
    </row>
    <row r="4484" spans="1:8" s="212" customFormat="1">
      <c r="A4484" s="150"/>
      <c r="B4484" s="83"/>
      <c r="C4484" s="148"/>
      <c r="D4484" s="84"/>
      <c r="E4484" s="84"/>
      <c r="F4484" s="84"/>
      <c r="G4484" s="224"/>
      <c r="H4484" s="222"/>
    </row>
    <row r="4485" spans="1:8" s="212" customFormat="1">
      <c r="A4485" s="150"/>
      <c r="B4485" s="83"/>
      <c r="C4485" s="148"/>
      <c r="D4485" s="84"/>
      <c r="E4485" s="84"/>
      <c r="F4485" s="84"/>
      <c r="G4485" s="224"/>
      <c r="H4485" s="222"/>
    </row>
    <row r="4486" spans="1:8" s="212" customFormat="1">
      <c r="A4486" s="150"/>
      <c r="B4486" s="83"/>
      <c r="C4486" s="148"/>
      <c r="D4486" s="84"/>
      <c r="E4486" s="84"/>
      <c r="F4486" s="84"/>
      <c r="G4486" s="224"/>
      <c r="H4486" s="221"/>
    </row>
    <row r="4487" spans="1:8" s="212" customFormat="1">
      <c r="A4487" s="91"/>
      <c r="B4487" s="91"/>
      <c r="C4487" s="91"/>
      <c r="D4487" s="91"/>
      <c r="E4487" s="91"/>
      <c r="G4487" s="213"/>
      <c r="H4487" s="222"/>
    </row>
    <row r="4488" spans="1:8" s="212" customFormat="1">
      <c r="A4488" s="120"/>
      <c r="B4488" s="73"/>
      <c r="C4488" s="73"/>
      <c r="D4488" s="73"/>
      <c r="E4488" s="73"/>
      <c r="G4488" s="73"/>
      <c r="H4488" s="222"/>
    </row>
    <row r="4489" spans="1:8" s="212" customFormat="1">
      <c r="A4489" s="220"/>
      <c r="B4489" s="141"/>
      <c r="C4489" s="141"/>
      <c r="D4489" s="141"/>
      <c r="E4489" s="141"/>
      <c r="F4489" s="141"/>
      <c r="G4489" s="141"/>
      <c r="H4489" s="222"/>
    </row>
    <row r="4490" spans="1:8" s="212" customFormat="1">
      <c r="A4490" s="146"/>
      <c r="B4490" s="83"/>
      <c r="C4490" s="148"/>
      <c r="D4490" s="84"/>
      <c r="E4490" s="84"/>
      <c r="F4490" s="84"/>
      <c r="G4490" s="146"/>
      <c r="H4490" s="222"/>
    </row>
    <row r="4491" spans="1:8" s="212" customFormat="1">
      <c r="A4491" s="146"/>
      <c r="B4491" s="83"/>
      <c r="C4491" s="148"/>
      <c r="D4491" s="84"/>
      <c r="E4491" s="84"/>
      <c r="F4491" s="84"/>
      <c r="G4491" s="146"/>
      <c r="H4491" s="221"/>
    </row>
    <row r="4492" spans="1:8" s="212" customFormat="1">
      <c r="A4492" s="91"/>
      <c r="B4492" s="91"/>
      <c r="C4492" s="91"/>
      <c r="D4492" s="91"/>
      <c r="E4492" s="91"/>
      <c r="G4492" s="213"/>
      <c r="H4492" s="222"/>
    </row>
    <row r="4493" spans="1:8" s="212" customFormat="1">
      <c r="A4493" s="120"/>
      <c r="B4493" s="73"/>
      <c r="C4493" s="73"/>
      <c r="D4493" s="73"/>
      <c r="E4493" s="73"/>
      <c r="G4493" s="73"/>
      <c r="H4493" s="222"/>
    </row>
    <row r="4494" spans="1:8" s="212" customFormat="1">
      <c r="A4494" s="220"/>
      <c r="B4494" s="141"/>
      <c r="C4494" s="141"/>
      <c r="D4494" s="141"/>
      <c r="E4494" s="141"/>
      <c r="F4494" s="141"/>
      <c r="G4494" s="141"/>
      <c r="H4494" s="222"/>
    </row>
    <row r="4495" spans="1:8" s="212" customFormat="1">
      <c r="A4495" s="142"/>
      <c r="B4495" s="143"/>
      <c r="C4495" s="143"/>
      <c r="D4495" s="143"/>
      <c r="E4495" s="143"/>
      <c r="F4495" s="84"/>
      <c r="G4495" s="146"/>
      <c r="H4495" s="221"/>
    </row>
    <row r="4496" spans="1:8" s="212" customFormat="1">
      <c r="A4496" s="123"/>
      <c r="B4496" s="95"/>
      <c r="C4496" s="95"/>
      <c r="D4496" s="95"/>
      <c r="E4496" s="95"/>
      <c r="G4496" s="213"/>
      <c r="H4496" s="73"/>
    </row>
    <row r="4497" spans="1:9" s="212" customFormat="1">
      <c r="A4497" s="123"/>
      <c r="B4497" s="95"/>
      <c r="C4497" s="95"/>
      <c r="D4497" s="95"/>
      <c r="E4497" s="95"/>
      <c r="G4497" s="73"/>
      <c r="H4497" s="225"/>
    </row>
    <row r="4498" spans="1:9" s="212" customFormat="1">
      <c r="B4498" s="97"/>
      <c r="C4498" s="98"/>
      <c r="D4498" s="98"/>
      <c r="E4498" s="98"/>
      <c r="G4498" s="220"/>
    </row>
    <row r="4499" spans="1:9" s="212" customFormat="1">
      <c r="B4499" s="97"/>
      <c r="C4499" s="98"/>
      <c r="D4499" s="98"/>
      <c r="E4499" s="98"/>
      <c r="F4499" s="220"/>
      <c r="G4499" s="225"/>
      <c r="H4499" s="226"/>
    </row>
    <row r="4500" spans="1:9" s="212" customFormat="1">
      <c r="A4500" s="633"/>
      <c r="B4500" s="633"/>
      <c r="C4500" s="633"/>
      <c r="D4500" s="633"/>
      <c r="E4500" s="633"/>
      <c r="F4500" s="633"/>
      <c r="G4500" s="633"/>
    </row>
    <row r="4501" spans="1:9" s="212" customFormat="1">
      <c r="H4501" s="227"/>
      <c r="I4501" s="228"/>
    </row>
    <row r="4502" spans="1:9" s="212" customFormat="1">
      <c r="A4502" s="658"/>
      <c r="B4502" s="227"/>
      <c r="C4502" s="227"/>
      <c r="D4502" s="227"/>
      <c r="E4502" s="227"/>
      <c r="F4502" s="227"/>
      <c r="G4502" s="227"/>
      <c r="H4502" s="227"/>
      <c r="I4502" s="229"/>
    </row>
    <row r="4503" spans="1:9" s="212" customFormat="1">
      <c r="A4503" s="658"/>
      <c r="B4503" s="227"/>
      <c r="C4503" s="227"/>
      <c r="D4503" s="227"/>
      <c r="E4503" s="227"/>
      <c r="F4503" s="227"/>
      <c r="G4503" s="227"/>
    </row>
    <row r="4504" spans="1:9" s="212" customFormat="1">
      <c r="A4504" s="69"/>
      <c r="B4504" s="69"/>
      <c r="C4504" s="69"/>
      <c r="D4504" s="69"/>
      <c r="E4504" s="69"/>
    </row>
    <row r="4505" spans="1:9" s="212" customFormat="1">
      <c r="A4505" s="120"/>
      <c r="B4505" s="73"/>
      <c r="C4505" s="73"/>
      <c r="D4505" s="73"/>
      <c r="E4505" s="73"/>
      <c r="F4505" s="73"/>
      <c r="G4505" s="73"/>
      <c r="H4505" s="73"/>
    </row>
    <row r="4506" spans="1:9" s="212" customFormat="1">
      <c r="A4506" s="220"/>
      <c r="B4506" s="141"/>
      <c r="C4506" s="141"/>
      <c r="D4506" s="141"/>
      <c r="E4506" s="141"/>
      <c r="F4506" s="141"/>
      <c r="G4506" s="141"/>
      <c r="H4506" s="73"/>
    </row>
    <row r="4507" spans="1:9" s="212" customFormat="1">
      <c r="A4507" s="150"/>
      <c r="B4507" s="83"/>
      <c r="C4507" s="148"/>
      <c r="D4507" s="84"/>
      <c r="E4507" s="84"/>
      <c r="F4507" s="84"/>
      <c r="G4507" s="224"/>
      <c r="H4507" s="221"/>
    </row>
    <row r="4508" spans="1:9" s="212" customFormat="1">
      <c r="A4508" s="84"/>
      <c r="B4508" s="83"/>
      <c r="C4508" s="84"/>
      <c r="D4508" s="84"/>
      <c r="E4508" s="84"/>
      <c r="G4508" s="213"/>
      <c r="H4508" s="222"/>
    </row>
    <row r="4509" spans="1:9" s="212" customFormat="1">
      <c r="A4509" s="120"/>
      <c r="B4509" s="73"/>
      <c r="C4509" s="73"/>
      <c r="D4509" s="73"/>
      <c r="E4509" s="73"/>
      <c r="G4509" s="73"/>
      <c r="H4509" s="222"/>
    </row>
    <row r="4510" spans="1:9" s="212" customFormat="1">
      <c r="A4510" s="220"/>
      <c r="B4510" s="141"/>
      <c r="C4510" s="141"/>
      <c r="D4510" s="141"/>
      <c r="E4510" s="141"/>
      <c r="F4510" s="141"/>
      <c r="G4510" s="141"/>
      <c r="H4510" s="222"/>
    </row>
    <row r="4511" spans="1:9" s="212" customFormat="1">
      <c r="A4511" s="150"/>
      <c r="B4511" s="83"/>
      <c r="C4511" s="148"/>
      <c r="D4511" s="84"/>
      <c r="E4511" s="84"/>
      <c r="F4511" s="84"/>
      <c r="G4511" s="224"/>
      <c r="H4511" s="221"/>
    </row>
    <row r="4512" spans="1:9" s="212" customFormat="1">
      <c r="A4512" s="91"/>
      <c r="B4512" s="91"/>
      <c r="C4512" s="91"/>
      <c r="D4512" s="91"/>
      <c r="E4512" s="91"/>
      <c r="G4512" s="213"/>
      <c r="H4512" s="222"/>
    </row>
    <row r="4513" spans="1:9" s="212" customFormat="1">
      <c r="A4513" s="120"/>
      <c r="B4513" s="73"/>
      <c r="C4513" s="73"/>
      <c r="D4513" s="73"/>
      <c r="E4513" s="73"/>
      <c r="G4513" s="73"/>
      <c r="H4513" s="222"/>
    </row>
    <row r="4514" spans="1:9" s="212" customFormat="1">
      <c r="A4514" s="220"/>
      <c r="B4514" s="141"/>
      <c r="C4514" s="141"/>
      <c r="D4514" s="141"/>
      <c r="E4514" s="141"/>
      <c r="F4514" s="141"/>
      <c r="G4514" s="141"/>
      <c r="H4514" s="222"/>
    </row>
    <row r="4515" spans="1:9" s="212" customFormat="1">
      <c r="A4515" s="146"/>
      <c r="B4515" s="83"/>
      <c r="C4515" s="148"/>
      <c r="D4515" s="84"/>
      <c r="E4515" s="84"/>
      <c r="F4515" s="84"/>
      <c r="G4515" s="146"/>
      <c r="H4515" s="221"/>
    </row>
    <row r="4516" spans="1:9" s="212" customFormat="1">
      <c r="A4516" s="91"/>
      <c r="B4516" s="91"/>
      <c r="C4516" s="91"/>
      <c r="D4516" s="91"/>
      <c r="E4516" s="91"/>
      <c r="G4516" s="213"/>
      <c r="H4516" s="222"/>
    </row>
    <row r="4517" spans="1:9" s="212" customFormat="1">
      <c r="A4517" s="120"/>
      <c r="B4517" s="73"/>
      <c r="C4517" s="73"/>
      <c r="D4517" s="73"/>
      <c r="E4517" s="73"/>
      <c r="G4517" s="73"/>
      <c r="H4517" s="222"/>
    </row>
    <row r="4518" spans="1:9" s="212" customFormat="1">
      <c r="A4518" s="220"/>
      <c r="B4518" s="141"/>
      <c r="C4518" s="141"/>
      <c r="D4518" s="141"/>
      <c r="E4518" s="141"/>
      <c r="F4518" s="141"/>
      <c r="G4518" s="141"/>
      <c r="H4518" s="222"/>
    </row>
    <row r="4519" spans="1:9" s="212" customFormat="1">
      <c r="A4519" s="142"/>
      <c r="B4519" s="143"/>
      <c r="C4519" s="143"/>
      <c r="D4519" s="143"/>
      <c r="E4519" s="143"/>
      <c r="F4519" s="84"/>
      <c r="G4519" s="146"/>
      <c r="H4519" s="221"/>
    </row>
    <row r="4520" spans="1:9" s="212" customFormat="1">
      <c r="A4520" s="123"/>
      <c r="B4520" s="95"/>
      <c r="C4520" s="95"/>
      <c r="D4520" s="95"/>
      <c r="E4520" s="95"/>
      <c r="G4520" s="213"/>
      <c r="H4520" s="73"/>
    </row>
    <row r="4521" spans="1:9" s="212" customFormat="1">
      <c r="A4521" s="123"/>
      <c r="B4521" s="95"/>
      <c r="C4521" s="95"/>
      <c r="D4521" s="95"/>
      <c r="E4521" s="95"/>
      <c r="G4521" s="73"/>
      <c r="H4521" s="225"/>
    </row>
    <row r="4522" spans="1:9" s="212" customFormat="1">
      <c r="B4522" s="97"/>
      <c r="C4522" s="98"/>
      <c r="D4522" s="98"/>
      <c r="E4522" s="98"/>
      <c r="G4522" s="220"/>
    </row>
    <row r="4523" spans="1:9" s="212" customFormat="1">
      <c r="B4523" s="97"/>
      <c r="C4523" s="98"/>
      <c r="D4523" s="98"/>
      <c r="E4523" s="98"/>
      <c r="F4523" s="220"/>
      <c r="G4523" s="225"/>
      <c r="H4523" s="226"/>
    </row>
    <row r="4524" spans="1:9" s="212" customFormat="1">
      <c r="A4524" s="633"/>
      <c r="B4524" s="633"/>
      <c r="C4524" s="633"/>
      <c r="D4524" s="633"/>
      <c r="E4524" s="633"/>
      <c r="F4524" s="633"/>
      <c r="G4524" s="633"/>
    </row>
    <row r="4525" spans="1:9" s="212" customFormat="1">
      <c r="H4525" s="227"/>
      <c r="I4525" s="228"/>
    </row>
    <row r="4526" spans="1:9" s="212" customFormat="1">
      <c r="A4526" s="658"/>
      <c r="B4526" s="227"/>
      <c r="C4526" s="227"/>
      <c r="D4526" s="227"/>
      <c r="E4526" s="227"/>
      <c r="F4526" s="227"/>
      <c r="G4526" s="227"/>
      <c r="H4526" s="227"/>
      <c r="I4526" s="229"/>
    </row>
    <row r="4527" spans="1:9" s="212" customFormat="1">
      <c r="A4527" s="658"/>
      <c r="B4527" s="227"/>
      <c r="C4527" s="227"/>
      <c r="D4527" s="227"/>
      <c r="E4527" s="227"/>
      <c r="F4527" s="227"/>
      <c r="G4527" s="227"/>
    </row>
    <row r="4528" spans="1:9" s="212" customFormat="1">
      <c r="A4528" s="69"/>
      <c r="B4528" s="69"/>
      <c r="C4528" s="69"/>
      <c r="D4528" s="69"/>
      <c r="E4528" s="69"/>
    </row>
    <row r="4529" spans="1:8" s="212" customFormat="1">
      <c r="A4529" s="120"/>
      <c r="B4529" s="73"/>
      <c r="C4529" s="73"/>
      <c r="D4529" s="73"/>
      <c r="E4529" s="73"/>
      <c r="F4529" s="73"/>
      <c r="G4529" s="73"/>
      <c r="H4529" s="73"/>
    </row>
    <row r="4530" spans="1:8" s="212" customFormat="1">
      <c r="A4530" s="220"/>
      <c r="B4530" s="141"/>
      <c r="C4530" s="141"/>
      <c r="D4530" s="141"/>
      <c r="E4530" s="141"/>
      <c r="F4530" s="141"/>
      <c r="G4530" s="141"/>
      <c r="H4530" s="73"/>
    </row>
    <row r="4531" spans="1:8" s="212" customFormat="1">
      <c r="A4531" s="150"/>
      <c r="B4531" s="83"/>
      <c r="C4531" s="148"/>
      <c r="D4531" s="84"/>
      <c r="E4531" s="84"/>
      <c r="F4531" s="84"/>
      <c r="G4531" s="224"/>
      <c r="H4531" s="221"/>
    </row>
    <row r="4532" spans="1:8" s="212" customFormat="1">
      <c r="A4532" s="84"/>
      <c r="B4532" s="83"/>
      <c r="C4532" s="84"/>
      <c r="D4532" s="84"/>
      <c r="E4532" s="84"/>
      <c r="G4532" s="213"/>
      <c r="H4532" s="222"/>
    </row>
    <row r="4533" spans="1:8" s="212" customFormat="1">
      <c r="A4533" s="120"/>
      <c r="B4533" s="73"/>
      <c r="C4533" s="73"/>
      <c r="D4533" s="73"/>
      <c r="E4533" s="73"/>
      <c r="G4533" s="73"/>
      <c r="H4533" s="222"/>
    </row>
    <row r="4534" spans="1:8" s="212" customFormat="1">
      <c r="A4534" s="220"/>
      <c r="B4534" s="141"/>
      <c r="C4534" s="141"/>
      <c r="D4534" s="141"/>
      <c r="E4534" s="141"/>
      <c r="F4534" s="141"/>
      <c r="G4534" s="141"/>
      <c r="H4534" s="222"/>
    </row>
    <row r="4535" spans="1:8" s="212" customFormat="1">
      <c r="A4535" s="150"/>
      <c r="B4535" s="83"/>
      <c r="C4535" s="148"/>
      <c r="D4535" s="84"/>
      <c r="E4535" s="84"/>
      <c r="F4535" s="84"/>
      <c r="G4535" s="224"/>
      <c r="H4535" s="221"/>
    </row>
    <row r="4536" spans="1:8" s="212" customFormat="1">
      <c r="A4536" s="91"/>
      <c r="B4536" s="91"/>
      <c r="C4536" s="91"/>
      <c r="D4536" s="91"/>
      <c r="E4536" s="91"/>
      <c r="G4536" s="213"/>
      <c r="H4536" s="222"/>
    </row>
    <row r="4537" spans="1:8" s="212" customFormat="1">
      <c r="A4537" s="120"/>
      <c r="B4537" s="73"/>
      <c r="C4537" s="73"/>
      <c r="D4537" s="73"/>
      <c r="E4537" s="73"/>
      <c r="G4537" s="73"/>
      <c r="H4537" s="222"/>
    </row>
    <row r="4538" spans="1:8" s="212" customFormat="1">
      <c r="A4538" s="220"/>
      <c r="B4538" s="141"/>
      <c r="C4538" s="141"/>
      <c r="D4538" s="141"/>
      <c r="E4538" s="141"/>
      <c r="F4538" s="141"/>
      <c r="G4538" s="141"/>
      <c r="H4538" s="222"/>
    </row>
    <row r="4539" spans="1:8" s="212" customFormat="1">
      <c r="A4539" s="146"/>
      <c r="B4539" s="83"/>
      <c r="C4539" s="148"/>
      <c r="D4539" s="84"/>
      <c r="E4539" s="84"/>
      <c r="F4539" s="84"/>
      <c r="G4539" s="146"/>
      <c r="H4539" s="221"/>
    </row>
    <row r="4540" spans="1:8" s="212" customFormat="1">
      <c r="A4540" s="91"/>
      <c r="B4540" s="91"/>
      <c r="C4540" s="91"/>
      <c r="D4540" s="91"/>
      <c r="E4540" s="91"/>
      <c r="G4540" s="213"/>
      <c r="H4540" s="222"/>
    </row>
    <row r="4541" spans="1:8" s="212" customFormat="1">
      <c r="A4541" s="120"/>
      <c r="B4541" s="73"/>
      <c r="C4541" s="73"/>
      <c r="D4541" s="73"/>
      <c r="E4541" s="73"/>
      <c r="G4541" s="73"/>
      <c r="H4541" s="222"/>
    </row>
    <row r="4542" spans="1:8" s="212" customFormat="1">
      <c r="A4542" s="220"/>
      <c r="B4542" s="141"/>
      <c r="C4542" s="141"/>
      <c r="D4542" s="141"/>
      <c r="E4542" s="141"/>
      <c r="F4542" s="141"/>
      <c r="G4542" s="141"/>
      <c r="H4542" s="222"/>
    </row>
    <row r="4543" spans="1:8" s="212" customFormat="1">
      <c r="A4543" s="142"/>
      <c r="B4543" s="143"/>
      <c r="C4543" s="143"/>
      <c r="D4543" s="143"/>
      <c r="E4543" s="143"/>
      <c r="F4543" s="84"/>
      <c r="G4543" s="146"/>
      <c r="H4543" s="221"/>
    </row>
    <row r="4544" spans="1:8" s="212" customFormat="1">
      <c r="A4544" s="123"/>
      <c r="B4544" s="95"/>
      <c r="C4544" s="95"/>
      <c r="D4544" s="95"/>
      <c r="E4544" s="95"/>
      <c r="G4544" s="213"/>
      <c r="H4544" s="73"/>
    </row>
    <row r="4545" spans="1:9" s="212" customFormat="1">
      <c r="A4545" s="123"/>
      <c r="B4545" s="95"/>
      <c r="C4545" s="95"/>
      <c r="D4545" s="95"/>
      <c r="E4545" s="95"/>
      <c r="G4545" s="73"/>
      <c r="H4545" s="225"/>
    </row>
    <row r="4546" spans="1:9" s="212" customFormat="1">
      <c r="B4546" s="97"/>
      <c r="C4546" s="98"/>
      <c r="D4546" s="98"/>
      <c r="E4546" s="98"/>
      <c r="G4546" s="220"/>
    </row>
    <row r="4547" spans="1:9" s="212" customFormat="1">
      <c r="B4547" s="97"/>
      <c r="C4547" s="98"/>
      <c r="D4547" s="98"/>
      <c r="E4547" s="98"/>
      <c r="F4547" s="220"/>
      <c r="G4547" s="225"/>
      <c r="H4547" s="226"/>
    </row>
    <row r="4548" spans="1:9" s="212" customFormat="1">
      <c r="A4548" s="633"/>
      <c r="B4548" s="633"/>
      <c r="C4548" s="633"/>
      <c r="D4548" s="633"/>
      <c r="E4548" s="633"/>
      <c r="F4548" s="633"/>
      <c r="G4548" s="633"/>
    </row>
    <row r="4549" spans="1:9" s="212" customFormat="1">
      <c r="H4549" s="227"/>
      <c r="I4549" s="228"/>
    </row>
    <row r="4550" spans="1:9" s="212" customFormat="1">
      <c r="A4550" s="658"/>
      <c r="B4550" s="227"/>
      <c r="C4550" s="227"/>
      <c r="D4550" s="227"/>
      <c r="E4550" s="227"/>
      <c r="F4550" s="227"/>
      <c r="G4550" s="227"/>
      <c r="H4550" s="227"/>
      <c r="I4550" s="229"/>
    </row>
    <row r="4551" spans="1:9" s="212" customFormat="1">
      <c r="A4551" s="658"/>
      <c r="B4551" s="227"/>
      <c r="C4551" s="227"/>
      <c r="D4551" s="227"/>
      <c r="E4551" s="227"/>
      <c r="F4551" s="227"/>
      <c r="G4551" s="227"/>
    </row>
    <row r="4552" spans="1:9" s="212" customFormat="1">
      <c r="A4552" s="69"/>
      <c r="B4552" s="69"/>
      <c r="C4552" s="69"/>
      <c r="D4552" s="69"/>
      <c r="E4552" s="69"/>
    </row>
    <row r="4553" spans="1:9" s="212" customFormat="1">
      <c r="A4553" s="120"/>
      <c r="B4553" s="73"/>
      <c r="C4553" s="73"/>
      <c r="D4553" s="73"/>
      <c r="E4553" s="73"/>
      <c r="F4553" s="73"/>
      <c r="G4553" s="73"/>
      <c r="H4553" s="73"/>
    </row>
    <row r="4554" spans="1:9" s="212" customFormat="1">
      <c r="A4554" s="220"/>
      <c r="B4554" s="141"/>
      <c r="C4554" s="141"/>
      <c r="D4554" s="141"/>
      <c r="E4554" s="141"/>
      <c r="F4554" s="141"/>
      <c r="G4554" s="141"/>
      <c r="H4554" s="73"/>
    </row>
    <row r="4555" spans="1:9" s="212" customFormat="1">
      <c r="A4555" s="150"/>
      <c r="B4555" s="83"/>
      <c r="C4555" s="148"/>
      <c r="D4555" s="84"/>
      <c r="E4555" s="84"/>
      <c r="F4555" s="84"/>
      <c r="G4555" s="224"/>
      <c r="H4555" s="221"/>
    </row>
    <row r="4556" spans="1:9" s="212" customFormat="1">
      <c r="A4556" s="84"/>
      <c r="B4556" s="83"/>
      <c r="C4556" s="84"/>
      <c r="D4556" s="84"/>
      <c r="E4556" s="84"/>
      <c r="G4556" s="213"/>
      <c r="H4556" s="222"/>
    </row>
    <row r="4557" spans="1:9" s="212" customFormat="1">
      <c r="A4557" s="120"/>
      <c r="B4557" s="73"/>
      <c r="C4557" s="73"/>
      <c r="D4557" s="73"/>
      <c r="E4557" s="73"/>
      <c r="G4557" s="73"/>
      <c r="H4557" s="222"/>
    </row>
    <row r="4558" spans="1:9" s="212" customFormat="1">
      <c r="A4558" s="220"/>
      <c r="B4558" s="141"/>
      <c r="C4558" s="141"/>
      <c r="D4558" s="141"/>
      <c r="E4558" s="141"/>
      <c r="F4558" s="141"/>
      <c r="G4558" s="141"/>
      <c r="H4558" s="222"/>
    </row>
    <row r="4559" spans="1:9" s="212" customFormat="1">
      <c r="A4559" s="150"/>
      <c r="B4559" s="83"/>
      <c r="C4559" s="148"/>
      <c r="D4559" s="84"/>
      <c r="E4559" s="84"/>
      <c r="F4559" s="84"/>
      <c r="G4559" s="224"/>
      <c r="H4559" s="222"/>
    </row>
    <row r="4560" spans="1:9" s="212" customFormat="1">
      <c r="A4560" s="150"/>
      <c r="B4560" s="83"/>
      <c r="C4560" s="148"/>
      <c r="D4560" s="84"/>
      <c r="E4560" s="84"/>
      <c r="F4560" s="84"/>
      <c r="G4560" s="224"/>
      <c r="H4560" s="222"/>
    </row>
    <row r="4561" spans="1:9" s="212" customFormat="1">
      <c r="A4561" s="150"/>
      <c r="B4561" s="83"/>
      <c r="C4561" s="148"/>
      <c r="D4561" s="84"/>
      <c r="E4561" s="84"/>
      <c r="F4561" s="84"/>
      <c r="G4561" s="224"/>
      <c r="H4561" s="222"/>
    </row>
    <row r="4562" spans="1:9" s="212" customFormat="1">
      <c r="A4562" s="150"/>
      <c r="B4562" s="83"/>
      <c r="C4562" s="148"/>
      <c r="D4562" s="84"/>
      <c r="E4562" s="84"/>
      <c r="F4562" s="84"/>
      <c r="G4562" s="224"/>
      <c r="H4562" s="221"/>
    </row>
    <row r="4563" spans="1:9" s="212" customFormat="1">
      <c r="A4563" s="91"/>
      <c r="B4563" s="91"/>
      <c r="C4563" s="91"/>
      <c r="D4563" s="91"/>
      <c r="E4563" s="91"/>
      <c r="G4563" s="213"/>
      <c r="H4563" s="222"/>
    </row>
    <row r="4564" spans="1:9" s="212" customFormat="1">
      <c r="A4564" s="120"/>
      <c r="B4564" s="73"/>
      <c r="C4564" s="73"/>
      <c r="D4564" s="73"/>
      <c r="E4564" s="73"/>
      <c r="G4564" s="73"/>
      <c r="H4564" s="222"/>
    </row>
    <row r="4565" spans="1:9" s="212" customFormat="1">
      <c r="A4565" s="220"/>
      <c r="B4565" s="141"/>
      <c r="C4565" s="141"/>
      <c r="D4565" s="141"/>
      <c r="E4565" s="141"/>
      <c r="F4565" s="141"/>
      <c r="G4565" s="141"/>
      <c r="H4565" s="222"/>
    </row>
    <row r="4566" spans="1:9" s="212" customFormat="1">
      <c r="A4566" s="146"/>
      <c r="B4566" s="83"/>
      <c r="C4566" s="148"/>
      <c r="D4566" s="84"/>
      <c r="E4566" s="84"/>
      <c r="F4566" s="84"/>
      <c r="G4566" s="146"/>
      <c r="H4566" s="221"/>
    </row>
    <row r="4567" spans="1:9" s="212" customFormat="1">
      <c r="A4567" s="91"/>
      <c r="B4567" s="91"/>
      <c r="C4567" s="91"/>
      <c r="D4567" s="91"/>
      <c r="E4567" s="91"/>
      <c r="G4567" s="213"/>
      <c r="H4567" s="222"/>
    </row>
    <row r="4568" spans="1:9" s="212" customFormat="1">
      <c r="A4568" s="120"/>
      <c r="B4568" s="73"/>
      <c r="C4568" s="73"/>
      <c r="D4568" s="73"/>
      <c r="E4568" s="73"/>
      <c r="G4568" s="73"/>
      <c r="H4568" s="222"/>
    </row>
    <row r="4569" spans="1:9" s="212" customFormat="1">
      <c r="A4569" s="220"/>
      <c r="B4569" s="141"/>
      <c r="C4569" s="141"/>
      <c r="D4569" s="141"/>
      <c r="E4569" s="141"/>
      <c r="F4569" s="141"/>
      <c r="G4569" s="141"/>
      <c r="H4569" s="222"/>
    </row>
    <row r="4570" spans="1:9" s="212" customFormat="1">
      <c r="A4570" s="142"/>
      <c r="B4570" s="143"/>
      <c r="C4570" s="143"/>
      <c r="D4570" s="143"/>
      <c r="E4570" s="143"/>
      <c r="F4570" s="84"/>
      <c r="G4570" s="146"/>
      <c r="H4570" s="221"/>
    </row>
    <row r="4571" spans="1:9" s="212" customFormat="1">
      <c r="A4571" s="123"/>
      <c r="B4571" s="95"/>
      <c r="C4571" s="95"/>
      <c r="D4571" s="95"/>
      <c r="E4571" s="95"/>
      <c r="G4571" s="213"/>
      <c r="H4571" s="73"/>
    </row>
    <row r="4572" spans="1:9" s="212" customFormat="1">
      <c r="A4572" s="123"/>
      <c r="B4572" s="95"/>
      <c r="C4572" s="95"/>
      <c r="D4572" s="95"/>
      <c r="E4572" s="95"/>
      <c r="G4572" s="73"/>
      <c r="H4572" s="225"/>
    </row>
    <row r="4573" spans="1:9" s="212" customFormat="1">
      <c r="B4573" s="97"/>
      <c r="C4573" s="98"/>
      <c r="D4573" s="98"/>
      <c r="E4573" s="98"/>
      <c r="G4573" s="220"/>
    </row>
    <row r="4574" spans="1:9" s="212" customFormat="1">
      <c r="B4574" s="97"/>
      <c r="C4574" s="98"/>
      <c r="D4574" s="98"/>
      <c r="E4574" s="98"/>
      <c r="F4574" s="220"/>
      <c r="G4574" s="225"/>
      <c r="H4574" s="226"/>
    </row>
    <row r="4575" spans="1:9" s="212" customFormat="1">
      <c r="A4575" s="633"/>
      <c r="B4575" s="633"/>
      <c r="C4575" s="633"/>
      <c r="D4575" s="633"/>
      <c r="E4575" s="633"/>
      <c r="F4575" s="633"/>
      <c r="G4575" s="633"/>
    </row>
    <row r="4576" spans="1:9" s="212" customFormat="1">
      <c r="H4576" s="227"/>
      <c r="I4576" s="228"/>
    </row>
    <row r="4577" spans="1:9" s="212" customFormat="1">
      <c r="A4577" s="658"/>
      <c r="B4577" s="227"/>
      <c r="C4577" s="227"/>
      <c r="D4577" s="227"/>
      <c r="E4577" s="227"/>
      <c r="F4577" s="227"/>
      <c r="G4577" s="227"/>
      <c r="H4577" s="227"/>
      <c r="I4577" s="229"/>
    </row>
    <row r="4578" spans="1:9" s="212" customFormat="1">
      <c r="A4578" s="658"/>
      <c r="B4578" s="227"/>
      <c r="C4578" s="227"/>
      <c r="D4578" s="227"/>
      <c r="E4578" s="227"/>
      <c r="F4578" s="227"/>
      <c r="G4578" s="227"/>
    </row>
    <row r="4579" spans="1:9" s="212" customFormat="1">
      <c r="A4579" s="69"/>
      <c r="B4579" s="69"/>
      <c r="C4579" s="69"/>
      <c r="D4579" s="69"/>
      <c r="E4579" s="69"/>
    </row>
    <row r="4580" spans="1:9" s="212" customFormat="1">
      <c r="A4580" s="120"/>
      <c r="B4580" s="73"/>
      <c r="C4580" s="73"/>
      <c r="D4580" s="73"/>
      <c r="E4580" s="73"/>
      <c r="F4580" s="73"/>
      <c r="G4580" s="73"/>
      <c r="H4580" s="73"/>
    </row>
    <row r="4581" spans="1:9" s="212" customFormat="1">
      <c r="A4581" s="220"/>
      <c r="B4581" s="141"/>
      <c r="C4581" s="141"/>
      <c r="D4581" s="141"/>
      <c r="E4581" s="141"/>
      <c r="F4581" s="141"/>
      <c r="G4581" s="141"/>
      <c r="H4581" s="73"/>
    </row>
    <row r="4582" spans="1:9" s="212" customFormat="1">
      <c r="A4582" s="150"/>
      <c r="B4582" s="83"/>
      <c r="C4582" s="148"/>
      <c r="D4582" s="84"/>
      <c r="E4582" s="84"/>
      <c r="F4582" s="84"/>
      <c r="G4582" s="224"/>
      <c r="H4582" s="221"/>
    </row>
    <row r="4583" spans="1:9" s="212" customFormat="1">
      <c r="A4583" s="84"/>
      <c r="B4583" s="83"/>
      <c r="C4583" s="84"/>
      <c r="D4583" s="84"/>
      <c r="E4583" s="84"/>
      <c r="G4583" s="213"/>
      <c r="H4583" s="222"/>
    </row>
    <row r="4584" spans="1:9" s="212" customFormat="1">
      <c r="A4584" s="120"/>
      <c r="B4584" s="73"/>
      <c r="C4584" s="73"/>
      <c r="D4584" s="73"/>
      <c r="E4584" s="73"/>
      <c r="G4584" s="73"/>
      <c r="H4584" s="222"/>
    </row>
    <row r="4585" spans="1:9" s="212" customFormat="1">
      <c r="A4585" s="220"/>
      <c r="B4585" s="141"/>
      <c r="C4585" s="141"/>
      <c r="D4585" s="141"/>
      <c r="E4585" s="141"/>
      <c r="F4585" s="141"/>
      <c r="G4585" s="141"/>
      <c r="H4585" s="222"/>
    </row>
    <row r="4586" spans="1:9" s="212" customFormat="1">
      <c r="A4586" s="150"/>
      <c r="B4586" s="83"/>
      <c r="C4586" s="148"/>
      <c r="D4586" s="84"/>
      <c r="E4586" s="84"/>
      <c r="F4586" s="84"/>
      <c r="G4586" s="224"/>
      <c r="H4586" s="222"/>
    </row>
    <row r="4587" spans="1:9" s="212" customFormat="1">
      <c r="A4587" s="150"/>
      <c r="B4587" s="83"/>
      <c r="C4587" s="148"/>
      <c r="D4587" s="84"/>
      <c r="E4587" s="84"/>
      <c r="F4587" s="84"/>
      <c r="G4587" s="224"/>
      <c r="H4587" s="222"/>
    </row>
    <row r="4588" spans="1:9" s="212" customFormat="1">
      <c r="A4588" s="150"/>
      <c r="B4588" s="83"/>
      <c r="C4588" s="148"/>
      <c r="D4588" s="84"/>
      <c r="E4588" s="84"/>
      <c r="F4588" s="84"/>
      <c r="G4588" s="224"/>
      <c r="H4588" s="221"/>
    </row>
    <row r="4589" spans="1:9" s="212" customFormat="1">
      <c r="A4589" s="91"/>
      <c r="B4589" s="91"/>
      <c r="C4589" s="91"/>
      <c r="D4589" s="91"/>
      <c r="E4589" s="91"/>
      <c r="G4589" s="213"/>
      <c r="H4589" s="222"/>
    </row>
    <row r="4590" spans="1:9" s="212" customFormat="1">
      <c r="A4590" s="120"/>
      <c r="B4590" s="73"/>
      <c r="C4590" s="73"/>
      <c r="D4590" s="73"/>
      <c r="E4590" s="73"/>
      <c r="G4590" s="73"/>
      <c r="H4590" s="222"/>
    </row>
    <row r="4591" spans="1:9" s="212" customFormat="1">
      <c r="A4591" s="220"/>
      <c r="B4591" s="141"/>
      <c r="C4591" s="141"/>
      <c r="D4591" s="141"/>
      <c r="E4591" s="141"/>
      <c r="F4591" s="141"/>
      <c r="G4591" s="141"/>
      <c r="H4591" s="222"/>
    </row>
    <row r="4592" spans="1:9" s="212" customFormat="1">
      <c r="A4592" s="146"/>
      <c r="B4592" s="83"/>
      <c r="C4592" s="148"/>
      <c r="D4592" s="84"/>
      <c r="E4592" s="84"/>
      <c r="F4592" s="84"/>
      <c r="G4592" s="146"/>
      <c r="H4592" s="221"/>
    </row>
    <row r="4593" spans="1:9" s="212" customFormat="1">
      <c r="A4593" s="91"/>
      <c r="B4593" s="91"/>
      <c r="C4593" s="91"/>
      <c r="D4593" s="91"/>
      <c r="E4593" s="91"/>
      <c r="G4593" s="213"/>
      <c r="H4593" s="222"/>
    </row>
    <row r="4594" spans="1:9" s="212" customFormat="1">
      <c r="A4594" s="120"/>
      <c r="B4594" s="73"/>
      <c r="C4594" s="73"/>
      <c r="D4594" s="73"/>
      <c r="E4594" s="73"/>
      <c r="G4594" s="73"/>
      <c r="H4594" s="222"/>
    </row>
    <row r="4595" spans="1:9" s="212" customFormat="1">
      <c r="A4595" s="220"/>
      <c r="B4595" s="141"/>
      <c r="C4595" s="141"/>
      <c r="D4595" s="141"/>
      <c r="E4595" s="141"/>
      <c r="F4595" s="141"/>
      <c r="G4595" s="141"/>
      <c r="H4595" s="222"/>
    </row>
    <row r="4596" spans="1:9" s="212" customFormat="1">
      <c r="A4596" s="142"/>
      <c r="B4596" s="143"/>
      <c r="C4596" s="143"/>
      <c r="D4596" s="143"/>
      <c r="E4596" s="143"/>
      <c r="F4596" s="84"/>
      <c r="G4596" s="146"/>
      <c r="H4596" s="221"/>
    </row>
    <row r="4597" spans="1:9" s="212" customFormat="1">
      <c r="A4597" s="123"/>
      <c r="B4597" s="95"/>
      <c r="C4597" s="95"/>
      <c r="D4597" s="95"/>
      <c r="E4597" s="95"/>
      <c r="G4597" s="213"/>
      <c r="H4597" s="73"/>
    </row>
    <row r="4598" spans="1:9" s="212" customFormat="1">
      <c r="A4598" s="123"/>
      <c r="B4598" s="95"/>
      <c r="C4598" s="95"/>
      <c r="D4598" s="95"/>
      <c r="E4598" s="95"/>
      <c r="G4598" s="73"/>
      <c r="H4598" s="225"/>
    </row>
    <row r="4599" spans="1:9" s="212" customFormat="1">
      <c r="B4599" s="97"/>
      <c r="C4599" s="98"/>
      <c r="D4599" s="98"/>
      <c r="E4599" s="98"/>
      <c r="G4599" s="220"/>
    </row>
    <row r="4600" spans="1:9" s="212" customFormat="1">
      <c r="B4600" s="97"/>
      <c r="C4600" s="98"/>
      <c r="D4600" s="98"/>
      <c r="E4600" s="98"/>
      <c r="F4600" s="220"/>
      <c r="G4600" s="225"/>
      <c r="H4600" s="226"/>
    </row>
    <row r="4601" spans="1:9" s="212" customFormat="1">
      <c r="A4601" s="633"/>
      <c r="B4601" s="633"/>
      <c r="C4601" s="633"/>
      <c r="D4601" s="633"/>
      <c r="E4601" s="633"/>
      <c r="F4601" s="633"/>
      <c r="G4601" s="633"/>
    </row>
    <row r="4602" spans="1:9" s="212" customFormat="1">
      <c r="H4602" s="227"/>
      <c r="I4602" s="228"/>
    </row>
    <row r="4603" spans="1:9" s="212" customFormat="1">
      <c r="A4603" s="658"/>
      <c r="B4603" s="227"/>
      <c r="C4603" s="227"/>
      <c r="D4603" s="227"/>
      <c r="E4603" s="227"/>
      <c r="F4603" s="227"/>
      <c r="G4603" s="227"/>
      <c r="H4603" s="227"/>
      <c r="I4603" s="229"/>
    </row>
    <row r="4604" spans="1:9" s="212" customFormat="1">
      <c r="A4604" s="658"/>
      <c r="B4604" s="227"/>
      <c r="C4604" s="227"/>
      <c r="D4604" s="227"/>
      <c r="E4604" s="227"/>
      <c r="F4604" s="227"/>
      <c r="G4604" s="227"/>
    </row>
    <row r="4605" spans="1:9" s="212" customFormat="1">
      <c r="A4605" s="69"/>
      <c r="B4605" s="69"/>
      <c r="C4605" s="69"/>
      <c r="D4605" s="69"/>
      <c r="E4605" s="69"/>
    </row>
    <row r="4606" spans="1:9" s="212" customFormat="1">
      <c r="A4606" s="120"/>
      <c r="B4606" s="73"/>
      <c r="C4606" s="73"/>
      <c r="D4606" s="73"/>
      <c r="E4606" s="73"/>
      <c r="F4606" s="73"/>
      <c r="G4606" s="73"/>
      <c r="H4606" s="73"/>
    </row>
    <row r="4607" spans="1:9" s="212" customFormat="1">
      <c r="A4607" s="220"/>
      <c r="B4607" s="141"/>
      <c r="C4607" s="141"/>
      <c r="D4607" s="141"/>
      <c r="E4607" s="141"/>
      <c r="F4607" s="141"/>
      <c r="G4607" s="141"/>
      <c r="H4607" s="73"/>
    </row>
    <row r="4608" spans="1:9" s="212" customFormat="1">
      <c r="A4608" s="150"/>
      <c r="B4608" s="83"/>
      <c r="C4608" s="148"/>
      <c r="D4608" s="84"/>
      <c r="E4608" s="84"/>
      <c r="F4608" s="84"/>
      <c r="G4608" s="224"/>
      <c r="H4608" s="221"/>
    </row>
    <row r="4609" spans="1:8" s="212" customFormat="1">
      <c r="A4609" s="84"/>
      <c r="B4609" s="83"/>
      <c r="C4609" s="84"/>
      <c r="D4609" s="84"/>
      <c r="E4609" s="84"/>
      <c r="G4609" s="213"/>
      <c r="H4609" s="222"/>
    </row>
    <row r="4610" spans="1:8" s="212" customFormat="1">
      <c r="A4610" s="120"/>
      <c r="B4610" s="73"/>
      <c r="C4610" s="73"/>
      <c r="D4610" s="73"/>
      <c r="E4610" s="73"/>
      <c r="G4610" s="73"/>
      <c r="H4610" s="222"/>
    </row>
    <row r="4611" spans="1:8" s="212" customFormat="1">
      <c r="A4611" s="220"/>
      <c r="B4611" s="141"/>
      <c r="C4611" s="141"/>
      <c r="D4611" s="141"/>
      <c r="E4611" s="141"/>
      <c r="F4611" s="141"/>
      <c r="G4611" s="141"/>
      <c r="H4611" s="222"/>
    </row>
    <row r="4612" spans="1:8" s="212" customFormat="1">
      <c r="A4612" s="150"/>
      <c r="B4612" s="83"/>
      <c r="C4612" s="148"/>
      <c r="D4612" s="84"/>
      <c r="E4612" s="84"/>
      <c r="F4612" s="84"/>
      <c r="G4612" s="224"/>
      <c r="H4612" s="222"/>
    </row>
    <row r="4613" spans="1:8" s="212" customFormat="1">
      <c r="A4613" s="150"/>
      <c r="B4613" s="83"/>
      <c r="C4613" s="148"/>
      <c r="D4613" s="84"/>
      <c r="E4613" s="84"/>
      <c r="F4613" s="84"/>
      <c r="G4613" s="224"/>
      <c r="H4613" s="222"/>
    </row>
    <row r="4614" spans="1:8" s="212" customFormat="1">
      <c r="A4614" s="150"/>
      <c r="B4614" s="83"/>
      <c r="C4614" s="148"/>
      <c r="D4614" s="84"/>
      <c r="E4614" s="84"/>
      <c r="F4614" s="84"/>
      <c r="G4614" s="224"/>
      <c r="H4614" s="221"/>
    </row>
    <row r="4615" spans="1:8" s="212" customFormat="1">
      <c r="A4615" s="91"/>
      <c r="B4615" s="91"/>
      <c r="C4615" s="91"/>
      <c r="D4615" s="91"/>
      <c r="E4615" s="91"/>
      <c r="G4615" s="213"/>
      <c r="H4615" s="222"/>
    </row>
    <row r="4616" spans="1:8" s="212" customFormat="1">
      <c r="A4616" s="120"/>
      <c r="B4616" s="73"/>
      <c r="C4616" s="73"/>
      <c r="D4616" s="73"/>
      <c r="E4616" s="73"/>
      <c r="G4616" s="73"/>
      <c r="H4616" s="222"/>
    </row>
    <row r="4617" spans="1:8" s="212" customFormat="1">
      <c r="A4617" s="220"/>
      <c r="B4617" s="141"/>
      <c r="C4617" s="141"/>
      <c r="D4617" s="141"/>
      <c r="E4617" s="141"/>
      <c r="F4617" s="141"/>
      <c r="G4617" s="141"/>
      <c r="H4617" s="222"/>
    </row>
    <row r="4618" spans="1:8" s="212" customFormat="1">
      <c r="A4618" s="146"/>
      <c r="B4618" s="83"/>
      <c r="C4618" s="148"/>
      <c r="D4618" s="84"/>
      <c r="E4618" s="84"/>
      <c r="F4618" s="84"/>
      <c r="G4618" s="146"/>
      <c r="H4618" s="221"/>
    </row>
    <row r="4619" spans="1:8" s="212" customFormat="1">
      <c r="A4619" s="91"/>
      <c r="B4619" s="91"/>
      <c r="C4619" s="91"/>
      <c r="D4619" s="91"/>
      <c r="E4619" s="91"/>
      <c r="G4619" s="213"/>
      <c r="H4619" s="222"/>
    </row>
    <row r="4620" spans="1:8" s="212" customFormat="1">
      <c r="A4620" s="120"/>
      <c r="B4620" s="73"/>
      <c r="C4620" s="73"/>
      <c r="D4620" s="73"/>
      <c r="E4620" s="73"/>
      <c r="G4620" s="73"/>
      <c r="H4620" s="222"/>
    </row>
    <row r="4621" spans="1:8" s="212" customFormat="1">
      <c r="A4621" s="220"/>
      <c r="B4621" s="141"/>
      <c r="C4621" s="141"/>
      <c r="D4621" s="141"/>
      <c r="E4621" s="141"/>
      <c r="F4621" s="141"/>
      <c r="G4621" s="141"/>
      <c r="H4621" s="222"/>
    </row>
    <row r="4622" spans="1:8" s="212" customFormat="1">
      <c r="A4622" s="142"/>
      <c r="B4622" s="143"/>
      <c r="C4622" s="143"/>
      <c r="D4622" s="143"/>
      <c r="E4622" s="143"/>
      <c r="F4622" s="84"/>
      <c r="G4622" s="146"/>
      <c r="H4622" s="221"/>
    </row>
    <row r="4623" spans="1:8" s="212" customFormat="1">
      <c r="A4623" s="123"/>
      <c r="B4623" s="95"/>
      <c r="C4623" s="95"/>
      <c r="D4623" s="95"/>
      <c r="E4623" s="95"/>
      <c r="G4623" s="213"/>
      <c r="H4623" s="73"/>
    </row>
    <row r="4624" spans="1:8" s="212" customFormat="1">
      <c r="A4624" s="123"/>
      <c r="B4624" s="95"/>
      <c r="C4624" s="95"/>
      <c r="D4624" s="95"/>
      <c r="E4624" s="95"/>
      <c r="G4624" s="73"/>
      <c r="H4624" s="225"/>
    </row>
    <row r="4625" spans="1:9" s="212" customFormat="1">
      <c r="B4625" s="97"/>
      <c r="C4625" s="98"/>
      <c r="D4625" s="98"/>
      <c r="E4625" s="98"/>
      <c r="G4625" s="220"/>
    </row>
    <row r="4626" spans="1:9" s="212" customFormat="1">
      <c r="B4626" s="97"/>
      <c r="C4626" s="98"/>
      <c r="D4626" s="98"/>
      <c r="E4626" s="98"/>
      <c r="F4626" s="220"/>
      <c r="G4626" s="225"/>
      <c r="H4626" s="226"/>
    </row>
    <row r="4627" spans="1:9" s="212" customFormat="1">
      <c r="A4627" s="633"/>
      <c r="B4627" s="633"/>
      <c r="C4627" s="633"/>
      <c r="D4627" s="633"/>
      <c r="E4627" s="633"/>
      <c r="F4627" s="633"/>
      <c r="G4627" s="633"/>
    </row>
    <row r="4628" spans="1:9" s="212" customFormat="1">
      <c r="H4628" s="227"/>
      <c r="I4628" s="228"/>
    </row>
    <row r="4629" spans="1:9" s="212" customFormat="1">
      <c r="A4629" s="658"/>
      <c r="B4629" s="227"/>
      <c r="C4629" s="227"/>
      <c r="D4629" s="227"/>
      <c r="E4629" s="227"/>
      <c r="F4629" s="227"/>
      <c r="G4629" s="227"/>
      <c r="H4629" s="227"/>
      <c r="I4629" s="229"/>
    </row>
    <row r="4630" spans="1:9" s="212" customFormat="1">
      <c r="A4630" s="658"/>
      <c r="B4630" s="227"/>
      <c r="C4630" s="227"/>
      <c r="D4630" s="227"/>
      <c r="E4630" s="227"/>
      <c r="F4630" s="227"/>
      <c r="G4630" s="227"/>
    </row>
    <row r="4631" spans="1:9" s="212" customFormat="1">
      <c r="A4631" s="69"/>
      <c r="B4631" s="69"/>
      <c r="C4631" s="69"/>
      <c r="D4631" s="69"/>
      <c r="E4631" s="69"/>
    </row>
    <row r="4632" spans="1:9" s="212" customFormat="1">
      <c r="A4632" s="120"/>
      <c r="B4632" s="73"/>
      <c r="C4632" s="73"/>
      <c r="D4632" s="73"/>
      <c r="E4632" s="73"/>
      <c r="F4632" s="73"/>
      <c r="G4632" s="73"/>
      <c r="H4632" s="73"/>
    </row>
    <row r="4633" spans="1:9" s="212" customFormat="1">
      <c r="A4633" s="220"/>
      <c r="B4633" s="141"/>
      <c r="C4633" s="141"/>
      <c r="D4633" s="141"/>
      <c r="E4633" s="141"/>
      <c r="F4633" s="141"/>
      <c r="G4633" s="141"/>
      <c r="H4633" s="73"/>
    </row>
    <row r="4634" spans="1:9" s="212" customFormat="1">
      <c r="A4634" s="150"/>
      <c r="B4634" s="83"/>
      <c r="C4634" s="148"/>
      <c r="D4634" s="84"/>
      <c r="E4634" s="84"/>
      <c r="F4634" s="84"/>
      <c r="G4634" s="224"/>
      <c r="H4634" s="221"/>
    </row>
    <row r="4635" spans="1:9" s="212" customFormat="1">
      <c r="A4635" s="84"/>
      <c r="B4635" s="83"/>
      <c r="C4635" s="84"/>
      <c r="D4635" s="84"/>
      <c r="E4635" s="84"/>
      <c r="G4635" s="213"/>
      <c r="H4635" s="222"/>
    </row>
    <row r="4636" spans="1:9" s="212" customFormat="1">
      <c r="A4636" s="120"/>
      <c r="B4636" s="73"/>
      <c r="C4636" s="73"/>
      <c r="D4636" s="73"/>
      <c r="E4636" s="73"/>
      <c r="G4636" s="73"/>
      <c r="H4636" s="222"/>
    </row>
    <row r="4637" spans="1:9" s="212" customFormat="1">
      <c r="A4637" s="220"/>
      <c r="B4637" s="141"/>
      <c r="C4637" s="141"/>
      <c r="D4637" s="141"/>
      <c r="E4637" s="141"/>
      <c r="F4637" s="141"/>
      <c r="G4637" s="141"/>
      <c r="H4637" s="222"/>
    </row>
    <row r="4638" spans="1:9" s="212" customFormat="1">
      <c r="A4638" s="150"/>
      <c r="B4638" s="83"/>
      <c r="C4638" s="148"/>
      <c r="D4638" s="84"/>
      <c r="E4638" s="84"/>
      <c r="F4638" s="84"/>
      <c r="G4638" s="224"/>
      <c r="H4638" s="222"/>
    </row>
    <row r="4639" spans="1:9" s="212" customFormat="1">
      <c r="A4639" s="150"/>
      <c r="B4639" s="83"/>
      <c r="C4639" s="148"/>
      <c r="D4639" s="84"/>
      <c r="E4639" s="84"/>
      <c r="F4639" s="84"/>
      <c r="G4639" s="224"/>
      <c r="H4639" s="222"/>
    </row>
    <row r="4640" spans="1:9" s="212" customFormat="1">
      <c r="A4640" s="150"/>
      <c r="B4640" s="83"/>
      <c r="C4640" s="148"/>
      <c r="D4640" s="84"/>
      <c r="E4640" s="84"/>
      <c r="F4640" s="84"/>
      <c r="G4640" s="224"/>
      <c r="H4640" s="221"/>
    </row>
    <row r="4641" spans="1:9" s="212" customFormat="1">
      <c r="A4641" s="91"/>
      <c r="B4641" s="91"/>
      <c r="C4641" s="91"/>
      <c r="D4641" s="91"/>
      <c r="E4641" s="91"/>
      <c r="G4641" s="213"/>
      <c r="H4641" s="222"/>
    </row>
    <row r="4642" spans="1:9" s="212" customFormat="1">
      <c r="A4642" s="120"/>
      <c r="B4642" s="73"/>
      <c r="C4642" s="73"/>
      <c r="D4642" s="73"/>
      <c r="E4642" s="73"/>
      <c r="G4642" s="73"/>
      <c r="H4642" s="222"/>
    </row>
    <row r="4643" spans="1:9" s="212" customFormat="1">
      <c r="A4643" s="220"/>
      <c r="B4643" s="141"/>
      <c r="C4643" s="141"/>
      <c r="D4643" s="141"/>
      <c r="E4643" s="141"/>
      <c r="F4643" s="141"/>
      <c r="G4643" s="141"/>
      <c r="H4643" s="222"/>
    </row>
    <row r="4644" spans="1:9" s="212" customFormat="1">
      <c r="A4644" s="146"/>
      <c r="B4644" s="83"/>
      <c r="C4644" s="148"/>
      <c r="D4644" s="84"/>
      <c r="E4644" s="84"/>
      <c r="F4644" s="84"/>
      <c r="G4644" s="146"/>
      <c r="H4644" s="221"/>
    </row>
    <row r="4645" spans="1:9" s="212" customFormat="1">
      <c r="A4645" s="91"/>
      <c r="B4645" s="91"/>
      <c r="C4645" s="91"/>
      <c r="D4645" s="91"/>
      <c r="E4645" s="91"/>
      <c r="G4645" s="213"/>
      <c r="H4645" s="222"/>
    </row>
    <row r="4646" spans="1:9" s="212" customFormat="1">
      <c r="A4646" s="120"/>
      <c r="B4646" s="73"/>
      <c r="C4646" s="73"/>
      <c r="D4646" s="73"/>
      <c r="E4646" s="73"/>
      <c r="G4646" s="73"/>
      <c r="H4646" s="222"/>
    </row>
    <row r="4647" spans="1:9" s="212" customFormat="1">
      <c r="A4647" s="220"/>
      <c r="B4647" s="141"/>
      <c r="C4647" s="141"/>
      <c r="D4647" s="141"/>
      <c r="E4647" s="141"/>
      <c r="F4647" s="141"/>
      <c r="G4647" s="141"/>
      <c r="H4647" s="222"/>
    </row>
    <row r="4648" spans="1:9" s="212" customFormat="1">
      <c r="A4648" s="142"/>
      <c r="B4648" s="143"/>
      <c r="C4648" s="143"/>
      <c r="D4648" s="143"/>
      <c r="E4648" s="143"/>
      <c r="F4648" s="84"/>
      <c r="G4648" s="146"/>
      <c r="H4648" s="221"/>
    </row>
    <row r="4649" spans="1:9" s="212" customFormat="1">
      <c r="A4649" s="123"/>
      <c r="B4649" s="95"/>
      <c r="C4649" s="95"/>
      <c r="D4649" s="95"/>
      <c r="E4649" s="95"/>
      <c r="G4649" s="213"/>
      <c r="H4649" s="73"/>
    </row>
    <row r="4650" spans="1:9" s="212" customFormat="1">
      <c r="A4650" s="123"/>
      <c r="B4650" s="95"/>
      <c r="C4650" s="95"/>
      <c r="D4650" s="95"/>
      <c r="E4650" s="95"/>
      <c r="G4650" s="73"/>
      <c r="H4650" s="225"/>
    </row>
    <row r="4651" spans="1:9" s="212" customFormat="1">
      <c r="B4651" s="97"/>
      <c r="C4651" s="98"/>
      <c r="D4651" s="98"/>
      <c r="E4651" s="98"/>
      <c r="G4651" s="220"/>
    </row>
    <row r="4652" spans="1:9" s="212" customFormat="1">
      <c r="B4652" s="97"/>
      <c r="C4652" s="98"/>
      <c r="D4652" s="98"/>
      <c r="E4652" s="98"/>
      <c r="F4652" s="220"/>
      <c r="G4652" s="225"/>
      <c r="H4652" s="226"/>
    </row>
    <row r="4653" spans="1:9" s="212" customFormat="1">
      <c r="A4653" s="633"/>
      <c r="B4653" s="633"/>
      <c r="C4653" s="633"/>
      <c r="D4653" s="633"/>
      <c r="E4653" s="633"/>
      <c r="F4653" s="633"/>
      <c r="G4653" s="633"/>
    </row>
    <row r="4654" spans="1:9" s="212" customFormat="1">
      <c r="H4654" s="227"/>
      <c r="I4654" s="228"/>
    </row>
    <row r="4655" spans="1:9" s="212" customFormat="1">
      <c r="A4655" s="658"/>
      <c r="B4655" s="227"/>
      <c r="C4655" s="227"/>
      <c r="D4655" s="227"/>
      <c r="E4655" s="227"/>
      <c r="F4655" s="227"/>
      <c r="G4655" s="227"/>
      <c r="H4655" s="227"/>
      <c r="I4655" s="229"/>
    </row>
    <row r="4656" spans="1:9" s="212" customFormat="1">
      <c r="A4656" s="658"/>
      <c r="B4656" s="227"/>
      <c r="C4656" s="227"/>
      <c r="D4656" s="227"/>
      <c r="E4656" s="227"/>
      <c r="F4656" s="227"/>
      <c r="G4656" s="227"/>
    </row>
    <row r="4657" spans="1:8" s="212" customFormat="1">
      <c r="A4657" s="69"/>
      <c r="B4657" s="69"/>
      <c r="C4657" s="69"/>
      <c r="D4657" s="69"/>
      <c r="E4657" s="69"/>
    </row>
    <row r="4658" spans="1:8" s="212" customFormat="1">
      <c r="A4658" s="120"/>
      <c r="B4658" s="73"/>
      <c r="C4658" s="73"/>
      <c r="D4658" s="73"/>
      <c r="E4658" s="73"/>
      <c r="F4658" s="73"/>
      <c r="G4658" s="73"/>
      <c r="H4658" s="73"/>
    </row>
    <row r="4659" spans="1:8" s="212" customFormat="1">
      <c r="A4659" s="220"/>
      <c r="B4659" s="141"/>
      <c r="C4659" s="141"/>
      <c r="D4659" s="141"/>
      <c r="E4659" s="141"/>
      <c r="F4659" s="141"/>
      <c r="G4659" s="141"/>
      <c r="H4659" s="73"/>
    </row>
    <row r="4660" spans="1:8" s="212" customFormat="1">
      <c r="A4660" s="150"/>
      <c r="B4660" s="83"/>
      <c r="C4660" s="148"/>
      <c r="D4660" s="84"/>
      <c r="E4660" s="84"/>
      <c r="F4660" s="84"/>
      <c r="G4660" s="224"/>
      <c r="H4660" s="221"/>
    </row>
    <row r="4661" spans="1:8" s="212" customFormat="1">
      <c r="A4661" s="84"/>
      <c r="B4661" s="83"/>
      <c r="C4661" s="84"/>
      <c r="D4661" s="84"/>
      <c r="E4661" s="84"/>
      <c r="G4661" s="213"/>
      <c r="H4661" s="222"/>
    </row>
    <row r="4662" spans="1:8" s="212" customFormat="1">
      <c r="A4662" s="120"/>
      <c r="B4662" s="73"/>
      <c r="C4662" s="73"/>
      <c r="D4662" s="73"/>
      <c r="E4662" s="73"/>
      <c r="G4662" s="73"/>
      <c r="H4662" s="222"/>
    </row>
    <row r="4663" spans="1:8" s="212" customFormat="1">
      <c r="A4663" s="220"/>
      <c r="B4663" s="141"/>
      <c r="C4663" s="141"/>
      <c r="D4663" s="141"/>
      <c r="E4663" s="141"/>
      <c r="F4663" s="141"/>
      <c r="G4663" s="141"/>
      <c r="H4663" s="222"/>
    </row>
    <row r="4664" spans="1:8" s="212" customFormat="1">
      <c r="A4664" s="150"/>
      <c r="B4664" s="83"/>
      <c r="C4664" s="148"/>
      <c r="D4664" s="84"/>
      <c r="E4664" s="84"/>
      <c r="F4664" s="84"/>
      <c r="G4664" s="224"/>
      <c r="H4664" s="222"/>
    </row>
    <row r="4665" spans="1:8" s="212" customFormat="1">
      <c r="A4665" s="150"/>
      <c r="B4665" s="83"/>
      <c r="C4665" s="148"/>
      <c r="D4665" s="84"/>
      <c r="E4665" s="84"/>
      <c r="F4665" s="84"/>
      <c r="G4665" s="224"/>
      <c r="H4665" s="222"/>
    </row>
    <row r="4666" spans="1:8" s="212" customFormat="1">
      <c r="A4666" s="150"/>
      <c r="B4666" s="83"/>
      <c r="C4666" s="148"/>
      <c r="D4666" s="84"/>
      <c r="E4666" s="84"/>
      <c r="F4666" s="84"/>
      <c r="G4666" s="224"/>
      <c r="H4666" s="221"/>
    </row>
    <row r="4667" spans="1:8" s="212" customFormat="1">
      <c r="A4667" s="91"/>
      <c r="B4667" s="91"/>
      <c r="C4667" s="91"/>
      <c r="D4667" s="91"/>
      <c r="E4667" s="91"/>
      <c r="G4667" s="213"/>
      <c r="H4667" s="222"/>
    </row>
    <row r="4668" spans="1:8" s="212" customFormat="1">
      <c r="A4668" s="120"/>
      <c r="B4668" s="73"/>
      <c r="C4668" s="73"/>
      <c r="D4668" s="73"/>
      <c r="E4668" s="73"/>
      <c r="G4668" s="73"/>
      <c r="H4668" s="222"/>
    </row>
    <row r="4669" spans="1:8" s="212" customFormat="1">
      <c r="A4669" s="220"/>
      <c r="B4669" s="141"/>
      <c r="C4669" s="141"/>
      <c r="D4669" s="141"/>
      <c r="E4669" s="141"/>
      <c r="F4669" s="141"/>
      <c r="G4669" s="141"/>
      <c r="H4669" s="222"/>
    </row>
    <row r="4670" spans="1:8" s="212" customFormat="1">
      <c r="A4670" s="146"/>
      <c r="B4670" s="83"/>
      <c r="C4670" s="148"/>
      <c r="D4670" s="84"/>
      <c r="E4670" s="84"/>
      <c r="F4670" s="84"/>
      <c r="G4670" s="146"/>
      <c r="H4670" s="221"/>
    </row>
    <row r="4671" spans="1:8" s="212" customFormat="1">
      <c r="A4671" s="91"/>
      <c r="B4671" s="91"/>
      <c r="C4671" s="91"/>
      <c r="D4671" s="91"/>
      <c r="E4671" s="91"/>
      <c r="G4671" s="213"/>
      <c r="H4671" s="222"/>
    </row>
    <row r="4672" spans="1:8" s="212" customFormat="1">
      <c r="A4672" s="120"/>
      <c r="B4672" s="73"/>
      <c r="C4672" s="73"/>
      <c r="D4672" s="73"/>
      <c r="E4672" s="73"/>
      <c r="G4672" s="73"/>
      <c r="H4672" s="222"/>
    </row>
    <row r="4673" spans="1:9" s="212" customFormat="1">
      <c r="A4673" s="220"/>
      <c r="B4673" s="141"/>
      <c r="C4673" s="141"/>
      <c r="D4673" s="141"/>
      <c r="E4673" s="141"/>
      <c r="F4673" s="141"/>
      <c r="G4673" s="141"/>
      <c r="H4673" s="222"/>
    </row>
    <row r="4674" spans="1:9" s="212" customFormat="1">
      <c r="A4674" s="142"/>
      <c r="B4674" s="143"/>
      <c r="C4674" s="143"/>
      <c r="D4674" s="143"/>
      <c r="E4674" s="143"/>
      <c r="F4674" s="84"/>
      <c r="G4674" s="146"/>
      <c r="H4674" s="221"/>
    </row>
    <row r="4675" spans="1:9" s="212" customFormat="1">
      <c r="A4675" s="123"/>
      <c r="B4675" s="95"/>
      <c r="C4675" s="95"/>
      <c r="D4675" s="95"/>
      <c r="E4675" s="95"/>
      <c r="G4675" s="213"/>
      <c r="H4675" s="73"/>
    </row>
    <row r="4676" spans="1:9" s="212" customFormat="1">
      <c r="A4676" s="123"/>
      <c r="B4676" s="95"/>
      <c r="C4676" s="95"/>
      <c r="D4676" s="95"/>
      <c r="E4676" s="95"/>
      <c r="G4676" s="73"/>
      <c r="H4676" s="225"/>
    </row>
    <row r="4677" spans="1:9" s="212" customFormat="1">
      <c r="B4677" s="97"/>
      <c r="C4677" s="98"/>
      <c r="D4677" s="98"/>
      <c r="E4677" s="98"/>
      <c r="G4677" s="220"/>
    </row>
    <row r="4678" spans="1:9" s="212" customFormat="1">
      <c r="B4678" s="97"/>
      <c r="C4678" s="98"/>
      <c r="D4678" s="98"/>
      <c r="E4678" s="98"/>
      <c r="F4678" s="220"/>
      <c r="G4678" s="225"/>
      <c r="H4678" s="226"/>
    </row>
    <row r="4679" spans="1:9" s="212" customFormat="1">
      <c r="A4679" s="633"/>
      <c r="B4679" s="633"/>
      <c r="C4679" s="633"/>
      <c r="D4679" s="633"/>
      <c r="E4679" s="633"/>
      <c r="F4679" s="633"/>
      <c r="G4679" s="633"/>
    </row>
    <row r="4680" spans="1:9" s="212" customFormat="1">
      <c r="H4680" s="227"/>
      <c r="I4680" s="228"/>
    </row>
    <row r="4681" spans="1:9" s="212" customFormat="1">
      <c r="A4681" s="658"/>
      <c r="B4681" s="227"/>
      <c r="C4681" s="227"/>
      <c r="D4681" s="227"/>
      <c r="E4681" s="227"/>
      <c r="F4681" s="227"/>
      <c r="G4681" s="227"/>
      <c r="H4681" s="227"/>
      <c r="I4681" s="229"/>
    </row>
    <row r="4682" spans="1:9" s="212" customFormat="1">
      <c r="A4682" s="658"/>
      <c r="B4682" s="227"/>
      <c r="C4682" s="227"/>
      <c r="D4682" s="227"/>
      <c r="E4682" s="227"/>
      <c r="F4682" s="227"/>
      <c r="G4682" s="227"/>
    </row>
    <row r="4683" spans="1:9" s="212" customFormat="1">
      <c r="A4683" s="69"/>
      <c r="B4683" s="69"/>
      <c r="C4683" s="69"/>
      <c r="D4683" s="69"/>
      <c r="E4683" s="69"/>
    </row>
    <row r="4684" spans="1:9" s="212" customFormat="1">
      <c r="A4684" s="120"/>
      <c r="B4684" s="73"/>
      <c r="C4684" s="73"/>
      <c r="D4684" s="73"/>
      <c r="E4684" s="73"/>
      <c r="F4684" s="73"/>
      <c r="G4684" s="73"/>
      <c r="H4684" s="73"/>
    </row>
    <row r="4685" spans="1:9" s="212" customFormat="1">
      <c r="A4685" s="220"/>
      <c r="B4685" s="141"/>
      <c r="C4685" s="141"/>
      <c r="D4685" s="141"/>
      <c r="E4685" s="141"/>
      <c r="F4685" s="141"/>
      <c r="G4685" s="141"/>
      <c r="H4685" s="73"/>
    </row>
    <row r="4686" spans="1:9" s="212" customFormat="1">
      <c r="A4686" s="150"/>
      <c r="B4686" s="83"/>
      <c r="C4686" s="148"/>
      <c r="D4686" s="84"/>
      <c r="E4686" s="84"/>
      <c r="F4686" s="84"/>
      <c r="G4686" s="224"/>
      <c r="H4686" s="221"/>
    </row>
    <row r="4687" spans="1:9" s="212" customFormat="1">
      <c r="A4687" s="84"/>
      <c r="B4687" s="83"/>
      <c r="C4687" s="84"/>
      <c r="D4687" s="84"/>
      <c r="E4687" s="84"/>
      <c r="G4687" s="213"/>
      <c r="H4687" s="222"/>
    </row>
    <row r="4688" spans="1:9" s="212" customFormat="1">
      <c r="A4688" s="120"/>
      <c r="B4688" s="73"/>
      <c r="C4688" s="73"/>
      <c r="D4688" s="73"/>
      <c r="E4688" s="73"/>
      <c r="G4688" s="73"/>
      <c r="H4688" s="222"/>
    </row>
    <row r="4689" spans="1:8" s="212" customFormat="1">
      <c r="A4689" s="220"/>
      <c r="B4689" s="141"/>
      <c r="C4689" s="141"/>
      <c r="D4689" s="141"/>
      <c r="E4689" s="141"/>
      <c r="F4689" s="141"/>
      <c r="G4689" s="141"/>
      <c r="H4689" s="222"/>
    </row>
    <row r="4690" spans="1:8" s="212" customFormat="1">
      <c r="A4690" s="150"/>
      <c r="B4690" s="83"/>
      <c r="C4690" s="148"/>
      <c r="D4690" s="84"/>
      <c r="E4690" s="84"/>
      <c r="F4690" s="84"/>
      <c r="G4690" s="224"/>
      <c r="H4690" s="222"/>
    </row>
    <row r="4691" spans="1:8" s="212" customFormat="1">
      <c r="A4691" s="150"/>
      <c r="B4691" s="83"/>
      <c r="C4691" s="148"/>
      <c r="D4691" s="84"/>
      <c r="E4691" s="84"/>
      <c r="F4691" s="84"/>
      <c r="G4691" s="224"/>
      <c r="H4691" s="222"/>
    </row>
    <row r="4692" spans="1:8" s="212" customFormat="1">
      <c r="A4692" s="150"/>
      <c r="B4692" s="83"/>
      <c r="C4692" s="148"/>
      <c r="D4692" s="84"/>
      <c r="E4692" s="84"/>
      <c r="F4692" s="84"/>
      <c r="G4692" s="224"/>
      <c r="H4692" s="221"/>
    </row>
    <row r="4693" spans="1:8" s="212" customFormat="1">
      <c r="A4693" s="91"/>
      <c r="B4693" s="91"/>
      <c r="C4693" s="91"/>
      <c r="D4693" s="91"/>
      <c r="E4693" s="91"/>
      <c r="G4693" s="213"/>
      <c r="H4693" s="222"/>
    </row>
    <row r="4694" spans="1:8" s="212" customFormat="1">
      <c r="A4694" s="120"/>
      <c r="B4694" s="73"/>
      <c r="C4694" s="73"/>
      <c r="D4694" s="73"/>
      <c r="E4694" s="73"/>
      <c r="G4694" s="73"/>
      <c r="H4694" s="222"/>
    </row>
    <row r="4695" spans="1:8" s="212" customFormat="1">
      <c r="A4695" s="220"/>
      <c r="B4695" s="141"/>
      <c r="C4695" s="141"/>
      <c r="D4695" s="141"/>
      <c r="E4695" s="141"/>
      <c r="F4695" s="141"/>
      <c r="G4695" s="141"/>
      <c r="H4695" s="222"/>
    </row>
    <row r="4696" spans="1:8" s="212" customFormat="1">
      <c r="A4696" s="146"/>
      <c r="B4696" s="83"/>
      <c r="C4696" s="148"/>
      <c r="D4696" s="84"/>
      <c r="E4696" s="84"/>
      <c r="F4696" s="84"/>
      <c r="G4696" s="146"/>
      <c r="H4696" s="222"/>
    </row>
    <row r="4697" spans="1:8" s="212" customFormat="1">
      <c r="A4697" s="146"/>
      <c r="B4697" s="83"/>
      <c r="C4697" s="148"/>
      <c r="D4697" s="84"/>
      <c r="E4697" s="84"/>
      <c r="F4697" s="84"/>
      <c r="G4697" s="146"/>
      <c r="H4697" s="221"/>
    </row>
    <row r="4698" spans="1:8" s="212" customFormat="1" ht="15.75" customHeight="1">
      <c r="A4698" s="91"/>
      <c r="B4698" s="91"/>
      <c r="C4698" s="91"/>
      <c r="D4698" s="91"/>
      <c r="E4698" s="91"/>
      <c r="G4698" s="213"/>
      <c r="H4698" s="222"/>
    </row>
    <row r="4699" spans="1:8" s="212" customFormat="1">
      <c r="A4699" s="120"/>
      <c r="B4699" s="73"/>
      <c r="C4699" s="73"/>
      <c r="D4699" s="73"/>
      <c r="E4699" s="73"/>
      <c r="G4699" s="73"/>
      <c r="H4699" s="222"/>
    </row>
    <row r="4700" spans="1:8" s="212" customFormat="1">
      <c r="A4700" s="220"/>
      <c r="B4700" s="141"/>
      <c r="C4700" s="141"/>
      <c r="D4700" s="141"/>
      <c r="E4700" s="141"/>
      <c r="F4700" s="141"/>
      <c r="G4700" s="141"/>
      <c r="H4700" s="222"/>
    </row>
    <row r="4701" spans="1:8" s="212" customFormat="1">
      <c r="A4701" s="142"/>
      <c r="B4701" s="143"/>
      <c r="C4701" s="143"/>
      <c r="D4701" s="143"/>
      <c r="E4701" s="143"/>
      <c r="F4701" s="84"/>
      <c r="G4701" s="146"/>
      <c r="H4701" s="221"/>
    </row>
    <row r="4702" spans="1:8" s="212" customFormat="1">
      <c r="A4702" s="123"/>
      <c r="B4702" s="95"/>
      <c r="C4702" s="95"/>
      <c r="D4702" s="95"/>
      <c r="E4702" s="95"/>
      <c r="G4702" s="213"/>
      <c r="H4702" s="73"/>
    </row>
    <row r="4703" spans="1:8" s="212" customFormat="1">
      <c r="A4703" s="123"/>
      <c r="B4703" s="95"/>
      <c r="C4703" s="95"/>
      <c r="D4703" s="95"/>
      <c r="E4703" s="95"/>
      <c r="G4703" s="73"/>
      <c r="H4703" s="225"/>
    </row>
    <row r="4704" spans="1:8" s="212" customFormat="1">
      <c r="B4704" s="97"/>
      <c r="C4704" s="98"/>
      <c r="D4704" s="98"/>
      <c r="E4704" s="98"/>
      <c r="G4704" s="220"/>
    </row>
    <row r="4705" spans="1:9" s="212" customFormat="1">
      <c r="B4705" s="97"/>
      <c r="C4705" s="98"/>
      <c r="D4705" s="98"/>
      <c r="E4705" s="98"/>
      <c r="F4705" s="220"/>
      <c r="G4705" s="225"/>
      <c r="H4705" s="226"/>
    </row>
    <row r="4706" spans="1:9" s="212" customFormat="1">
      <c r="A4706" s="633"/>
      <c r="B4706" s="633"/>
      <c r="C4706" s="633"/>
      <c r="D4706" s="633"/>
      <c r="E4706" s="633"/>
      <c r="F4706" s="633"/>
      <c r="G4706" s="633"/>
    </row>
    <row r="4707" spans="1:9" s="212" customFormat="1">
      <c r="H4707" s="227"/>
      <c r="I4707" s="228"/>
    </row>
    <row r="4708" spans="1:9" s="212" customFormat="1">
      <c r="A4708" s="658"/>
      <c r="B4708" s="227"/>
      <c r="C4708" s="227"/>
      <c r="D4708" s="227"/>
      <c r="E4708" s="227"/>
      <c r="F4708" s="227"/>
      <c r="G4708" s="227"/>
      <c r="H4708" s="227"/>
      <c r="I4708" s="229"/>
    </row>
    <row r="4709" spans="1:9" s="212" customFormat="1">
      <c r="A4709" s="658"/>
      <c r="B4709" s="227"/>
      <c r="C4709" s="227"/>
      <c r="D4709" s="227"/>
      <c r="E4709" s="227"/>
      <c r="F4709" s="227"/>
      <c r="G4709" s="227"/>
    </row>
    <row r="4710" spans="1:9" s="212" customFormat="1">
      <c r="A4710" s="69"/>
      <c r="B4710" s="69"/>
      <c r="C4710" s="69"/>
      <c r="D4710" s="69"/>
      <c r="E4710" s="69"/>
    </row>
    <row r="4711" spans="1:9" s="212" customFormat="1">
      <c r="A4711" s="120"/>
      <c r="B4711" s="73"/>
      <c r="C4711" s="73"/>
      <c r="D4711" s="73"/>
      <c r="E4711" s="73"/>
      <c r="F4711" s="73"/>
      <c r="G4711" s="73"/>
      <c r="H4711" s="73"/>
    </row>
    <row r="4712" spans="1:9" s="212" customFormat="1">
      <c r="A4712" s="220"/>
      <c r="B4712" s="141"/>
      <c r="C4712" s="141"/>
      <c r="D4712" s="141"/>
      <c r="E4712" s="141"/>
      <c r="F4712" s="141"/>
      <c r="G4712" s="141"/>
      <c r="H4712" s="73"/>
    </row>
    <row r="4713" spans="1:9" s="212" customFormat="1">
      <c r="A4713" s="150"/>
      <c r="B4713" s="83"/>
      <c r="C4713" s="148"/>
      <c r="D4713" s="84"/>
      <c r="E4713" s="84"/>
      <c r="F4713" s="84"/>
      <c r="G4713" s="224"/>
      <c r="H4713" s="73"/>
    </row>
    <row r="4714" spans="1:9" s="212" customFormat="1">
      <c r="A4714" s="150"/>
      <c r="B4714" s="83"/>
      <c r="C4714" s="148"/>
      <c r="D4714" s="84"/>
      <c r="E4714" s="84"/>
      <c r="F4714" s="84"/>
      <c r="G4714" s="224"/>
      <c r="H4714" s="73"/>
    </row>
    <row r="4715" spans="1:9" s="212" customFormat="1">
      <c r="A4715" s="150"/>
      <c r="B4715" s="83"/>
      <c r="C4715" s="148"/>
      <c r="D4715" s="84"/>
      <c r="E4715" s="84"/>
      <c r="F4715" s="84"/>
      <c r="G4715" s="224"/>
      <c r="H4715" s="221"/>
    </row>
    <row r="4716" spans="1:9" s="212" customFormat="1">
      <c r="A4716" s="84"/>
      <c r="B4716" s="83"/>
      <c r="C4716" s="84"/>
      <c r="D4716" s="84"/>
      <c r="E4716" s="84"/>
      <c r="G4716" s="213"/>
      <c r="H4716" s="222"/>
    </row>
    <row r="4717" spans="1:9" s="212" customFormat="1">
      <c r="A4717" s="120"/>
      <c r="B4717" s="73"/>
      <c r="C4717" s="73"/>
      <c r="D4717" s="73"/>
      <c r="E4717" s="73"/>
      <c r="G4717" s="73"/>
      <c r="H4717" s="222"/>
    </row>
    <row r="4718" spans="1:9" s="212" customFormat="1">
      <c r="A4718" s="220"/>
      <c r="B4718" s="141"/>
      <c r="C4718" s="141"/>
      <c r="D4718" s="141"/>
      <c r="E4718" s="141"/>
      <c r="F4718" s="141"/>
      <c r="G4718" s="141"/>
      <c r="H4718" s="222"/>
    </row>
    <row r="4719" spans="1:9" s="212" customFormat="1">
      <c r="A4719" s="150"/>
      <c r="B4719" s="83"/>
      <c r="C4719" s="148"/>
      <c r="D4719" s="84"/>
      <c r="E4719" s="84"/>
      <c r="F4719" s="84"/>
      <c r="G4719" s="224"/>
      <c r="H4719" s="221"/>
    </row>
    <row r="4720" spans="1:9" s="212" customFormat="1">
      <c r="A4720" s="91"/>
      <c r="B4720" s="91"/>
      <c r="C4720" s="91"/>
      <c r="D4720" s="91"/>
      <c r="E4720" s="91"/>
      <c r="G4720" s="213"/>
      <c r="H4720" s="222"/>
    </row>
    <row r="4721" spans="1:9" s="212" customFormat="1">
      <c r="A4721" s="120"/>
      <c r="B4721" s="73"/>
      <c r="C4721" s="73"/>
      <c r="D4721" s="73"/>
      <c r="E4721" s="73"/>
      <c r="G4721" s="73"/>
      <c r="H4721" s="222"/>
    </row>
    <row r="4722" spans="1:9" s="212" customFormat="1">
      <c r="A4722" s="220"/>
      <c r="B4722" s="141"/>
      <c r="C4722" s="141"/>
      <c r="D4722" s="141"/>
      <c r="E4722" s="141"/>
      <c r="F4722" s="141"/>
      <c r="G4722" s="141"/>
      <c r="H4722" s="222"/>
    </row>
    <row r="4723" spans="1:9" s="212" customFormat="1">
      <c r="A4723" s="146"/>
      <c r="B4723" s="83"/>
      <c r="C4723" s="148"/>
      <c r="D4723" s="84"/>
      <c r="E4723" s="84"/>
      <c r="F4723" s="84"/>
      <c r="G4723" s="146"/>
      <c r="H4723" s="221"/>
    </row>
    <row r="4724" spans="1:9" s="212" customFormat="1">
      <c r="A4724" s="91"/>
      <c r="B4724" s="91"/>
      <c r="C4724" s="91"/>
      <c r="D4724" s="91"/>
      <c r="E4724" s="91"/>
      <c r="G4724" s="213"/>
      <c r="H4724" s="222"/>
    </row>
    <row r="4725" spans="1:9" s="212" customFormat="1">
      <c r="A4725" s="120"/>
      <c r="B4725" s="73"/>
      <c r="C4725" s="73"/>
      <c r="D4725" s="73"/>
      <c r="E4725" s="73"/>
      <c r="G4725" s="73"/>
      <c r="H4725" s="222"/>
    </row>
    <row r="4726" spans="1:9" s="212" customFormat="1">
      <c r="A4726" s="220"/>
      <c r="B4726" s="141"/>
      <c r="C4726" s="141"/>
      <c r="D4726" s="141"/>
      <c r="E4726" s="141"/>
      <c r="F4726" s="141"/>
      <c r="G4726" s="141"/>
      <c r="H4726" s="222"/>
    </row>
    <row r="4727" spans="1:9" s="212" customFormat="1">
      <c r="A4727" s="142"/>
      <c r="B4727" s="143"/>
      <c r="C4727" s="143"/>
      <c r="D4727" s="143"/>
      <c r="E4727" s="143"/>
      <c r="F4727" s="84"/>
      <c r="G4727" s="146"/>
      <c r="H4727" s="221"/>
    </row>
    <row r="4728" spans="1:9" s="212" customFormat="1">
      <c r="A4728" s="123"/>
      <c r="B4728" s="95"/>
      <c r="C4728" s="95"/>
      <c r="D4728" s="95"/>
      <c r="E4728" s="95"/>
      <c r="G4728" s="213"/>
      <c r="H4728" s="73"/>
    </row>
    <row r="4729" spans="1:9" s="212" customFormat="1">
      <c r="A4729" s="123"/>
      <c r="B4729" s="95"/>
      <c r="C4729" s="95"/>
      <c r="D4729" s="95"/>
      <c r="E4729" s="95"/>
      <c r="G4729" s="73"/>
      <c r="H4729" s="225"/>
    </row>
    <row r="4730" spans="1:9" s="212" customFormat="1">
      <c r="B4730" s="97"/>
      <c r="C4730" s="98"/>
      <c r="D4730" s="98"/>
      <c r="E4730" s="98"/>
      <c r="G4730" s="220"/>
    </row>
    <row r="4731" spans="1:9" s="212" customFormat="1">
      <c r="B4731" s="97"/>
      <c r="C4731" s="98"/>
      <c r="D4731" s="98"/>
      <c r="E4731" s="98"/>
      <c r="F4731" s="220"/>
      <c r="G4731" s="225"/>
      <c r="H4731" s="226"/>
    </row>
    <row r="4732" spans="1:9" s="212" customFormat="1">
      <c r="A4732" s="633"/>
      <c r="B4732" s="633"/>
      <c r="C4732" s="633"/>
      <c r="D4732" s="633"/>
      <c r="E4732" s="633"/>
      <c r="F4732" s="633"/>
      <c r="G4732" s="633"/>
    </row>
    <row r="4733" spans="1:9" s="212" customFormat="1">
      <c r="H4733" s="227"/>
      <c r="I4733" s="228"/>
    </row>
    <row r="4734" spans="1:9" s="212" customFormat="1">
      <c r="A4734" s="658"/>
      <c r="B4734" s="227"/>
      <c r="C4734" s="227"/>
      <c r="D4734" s="227"/>
      <c r="E4734" s="227"/>
      <c r="F4734" s="227"/>
      <c r="G4734" s="227"/>
      <c r="H4734" s="227"/>
      <c r="I4734" s="229"/>
    </row>
    <row r="4735" spans="1:9" s="212" customFormat="1">
      <c r="A4735" s="658"/>
      <c r="B4735" s="227"/>
      <c r="C4735" s="227"/>
      <c r="D4735" s="227"/>
      <c r="E4735" s="227"/>
      <c r="F4735" s="227"/>
      <c r="G4735" s="227"/>
    </row>
    <row r="4736" spans="1:9" s="212" customFormat="1">
      <c r="A4736" s="69"/>
      <c r="B4736" s="69"/>
      <c r="C4736" s="69"/>
      <c r="D4736" s="69"/>
      <c r="E4736" s="69"/>
    </row>
    <row r="4737" spans="1:8" s="212" customFormat="1">
      <c r="A4737" s="120"/>
      <c r="B4737" s="73"/>
      <c r="C4737" s="73"/>
      <c r="D4737" s="73"/>
      <c r="E4737" s="73"/>
      <c r="F4737" s="73"/>
      <c r="G4737" s="73"/>
      <c r="H4737" s="73"/>
    </row>
    <row r="4738" spans="1:8" s="212" customFormat="1">
      <c r="A4738" s="220"/>
      <c r="B4738" s="141"/>
      <c r="C4738" s="141"/>
      <c r="D4738" s="141"/>
      <c r="E4738" s="141"/>
      <c r="F4738" s="141"/>
      <c r="G4738" s="141"/>
      <c r="H4738" s="73"/>
    </row>
    <row r="4739" spans="1:8" s="212" customFormat="1">
      <c r="A4739" s="150"/>
      <c r="B4739" s="83"/>
      <c r="C4739" s="148"/>
      <c r="D4739" s="84"/>
      <c r="E4739" s="84"/>
      <c r="F4739" s="84"/>
      <c r="G4739" s="224"/>
      <c r="H4739" s="73"/>
    </row>
    <row r="4740" spans="1:8" s="212" customFormat="1">
      <c r="A4740" s="150"/>
      <c r="B4740" s="83"/>
      <c r="C4740" s="148"/>
      <c r="D4740" s="84"/>
      <c r="E4740" s="84"/>
      <c r="F4740" s="84"/>
      <c r="G4740" s="224"/>
      <c r="H4740" s="221"/>
    </row>
    <row r="4741" spans="1:8" s="212" customFormat="1">
      <c r="A4741" s="84"/>
      <c r="B4741" s="83"/>
      <c r="C4741" s="84"/>
      <c r="D4741" s="84"/>
      <c r="E4741" s="84"/>
      <c r="G4741" s="213"/>
      <c r="H4741" s="222"/>
    </row>
    <row r="4742" spans="1:8" s="212" customFormat="1">
      <c r="A4742" s="120"/>
      <c r="B4742" s="73"/>
      <c r="C4742" s="73"/>
      <c r="D4742" s="73"/>
      <c r="E4742" s="73"/>
      <c r="G4742" s="73"/>
      <c r="H4742" s="222"/>
    </row>
    <row r="4743" spans="1:8" s="212" customFormat="1">
      <c r="A4743" s="220"/>
      <c r="B4743" s="141"/>
      <c r="C4743" s="141"/>
      <c r="D4743" s="141"/>
      <c r="E4743" s="141"/>
      <c r="F4743" s="141"/>
      <c r="G4743" s="141"/>
      <c r="H4743" s="222"/>
    </row>
    <row r="4744" spans="1:8" s="212" customFormat="1">
      <c r="A4744" s="150"/>
      <c r="B4744" s="83"/>
      <c r="C4744" s="148"/>
      <c r="D4744" s="84"/>
      <c r="E4744" s="84"/>
      <c r="F4744" s="84"/>
      <c r="G4744" s="224"/>
      <c r="H4744" s="221"/>
    </row>
    <row r="4745" spans="1:8" s="212" customFormat="1">
      <c r="A4745" s="91"/>
      <c r="B4745" s="91"/>
      <c r="C4745" s="91"/>
      <c r="D4745" s="91"/>
      <c r="E4745" s="91"/>
      <c r="G4745" s="213"/>
      <c r="H4745" s="222"/>
    </row>
    <row r="4746" spans="1:8" s="212" customFormat="1">
      <c r="A4746" s="120"/>
      <c r="B4746" s="73"/>
      <c r="C4746" s="73"/>
      <c r="D4746" s="73"/>
      <c r="E4746" s="73"/>
      <c r="G4746" s="73"/>
      <c r="H4746" s="222"/>
    </row>
    <row r="4747" spans="1:8" s="212" customFormat="1">
      <c r="A4747" s="220"/>
      <c r="B4747" s="141"/>
      <c r="C4747" s="141"/>
      <c r="D4747" s="141"/>
      <c r="E4747" s="141"/>
      <c r="F4747" s="141"/>
      <c r="G4747" s="141"/>
      <c r="H4747" s="222"/>
    </row>
    <row r="4748" spans="1:8" s="212" customFormat="1">
      <c r="A4748" s="146"/>
      <c r="B4748" s="83"/>
      <c r="C4748" s="148"/>
      <c r="D4748" s="84"/>
      <c r="E4748" s="84"/>
      <c r="F4748" s="84"/>
      <c r="G4748" s="146"/>
      <c r="H4748" s="221"/>
    </row>
    <row r="4749" spans="1:8" s="212" customFormat="1">
      <c r="A4749" s="91"/>
      <c r="B4749" s="91"/>
      <c r="C4749" s="91"/>
      <c r="D4749" s="91"/>
      <c r="E4749" s="91"/>
      <c r="G4749" s="213"/>
      <c r="H4749" s="222"/>
    </row>
    <row r="4750" spans="1:8" s="212" customFormat="1">
      <c r="A4750" s="120"/>
      <c r="B4750" s="73"/>
      <c r="C4750" s="73"/>
      <c r="D4750" s="73"/>
      <c r="E4750" s="73"/>
      <c r="G4750" s="73"/>
      <c r="H4750" s="222"/>
    </row>
    <row r="4751" spans="1:8" s="212" customFormat="1">
      <c r="A4751" s="220"/>
      <c r="B4751" s="141"/>
      <c r="C4751" s="141"/>
      <c r="D4751" s="141"/>
      <c r="E4751" s="141"/>
      <c r="F4751" s="141"/>
      <c r="G4751" s="141"/>
      <c r="H4751" s="222"/>
    </row>
    <row r="4752" spans="1:8" s="212" customFormat="1">
      <c r="A4752" s="142"/>
      <c r="B4752" s="143"/>
      <c r="C4752" s="143"/>
      <c r="D4752" s="143"/>
      <c r="E4752" s="143"/>
      <c r="F4752" s="84"/>
      <c r="G4752" s="146"/>
      <c r="H4752" s="221"/>
    </row>
    <row r="4753" spans="1:9" s="212" customFormat="1">
      <c r="A4753" s="123"/>
      <c r="B4753" s="95"/>
      <c r="C4753" s="95"/>
      <c r="D4753" s="95"/>
      <c r="E4753" s="95"/>
      <c r="G4753" s="213"/>
      <c r="H4753" s="73"/>
    </row>
    <row r="4754" spans="1:9" s="212" customFormat="1">
      <c r="A4754" s="123"/>
      <c r="B4754" s="95"/>
      <c r="C4754" s="95"/>
      <c r="D4754" s="95"/>
      <c r="E4754" s="95"/>
      <c r="G4754" s="73"/>
      <c r="H4754" s="225"/>
    </row>
    <row r="4755" spans="1:9" s="212" customFormat="1">
      <c r="B4755" s="97"/>
      <c r="C4755" s="98"/>
      <c r="D4755" s="98"/>
      <c r="E4755" s="98"/>
      <c r="G4755" s="220"/>
    </row>
    <row r="4756" spans="1:9" s="212" customFormat="1">
      <c r="B4756" s="97"/>
      <c r="C4756" s="98"/>
      <c r="D4756" s="98"/>
      <c r="E4756" s="98"/>
      <c r="F4756" s="220"/>
      <c r="G4756" s="225"/>
      <c r="H4756" s="226"/>
    </row>
    <row r="4757" spans="1:9" s="212" customFormat="1">
      <c r="A4757" s="633"/>
      <c r="B4757" s="633"/>
      <c r="C4757" s="633"/>
      <c r="D4757" s="633"/>
      <c r="E4757" s="633"/>
      <c r="F4757" s="633"/>
      <c r="G4757" s="633"/>
    </row>
    <row r="4758" spans="1:9" s="212" customFormat="1">
      <c r="H4758" s="227"/>
      <c r="I4758" s="228"/>
    </row>
    <row r="4759" spans="1:9" s="212" customFormat="1">
      <c r="A4759" s="658"/>
      <c r="B4759" s="227"/>
      <c r="C4759" s="227"/>
      <c r="D4759" s="227"/>
      <c r="E4759" s="227"/>
      <c r="F4759" s="227"/>
      <c r="G4759" s="227"/>
      <c r="H4759" s="227"/>
      <c r="I4759" s="229"/>
    </row>
    <row r="4760" spans="1:9" s="212" customFormat="1">
      <c r="A4760" s="658"/>
      <c r="B4760" s="227"/>
      <c r="C4760" s="227"/>
      <c r="D4760" s="227"/>
      <c r="E4760" s="227"/>
      <c r="F4760" s="227"/>
      <c r="G4760" s="227"/>
    </row>
    <row r="4761" spans="1:9" s="212" customFormat="1">
      <c r="A4761" s="69"/>
      <c r="B4761" s="69"/>
      <c r="C4761" s="69"/>
      <c r="D4761" s="69"/>
      <c r="E4761" s="69"/>
    </row>
    <row r="4762" spans="1:9" s="212" customFormat="1">
      <c r="A4762" s="120"/>
      <c r="B4762" s="73"/>
      <c r="C4762" s="73"/>
      <c r="D4762" s="73"/>
      <c r="E4762" s="73"/>
      <c r="F4762" s="73"/>
      <c r="G4762" s="73"/>
      <c r="H4762" s="73"/>
    </row>
    <row r="4763" spans="1:9" s="212" customFormat="1">
      <c r="A4763" s="220"/>
      <c r="B4763" s="141"/>
      <c r="C4763" s="141"/>
      <c r="D4763" s="141"/>
      <c r="E4763" s="141"/>
      <c r="F4763" s="141"/>
      <c r="G4763" s="141"/>
      <c r="H4763" s="73"/>
    </row>
    <row r="4764" spans="1:9" s="212" customFormat="1">
      <c r="A4764" s="150"/>
      <c r="B4764" s="83"/>
      <c r="C4764" s="148"/>
      <c r="D4764" s="84"/>
      <c r="E4764" s="84"/>
      <c r="F4764" s="84"/>
      <c r="G4764" s="224"/>
      <c r="H4764" s="221"/>
    </row>
    <row r="4765" spans="1:9" s="212" customFormat="1">
      <c r="A4765" s="84"/>
      <c r="B4765" s="83"/>
      <c r="C4765" s="84"/>
      <c r="D4765" s="84"/>
      <c r="E4765" s="84"/>
      <c r="G4765" s="213"/>
      <c r="H4765" s="222"/>
    </row>
    <row r="4766" spans="1:9" s="212" customFormat="1">
      <c r="A4766" s="120"/>
      <c r="B4766" s="73"/>
      <c r="C4766" s="73"/>
      <c r="D4766" s="73"/>
      <c r="E4766" s="73"/>
      <c r="G4766" s="73"/>
      <c r="H4766" s="222"/>
    </row>
    <row r="4767" spans="1:9" s="212" customFormat="1">
      <c r="A4767" s="220"/>
      <c r="B4767" s="141"/>
      <c r="C4767" s="141"/>
      <c r="D4767" s="141"/>
      <c r="E4767" s="141"/>
      <c r="F4767" s="141"/>
      <c r="G4767" s="141"/>
      <c r="H4767" s="222"/>
    </row>
    <row r="4768" spans="1:9" s="212" customFormat="1">
      <c r="A4768" s="150"/>
      <c r="B4768" s="83"/>
      <c r="C4768" s="148"/>
      <c r="D4768" s="84"/>
      <c r="E4768" s="84"/>
      <c r="F4768" s="84"/>
      <c r="G4768" s="224"/>
      <c r="H4768" s="222"/>
    </row>
    <row r="4769" spans="1:8" s="212" customFormat="1">
      <c r="A4769" s="150"/>
      <c r="B4769" s="83"/>
      <c r="C4769" s="148"/>
      <c r="D4769" s="84"/>
      <c r="E4769" s="84"/>
      <c r="F4769" s="84"/>
      <c r="G4769" s="224"/>
      <c r="H4769" s="222"/>
    </row>
    <row r="4770" spans="1:8" s="212" customFormat="1">
      <c r="A4770" s="150"/>
      <c r="B4770" s="83"/>
      <c r="C4770" s="148"/>
      <c r="D4770" s="84"/>
      <c r="E4770" s="84"/>
      <c r="F4770" s="84"/>
      <c r="G4770" s="224"/>
      <c r="H4770" s="222"/>
    </row>
    <row r="4771" spans="1:8" s="212" customFormat="1">
      <c r="A4771" s="150"/>
      <c r="B4771" s="83"/>
      <c r="C4771" s="148"/>
      <c r="D4771" s="84"/>
      <c r="E4771" s="84"/>
      <c r="F4771" s="84"/>
      <c r="G4771" s="224"/>
      <c r="H4771" s="222"/>
    </row>
    <row r="4772" spans="1:8" s="212" customFormat="1">
      <c r="A4772" s="150"/>
      <c r="B4772" s="83"/>
      <c r="C4772" s="148"/>
      <c r="D4772" s="84"/>
      <c r="E4772" s="84"/>
      <c r="F4772" s="84"/>
      <c r="G4772" s="224"/>
      <c r="H4772" s="222"/>
    </row>
    <row r="4773" spans="1:8" s="212" customFormat="1">
      <c r="A4773" s="150"/>
      <c r="B4773" s="83"/>
      <c r="C4773" s="148"/>
      <c r="D4773" s="84"/>
      <c r="E4773" s="84"/>
      <c r="F4773" s="84"/>
      <c r="G4773" s="224"/>
      <c r="H4773" s="222"/>
    </row>
    <row r="4774" spans="1:8" s="212" customFormat="1">
      <c r="A4774" s="150"/>
      <c r="B4774" s="83"/>
      <c r="C4774" s="148"/>
      <c r="D4774" s="84"/>
      <c r="E4774" s="84"/>
      <c r="F4774" s="84"/>
      <c r="G4774" s="224"/>
      <c r="H4774" s="221"/>
    </row>
    <row r="4775" spans="1:8" s="212" customFormat="1">
      <c r="A4775" s="91"/>
      <c r="B4775" s="91"/>
      <c r="C4775" s="91"/>
      <c r="D4775" s="91"/>
      <c r="E4775" s="91"/>
      <c r="G4775" s="213"/>
      <c r="H4775" s="222"/>
    </row>
    <row r="4776" spans="1:8" s="212" customFormat="1">
      <c r="A4776" s="120"/>
      <c r="B4776" s="73"/>
      <c r="C4776" s="73"/>
      <c r="D4776" s="73"/>
      <c r="E4776" s="73"/>
      <c r="G4776" s="73"/>
      <c r="H4776" s="222"/>
    </row>
    <row r="4777" spans="1:8" s="212" customFormat="1">
      <c r="A4777" s="220"/>
      <c r="B4777" s="141"/>
      <c r="C4777" s="141"/>
      <c r="D4777" s="141"/>
      <c r="E4777" s="141"/>
      <c r="F4777" s="141"/>
      <c r="G4777" s="141"/>
      <c r="H4777" s="222"/>
    </row>
    <row r="4778" spans="1:8" s="212" customFormat="1">
      <c r="A4778" s="146"/>
      <c r="B4778" s="83"/>
      <c r="C4778" s="148"/>
      <c r="D4778" s="84"/>
      <c r="E4778" s="84"/>
      <c r="F4778" s="84"/>
      <c r="G4778" s="146"/>
      <c r="H4778" s="222"/>
    </row>
    <row r="4779" spans="1:8" s="212" customFormat="1">
      <c r="A4779" s="146"/>
      <c r="B4779" s="83"/>
      <c r="C4779" s="148"/>
      <c r="D4779" s="84"/>
      <c r="E4779" s="84"/>
      <c r="F4779" s="84"/>
      <c r="G4779" s="146"/>
      <c r="H4779" s="221"/>
    </row>
    <row r="4780" spans="1:8" s="212" customFormat="1">
      <c r="A4780" s="91"/>
      <c r="B4780" s="91"/>
      <c r="C4780" s="91"/>
      <c r="D4780" s="91"/>
      <c r="E4780" s="91"/>
      <c r="G4780" s="213"/>
      <c r="H4780" s="222"/>
    </row>
    <row r="4781" spans="1:8" s="212" customFormat="1">
      <c r="A4781" s="120"/>
      <c r="B4781" s="73"/>
      <c r="C4781" s="73"/>
      <c r="D4781" s="73"/>
      <c r="E4781" s="73"/>
      <c r="G4781" s="73"/>
      <c r="H4781" s="222"/>
    </row>
    <row r="4782" spans="1:8" s="212" customFormat="1">
      <c r="A4782" s="220"/>
      <c r="B4782" s="141"/>
      <c r="C4782" s="141"/>
      <c r="D4782" s="141"/>
      <c r="E4782" s="141"/>
      <c r="F4782" s="141"/>
      <c r="G4782" s="141"/>
      <c r="H4782" s="222"/>
    </row>
    <row r="4783" spans="1:8" s="212" customFormat="1">
      <c r="A4783" s="142"/>
      <c r="B4783" s="143"/>
      <c r="C4783" s="143"/>
      <c r="D4783" s="143"/>
      <c r="E4783" s="143"/>
      <c r="F4783" s="84"/>
      <c r="G4783" s="146"/>
      <c r="H4783" s="221"/>
    </row>
    <row r="4784" spans="1:8" s="212" customFormat="1">
      <c r="A4784" s="123"/>
      <c r="B4784" s="95"/>
      <c r="C4784" s="95"/>
      <c r="D4784" s="95"/>
      <c r="E4784" s="95"/>
      <c r="G4784" s="213"/>
      <c r="H4784" s="73"/>
    </row>
    <row r="4785" spans="1:9" s="212" customFormat="1">
      <c r="A4785" s="123"/>
      <c r="B4785" s="95"/>
      <c r="C4785" s="95"/>
      <c r="D4785" s="95"/>
      <c r="E4785" s="95"/>
      <c r="G4785" s="73"/>
      <c r="H4785" s="225"/>
    </row>
    <row r="4786" spans="1:9" s="212" customFormat="1">
      <c r="B4786" s="97"/>
      <c r="C4786" s="98"/>
      <c r="D4786" s="98"/>
      <c r="E4786" s="98"/>
      <c r="G4786" s="220"/>
    </row>
    <row r="4787" spans="1:9" s="212" customFormat="1">
      <c r="B4787" s="97"/>
      <c r="C4787" s="98"/>
      <c r="D4787" s="98"/>
      <c r="E4787" s="98"/>
      <c r="F4787" s="220"/>
      <c r="G4787" s="225"/>
      <c r="H4787" s="226"/>
    </row>
    <row r="4788" spans="1:9" s="212" customFormat="1">
      <c r="A4788" s="633"/>
      <c r="B4788" s="633"/>
      <c r="C4788" s="633"/>
      <c r="D4788" s="633"/>
      <c r="E4788" s="633"/>
      <c r="F4788" s="633"/>
      <c r="G4788" s="633"/>
    </row>
    <row r="4789" spans="1:9" s="212" customFormat="1">
      <c r="H4789" s="227"/>
      <c r="I4789" s="228"/>
    </row>
    <row r="4790" spans="1:9" s="212" customFormat="1">
      <c r="A4790" s="658"/>
      <c r="B4790" s="227"/>
      <c r="C4790" s="227"/>
      <c r="D4790" s="227"/>
      <c r="E4790" s="227"/>
      <c r="F4790" s="227"/>
      <c r="G4790" s="227"/>
      <c r="H4790" s="227"/>
      <c r="I4790" s="229"/>
    </row>
    <row r="4791" spans="1:9" s="212" customFormat="1">
      <c r="A4791" s="658"/>
      <c r="B4791" s="227"/>
      <c r="C4791" s="227"/>
      <c r="D4791" s="227"/>
      <c r="E4791" s="227"/>
      <c r="F4791" s="227"/>
      <c r="G4791" s="227"/>
    </row>
    <row r="4792" spans="1:9" s="212" customFormat="1">
      <c r="A4792" s="69"/>
      <c r="B4792" s="69"/>
      <c r="C4792" s="69"/>
      <c r="D4792" s="69"/>
      <c r="E4792" s="69"/>
    </row>
    <row r="4793" spans="1:9" s="212" customFormat="1">
      <c r="A4793" s="120"/>
      <c r="B4793" s="73"/>
      <c r="C4793" s="73"/>
      <c r="D4793" s="73"/>
      <c r="E4793" s="73"/>
      <c r="F4793" s="73"/>
      <c r="G4793" s="73"/>
      <c r="H4793" s="73"/>
    </row>
    <row r="4794" spans="1:9" s="212" customFormat="1">
      <c r="A4794" s="220"/>
      <c r="B4794" s="141"/>
      <c r="C4794" s="141"/>
      <c r="D4794" s="141"/>
      <c r="E4794" s="141"/>
      <c r="F4794" s="141"/>
      <c r="G4794" s="141"/>
      <c r="H4794" s="73"/>
    </row>
    <row r="4795" spans="1:9" s="212" customFormat="1">
      <c r="A4795" s="150"/>
      <c r="B4795" s="83"/>
      <c r="C4795" s="148"/>
      <c r="D4795" s="84"/>
      <c r="E4795" s="84"/>
      <c r="F4795" s="84"/>
      <c r="G4795" s="224"/>
      <c r="H4795" s="221"/>
    </row>
    <row r="4796" spans="1:9" s="212" customFormat="1">
      <c r="A4796" s="84"/>
      <c r="B4796" s="83"/>
      <c r="C4796" s="84"/>
      <c r="D4796" s="84"/>
      <c r="E4796" s="84"/>
      <c r="G4796" s="213"/>
      <c r="H4796" s="222"/>
    </row>
    <row r="4797" spans="1:9" s="212" customFormat="1">
      <c r="A4797" s="120"/>
      <c r="B4797" s="73"/>
      <c r="C4797" s="73"/>
      <c r="D4797" s="73"/>
      <c r="E4797" s="73"/>
      <c r="G4797" s="73"/>
      <c r="H4797" s="222"/>
    </row>
    <row r="4798" spans="1:9" s="212" customFormat="1">
      <c r="A4798" s="220"/>
      <c r="B4798" s="141"/>
      <c r="C4798" s="141"/>
      <c r="D4798" s="141"/>
      <c r="E4798" s="141"/>
      <c r="F4798" s="141"/>
      <c r="G4798" s="141"/>
      <c r="H4798" s="222"/>
    </row>
    <row r="4799" spans="1:9" s="212" customFormat="1">
      <c r="A4799" s="150"/>
      <c r="B4799" s="83"/>
      <c r="C4799" s="148"/>
      <c r="D4799" s="84"/>
      <c r="E4799" s="84"/>
      <c r="F4799" s="84"/>
      <c r="G4799" s="224"/>
      <c r="H4799" s="222"/>
    </row>
    <row r="4800" spans="1:9" s="212" customFormat="1">
      <c r="A4800" s="150"/>
      <c r="B4800" s="83"/>
      <c r="C4800" s="148"/>
      <c r="D4800" s="84"/>
      <c r="E4800" s="84"/>
      <c r="F4800" s="84"/>
      <c r="G4800" s="224"/>
      <c r="H4800" s="222"/>
    </row>
    <row r="4801" spans="1:8" s="212" customFormat="1">
      <c r="A4801" s="150"/>
      <c r="B4801" s="83"/>
      <c r="C4801" s="148"/>
      <c r="D4801" s="84"/>
      <c r="E4801" s="84"/>
      <c r="F4801" s="84"/>
      <c r="G4801" s="224"/>
      <c r="H4801" s="222"/>
    </row>
    <row r="4802" spans="1:8" s="212" customFormat="1">
      <c r="A4802" s="150"/>
      <c r="B4802" s="83"/>
      <c r="C4802" s="148"/>
      <c r="D4802" s="84"/>
      <c r="E4802" s="84"/>
      <c r="F4802" s="84"/>
      <c r="G4802" s="224"/>
      <c r="H4802" s="222"/>
    </row>
    <row r="4803" spans="1:8" s="212" customFormat="1">
      <c r="A4803" s="150"/>
      <c r="B4803" s="83"/>
      <c r="C4803" s="148"/>
      <c r="D4803" s="84"/>
      <c r="E4803" s="84"/>
      <c r="F4803" s="84"/>
      <c r="G4803" s="224"/>
      <c r="H4803" s="221"/>
    </row>
    <row r="4804" spans="1:8" s="212" customFormat="1">
      <c r="A4804" s="91"/>
      <c r="B4804" s="91"/>
      <c r="C4804" s="91"/>
      <c r="D4804" s="91"/>
      <c r="E4804" s="91"/>
      <c r="G4804" s="213"/>
      <c r="H4804" s="222"/>
    </row>
    <row r="4805" spans="1:8" s="212" customFormat="1">
      <c r="A4805" s="120"/>
      <c r="B4805" s="73"/>
      <c r="C4805" s="73"/>
      <c r="D4805" s="73"/>
      <c r="E4805" s="73"/>
      <c r="G4805" s="73"/>
      <c r="H4805" s="222"/>
    </row>
    <row r="4806" spans="1:8" s="212" customFormat="1">
      <c r="A4806" s="220"/>
      <c r="B4806" s="141"/>
      <c r="C4806" s="141"/>
      <c r="D4806" s="141"/>
      <c r="E4806" s="141"/>
      <c r="F4806" s="141"/>
      <c r="G4806" s="141"/>
      <c r="H4806" s="222"/>
    </row>
    <row r="4807" spans="1:8" s="212" customFormat="1">
      <c r="A4807" s="146"/>
      <c r="B4807" s="83"/>
      <c r="C4807" s="148"/>
      <c r="D4807" s="84"/>
      <c r="E4807" s="84"/>
      <c r="F4807" s="84"/>
      <c r="G4807" s="146"/>
      <c r="H4807" s="222"/>
    </row>
    <row r="4808" spans="1:8" s="212" customFormat="1">
      <c r="A4808" s="146"/>
      <c r="B4808" s="83"/>
      <c r="C4808" s="148"/>
      <c r="D4808" s="84"/>
      <c r="E4808" s="84"/>
      <c r="F4808" s="84"/>
      <c r="G4808" s="146"/>
      <c r="H4808" s="221"/>
    </row>
    <row r="4809" spans="1:8" s="212" customFormat="1">
      <c r="A4809" s="91"/>
      <c r="B4809" s="91"/>
      <c r="C4809" s="91"/>
      <c r="D4809" s="91"/>
      <c r="E4809" s="91"/>
      <c r="G4809" s="213"/>
      <c r="H4809" s="222"/>
    </row>
    <row r="4810" spans="1:8" s="212" customFormat="1">
      <c r="A4810" s="120"/>
      <c r="B4810" s="73"/>
      <c r="C4810" s="73"/>
      <c r="D4810" s="73"/>
      <c r="E4810" s="73"/>
      <c r="G4810" s="73"/>
      <c r="H4810" s="222"/>
    </row>
    <row r="4811" spans="1:8" s="212" customFormat="1">
      <c r="A4811" s="220"/>
      <c r="B4811" s="141"/>
      <c r="C4811" s="141"/>
      <c r="D4811" s="141"/>
      <c r="E4811" s="141"/>
      <c r="F4811" s="141"/>
      <c r="G4811" s="141"/>
      <c r="H4811" s="222"/>
    </row>
    <row r="4812" spans="1:8" s="212" customFormat="1">
      <c r="A4812" s="142"/>
      <c r="B4812" s="143"/>
      <c r="C4812" s="143"/>
      <c r="D4812" s="143"/>
      <c r="E4812" s="143"/>
      <c r="F4812" s="84"/>
      <c r="G4812" s="146"/>
      <c r="H4812" s="221"/>
    </row>
    <row r="4813" spans="1:8" s="212" customFormat="1">
      <c r="A4813" s="123"/>
      <c r="B4813" s="95"/>
      <c r="C4813" s="95"/>
      <c r="D4813" s="95"/>
      <c r="E4813" s="95"/>
      <c r="G4813" s="213"/>
      <c r="H4813" s="73"/>
    </row>
    <row r="4814" spans="1:8" s="212" customFormat="1">
      <c r="A4814" s="123"/>
      <c r="B4814" s="95"/>
      <c r="C4814" s="95"/>
      <c r="D4814" s="95"/>
      <c r="E4814" s="95"/>
      <c r="G4814" s="73"/>
      <c r="H4814" s="225"/>
    </row>
    <row r="4815" spans="1:8" s="212" customFormat="1">
      <c r="B4815" s="97"/>
      <c r="C4815" s="98"/>
      <c r="D4815" s="98"/>
      <c r="E4815" s="98"/>
      <c r="G4815" s="220"/>
    </row>
    <row r="4816" spans="1:8" s="212" customFormat="1">
      <c r="B4816" s="97"/>
      <c r="C4816" s="98"/>
      <c r="D4816" s="98"/>
      <c r="E4816" s="98"/>
      <c r="F4816" s="220"/>
      <c r="G4816" s="225"/>
      <c r="H4816" s="226"/>
    </row>
    <row r="4817" spans="1:9" s="212" customFormat="1">
      <c r="A4817" s="633"/>
      <c r="B4817" s="633"/>
      <c r="C4817" s="633"/>
      <c r="D4817" s="633"/>
      <c r="E4817" s="633"/>
      <c r="F4817" s="633"/>
      <c r="G4817" s="633"/>
    </row>
    <row r="4818" spans="1:9" s="212" customFormat="1">
      <c r="H4818" s="227"/>
      <c r="I4818" s="228"/>
    </row>
    <row r="4819" spans="1:9" s="212" customFormat="1">
      <c r="A4819" s="658"/>
      <c r="B4819" s="227"/>
      <c r="C4819" s="227"/>
      <c r="D4819" s="227"/>
      <c r="E4819" s="227"/>
      <c r="F4819" s="227"/>
      <c r="G4819" s="227"/>
      <c r="H4819" s="227"/>
      <c r="I4819" s="229"/>
    </row>
    <row r="4820" spans="1:9" s="212" customFormat="1">
      <c r="A4820" s="658"/>
      <c r="B4820" s="227"/>
      <c r="C4820" s="227"/>
      <c r="D4820" s="227"/>
      <c r="E4820" s="227"/>
      <c r="F4820" s="227"/>
      <c r="G4820" s="227"/>
    </row>
    <row r="4821" spans="1:9" s="212" customFormat="1">
      <c r="A4821" s="69"/>
      <c r="B4821" s="69"/>
      <c r="C4821" s="69"/>
      <c r="D4821" s="69"/>
      <c r="E4821" s="69"/>
    </row>
    <row r="4822" spans="1:9" s="212" customFormat="1">
      <c r="A4822" s="120"/>
      <c r="B4822" s="73"/>
      <c r="C4822" s="73"/>
      <c r="D4822" s="73"/>
      <c r="E4822" s="73"/>
      <c r="F4822" s="73"/>
      <c r="G4822" s="73"/>
      <c r="H4822" s="73"/>
    </row>
    <row r="4823" spans="1:9" s="212" customFormat="1">
      <c r="A4823" s="220"/>
      <c r="B4823" s="141"/>
      <c r="C4823" s="141"/>
      <c r="D4823" s="141"/>
      <c r="E4823" s="141"/>
      <c r="F4823" s="141"/>
      <c r="G4823" s="141"/>
      <c r="H4823" s="73"/>
    </row>
    <row r="4824" spans="1:9" s="212" customFormat="1">
      <c r="A4824" s="150"/>
      <c r="B4824" s="83"/>
      <c r="C4824" s="148"/>
      <c r="D4824" s="84"/>
      <c r="E4824" s="84"/>
      <c r="F4824" s="84"/>
      <c r="G4824" s="224"/>
      <c r="H4824" s="73"/>
    </row>
    <row r="4825" spans="1:9" s="212" customFormat="1">
      <c r="A4825" s="150"/>
      <c r="B4825" s="83"/>
      <c r="C4825" s="148"/>
      <c r="D4825" s="84"/>
      <c r="E4825" s="84"/>
      <c r="F4825" s="84"/>
      <c r="G4825" s="224"/>
      <c r="H4825" s="221"/>
    </row>
    <row r="4826" spans="1:9" s="212" customFormat="1">
      <c r="A4826" s="84"/>
      <c r="B4826" s="83"/>
      <c r="C4826" s="84"/>
      <c r="D4826" s="84"/>
      <c r="E4826" s="84"/>
      <c r="G4826" s="213"/>
      <c r="H4826" s="222"/>
    </row>
    <row r="4827" spans="1:9" s="212" customFormat="1">
      <c r="A4827" s="120"/>
      <c r="B4827" s="73"/>
      <c r="C4827" s="73"/>
      <c r="D4827" s="73"/>
      <c r="E4827" s="73"/>
      <c r="G4827" s="73"/>
      <c r="H4827" s="222"/>
    </row>
    <row r="4828" spans="1:9" s="212" customFormat="1">
      <c r="A4828" s="220"/>
      <c r="B4828" s="141"/>
      <c r="C4828" s="141"/>
      <c r="D4828" s="141"/>
      <c r="E4828" s="141"/>
      <c r="F4828" s="141"/>
      <c r="G4828" s="141"/>
      <c r="H4828" s="222"/>
    </row>
    <row r="4829" spans="1:9" s="212" customFormat="1">
      <c r="A4829" s="150"/>
      <c r="B4829" s="83"/>
      <c r="C4829" s="148"/>
      <c r="D4829" s="84"/>
      <c r="E4829" s="84"/>
      <c r="F4829" s="84"/>
      <c r="G4829" s="224"/>
      <c r="H4829" s="222"/>
    </row>
    <row r="4830" spans="1:9" s="212" customFormat="1">
      <c r="A4830" s="150"/>
      <c r="B4830" s="83"/>
      <c r="C4830" s="148"/>
      <c r="D4830" s="84"/>
      <c r="E4830" s="84"/>
      <c r="F4830" s="84"/>
      <c r="G4830" s="224"/>
      <c r="H4830" s="222"/>
    </row>
    <row r="4831" spans="1:9" s="212" customFormat="1">
      <c r="A4831" s="150"/>
      <c r="B4831" s="83"/>
      <c r="C4831" s="148"/>
      <c r="D4831" s="84"/>
      <c r="E4831" s="84"/>
      <c r="F4831" s="84"/>
      <c r="G4831" s="224"/>
      <c r="H4831" s="222"/>
    </row>
    <row r="4832" spans="1:9" s="212" customFormat="1">
      <c r="A4832" s="150"/>
      <c r="B4832" s="83"/>
      <c r="C4832" s="148"/>
      <c r="D4832" s="84"/>
      <c r="E4832" s="84"/>
      <c r="F4832" s="84"/>
      <c r="G4832" s="224"/>
      <c r="H4832" s="221"/>
    </row>
    <row r="4833" spans="1:9" s="212" customFormat="1">
      <c r="A4833" s="91"/>
      <c r="B4833" s="91"/>
      <c r="C4833" s="91"/>
      <c r="D4833" s="91"/>
      <c r="E4833" s="91"/>
      <c r="G4833" s="213"/>
      <c r="H4833" s="222"/>
    </row>
    <row r="4834" spans="1:9" s="212" customFormat="1">
      <c r="A4834" s="120"/>
      <c r="B4834" s="73"/>
      <c r="C4834" s="73"/>
      <c r="D4834" s="73"/>
      <c r="E4834" s="73"/>
      <c r="G4834" s="73"/>
      <c r="H4834" s="222"/>
    </row>
    <row r="4835" spans="1:9" s="212" customFormat="1">
      <c r="A4835" s="220"/>
      <c r="B4835" s="141"/>
      <c r="C4835" s="141"/>
      <c r="D4835" s="141"/>
      <c r="E4835" s="141"/>
      <c r="F4835" s="141"/>
      <c r="G4835" s="141"/>
      <c r="H4835" s="222"/>
    </row>
    <row r="4836" spans="1:9" s="212" customFormat="1">
      <c r="A4836" s="146"/>
      <c r="B4836" s="83"/>
      <c r="C4836" s="148"/>
      <c r="D4836" s="84"/>
      <c r="E4836" s="84"/>
      <c r="F4836" s="84"/>
      <c r="G4836" s="146"/>
      <c r="H4836" s="222"/>
    </row>
    <row r="4837" spans="1:9" s="212" customFormat="1">
      <c r="A4837" s="146"/>
      <c r="B4837" s="83"/>
      <c r="C4837" s="148"/>
      <c r="D4837" s="84"/>
      <c r="E4837" s="84"/>
      <c r="F4837" s="84"/>
      <c r="G4837" s="146"/>
      <c r="H4837" s="221"/>
    </row>
    <row r="4838" spans="1:9" s="212" customFormat="1">
      <c r="A4838" s="91"/>
      <c r="B4838" s="91"/>
      <c r="C4838" s="91"/>
      <c r="D4838" s="91"/>
      <c r="E4838" s="91"/>
      <c r="G4838" s="213"/>
      <c r="H4838" s="222"/>
    </row>
    <row r="4839" spans="1:9" s="212" customFormat="1">
      <c r="A4839" s="120"/>
      <c r="B4839" s="73"/>
      <c r="C4839" s="73"/>
      <c r="D4839" s="73"/>
      <c r="E4839" s="73"/>
      <c r="G4839" s="73"/>
      <c r="H4839" s="222"/>
    </row>
    <row r="4840" spans="1:9" s="212" customFormat="1">
      <c r="A4840" s="220"/>
      <c r="B4840" s="141"/>
      <c r="C4840" s="141"/>
      <c r="D4840" s="141"/>
      <c r="E4840" s="141"/>
      <c r="F4840" s="141"/>
      <c r="G4840" s="141"/>
      <c r="H4840" s="222"/>
    </row>
    <row r="4841" spans="1:9" s="212" customFormat="1">
      <c r="A4841" s="142"/>
      <c r="B4841" s="143"/>
      <c r="C4841" s="143"/>
      <c r="D4841" s="143"/>
      <c r="E4841" s="143"/>
      <c r="F4841" s="84"/>
      <c r="G4841" s="146"/>
      <c r="H4841" s="221"/>
    </row>
    <row r="4842" spans="1:9" s="212" customFormat="1">
      <c r="A4842" s="123"/>
      <c r="B4842" s="95"/>
      <c r="C4842" s="95"/>
      <c r="D4842" s="95"/>
      <c r="E4842" s="95"/>
      <c r="G4842" s="213"/>
      <c r="H4842" s="73"/>
    </row>
    <row r="4843" spans="1:9" s="212" customFormat="1">
      <c r="A4843" s="123"/>
      <c r="B4843" s="95"/>
      <c r="C4843" s="95"/>
      <c r="D4843" s="95"/>
      <c r="E4843" s="95"/>
      <c r="G4843" s="73"/>
      <c r="H4843" s="225"/>
    </row>
    <row r="4844" spans="1:9" s="212" customFormat="1">
      <c r="B4844" s="97"/>
      <c r="C4844" s="98"/>
      <c r="D4844" s="98"/>
      <c r="E4844" s="98"/>
      <c r="G4844" s="220"/>
    </row>
    <row r="4845" spans="1:9" s="212" customFormat="1">
      <c r="B4845" s="97"/>
      <c r="C4845" s="98"/>
      <c r="D4845" s="98"/>
      <c r="E4845" s="98"/>
      <c r="F4845" s="220"/>
      <c r="G4845" s="225"/>
      <c r="H4845" s="226"/>
    </row>
    <row r="4846" spans="1:9" s="212" customFormat="1">
      <c r="A4846" s="633"/>
      <c r="B4846" s="633"/>
      <c r="C4846" s="633"/>
      <c r="D4846" s="633"/>
      <c r="E4846" s="633"/>
      <c r="F4846" s="633"/>
      <c r="G4846" s="633"/>
    </row>
    <row r="4847" spans="1:9" s="212" customFormat="1">
      <c r="H4847" s="227"/>
      <c r="I4847" s="228"/>
    </row>
    <row r="4848" spans="1:9" s="212" customFormat="1">
      <c r="A4848" s="658"/>
      <c r="B4848" s="227"/>
      <c r="C4848" s="227"/>
      <c r="D4848" s="227"/>
      <c r="E4848" s="227"/>
      <c r="F4848" s="227"/>
      <c r="G4848" s="227"/>
      <c r="H4848" s="227"/>
      <c r="I4848" s="229"/>
    </row>
    <row r="4849" spans="1:8" s="212" customFormat="1">
      <c r="A4849" s="658"/>
      <c r="B4849" s="227"/>
      <c r="C4849" s="227"/>
      <c r="D4849" s="227"/>
      <c r="E4849" s="227"/>
      <c r="F4849" s="227"/>
      <c r="G4849" s="227"/>
    </row>
    <row r="4850" spans="1:8" s="212" customFormat="1">
      <c r="A4850" s="69"/>
      <c r="B4850" s="69"/>
      <c r="C4850" s="69"/>
      <c r="D4850" s="69"/>
      <c r="E4850" s="69"/>
    </row>
    <row r="4851" spans="1:8" s="212" customFormat="1">
      <c r="A4851" s="120"/>
      <c r="B4851" s="73"/>
      <c r="C4851" s="73"/>
      <c r="D4851" s="73"/>
      <c r="E4851" s="73"/>
      <c r="F4851" s="73"/>
      <c r="G4851" s="73"/>
      <c r="H4851" s="73"/>
    </row>
    <row r="4852" spans="1:8" s="212" customFormat="1">
      <c r="A4852" s="220"/>
      <c r="B4852" s="141"/>
      <c r="C4852" s="141"/>
      <c r="D4852" s="141"/>
      <c r="E4852" s="141"/>
      <c r="F4852" s="141"/>
      <c r="G4852" s="141"/>
      <c r="H4852" s="73"/>
    </row>
    <row r="4853" spans="1:8" s="212" customFormat="1">
      <c r="A4853" s="150"/>
      <c r="B4853" s="83"/>
      <c r="C4853" s="148"/>
      <c r="D4853" s="84"/>
      <c r="E4853" s="84"/>
      <c r="F4853" s="84"/>
      <c r="G4853" s="224"/>
      <c r="H4853" s="221"/>
    </row>
    <row r="4854" spans="1:8" s="212" customFormat="1">
      <c r="A4854" s="84"/>
      <c r="B4854" s="83"/>
      <c r="C4854" s="84"/>
      <c r="D4854" s="84"/>
      <c r="E4854" s="84"/>
      <c r="G4854" s="213"/>
      <c r="H4854" s="222"/>
    </row>
    <row r="4855" spans="1:8" s="212" customFormat="1">
      <c r="A4855" s="120"/>
      <c r="B4855" s="73"/>
      <c r="C4855" s="73"/>
      <c r="D4855" s="73"/>
      <c r="E4855" s="73"/>
      <c r="G4855" s="73"/>
      <c r="H4855" s="222"/>
    </row>
    <row r="4856" spans="1:8" s="212" customFormat="1">
      <c r="A4856" s="220"/>
      <c r="B4856" s="141"/>
      <c r="C4856" s="141"/>
      <c r="D4856" s="141"/>
      <c r="E4856" s="141"/>
      <c r="F4856" s="141"/>
      <c r="G4856" s="141"/>
      <c r="H4856" s="222"/>
    </row>
    <row r="4857" spans="1:8" s="212" customFormat="1">
      <c r="A4857" s="150"/>
      <c r="B4857" s="83"/>
      <c r="C4857" s="148"/>
      <c r="D4857" s="84"/>
      <c r="E4857" s="84"/>
      <c r="F4857" s="84"/>
      <c r="G4857" s="224"/>
      <c r="H4857" s="222"/>
    </row>
    <row r="4858" spans="1:8" s="212" customFormat="1">
      <c r="A4858" s="150"/>
      <c r="B4858" s="83"/>
      <c r="C4858" s="148"/>
      <c r="D4858" s="84"/>
      <c r="E4858" s="84"/>
      <c r="F4858" s="84"/>
      <c r="G4858" s="224"/>
      <c r="H4858" s="222"/>
    </row>
    <row r="4859" spans="1:8" s="212" customFormat="1">
      <c r="A4859" s="150"/>
      <c r="B4859" s="83"/>
      <c r="C4859" s="148"/>
      <c r="D4859" s="84"/>
      <c r="E4859" s="84"/>
      <c r="F4859" s="84"/>
      <c r="G4859" s="224"/>
      <c r="H4859" s="221"/>
    </row>
    <row r="4860" spans="1:8" s="212" customFormat="1">
      <c r="A4860" s="91"/>
      <c r="B4860" s="91"/>
      <c r="C4860" s="91"/>
      <c r="D4860" s="91"/>
      <c r="E4860" s="91"/>
      <c r="G4860" s="213"/>
      <c r="H4860" s="222"/>
    </row>
    <row r="4861" spans="1:8" s="212" customFormat="1">
      <c r="A4861" s="120"/>
      <c r="B4861" s="73"/>
      <c r="C4861" s="73"/>
      <c r="D4861" s="73"/>
      <c r="E4861" s="73"/>
      <c r="G4861" s="73"/>
      <c r="H4861" s="222"/>
    </row>
    <row r="4862" spans="1:8" s="212" customFormat="1">
      <c r="A4862" s="220"/>
      <c r="B4862" s="141"/>
      <c r="C4862" s="141"/>
      <c r="D4862" s="141"/>
      <c r="E4862" s="141"/>
      <c r="F4862" s="141"/>
      <c r="G4862" s="141"/>
      <c r="H4862" s="222"/>
    </row>
    <row r="4863" spans="1:8" s="212" customFormat="1">
      <c r="A4863" s="146"/>
      <c r="B4863" s="83"/>
      <c r="C4863" s="148"/>
      <c r="D4863" s="84"/>
      <c r="E4863" s="84"/>
      <c r="F4863" s="84"/>
      <c r="G4863" s="146"/>
      <c r="H4863" s="222"/>
    </row>
    <row r="4864" spans="1:8" s="212" customFormat="1">
      <c r="A4864" s="146"/>
      <c r="B4864" s="83"/>
      <c r="C4864" s="148"/>
      <c r="D4864" s="84"/>
      <c r="E4864" s="84"/>
      <c r="F4864" s="84"/>
      <c r="G4864" s="146"/>
      <c r="H4864" s="221"/>
    </row>
    <row r="4865" spans="1:9" s="212" customFormat="1">
      <c r="A4865" s="91"/>
      <c r="B4865" s="91"/>
      <c r="C4865" s="91"/>
      <c r="D4865" s="91"/>
      <c r="E4865" s="91"/>
      <c r="G4865" s="213"/>
      <c r="H4865" s="222"/>
    </row>
    <row r="4866" spans="1:9" s="212" customFormat="1">
      <c r="A4866" s="120"/>
      <c r="B4866" s="73"/>
      <c r="C4866" s="73"/>
      <c r="D4866" s="73"/>
      <c r="E4866" s="73"/>
      <c r="G4866" s="73"/>
      <c r="H4866" s="222"/>
    </row>
    <row r="4867" spans="1:9" s="212" customFormat="1">
      <c r="A4867" s="220"/>
      <c r="B4867" s="141"/>
      <c r="C4867" s="141"/>
      <c r="D4867" s="141"/>
      <c r="E4867" s="141"/>
      <c r="F4867" s="141"/>
      <c r="G4867" s="141"/>
      <c r="H4867" s="222"/>
    </row>
    <row r="4868" spans="1:9" s="212" customFormat="1">
      <c r="A4868" s="142"/>
      <c r="B4868" s="143"/>
      <c r="C4868" s="143"/>
      <c r="D4868" s="143"/>
      <c r="E4868" s="143"/>
      <c r="F4868" s="84"/>
      <c r="G4868" s="146"/>
      <c r="H4868" s="221"/>
    </row>
    <row r="4869" spans="1:9" s="212" customFormat="1">
      <c r="A4869" s="123"/>
      <c r="B4869" s="95"/>
      <c r="C4869" s="95"/>
      <c r="D4869" s="95"/>
      <c r="E4869" s="95"/>
      <c r="G4869" s="213"/>
      <c r="H4869" s="73"/>
    </row>
    <row r="4870" spans="1:9" s="212" customFormat="1">
      <c r="A4870" s="123"/>
      <c r="B4870" s="95"/>
      <c r="C4870" s="95"/>
      <c r="D4870" s="95"/>
      <c r="E4870" s="95"/>
      <c r="G4870" s="73"/>
      <c r="H4870" s="225"/>
    </row>
    <row r="4871" spans="1:9" s="212" customFormat="1">
      <c r="B4871" s="97"/>
      <c r="C4871" s="98"/>
      <c r="D4871" s="98"/>
      <c r="E4871" s="98"/>
      <c r="G4871" s="220"/>
    </row>
    <row r="4872" spans="1:9" s="212" customFormat="1">
      <c r="B4872" s="97"/>
      <c r="C4872" s="98"/>
      <c r="D4872" s="98"/>
      <c r="E4872" s="98"/>
      <c r="F4872" s="220"/>
      <c r="G4872" s="225"/>
      <c r="H4872" s="226"/>
    </row>
    <row r="4873" spans="1:9" s="212" customFormat="1">
      <c r="A4873" s="633"/>
      <c r="B4873" s="633"/>
      <c r="C4873" s="633"/>
      <c r="D4873" s="633"/>
      <c r="E4873" s="633"/>
      <c r="F4873" s="633"/>
      <c r="G4873" s="633"/>
    </row>
    <row r="4874" spans="1:9" s="212" customFormat="1">
      <c r="H4874" s="227"/>
      <c r="I4874" s="228"/>
    </row>
    <row r="4875" spans="1:9" s="212" customFormat="1">
      <c r="A4875" s="658"/>
      <c r="B4875" s="227"/>
      <c r="C4875" s="227"/>
      <c r="D4875" s="227"/>
      <c r="E4875" s="227"/>
      <c r="F4875" s="227"/>
      <c r="G4875" s="227"/>
      <c r="H4875" s="227"/>
      <c r="I4875" s="229"/>
    </row>
    <row r="4876" spans="1:9" s="212" customFormat="1">
      <c r="A4876" s="658"/>
      <c r="B4876" s="227"/>
      <c r="C4876" s="227"/>
      <c r="D4876" s="227"/>
      <c r="E4876" s="227"/>
      <c r="F4876" s="227"/>
      <c r="G4876" s="227"/>
    </row>
    <row r="4877" spans="1:9" s="212" customFormat="1">
      <c r="A4877" s="69"/>
      <c r="B4877" s="69"/>
      <c r="C4877" s="69"/>
      <c r="D4877" s="69"/>
      <c r="E4877" s="69"/>
    </row>
    <row r="4878" spans="1:9" s="212" customFormat="1">
      <c r="A4878" s="120"/>
      <c r="B4878" s="73"/>
      <c r="C4878" s="73"/>
      <c r="D4878" s="73"/>
      <c r="E4878" s="73"/>
      <c r="F4878" s="73"/>
      <c r="G4878" s="73"/>
      <c r="H4878" s="73"/>
    </row>
    <row r="4879" spans="1:9" s="212" customFormat="1">
      <c r="A4879" s="220"/>
      <c r="B4879" s="141"/>
      <c r="C4879" s="141"/>
      <c r="D4879" s="141"/>
      <c r="E4879" s="141"/>
      <c r="F4879" s="141"/>
      <c r="G4879" s="141"/>
      <c r="H4879" s="73"/>
    </row>
    <row r="4880" spans="1:9" s="212" customFormat="1">
      <c r="A4880" s="150"/>
      <c r="B4880" s="83"/>
      <c r="C4880" s="148"/>
      <c r="D4880" s="84"/>
      <c r="E4880" s="84"/>
      <c r="F4880" s="84"/>
      <c r="G4880" s="224"/>
      <c r="H4880" s="221"/>
    </row>
    <row r="4881" spans="1:8" s="212" customFormat="1">
      <c r="A4881" s="84"/>
      <c r="B4881" s="83"/>
      <c r="C4881" s="84"/>
      <c r="D4881" s="84"/>
      <c r="E4881" s="84"/>
      <c r="G4881" s="213"/>
      <c r="H4881" s="222"/>
    </row>
    <row r="4882" spans="1:8" s="212" customFormat="1">
      <c r="A4882" s="120"/>
      <c r="B4882" s="73"/>
      <c r="C4882" s="73"/>
      <c r="D4882" s="73"/>
      <c r="E4882" s="73"/>
      <c r="G4882" s="73"/>
      <c r="H4882" s="222"/>
    </row>
    <row r="4883" spans="1:8" s="212" customFormat="1">
      <c r="A4883" s="220"/>
      <c r="B4883" s="141"/>
      <c r="C4883" s="141"/>
      <c r="D4883" s="141"/>
      <c r="E4883" s="141"/>
      <c r="F4883" s="141"/>
      <c r="G4883" s="141"/>
      <c r="H4883" s="222"/>
    </row>
    <row r="4884" spans="1:8" s="212" customFormat="1">
      <c r="A4884" s="150"/>
      <c r="B4884" s="83"/>
      <c r="C4884" s="148"/>
      <c r="D4884" s="84"/>
      <c r="E4884" s="84"/>
      <c r="F4884" s="84"/>
      <c r="G4884" s="224"/>
      <c r="H4884" s="222"/>
    </row>
    <row r="4885" spans="1:8" s="212" customFormat="1">
      <c r="A4885" s="150"/>
      <c r="B4885" s="83"/>
      <c r="C4885" s="148"/>
      <c r="D4885" s="84"/>
      <c r="E4885" s="84"/>
      <c r="F4885" s="84"/>
      <c r="G4885" s="224"/>
      <c r="H4885" s="221"/>
    </row>
    <row r="4886" spans="1:8" s="212" customFormat="1">
      <c r="A4886" s="91"/>
      <c r="B4886" s="91"/>
      <c r="C4886" s="91"/>
      <c r="D4886" s="91"/>
      <c r="E4886" s="91"/>
      <c r="G4886" s="213"/>
      <c r="H4886" s="222"/>
    </row>
    <row r="4887" spans="1:8" s="212" customFormat="1">
      <c r="A4887" s="120"/>
      <c r="B4887" s="73"/>
      <c r="C4887" s="73"/>
      <c r="D4887" s="73"/>
      <c r="E4887" s="73"/>
      <c r="G4887" s="73"/>
      <c r="H4887" s="222"/>
    </row>
    <row r="4888" spans="1:8" s="212" customFormat="1">
      <c r="A4888" s="220"/>
      <c r="B4888" s="141"/>
      <c r="C4888" s="141"/>
      <c r="D4888" s="141"/>
      <c r="E4888" s="141"/>
      <c r="F4888" s="141"/>
      <c r="G4888" s="141"/>
      <c r="H4888" s="222"/>
    </row>
    <row r="4889" spans="1:8" s="212" customFormat="1">
      <c r="A4889" s="146"/>
      <c r="B4889" s="83"/>
      <c r="C4889" s="148"/>
      <c r="D4889" s="84"/>
      <c r="E4889" s="84"/>
      <c r="F4889" s="84"/>
      <c r="G4889" s="146"/>
      <c r="H4889" s="222"/>
    </row>
    <row r="4890" spans="1:8" s="212" customFormat="1">
      <c r="A4890" s="146"/>
      <c r="B4890" s="83"/>
      <c r="C4890" s="148"/>
      <c r="D4890" s="84"/>
      <c r="E4890" s="84"/>
      <c r="F4890" s="84"/>
      <c r="G4890" s="146"/>
      <c r="H4890" s="221"/>
    </row>
    <row r="4891" spans="1:8" s="212" customFormat="1">
      <c r="A4891" s="91"/>
      <c r="B4891" s="91"/>
      <c r="C4891" s="91"/>
      <c r="D4891" s="91"/>
      <c r="E4891" s="91"/>
      <c r="G4891" s="213"/>
      <c r="H4891" s="222"/>
    </row>
    <row r="4892" spans="1:8" s="212" customFormat="1">
      <c r="A4892" s="120"/>
      <c r="B4892" s="73"/>
      <c r="C4892" s="73"/>
      <c r="D4892" s="73"/>
      <c r="E4892" s="73"/>
      <c r="G4892" s="73"/>
      <c r="H4892" s="222"/>
    </row>
    <row r="4893" spans="1:8" s="212" customFormat="1">
      <c r="A4893" s="220"/>
      <c r="B4893" s="141"/>
      <c r="C4893" s="141"/>
      <c r="D4893" s="141"/>
      <c r="E4893" s="141"/>
      <c r="F4893" s="141"/>
      <c r="G4893" s="141"/>
      <c r="H4893" s="222"/>
    </row>
    <row r="4894" spans="1:8" s="212" customFormat="1">
      <c r="A4894" s="142"/>
      <c r="B4894" s="143"/>
      <c r="C4894" s="143"/>
      <c r="D4894" s="143"/>
      <c r="E4894" s="143"/>
      <c r="F4894" s="84"/>
      <c r="G4894" s="146"/>
      <c r="H4894" s="221"/>
    </row>
    <row r="4895" spans="1:8" s="212" customFormat="1">
      <c r="A4895" s="123"/>
      <c r="B4895" s="95"/>
      <c r="C4895" s="95"/>
      <c r="D4895" s="95"/>
      <c r="E4895" s="95"/>
      <c r="G4895" s="213"/>
      <c r="H4895" s="73"/>
    </row>
    <row r="4896" spans="1:8" s="212" customFormat="1">
      <c r="A4896" s="123"/>
      <c r="B4896" s="95"/>
      <c r="C4896" s="95"/>
      <c r="D4896" s="95"/>
      <c r="E4896" s="95"/>
      <c r="G4896" s="73"/>
      <c r="H4896" s="225"/>
    </row>
    <row r="4897" spans="1:9" s="212" customFormat="1">
      <c r="B4897" s="97"/>
      <c r="C4897" s="98"/>
      <c r="D4897" s="98"/>
      <c r="E4897" s="98"/>
      <c r="G4897" s="220"/>
    </row>
    <row r="4898" spans="1:9" s="212" customFormat="1">
      <c r="B4898" s="97"/>
      <c r="C4898" s="98"/>
      <c r="D4898" s="98"/>
      <c r="E4898" s="98"/>
      <c r="F4898" s="220"/>
      <c r="G4898" s="225"/>
      <c r="H4898" s="226"/>
    </row>
    <row r="4899" spans="1:9" s="212" customFormat="1">
      <c r="A4899" s="633"/>
      <c r="B4899" s="633"/>
      <c r="C4899" s="633"/>
      <c r="D4899" s="633"/>
      <c r="E4899" s="633"/>
      <c r="F4899" s="633"/>
      <c r="G4899" s="633"/>
    </row>
    <row r="4900" spans="1:9" s="212" customFormat="1">
      <c r="H4900" s="227"/>
      <c r="I4900" s="228"/>
    </row>
    <row r="4901" spans="1:9" s="212" customFormat="1">
      <c r="A4901" s="658"/>
      <c r="B4901" s="227"/>
      <c r="C4901" s="227"/>
      <c r="D4901" s="227"/>
      <c r="E4901" s="227"/>
      <c r="F4901" s="227"/>
      <c r="G4901" s="227"/>
      <c r="H4901" s="227"/>
      <c r="I4901" s="229"/>
    </row>
    <row r="4902" spans="1:9" s="212" customFormat="1">
      <c r="A4902" s="658"/>
      <c r="B4902" s="227"/>
      <c r="C4902" s="227"/>
      <c r="D4902" s="227"/>
      <c r="E4902" s="227"/>
      <c r="F4902" s="227"/>
      <c r="G4902" s="227"/>
    </row>
    <row r="4903" spans="1:9" s="212" customFormat="1">
      <c r="A4903" s="69"/>
      <c r="B4903" s="69"/>
      <c r="C4903" s="69"/>
      <c r="D4903" s="69"/>
      <c r="E4903" s="69"/>
    </row>
    <row r="4904" spans="1:9" s="212" customFormat="1">
      <c r="A4904" s="120"/>
      <c r="B4904" s="73"/>
      <c r="C4904" s="73"/>
      <c r="D4904" s="73"/>
      <c r="E4904" s="73"/>
      <c r="F4904" s="73"/>
      <c r="G4904" s="73"/>
      <c r="H4904" s="73"/>
    </row>
    <row r="4905" spans="1:9" s="212" customFormat="1">
      <c r="A4905" s="220"/>
      <c r="B4905" s="141"/>
      <c r="C4905" s="141"/>
      <c r="D4905" s="141"/>
      <c r="E4905" s="141"/>
      <c r="F4905" s="141"/>
      <c r="G4905" s="141"/>
      <c r="H4905" s="73"/>
    </row>
    <row r="4906" spans="1:9" s="212" customFormat="1">
      <c r="A4906" s="142"/>
      <c r="B4906" s="143"/>
      <c r="C4906" s="143"/>
      <c r="D4906" s="143"/>
      <c r="E4906" s="143"/>
      <c r="F4906" s="84"/>
      <c r="G4906" s="146"/>
      <c r="H4906" s="221"/>
    </row>
    <row r="4907" spans="1:9" s="212" customFormat="1">
      <c r="A4907" s="84"/>
      <c r="B4907" s="83"/>
      <c r="C4907" s="84"/>
      <c r="D4907" s="84"/>
      <c r="E4907" s="84"/>
      <c r="G4907" s="213"/>
      <c r="H4907" s="222"/>
    </row>
    <row r="4908" spans="1:9" s="212" customFormat="1">
      <c r="A4908" s="120"/>
      <c r="B4908" s="73"/>
      <c r="C4908" s="73"/>
      <c r="D4908" s="73"/>
      <c r="E4908" s="73"/>
      <c r="G4908" s="73"/>
      <c r="H4908" s="222"/>
    </row>
    <row r="4909" spans="1:9" s="212" customFormat="1">
      <c r="A4909" s="220"/>
      <c r="B4909" s="141"/>
      <c r="C4909" s="141"/>
      <c r="D4909" s="141"/>
      <c r="E4909" s="141"/>
      <c r="F4909" s="141"/>
      <c r="G4909" s="141"/>
      <c r="H4909" s="222"/>
    </row>
    <row r="4910" spans="1:9" s="212" customFormat="1">
      <c r="A4910" s="150"/>
      <c r="B4910" s="83"/>
      <c r="C4910" s="148"/>
      <c r="D4910" s="84"/>
      <c r="E4910" s="84"/>
      <c r="F4910" s="84"/>
      <c r="G4910" s="224"/>
      <c r="H4910" s="221"/>
    </row>
    <row r="4911" spans="1:9" s="212" customFormat="1">
      <c r="A4911" s="91"/>
      <c r="B4911" s="91"/>
      <c r="C4911" s="91"/>
      <c r="D4911" s="91"/>
      <c r="E4911" s="91"/>
      <c r="G4911" s="213"/>
      <c r="H4911" s="222"/>
    </row>
    <row r="4912" spans="1:9" s="212" customFormat="1">
      <c r="A4912" s="120"/>
      <c r="B4912" s="73"/>
      <c r="C4912" s="73"/>
      <c r="D4912" s="73"/>
      <c r="E4912" s="73"/>
      <c r="G4912" s="73"/>
      <c r="H4912" s="222"/>
    </row>
    <row r="4913" spans="1:9" s="212" customFormat="1">
      <c r="A4913" s="220"/>
      <c r="B4913" s="141"/>
      <c r="C4913" s="141"/>
      <c r="D4913" s="141"/>
      <c r="E4913" s="141"/>
      <c r="F4913" s="141"/>
      <c r="G4913" s="141"/>
      <c r="H4913" s="222"/>
    </row>
    <row r="4914" spans="1:9" s="212" customFormat="1">
      <c r="A4914" s="146"/>
      <c r="B4914" s="83"/>
      <c r="C4914" s="148"/>
      <c r="D4914" s="84"/>
      <c r="E4914" s="84"/>
      <c r="F4914" s="84"/>
      <c r="G4914" s="146"/>
      <c r="H4914" s="221"/>
    </row>
    <row r="4915" spans="1:9" s="212" customFormat="1">
      <c r="A4915" s="91"/>
      <c r="B4915" s="91"/>
      <c r="C4915" s="91"/>
      <c r="D4915" s="91"/>
      <c r="E4915" s="91"/>
      <c r="G4915" s="213"/>
      <c r="H4915" s="222"/>
    </row>
    <row r="4916" spans="1:9" s="212" customFormat="1">
      <c r="A4916" s="120"/>
      <c r="B4916" s="73"/>
      <c r="C4916" s="73"/>
      <c r="D4916" s="73"/>
      <c r="E4916" s="73"/>
      <c r="G4916" s="73"/>
      <c r="H4916" s="222"/>
    </row>
    <row r="4917" spans="1:9" s="212" customFormat="1">
      <c r="A4917" s="220"/>
      <c r="B4917" s="141"/>
      <c r="C4917" s="141"/>
      <c r="D4917" s="141"/>
      <c r="E4917" s="141"/>
      <c r="F4917" s="141"/>
      <c r="G4917" s="141"/>
      <c r="H4917" s="222"/>
    </row>
    <row r="4918" spans="1:9" s="212" customFormat="1">
      <c r="A4918" s="142"/>
      <c r="B4918" s="143"/>
      <c r="C4918" s="143"/>
      <c r="D4918" s="143"/>
      <c r="E4918" s="143"/>
      <c r="F4918" s="84"/>
      <c r="G4918" s="146"/>
      <c r="H4918" s="221"/>
    </row>
    <row r="4919" spans="1:9" s="212" customFormat="1">
      <c r="A4919" s="123"/>
      <c r="B4919" s="95"/>
      <c r="C4919" s="95"/>
      <c r="D4919" s="95"/>
      <c r="E4919" s="95"/>
      <c r="G4919" s="213"/>
      <c r="H4919" s="73"/>
    </row>
    <row r="4920" spans="1:9" s="212" customFormat="1">
      <c r="A4920" s="123"/>
      <c r="B4920" s="95"/>
      <c r="C4920" s="95"/>
      <c r="D4920" s="95"/>
      <c r="E4920" s="95"/>
      <c r="G4920" s="73"/>
      <c r="H4920" s="225"/>
    </row>
    <row r="4921" spans="1:9" s="212" customFormat="1">
      <c r="B4921" s="97"/>
      <c r="C4921" s="98"/>
      <c r="D4921" s="98"/>
      <c r="E4921" s="98"/>
      <c r="G4921" s="220"/>
    </row>
    <row r="4922" spans="1:9" s="212" customFormat="1">
      <c r="B4922" s="97"/>
      <c r="C4922" s="98"/>
      <c r="D4922" s="98"/>
      <c r="E4922" s="98"/>
      <c r="F4922" s="220"/>
      <c r="G4922" s="225"/>
      <c r="H4922" s="226"/>
    </row>
    <row r="4923" spans="1:9" s="212" customFormat="1">
      <c r="A4923" s="633"/>
      <c r="B4923" s="633"/>
      <c r="C4923" s="633"/>
      <c r="D4923" s="633"/>
      <c r="E4923" s="633"/>
      <c r="F4923" s="633"/>
      <c r="G4923" s="633"/>
    </row>
    <row r="4924" spans="1:9" s="212" customFormat="1">
      <c r="H4924" s="227"/>
      <c r="I4924" s="228"/>
    </row>
    <row r="4925" spans="1:9" s="212" customFormat="1">
      <c r="A4925" s="658"/>
      <c r="B4925" s="227"/>
      <c r="C4925" s="227"/>
      <c r="D4925" s="227"/>
      <c r="E4925" s="227"/>
      <c r="F4925" s="227"/>
      <c r="G4925" s="227"/>
      <c r="H4925" s="227"/>
      <c r="I4925" s="229"/>
    </row>
    <row r="4926" spans="1:9" s="212" customFormat="1">
      <c r="A4926" s="658"/>
      <c r="B4926" s="227"/>
      <c r="C4926" s="227"/>
      <c r="D4926" s="227"/>
      <c r="E4926" s="227"/>
      <c r="F4926" s="227"/>
      <c r="G4926" s="227"/>
    </row>
    <row r="4927" spans="1:9" s="212" customFormat="1">
      <c r="A4927" s="69"/>
      <c r="B4927" s="69"/>
      <c r="C4927" s="69"/>
      <c r="D4927" s="69"/>
      <c r="E4927" s="69"/>
    </row>
    <row r="4928" spans="1:9" s="212" customFormat="1">
      <c r="A4928" s="120"/>
      <c r="B4928" s="73"/>
      <c r="C4928" s="73"/>
      <c r="D4928" s="73"/>
      <c r="E4928" s="73"/>
      <c r="F4928" s="73"/>
      <c r="G4928" s="73"/>
      <c r="H4928" s="73"/>
    </row>
    <row r="4929" spans="1:8" s="212" customFormat="1">
      <c r="A4929" s="220"/>
      <c r="B4929" s="141"/>
      <c r="C4929" s="141"/>
      <c r="D4929" s="141"/>
      <c r="E4929" s="141"/>
      <c r="F4929" s="141"/>
      <c r="G4929" s="141"/>
      <c r="H4929" s="73"/>
    </row>
    <row r="4930" spans="1:8" s="212" customFormat="1">
      <c r="A4930" s="150"/>
      <c r="B4930" s="83"/>
      <c r="C4930" s="148"/>
      <c r="D4930" s="84"/>
      <c r="E4930" s="84"/>
      <c r="F4930" s="84"/>
      <c r="G4930" s="224"/>
      <c r="H4930" s="73"/>
    </row>
    <row r="4931" spans="1:8" s="212" customFormat="1">
      <c r="A4931" s="150"/>
      <c r="B4931" s="83"/>
      <c r="C4931" s="148"/>
      <c r="D4931" s="84"/>
      <c r="E4931" s="84"/>
      <c r="F4931" s="84"/>
      <c r="G4931" s="224"/>
      <c r="H4931" s="73"/>
    </row>
    <row r="4932" spans="1:8" s="212" customFormat="1">
      <c r="A4932" s="150"/>
      <c r="B4932" s="83"/>
      <c r="C4932" s="148"/>
      <c r="D4932" s="84"/>
      <c r="E4932" s="84"/>
      <c r="F4932" s="84"/>
      <c r="G4932" s="224"/>
      <c r="H4932" s="73"/>
    </row>
    <row r="4933" spans="1:8" s="212" customFormat="1">
      <c r="A4933" s="150"/>
      <c r="B4933" s="83"/>
      <c r="C4933" s="148"/>
      <c r="D4933" s="84"/>
      <c r="E4933" s="84"/>
      <c r="F4933" s="84"/>
      <c r="G4933" s="224"/>
      <c r="H4933" s="221"/>
    </row>
    <row r="4934" spans="1:8" s="212" customFormat="1">
      <c r="A4934" s="84"/>
      <c r="B4934" s="83"/>
      <c r="C4934" s="84"/>
      <c r="D4934" s="84"/>
      <c r="E4934" s="84"/>
      <c r="G4934" s="213"/>
      <c r="H4934" s="222"/>
    </row>
    <row r="4935" spans="1:8" s="212" customFormat="1">
      <c r="A4935" s="120"/>
      <c r="B4935" s="73"/>
      <c r="C4935" s="73"/>
      <c r="D4935" s="73"/>
      <c r="E4935" s="73"/>
      <c r="G4935" s="73"/>
      <c r="H4935" s="222"/>
    </row>
    <row r="4936" spans="1:8" s="212" customFormat="1">
      <c r="A4936" s="220"/>
      <c r="B4936" s="141"/>
      <c r="C4936" s="141"/>
      <c r="D4936" s="141"/>
      <c r="E4936" s="141"/>
      <c r="F4936" s="141"/>
      <c r="G4936" s="141"/>
      <c r="H4936" s="222"/>
    </row>
    <row r="4937" spans="1:8" s="212" customFormat="1">
      <c r="A4937" s="150"/>
      <c r="B4937" s="83"/>
      <c r="C4937" s="148"/>
      <c r="D4937" s="84"/>
      <c r="E4937" s="84"/>
      <c r="F4937" s="84"/>
      <c r="G4937" s="224"/>
      <c r="H4937" s="221"/>
    </row>
    <row r="4938" spans="1:8" s="212" customFormat="1">
      <c r="A4938" s="91"/>
      <c r="B4938" s="91"/>
      <c r="C4938" s="91"/>
      <c r="D4938" s="91"/>
      <c r="E4938" s="91"/>
      <c r="G4938" s="213"/>
      <c r="H4938" s="222"/>
    </row>
    <row r="4939" spans="1:8" s="212" customFormat="1">
      <c r="A4939" s="120"/>
      <c r="B4939" s="73"/>
      <c r="C4939" s="73"/>
      <c r="D4939" s="73"/>
      <c r="E4939" s="73"/>
      <c r="G4939" s="73"/>
      <c r="H4939" s="222"/>
    </row>
    <row r="4940" spans="1:8" s="212" customFormat="1">
      <c r="A4940" s="220"/>
      <c r="B4940" s="141"/>
      <c r="C4940" s="141"/>
      <c r="D4940" s="141"/>
      <c r="E4940" s="141"/>
      <c r="F4940" s="141"/>
      <c r="G4940" s="141"/>
      <c r="H4940" s="222"/>
    </row>
    <row r="4941" spans="1:8" s="212" customFormat="1">
      <c r="A4941" s="146"/>
      <c r="B4941" s="83"/>
      <c r="C4941" s="148"/>
      <c r="D4941" s="84"/>
      <c r="E4941" s="84"/>
      <c r="F4941" s="84"/>
      <c r="G4941" s="146"/>
      <c r="H4941" s="221"/>
    </row>
    <row r="4942" spans="1:8" s="212" customFormat="1">
      <c r="A4942" s="91"/>
      <c r="B4942" s="91"/>
      <c r="C4942" s="91"/>
      <c r="D4942" s="91"/>
      <c r="E4942" s="91"/>
      <c r="G4942" s="213"/>
      <c r="H4942" s="222"/>
    </row>
    <row r="4943" spans="1:8" s="212" customFormat="1">
      <c r="A4943" s="120"/>
      <c r="B4943" s="73"/>
      <c r="C4943" s="73"/>
      <c r="D4943" s="73"/>
      <c r="E4943" s="73"/>
      <c r="G4943" s="73"/>
      <c r="H4943" s="222"/>
    </row>
    <row r="4944" spans="1:8" s="212" customFormat="1">
      <c r="A4944" s="220"/>
      <c r="B4944" s="141"/>
      <c r="C4944" s="141"/>
      <c r="D4944" s="141"/>
      <c r="E4944" s="141"/>
      <c r="F4944" s="141"/>
      <c r="G4944" s="141"/>
      <c r="H4944" s="222"/>
    </row>
    <row r="4945" spans="1:9" s="212" customFormat="1">
      <c r="A4945" s="142"/>
      <c r="B4945" s="143"/>
      <c r="C4945" s="143"/>
      <c r="D4945" s="143"/>
      <c r="E4945" s="143"/>
      <c r="F4945" s="84"/>
      <c r="G4945" s="146"/>
      <c r="H4945" s="221"/>
    </row>
    <row r="4946" spans="1:9" s="212" customFormat="1">
      <c r="A4946" s="123"/>
      <c r="B4946" s="95"/>
      <c r="C4946" s="95"/>
      <c r="D4946" s="95"/>
      <c r="E4946" s="95"/>
      <c r="G4946" s="213"/>
      <c r="H4946" s="73"/>
    </row>
    <row r="4947" spans="1:9" s="212" customFormat="1">
      <c r="A4947" s="123"/>
      <c r="B4947" s="95"/>
      <c r="C4947" s="95"/>
      <c r="D4947" s="95"/>
      <c r="E4947" s="95"/>
      <c r="G4947" s="73"/>
      <c r="H4947" s="225"/>
    </row>
    <row r="4948" spans="1:9" s="212" customFormat="1">
      <c r="B4948" s="97"/>
      <c r="C4948" s="98"/>
      <c r="D4948" s="98"/>
      <c r="E4948" s="98"/>
      <c r="G4948" s="220"/>
    </row>
    <row r="4949" spans="1:9" s="212" customFormat="1">
      <c r="B4949" s="97"/>
      <c r="C4949" s="98"/>
      <c r="D4949" s="98"/>
      <c r="E4949" s="98"/>
      <c r="F4949" s="220"/>
      <c r="G4949" s="225"/>
      <c r="H4949" s="226"/>
    </row>
    <row r="4950" spans="1:9" s="212" customFormat="1">
      <c r="A4950" s="633"/>
      <c r="B4950" s="633"/>
      <c r="C4950" s="633"/>
      <c r="D4950" s="633"/>
      <c r="E4950" s="633"/>
      <c r="F4950" s="633"/>
      <c r="G4950" s="633"/>
    </row>
    <row r="4951" spans="1:9" s="212" customFormat="1">
      <c r="H4951" s="227"/>
      <c r="I4951" s="228"/>
    </row>
    <row r="4952" spans="1:9" s="212" customFormat="1">
      <c r="A4952" s="658"/>
      <c r="B4952" s="227"/>
      <c r="C4952" s="227"/>
      <c r="D4952" s="227"/>
      <c r="E4952" s="227"/>
      <c r="F4952" s="227"/>
      <c r="G4952" s="227"/>
      <c r="H4952" s="227"/>
      <c r="I4952" s="229"/>
    </row>
    <row r="4953" spans="1:9" s="212" customFormat="1">
      <c r="A4953" s="658"/>
      <c r="B4953" s="227"/>
      <c r="C4953" s="227"/>
      <c r="D4953" s="227"/>
      <c r="E4953" s="227"/>
      <c r="F4953" s="227"/>
      <c r="G4953" s="227"/>
    </row>
    <row r="4954" spans="1:9" s="212" customFormat="1">
      <c r="A4954" s="69"/>
      <c r="B4954" s="69"/>
      <c r="C4954" s="69"/>
      <c r="D4954" s="69"/>
      <c r="E4954" s="69"/>
    </row>
    <row r="4955" spans="1:9" s="212" customFormat="1">
      <c r="A4955" s="120"/>
      <c r="B4955" s="73"/>
      <c r="C4955" s="73"/>
      <c r="D4955" s="73"/>
      <c r="E4955" s="73"/>
      <c r="F4955" s="73"/>
      <c r="G4955" s="73"/>
      <c r="H4955" s="73"/>
    </row>
    <row r="4956" spans="1:9" s="212" customFormat="1">
      <c r="A4956" s="220"/>
      <c r="B4956" s="141"/>
      <c r="C4956" s="141"/>
      <c r="D4956" s="141"/>
      <c r="E4956" s="141"/>
      <c r="F4956" s="141"/>
      <c r="G4956" s="141"/>
      <c r="H4956" s="73"/>
    </row>
    <row r="4957" spans="1:9" s="212" customFormat="1">
      <c r="A4957" s="150"/>
      <c r="B4957" s="83"/>
      <c r="C4957" s="148"/>
      <c r="D4957" s="84"/>
      <c r="E4957" s="84"/>
      <c r="F4957" s="84"/>
      <c r="G4957" s="224"/>
      <c r="H4957" s="73"/>
    </row>
    <row r="4958" spans="1:9" s="212" customFormat="1">
      <c r="A4958" s="150"/>
      <c r="B4958" s="83"/>
      <c r="C4958" s="148"/>
      <c r="D4958" s="84"/>
      <c r="E4958" s="84"/>
      <c r="F4958" s="84"/>
      <c r="G4958" s="224"/>
      <c r="H4958" s="73"/>
    </row>
    <row r="4959" spans="1:9" s="212" customFormat="1">
      <c r="A4959" s="150"/>
      <c r="B4959" s="83"/>
      <c r="C4959" s="148"/>
      <c r="D4959" s="84"/>
      <c r="E4959" s="84"/>
      <c r="F4959" s="84"/>
      <c r="G4959" s="224"/>
      <c r="H4959" s="73"/>
    </row>
    <row r="4960" spans="1:9" s="212" customFormat="1">
      <c r="A4960" s="150"/>
      <c r="B4960" s="83"/>
      <c r="C4960" s="148"/>
      <c r="D4960" s="84"/>
      <c r="E4960" s="84"/>
      <c r="F4960" s="84"/>
      <c r="G4960" s="224"/>
      <c r="H4960" s="221"/>
    </row>
    <row r="4961" spans="1:8" s="212" customFormat="1">
      <c r="A4961" s="84"/>
      <c r="B4961" s="83"/>
      <c r="C4961" s="84"/>
      <c r="D4961" s="84"/>
      <c r="E4961" s="84"/>
      <c r="G4961" s="213"/>
      <c r="H4961" s="222"/>
    </row>
    <row r="4962" spans="1:8" s="212" customFormat="1">
      <c r="A4962" s="120"/>
      <c r="B4962" s="73"/>
      <c r="C4962" s="73"/>
      <c r="D4962" s="73"/>
      <c r="E4962" s="73"/>
      <c r="G4962" s="73"/>
      <c r="H4962" s="222"/>
    </row>
    <row r="4963" spans="1:8" s="212" customFormat="1">
      <c r="A4963" s="220"/>
      <c r="B4963" s="141"/>
      <c r="C4963" s="141"/>
      <c r="D4963" s="141"/>
      <c r="E4963" s="141"/>
      <c r="F4963" s="141"/>
      <c r="G4963" s="141"/>
      <c r="H4963" s="222"/>
    </row>
    <row r="4964" spans="1:8" s="212" customFormat="1" ht="17.25" customHeight="1">
      <c r="A4964" s="150"/>
      <c r="B4964" s="83"/>
      <c r="C4964" s="148"/>
      <c r="D4964" s="84"/>
      <c r="E4964" s="84"/>
      <c r="F4964" s="84"/>
      <c r="G4964" s="224"/>
      <c r="H4964" s="221"/>
    </row>
    <row r="4965" spans="1:8" s="212" customFormat="1">
      <c r="A4965" s="91"/>
      <c r="B4965" s="91"/>
      <c r="C4965" s="91"/>
      <c r="D4965" s="91"/>
      <c r="E4965" s="91"/>
      <c r="G4965" s="213"/>
      <c r="H4965" s="222"/>
    </row>
    <row r="4966" spans="1:8" s="212" customFormat="1">
      <c r="A4966" s="120"/>
      <c r="B4966" s="73"/>
      <c r="C4966" s="73"/>
      <c r="D4966" s="73"/>
      <c r="E4966" s="73"/>
      <c r="G4966" s="73"/>
      <c r="H4966" s="222"/>
    </row>
    <row r="4967" spans="1:8" s="212" customFormat="1">
      <c r="A4967" s="220"/>
      <c r="B4967" s="141"/>
      <c r="C4967" s="141"/>
      <c r="D4967" s="141"/>
      <c r="E4967" s="141"/>
      <c r="F4967" s="141"/>
      <c r="G4967" s="141"/>
      <c r="H4967" s="222"/>
    </row>
    <row r="4968" spans="1:8" s="212" customFormat="1">
      <c r="A4968" s="146"/>
      <c r="B4968" s="83"/>
      <c r="C4968" s="148"/>
      <c r="D4968" s="84"/>
      <c r="E4968" s="84"/>
      <c r="F4968" s="84"/>
      <c r="G4968" s="146"/>
      <c r="H4968" s="221"/>
    </row>
    <row r="4969" spans="1:8" s="212" customFormat="1">
      <c r="A4969" s="91"/>
      <c r="B4969" s="91"/>
      <c r="C4969" s="91"/>
      <c r="D4969" s="91"/>
      <c r="E4969" s="91"/>
      <c r="G4969" s="213"/>
      <c r="H4969" s="222"/>
    </row>
    <row r="4970" spans="1:8" s="212" customFormat="1">
      <c r="A4970" s="120"/>
      <c r="B4970" s="73"/>
      <c r="C4970" s="73"/>
      <c r="D4970" s="73"/>
      <c r="E4970" s="73"/>
      <c r="G4970" s="73"/>
      <c r="H4970" s="222"/>
    </row>
    <row r="4971" spans="1:8" s="212" customFormat="1">
      <c r="A4971" s="220"/>
      <c r="B4971" s="141"/>
      <c r="C4971" s="141"/>
      <c r="D4971" s="141"/>
      <c r="E4971" s="141"/>
      <c r="F4971" s="141"/>
      <c r="G4971" s="141"/>
      <c r="H4971" s="222"/>
    </row>
    <row r="4972" spans="1:8" s="212" customFormat="1">
      <c r="A4972" s="142"/>
      <c r="B4972" s="143"/>
      <c r="C4972" s="143"/>
      <c r="D4972" s="143"/>
      <c r="E4972" s="143"/>
      <c r="F4972" s="84"/>
      <c r="G4972" s="146"/>
      <c r="H4972" s="221"/>
    </row>
    <row r="4973" spans="1:8" s="212" customFormat="1">
      <c r="A4973" s="123"/>
      <c r="B4973" s="95"/>
      <c r="C4973" s="95"/>
      <c r="D4973" s="95"/>
      <c r="E4973" s="95"/>
      <c r="G4973" s="213"/>
      <c r="H4973" s="73"/>
    </row>
    <row r="4974" spans="1:8" s="212" customFormat="1">
      <c r="A4974" s="123"/>
      <c r="B4974" s="95"/>
      <c r="C4974" s="95"/>
      <c r="D4974" s="95"/>
      <c r="E4974" s="95"/>
      <c r="G4974" s="73"/>
      <c r="H4974" s="225"/>
    </row>
    <row r="4975" spans="1:8" s="212" customFormat="1">
      <c r="B4975" s="97"/>
      <c r="C4975" s="98"/>
      <c r="D4975" s="98"/>
      <c r="E4975" s="98"/>
      <c r="G4975" s="220"/>
    </row>
    <row r="4976" spans="1:8" s="212" customFormat="1">
      <c r="B4976" s="97"/>
      <c r="C4976" s="98"/>
      <c r="D4976" s="98"/>
      <c r="E4976" s="98"/>
      <c r="F4976" s="220"/>
      <c r="G4976" s="225"/>
      <c r="H4976" s="226"/>
    </row>
    <row r="4977" spans="1:9" s="212" customFormat="1">
      <c r="A4977" s="633"/>
      <c r="B4977" s="633"/>
      <c r="C4977" s="633"/>
      <c r="D4977" s="633"/>
      <c r="E4977" s="633"/>
      <c r="F4977" s="633"/>
      <c r="G4977" s="633"/>
    </row>
    <row r="4978" spans="1:9" s="212" customFormat="1">
      <c r="H4978" s="227"/>
      <c r="I4978" s="228"/>
    </row>
    <row r="4979" spans="1:9" s="212" customFormat="1">
      <c r="A4979" s="658"/>
      <c r="B4979" s="227"/>
      <c r="C4979" s="227"/>
      <c r="D4979" s="227"/>
      <c r="E4979" s="227"/>
      <c r="F4979" s="227"/>
      <c r="G4979" s="227"/>
      <c r="H4979" s="227"/>
      <c r="I4979" s="229"/>
    </row>
    <row r="4980" spans="1:9" s="212" customFormat="1">
      <c r="A4980" s="658"/>
      <c r="B4980" s="227"/>
      <c r="C4980" s="227"/>
      <c r="D4980" s="227"/>
      <c r="E4980" s="227"/>
      <c r="F4980" s="227"/>
      <c r="G4980" s="227"/>
    </row>
    <row r="4981" spans="1:9" s="212" customFormat="1">
      <c r="A4981" s="69"/>
      <c r="B4981" s="69"/>
      <c r="C4981" s="69"/>
      <c r="D4981" s="69"/>
      <c r="E4981" s="69"/>
    </row>
    <row r="4982" spans="1:9" s="212" customFormat="1">
      <c r="A4982" s="120"/>
      <c r="B4982" s="73"/>
      <c r="C4982" s="73"/>
      <c r="D4982" s="73"/>
      <c r="E4982" s="73"/>
      <c r="F4982" s="73"/>
      <c r="G4982" s="73"/>
      <c r="H4982" s="73"/>
    </row>
    <row r="4983" spans="1:9" s="212" customFormat="1">
      <c r="A4983" s="220"/>
      <c r="B4983" s="141"/>
      <c r="C4983" s="141"/>
      <c r="D4983" s="141"/>
      <c r="E4983" s="141"/>
      <c r="F4983" s="141"/>
      <c r="G4983" s="141"/>
      <c r="H4983" s="73"/>
    </row>
    <row r="4984" spans="1:9" s="212" customFormat="1">
      <c r="A4984" s="150"/>
      <c r="B4984" s="83"/>
      <c r="C4984" s="148"/>
      <c r="D4984" s="84"/>
      <c r="E4984" s="84"/>
      <c r="F4984" s="84"/>
      <c r="G4984" s="224"/>
      <c r="H4984" s="73"/>
    </row>
    <row r="4985" spans="1:9" s="212" customFormat="1">
      <c r="A4985" s="150"/>
      <c r="B4985" s="83"/>
      <c r="C4985" s="148"/>
      <c r="D4985" s="84"/>
      <c r="E4985" s="84"/>
      <c r="F4985" s="84"/>
      <c r="G4985" s="224"/>
      <c r="H4985" s="221"/>
    </row>
    <row r="4986" spans="1:9" s="212" customFormat="1">
      <c r="A4986" s="84"/>
      <c r="B4986" s="83"/>
      <c r="C4986" s="84"/>
      <c r="D4986" s="84"/>
      <c r="E4986" s="84"/>
      <c r="G4986" s="213"/>
      <c r="H4986" s="222"/>
    </row>
    <row r="4987" spans="1:9" s="212" customFormat="1">
      <c r="A4987" s="120"/>
      <c r="B4987" s="73"/>
      <c r="C4987" s="73"/>
      <c r="D4987" s="73"/>
      <c r="E4987" s="73"/>
      <c r="G4987" s="73"/>
      <c r="H4987" s="222"/>
    </row>
    <row r="4988" spans="1:9" s="212" customFormat="1">
      <c r="A4988" s="220"/>
      <c r="B4988" s="141"/>
      <c r="C4988" s="141"/>
      <c r="D4988" s="141"/>
      <c r="E4988" s="141"/>
      <c r="F4988" s="141"/>
      <c r="G4988" s="141"/>
      <c r="H4988" s="222"/>
    </row>
    <row r="4989" spans="1:9" s="212" customFormat="1">
      <c r="A4989" s="150"/>
      <c r="B4989" s="83"/>
      <c r="C4989" s="148"/>
      <c r="D4989" s="84"/>
      <c r="E4989" s="84"/>
      <c r="F4989" s="84"/>
      <c r="G4989" s="224"/>
      <c r="H4989" s="221"/>
    </row>
    <row r="4990" spans="1:9" s="212" customFormat="1">
      <c r="A4990" s="91"/>
      <c r="B4990" s="91"/>
      <c r="C4990" s="91"/>
      <c r="D4990" s="91"/>
      <c r="E4990" s="91"/>
      <c r="G4990" s="213"/>
      <c r="H4990" s="222"/>
    </row>
    <row r="4991" spans="1:9" s="212" customFormat="1">
      <c r="A4991" s="120"/>
      <c r="B4991" s="73"/>
      <c r="C4991" s="73"/>
      <c r="D4991" s="73"/>
      <c r="E4991" s="73"/>
      <c r="G4991" s="73"/>
      <c r="H4991" s="222"/>
    </row>
    <row r="4992" spans="1:9" s="212" customFormat="1">
      <c r="A4992" s="220"/>
      <c r="B4992" s="141"/>
      <c r="C4992" s="141"/>
      <c r="D4992" s="141"/>
      <c r="E4992" s="141"/>
      <c r="F4992" s="141"/>
      <c r="G4992" s="141"/>
      <c r="H4992" s="222"/>
    </row>
    <row r="4993" spans="1:9" s="212" customFormat="1">
      <c r="A4993" s="146"/>
      <c r="B4993" s="83"/>
      <c r="C4993" s="148"/>
      <c r="D4993" s="84"/>
      <c r="E4993" s="84"/>
      <c r="F4993" s="84"/>
      <c r="G4993" s="146"/>
      <c r="H4993" s="221"/>
    </row>
    <row r="4994" spans="1:9" s="212" customFormat="1">
      <c r="A4994" s="91"/>
      <c r="B4994" s="91"/>
      <c r="C4994" s="91"/>
      <c r="D4994" s="91"/>
      <c r="E4994" s="91"/>
      <c r="G4994" s="213"/>
      <c r="H4994" s="222"/>
    </row>
    <row r="4995" spans="1:9" s="212" customFormat="1">
      <c r="A4995" s="120"/>
      <c r="B4995" s="73"/>
      <c r="C4995" s="73"/>
      <c r="D4995" s="73"/>
      <c r="E4995" s="73"/>
      <c r="G4995" s="73"/>
      <c r="H4995" s="222"/>
    </row>
    <row r="4996" spans="1:9" s="212" customFormat="1">
      <c r="A4996" s="220"/>
      <c r="B4996" s="141"/>
      <c r="C4996" s="141"/>
      <c r="D4996" s="141"/>
      <c r="E4996" s="141"/>
      <c r="F4996" s="141"/>
      <c r="G4996" s="141"/>
      <c r="H4996" s="222"/>
    </row>
    <row r="4997" spans="1:9" s="212" customFormat="1">
      <c r="A4997" s="142"/>
      <c r="B4997" s="143"/>
      <c r="C4997" s="143"/>
      <c r="D4997" s="143"/>
      <c r="E4997" s="143"/>
      <c r="F4997" s="84"/>
      <c r="G4997" s="146"/>
      <c r="H4997" s="221"/>
    </row>
    <row r="4998" spans="1:9" s="212" customFormat="1">
      <c r="A4998" s="123"/>
      <c r="B4998" s="95"/>
      <c r="C4998" s="95"/>
      <c r="D4998" s="95"/>
      <c r="E4998" s="95"/>
      <c r="G4998" s="213"/>
      <c r="H4998" s="73"/>
    </row>
    <row r="4999" spans="1:9" s="212" customFormat="1">
      <c r="A4999" s="123"/>
      <c r="B4999" s="95"/>
      <c r="C4999" s="95"/>
      <c r="D4999" s="95"/>
      <c r="E4999" s="95"/>
      <c r="G4999" s="73"/>
      <c r="H4999" s="225"/>
    </row>
    <row r="5000" spans="1:9" s="212" customFormat="1">
      <c r="B5000" s="97"/>
      <c r="C5000" s="98"/>
      <c r="D5000" s="98"/>
      <c r="E5000" s="98"/>
      <c r="G5000" s="220"/>
    </row>
    <row r="5001" spans="1:9" s="212" customFormat="1">
      <c r="B5001" s="97"/>
      <c r="C5001" s="98"/>
      <c r="D5001" s="98"/>
      <c r="E5001" s="98"/>
      <c r="F5001" s="220"/>
      <c r="G5001" s="225"/>
      <c r="H5001" s="226"/>
    </row>
    <row r="5002" spans="1:9" s="212" customFormat="1">
      <c r="A5002" s="633"/>
      <c r="B5002" s="633"/>
      <c r="C5002" s="633"/>
      <c r="D5002" s="633"/>
      <c r="E5002" s="633"/>
      <c r="F5002" s="633"/>
      <c r="G5002" s="633"/>
    </row>
    <row r="5003" spans="1:9" s="212" customFormat="1">
      <c r="H5003" s="227"/>
      <c r="I5003" s="228"/>
    </row>
    <row r="5004" spans="1:9" s="212" customFormat="1">
      <c r="A5004" s="658"/>
      <c r="B5004" s="227"/>
      <c r="C5004" s="227"/>
      <c r="D5004" s="227"/>
      <c r="E5004" s="227"/>
      <c r="F5004" s="227"/>
      <c r="G5004" s="227"/>
      <c r="H5004" s="227"/>
      <c r="I5004" s="229"/>
    </row>
    <row r="5005" spans="1:9" s="212" customFormat="1">
      <c r="A5005" s="658"/>
      <c r="B5005" s="227"/>
      <c r="C5005" s="227"/>
      <c r="D5005" s="227"/>
      <c r="E5005" s="227"/>
      <c r="F5005" s="227"/>
      <c r="G5005" s="227"/>
    </row>
    <row r="5006" spans="1:9" s="212" customFormat="1">
      <c r="A5006" s="69"/>
      <c r="B5006" s="69"/>
      <c r="C5006" s="69"/>
      <c r="D5006" s="69"/>
      <c r="E5006" s="69"/>
    </row>
    <row r="5007" spans="1:9" s="212" customFormat="1">
      <c r="A5007" s="120"/>
      <c r="B5007" s="73"/>
      <c r="C5007" s="73"/>
      <c r="D5007" s="73"/>
      <c r="E5007" s="73"/>
      <c r="F5007" s="73"/>
      <c r="G5007" s="73"/>
      <c r="H5007" s="73"/>
    </row>
    <row r="5008" spans="1:9" s="212" customFormat="1">
      <c r="A5008" s="220"/>
      <c r="B5008" s="141"/>
      <c r="C5008" s="141"/>
      <c r="D5008" s="141"/>
      <c r="E5008" s="141"/>
      <c r="F5008" s="141"/>
      <c r="G5008" s="141"/>
      <c r="H5008" s="73"/>
    </row>
    <row r="5009" spans="1:8" s="212" customFormat="1">
      <c r="A5009" s="150"/>
      <c r="B5009" s="83"/>
      <c r="C5009" s="148"/>
      <c r="D5009" s="84"/>
      <c r="E5009" s="84"/>
      <c r="F5009" s="84"/>
      <c r="G5009" s="224"/>
      <c r="H5009" s="73"/>
    </row>
    <row r="5010" spans="1:8" s="212" customFormat="1">
      <c r="A5010" s="150"/>
      <c r="B5010" s="83"/>
      <c r="C5010" s="148"/>
      <c r="D5010" s="84"/>
      <c r="E5010" s="84"/>
      <c r="F5010" s="84"/>
      <c r="G5010" s="224"/>
      <c r="H5010" s="73"/>
    </row>
    <row r="5011" spans="1:8" s="212" customFormat="1">
      <c r="A5011" s="150"/>
      <c r="B5011" s="83"/>
      <c r="C5011" s="148"/>
      <c r="D5011" s="84"/>
      <c r="E5011" s="84"/>
      <c r="F5011" s="84"/>
      <c r="G5011" s="224"/>
      <c r="H5011" s="73"/>
    </row>
    <row r="5012" spans="1:8" s="212" customFormat="1">
      <c r="A5012" s="150"/>
      <c r="B5012" s="83"/>
      <c r="C5012" s="148"/>
      <c r="D5012" s="84"/>
      <c r="E5012" s="84"/>
      <c r="F5012" s="84"/>
      <c r="G5012" s="224"/>
      <c r="H5012" s="221"/>
    </row>
    <row r="5013" spans="1:8" s="212" customFormat="1">
      <c r="A5013" s="84"/>
      <c r="B5013" s="83"/>
      <c r="C5013" s="84"/>
      <c r="D5013" s="84"/>
      <c r="E5013" s="84"/>
      <c r="G5013" s="213"/>
      <c r="H5013" s="222"/>
    </row>
    <row r="5014" spans="1:8" s="212" customFormat="1">
      <c r="A5014" s="120"/>
      <c r="B5014" s="73"/>
      <c r="C5014" s="73"/>
      <c r="D5014" s="73"/>
      <c r="E5014" s="73"/>
      <c r="G5014" s="73"/>
      <c r="H5014" s="222"/>
    </row>
    <row r="5015" spans="1:8" s="212" customFormat="1">
      <c r="A5015" s="220"/>
      <c r="B5015" s="141"/>
      <c r="C5015" s="141"/>
      <c r="D5015" s="141"/>
      <c r="E5015" s="141"/>
      <c r="F5015" s="141"/>
      <c r="G5015" s="141"/>
      <c r="H5015" s="222"/>
    </row>
    <row r="5016" spans="1:8" s="212" customFormat="1">
      <c r="A5016" s="150"/>
      <c r="B5016" s="83"/>
      <c r="C5016" s="148"/>
      <c r="D5016" s="84"/>
      <c r="E5016" s="84"/>
      <c r="F5016" s="84"/>
      <c r="G5016" s="224"/>
      <c r="H5016" s="221"/>
    </row>
    <row r="5017" spans="1:8" s="212" customFormat="1">
      <c r="A5017" s="91"/>
      <c r="B5017" s="91"/>
      <c r="C5017" s="91"/>
      <c r="D5017" s="91"/>
      <c r="E5017" s="91"/>
      <c r="G5017" s="213"/>
      <c r="H5017" s="222"/>
    </row>
    <row r="5018" spans="1:8" s="212" customFormat="1">
      <c r="A5018" s="120"/>
      <c r="B5018" s="73"/>
      <c r="C5018" s="73"/>
      <c r="D5018" s="73"/>
      <c r="E5018" s="73"/>
      <c r="G5018" s="73"/>
      <c r="H5018" s="222"/>
    </row>
    <row r="5019" spans="1:8" s="212" customFormat="1">
      <c r="A5019" s="220"/>
      <c r="B5019" s="141"/>
      <c r="C5019" s="141"/>
      <c r="D5019" s="141"/>
      <c r="E5019" s="141"/>
      <c r="F5019" s="141"/>
      <c r="G5019" s="141"/>
      <c r="H5019" s="222"/>
    </row>
    <row r="5020" spans="1:8" s="212" customFormat="1">
      <c r="A5020" s="146"/>
      <c r="B5020" s="83"/>
      <c r="C5020" s="148"/>
      <c r="D5020" s="84"/>
      <c r="E5020" s="84"/>
      <c r="F5020" s="84"/>
      <c r="G5020" s="146"/>
      <c r="H5020" s="221"/>
    </row>
    <row r="5021" spans="1:8" s="212" customFormat="1">
      <c r="A5021" s="91"/>
      <c r="B5021" s="91"/>
      <c r="C5021" s="91"/>
      <c r="D5021" s="91"/>
      <c r="E5021" s="91"/>
      <c r="G5021" s="213"/>
      <c r="H5021" s="222"/>
    </row>
    <row r="5022" spans="1:8" s="212" customFormat="1">
      <c r="A5022" s="120"/>
      <c r="B5022" s="73"/>
      <c r="C5022" s="73"/>
      <c r="D5022" s="73"/>
      <c r="E5022" s="73"/>
      <c r="G5022" s="73"/>
      <c r="H5022" s="222"/>
    </row>
    <row r="5023" spans="1:8" s="212" customFormat="1">
      <c r="A5023" s="220"/>
      <c r="B5023" s="141"/>
      <c r="C5023" s="141"/>
      <c r="D5023" s="141"/>
      <c r="E5023" s="141"/>
      <c r="F5023" s="141"/>
      <c r="G5023" s="141"/>
      <c r="H5023" s="222"/>
    </row>
    <row r="5024" spans="1:8" s="212" customFormat="1">
      <c r="A5024" s="142"/>
      <c r="B5024" s="143"/>
      <c r="C5024" s="143"/>
      <c r="D5024" s="143"/>
      <c r="E5024" s="143"/>
      <c r="F5024" s="84"/>
      <c r="G5024" s="146"/>
      <c r="H5024" s="221"/>
    </row>
    <row r="5025" spans="1:9" s="212" customFormat="1">
      <c r="A5025" s="123"/>
      <c r="B5025" s="95"/>
      <c r="C5025" s="95"/>
      <c r="D5025" s="95"/>
      <c r="E5025" s="95"/>
      <c r="G5025" s="213"/>
      <c r="H5025" s="73"/>
    </row>
    <row r="5026" spans="1:9" s="212" customFormat="1">
      <c r="A5026" s="123"/>
      <c r="B5026" s="95"/>
      <c r="C5026" s="95"/>
      <c r="D5026" s="95"/>
      <c r="E5026" s="95"/>
      <c r="G5026" s="73"/>
      <c r="H5026" s="225"/>
    </row>
    <row r="5027" spans="1:9" s="212" customFormat="1">
      <c r="B5027" s="97"/>
      <c r="C5027" s="98"/>
      <c r="D5027" s="98"/>
      <c r="E5027" s="98"/>
      <c r="G5027" s="220"/>
    </row>
    <row r="5028" spans="1:9" s="212" customFormat="1">
      <c r="B5028" s="97"/>
      <c r="C5028" s="98"/>
      <c r="D5028" s="98"/>
      <c r="E5028" s="98"/>
      <c r="F5028" s="220"/>
      <c r="G5028" s="225"/>
      <c r="H5028" s="226"/>
    </row>
    <row r="5029" spans="1:9" s="212" customFormat="1">
      <c r="A5029" s="633"/>
      <c r="B5029" s="633"/>
      <c r="C5029" s="633"/>
      <c r="D5029" s="633"/>
      <c r="E5029" s="633"/>
      <c r="F5029" s="633"/>
      <c r="G5029" s="633"/>
    </row>
    <row r="5030" spans="1:9" s="212" customFormat="1">
      <c r="H5030" s="227"/>
      <c r="I5030" s="228"/>
    </row>
    <row r="5031" spans="1:9" s="212" customFormat="1">
      <c r="A5031" s="658"/>
      <c r="B5031" s="227"/>
      <c r="C5031" s="227"/>
      <c r="D5031" s="227"/>
      <c r="E5031" s="227"/>
      <c r="F5031" s="227"/>
      <c r="G5031" s="227"/>
      <c r="H5031" s="227"/>
      <c r="I5031" s="229"/>
    </row>
    <row r="5032" spans="1:9" s="212" customFormat="1">
      <c r="A5032" s="658"/>
      <c r="B5032" s="227"/>
      <c r="C5032" s="227"/>
      <c r="D5032" s="227"/>
      <c r="E5032" s="227"/>
      <c r="F5032" s="227"/>
      <c r="G5032" s="227"/>
    </row>
    <row r="5033" spans="1:9" s="212" customFormat="1">
      <c r="A5033" s="69"/>
      <c r="B5033" s="69"/>
      <c r="C5033" s="69"/>
      <c r="D5033" s="69"/>
      <c r="E5033" s="69"/>
    </row>
    <row r="5034" spans="1:9" s="212" customFormat="1">
      <c r="A5034" s="120"/>
      <c r="B5034" s="73"/>
      <c r="C5034" s="73"/>
      <c r="D5034" s="73"/>
      <c r="E5034" s="73"/>
      <c r="F5034" s="73"/>
      <c r="G5034" s="73"/>
      <c r="H5034" s="73"/>
    </row>
    <row r="5035" spans="1:9" s="212" customFormat="1">
      <c r="A5035" s="220"/>
      <c r="B5035" s="141"/>
      <c r="C5035" s="141"/>
      <c r="D5035" s="141"/>
      <c r="E5035" s="141"/>
      <c r="F5035" s="141"/>
      <c r="G5035" s="141"/>
      <c r="H5035" s="73"/>
    </row>
    <row r="5036" spans="1:9" s="212" customFormat="1">
      <c r="A5036" s="150"/>
      <c r="B5036" s="83"/>
      <c r="C5036" s="148"/>
      <c r="D5036" s="84"/>
      <c r="E5036" s="84"/>
      <c r="F5036" s="84"/>
      <c r="G5036" s="224"/>
      <c r="H5036" s="73"/>
    </row>
    <row r="5037" spans="1:9" s="212" customFormat="1">
      <c r="A5037" s="150"/>
      <c r="B5037" s="83"/>
      <c r="C5037" s="148"/>
      <c r="D5037" s="84"/>
      <c r="E5037" s="84"/>
      <c r="F5037" s="84"/>
      <c r="G5037" s="224"/>
      <c r="H5037" s="73"/>
    </row>
    <row r="5038" spans="1:9" s="212" customFormat="1">
      <c r="A5038" s="150"/>
      <c r="B5038" s="83"/>
      <c r="C5038" s="148"/>
      <c r="D5038" s="84"/>
      <c r="E5038" s="84"/>
      <c r="F5038" s="84"/>
      <c r="G5038" s="224"/>
      <c r="H5038" s="221"/>
    </row>
    <row r="5039" spans="1:9" s="212" customFormat="1">
      <c r="A5039" s="84"/>
      <c r="B5039" s="83"/>
      <c r="C5039" s="84"/>
      <c r="D5039" s="84"/>
      <c r="E5039" s="84"/>
      <c r="G5039" s="213"/>
      <c r="H5039" s="222"/>
    </row>
    <row r="5040" spans="1:9" s="212" customFormat="1">
      <c r="A5040" s="120"/>
      <c r="B5040" s="73"/>
      <c r="C5040" s="73"/>
      <c r="D5040" s="73"/>
      <c r="E5040" s="73"/>
      <c r="G5040" s="73"/>
      <c r="H5040" s="222"/>
    </row>
    <row r="5041" spans="1:8" s="212" customFormat="1">
      <c r="A5041" s="220"/>
      <c r="B5041" s="141"/>
      <c r="C5041" s="141"/>
      <c r="D5041" s="141"/>
      <c r="E5041" s="141"/>
      <c r="F5041" s="141"/>
      <c r="G5041" s="141"/>
      <c r="H5041" s="222"/>
    </row>
    <row r="5042" spans="1:8" s="212" customFormat="1">
      <c r="A5042" s="150"/>
      <c r="B5042" s="83"/>
      <c r="C5042" s="148"/>
      <c r="D5042" s="84"/>
      <c r="E5042" s="84"/>
      <c r="F5042" s="84"/>
      <c r="G5042" s="224"/>
      <c r="H5042" s="222"/>
    </row>
    <row r="5043" spans="1:8" s="212" customFormat="1">
      <c r="A5043" s="150"/>
      <c r="B5043" s="83"/>
      <c r="C5043" s="148"/>
      <c r="D5043" s="84"/>
      <c r="E5043" s="84"/>
      <c r="F5043" s="84"/>
      <c r="G5043" s="224"/>
      <c r="H5043" s="221"/>
    </row>
    <row r="5044" spans="1:8" s="212" customFormat="1">
      <c r="A5044" s="91"/>
      <c r="B5044" s="91"/>
      <c r="C5044" s="91"/>
      <c r="D5044" s="91"/>
      <c r="E5044" s="91"/>
      <c r="G5044" s="213"/>
      <c r="H5044" s="222"/>
    </row>
    <row r="5045" spans="1:8" s="212" customFormat="1">
      <c r="A5045" s="120"/>
      <c r="B5045" s="73"/>
      <c r="C5045" s="73"/>
      <c r="D5045" s="73"/>
      <c r="E5045" s="73"/>
      <c r="G5045" s="73"/>
      <c r="H5045" s="222"/>
    </row>
    <row r="5046" spans="1:8" s="212" customFormat="1">
      <c r="A5046" s="220"/>
      <c r="B5046" s="141"/>
      <c r="C5046" s="141"/>
      <c r="D5046" s="141"/>
      <c r="E5046" s="141"/>
      <c r="F5046" s="141"/>
      <c r="G5046" s="141"/>
      <c r="H5046" s="222"/>
    </row>
    <row r="5047" spans="1:8" s="212" customFormat="1">
      <c r="A5047" s="146"/>
      <c r="B5047" s="83"/>
      <c r="C5047" s="148"/>
      <c r="D5047" s="84"/>
      <c r="E5047" s="84"/>
      <c r="F5047" s="84"/>
      <c r="G5047" s="146"/>
      <c r="H5047" s="221"/>
    </row>
    <row r="5048" spans="1:8" s="212" customFormat="1">
      <c r="A5048" s="91"/>
      <c r="B5048" s="91"/>
      <c r="C5048" s="91"/>
      <c r="D5048" s="91"/>
      <c r="E5048" s="91"/>
      <c r="G5048" s="213"/>
      <c r="H5048" s="222"/>
    </row>
    <row r="5049" spans="1:8" s="212" customFormat="1">
      <c r="A5049" s="120"/>
      <c r="B5049" s="73"/>
      <c r="C5049" s="73"/>
      <c r="D5049" s="73"/>
      <c r="E5049" s="73"/>
      <c r="G5049" s="73"/>
      <c r="H5049" s="222"/>
    </row>
    <row r="5050" spans="1:8" s="212" customFormat="1">
      <c r="A5050" s="220"/>
      <c r="B5050" s="141"/>
      <c r="C5050" s="141"/>
      <c r="D5050" s="141"/>
      <c r="E5050" s="141"/>
      <c r="F5050" s="141"/>
      <c r="G5050" s="141"/>
      <c r="H5050" s="222"/>
    </row>
    <row r="5051" spans="1:8" s="212" customFormat="1">
      <c r="A5051" s="142"/>
      <c r="B5051" s="143"/>
      <c r="C5051" s="143"/>
      <c r="D5051" s="143"/>
      <c r="E5051" s="143"/>
      <c r="F5051" s="84"/>
      <c r="G5051" s="146"/>
      <c r="H5051" s="221"/>
    </row>
    <row r="5052" spans="1:8" s="212" customFormat="1">
      <c r="A5052" s="123"/>
      <c r="B5052" s="95"/>
      <c r="C5052" s="95"/>
      <c r="D5052" s="95"/>
      <c r="E5052" s="95"/>
      <c r="G5052" s="213"/>
      <c r="H5052" s="73"/>
    </row>
    <row r="5053" spans="1:8" s="212" customFormat="1">
      <c r="A5053" s="123"/>
      <c r="B5053" s="95"/>
      <c r="C5053" s="95"/>
      <c r="D5053" s="95"/>
      <c r="E5053" s="95"/>
      <c r="G5053" s="73"/>
      <c r="H5053" s="225"/>
    </row>
    <row r="5054" spans="1:8" s="212" customFormat="1">
      <c r="B5054" s="97"/>
      <c r="C5054" s="98"/>
      <c r="D5054" s="98"/>
      <c r="E5054" s="98"/>
      <c r="G5054" s="220"/>
    </row>
    <row r="5055" spans="1:8" s="212" customFormat="1">
      <c r="B5055" s="97"/>
      <c r="C5055" s="98"/>
      <c r="D5055" s="98"/>
      <c r="E5055" s="98"/>
      <c r="F5055" s="220"/>
      <c r="G5055" s="225"/>
      <c r="H5055" s="226"/>
    </row>
    <row r="5056" spans="1:8" s="212" customFormat="1">
      <c r="A5056" s="633"/>
      <c r="B5056" s="633"/>
      <c r="C5056" s="633"/>
      <c r="D5056" s="633"/>
      <c r="E5056" s="633"/>
      <c r="F5056" s="633"/>
      <c r="G5056" s="633"/>
    </row>
    <row r="5057" spans="1:9" s="212" customFormat="1">
      <c r="H5057" s="227"/>
      <c r="I5057" s="228"/>
    </row>
    <row r="5058" spans="1:9" s="212" customFormat="1">
      <c r="A5058" s="658"/>
      <c r="B5058" s="227"/>
      <c r="C5058" s="227"/>
      <c r="D5058" s="227"/>
      <c r="E5058" s="227"/>
      <c r="F5058" s="227"/>
      <c r="G5058" s="227"/>
      <c r="H5058" s="227"/>
      <c r="I5058" s="229"/>
    </row>
    <row r="5059" spans="1:9" s="212" customFormat="1">
      <c r="A5059" s="658"/>
      <c r="B5059" s="227"/>
      <c r="C5059" s="227"/>
      <c r="D5059" s="227"/>
      <c r="E5059" s="227"/>
      <c r="F5059" s="227"/>
      <c r="G5059" s="227"/>
    </row>
    <row r="5060" spans="1:9" s="212" customFormat="1">
      <c r="A5060" s="69"/>
      <c r="B5060" s="69"/>
      <c r="C5060" s="69"/>
      <c r="D5060" s="69"/>
      <c r="E5060" s="69"/>
    </row>
    <row r="5061" spans="1:9" s="212" customFormat="1">
      <c r="A5061" s="120"/>
      <c r="B5061" s="73"/>
      <c r="C5061" s="73"/>
      <c r="D5061" s="73"/>
      <c r="E5061" s="73"/>
      <c r="F5061" s="73"/>
      <c r="G5061" s="73"/>
      <c r="H5061" s="73"/>
    </row>
    <row r="5062" spans="1:9" s="212" customFormat="1">
      <c r="A5062" s="220"/>
      <c r="B5062" s="141"/>
      <c r="C5062" s="141"/>
      <c r="D5062" s="141"/>
      <c r="E5062" s="141"/>
      <c r="F5062" s="141"/>
      <c r="G5062" s="141"/>
      <c r="H5062" s="73"/>
    </row>
    <row r="5063" spans="1:9" s="212" customFormat="1">
      <c r="A5063" s="150"/>
      <c r="B5063" s="84"/>
      <c r="C5063" s="148"/>
      <c r="D5063" s="84"/>
      <c r="E5063" s="84"/>
      <c r="F5063" s="84"/>
      <c r="G5063" s="224"/>
      <c r="H5063" s="221"/>
    </row>
    <row r="5064" spans="1:9" s="212" customFormat="1">
      <c r="A5064" s="84"/>
      <c r="B5064" s="83"/>
      <c r="C5064" s="84"/>
      <c r="D5064" s="84"/>
      <c r="E5064" s="84"/>
      <c r="G5064" s="213"/>
      <c r="H5064" s="222"/>
    </row>
    <row r="5065" spans="1:9" s="212" customFormat="1">
      <c r="A5065" s="120"/>
      <c r="B5065" s="73"/>
      <c r="C5065" s="73"/>
      <c r="D5065" s="73"/>
      <c r="E5065" s="73"/>
      <c r="G5065" s="73"/>
      <c r="H5065" s="222"/>
    </row>
    <row r="5066" spans="1:9" s="212" customFormat="1">
      <c r="A5066" s="220"/>
      <c r="B5066" s="141"/>
      <c r="C5066" s="141"/>
      <c r="D5066" s="141"/>
      <c r="E5066" s="141"/>
      <c r="F5066" s="141"/>
      <c r="G5066" s="141"/>
      <c r="H5066" s="222"/>
    </row>
    <row r="5067" spans="1:9" s="212" customFormat="1">
      <c r="A5067" s="150"/>
      <c r="B5067" s="83"/>
      <c r="C5067" s="148"/>
      <c r="D5067" s="84"/>
      <c r="E5067" s="84"/>
      <c r="F5067" s="84"/>
      <c r="G5067" s="224"/>
      <c r="H5067" s="222"/>
    </row>
    <row r="5068" spans="1:9" s="212" customFormat="1">
      <c r="A5068" s="150"/>
      <c r="B5068" s="83"/>
      <c r="C5068" s="148"/>
      <c r="D5068" s="84"/>
      <c r="E5068" s="84"/>
      <c r="F5068" s="84"/>
      <c r="G5068" s="224"/>
      <c r="H5068" s="222"/>
    </row>
    <row r="5069" spans="1:9" s="212" customFormat="1">
      <c r="A5069" s="150"/>
      <c r="B5069" s="83"/>
      <c r="C5069" s="148"/>
      <c r="D5069" s="84"/>
      <c r="E5069" s="84"/>
      <c r="F5069" s="84"/>
      <c r="G5069" s="224"/>
      <c r="H5069" s="222"/>
    </row>
    <row r="5070" spans="1:9" s="212" customFormat="1">
      <c r="A5070" s="150"/>
      <c r="B5070" s="83"/>
      <c r="C5070" s="148"/>
      <c r="D5070" s="84"/>
      <c r="E5070" s="84"/>
      <c r="F5070" s="84"/>
      <c r="G5070" s="224"/>
      <c r="H5070" s="222"/>
    </row>
    <row r="5071" spans="1:9" s="212" customFormat="1">
      <c r="A5071" s="150"/>
      <c r="B5071" s="83"/>
      <c r="C5071" s="148"/>
      <c r="D5071" s="84"/>
      <c r="E5071" s="84"/>
      <c r="F5071" s="84"/>
      <c r="G5071" s="224"/>
      <c r="H5071" s="222"/>
    </row>
    <row r="5072" spans="1:9" s="212" customFormat="1">
      <c r="A5072" s="150"/>
      <c r="B5072" s="83"/>
      <c r="C5072" s="148"/>
      <c r="D5072" s="84"/>
      <c r="E5072" s="84"/>
      <c r="F5072" s="84"/>
      <c r="G5072" s="224"/>
      <c r="H5072" s="221"/>
    </row>
    <row r="5073" spans="1:9" s="212" customFormat="1">
      <c r="A5073" s="91"/>
      <c r="B5073" s="91"/>
      <c r="C5073" s="91"/>
      <c r="D5073" s="91"/>
      <c r="E5073" s="91"/>
      <c r="G5073" s="213"/>
      <c r="H5073" s="222"/>
    </row>
    <row r="5074" spans="1:9" s="212" customFormat="1">
      <c r="A5074" s="120"/>
      <c r="B5074" s="73"/>
      <c r="C5074" s="73"/>
      <c r="D5074" s="73"/>
      <c r="E5074" s="73"/>
      <c r="G5074" s="73"/>
      <c r="H5074" s="222"/>
    </row>
    <row r="5075" spans="1:9" s="212" customFormat="1">
      <c r="A5075" s="220"/>
      <c r="B5075" s="141"/>
      <c r="C5075" s="141"/>
      <c r="D5075" s="141"/>
      <c r="E5075" s="141"/>
      <c r="F5075" s="141"/>
      <c r="G5075" s="141"/>
      <c r="H5075" s="222"/>
    </row>
    <row r="5076" spans="1:9" s="212" customFormat="1">
      <c r="A5076" s="146"/>
      <c r="B5076" s="83"/>
      <c r="C5076" s="148"/>
      <c r="D5076" s="84"/>
      <c r="E5076" s="84"/>
      <c r="F5076" s="84"/>
      <c r="G5076" s="146"/>
      <c r="H5076" s="221"/>
    </row>
    <row r="5077" spans="1:9" s="212" customFormat="1">
      <c r="A5077" s="91"/>
      <c r="B5077" s="91"/>
      <c r="C5077" s="91"/>
      <c r="D5077" s="91"/>
      <c r="E5077" s="91"/>
      <c r="G5077" s="213"/>
      <c r="H5077" s="222"/>
    </row>
    <row r="5078" spans="1:9" s="212" customFormat="1">
      <c r="A5078" s="120"/>
      <c r="B5078" s="73"/>
      <c r="C5078" s="73"/>
      <c r="D5078" s="73"/>
      <c r="E5078" s="73"/>
      <c r="G5078" s="73"/>
      <c r="H5078" s="222"/>
    </row>
    <row r="5079" spans="1:9" s="212" customFormat="1">
      <c r="A5079" s="220"/>
      <c r="B5079" s="141"/>
      <c r="C5079" s="141"/>
      <c r="D5079" s="141"/>
      <c r="E5079" s="141"/>
      <c r="F5079" s="141"/>
      <c r="G5079" s="141"/>
      <c r="H5079" s="222"/>
    </row>
    <row r="5080" spans="1:9" s="212" customFormat="1">
      <c r="A5080" s="142"/>
      <c r="B5080" s="143"/>
      <c r="C5080" s="143"/>
      <c r="D5080" s="143"/>
      <c r="E5080" s="143"/>
      <c r="F5080" s="84"/>
      <c r="G5080" s="146"/>
      <c r="H5080" s="221"/>
    </row>
    <row r="5081" spans="1:9" s="212" customFormat="1">
      <c r="A5081" s="123"/>
      <c r="B5081" s="95"/>
      <c r="C5081" s="95"/>
      <c r="D5081" s="95"/>
      <c r="E5081" s="95"/>
      <c r="G5081" s="213"/>
      <c r="H5081" s="73"/>
    </row>
    <row r="5082" spans="1:9" s="212" customFormat="1">
      <c r="A5082" s="123"/>
      <c r="B5082" s="95"/>
      <c r="C5082" s="95"/>
      <c r="D5082" s="95"/>
      <c r="E5082" s="95"/>
      <c r="G5082" s="73"/>
      <c r="H5082" s="225"/>
    </row>
    <row r="5083" spans="1:9" s="212" customFormat="1">
      <c r="B5083" s="97"/>
      <c r="C5083" s="98"/>
      <c r="D5083" s="98"/>
      <c r="E5083" s="98"/>
      <c r="G5083" s="220"/>
    </row>
    <row r="5084" spans="1:9" s="212" customFormat="1">
      <c r="B5084" s="97"/>
      <c r="C5084" s="98"/>
      <c r="D5084" s="98"/>
      <c r="E5084" s="98"/>
      <c r="F5084" s="220"/>
      <c r="G5084" s="225"/>
      <c r="H5084" s="226"/>
    </row>
    <row r="5085" spans="1:9" s="212" customFormat="1">
      <c r="A5085" s="633"/>
      <c r="B5085" s="633"/>
      <c r="C5085" s="633"/>
      <c r="D5085" s="633"/>
      <c r="E5085" s="633"/>
      <c r="F5085" s="633"/>
      <c r="G5085" s="633"/>
    </row>
    <row r="5086" spans="1:9" s="212" customFormat="1">
      <c r="H5086" s="227"/>
      <c r="I5086" s="228"/>
    </row>
    <row r="5087" spans="1:9" s="212" customFormat="1">
      <c r="A5087" s="658"/>
      <c r="B5087" s="227"/>
      <c r="C5087" s="227"/>
      <c r="D5087" s="227"/>
      <c r="E5087" s="227"/>
      <c r="F5087" s="227"/>
      <c r="G5087" s="227"/>
      <c r="H5087" s="227"/>
      <c r="I5087" s="229"/>
    </row>
    <row r="5088" spans="1:9" s="212" customFormat="1">
      <c r="A5088" s="658"/>
      <c r="B5088" s="227"/>
      <c r="C5088" s="227"/>
      <c r="D5088" s="227"/>
      <c r="E5088" s="227"/>
      <c r="F5088" s="227"/>
      <c r="G5088" s="227"/>
    </row>
    <row r="5089" spans="1:8" s="212" customFormat="1">
      <c r="A5089" s="69"/>
      <c r="B5089" s="69"/>
      <c r="C5089" s="69"/>
      <c r="D5089" s="69"/>
      <c r="E5089" s="69"/>
    </row>
    <row r="5090" spans="1:8" s="212" customFormat="1">
      <c r="A5090" s="120"/>
      <c r="B5090" s="73"/>
      <c r="C5090" s="73"/>
      <c r="D5090" s="73"/>
      <c r="E5090" s="73"/>
      <c r="F5090" s="73"/>
      <c r="G5090" s="73"/>
      <c r="H5090" s="73"/>
    </row>
    <row r="5091" spans="1:8" s="212" customFormat="1">
      <c r="A5091" s="220"/>
      <c r="B5091" s="141"/>
      <c r="C5091" s="141"/>
      <c r="D5091" s="141"/>
      <c r="E5091" s="141"/>
      <c r="F5091" s="141"/>
      <c r="G5091" s="141"/>
      <c r="H5091" s="73"/>
    </row>
    <row r="5092" spans="1:8" s="212" customFormat="1">
      <c r="A5092" s="150"/>
      <c r="B5092" s="84"/>
      <c r="C5092" s="148"/>
      <c r="D5092" s="84"/>
      <c r="E5092" s="84"/>
      <c r="F5092" s="84"/>
      <c r="G5092" s="224"/>
      <c r="H5092" s="221"/>
    </row>
    <row r="5093" spans="1:8" s="212" customFormat="1">
      <c r="A5093" s="84"/>
      <c r="B5093" s="83"/>
      <c r="C5093" s="84"/>
      <c r="D5093" s="84"/>
      <c r="E5093" s="84"/>
      <c r="G5093" s="213"/>
      <c r="H5093" s="222"/>
    </row>
    <row r="5094" spans="1:8" s="212" customFormat="1">
      <c r="A5094" s="120"/>
      <c r="B5094" s="73"/>
      <c r="C5094" s="73"/>
      <c r="D5094" s="73"/>
      <c r="E5094" s="73"/>
      <c r="G5094" s="73"/>
      <c r="H5094" s="222"/>
    </row>
    <row r="5095" spans="1:8" s="212" customFormat="1">
      <c r="A5095" s="220"/>
      <c r="B5095" s="141"/>
      <c r="C5095" s="141"/>
      <c r="D5095" s="141"/>
      <c r="E5095" s="141"/>
      <c r="F5095" s="141"/>
      <c r="G5095" s="141"/>
      <c r="H5095" s="222"/>
    </row>
    <row r="5096" spans="1:8" s="212" customFormat="1">
      <c r="A5096" s="150"/>
      <c r="B5096" s="83"/>
      <c r="C5096" s="148"/>
      <c r="D5096" s="84"/>
      <c r="E5096" s="84"/>
      <c r="F5096" s="84"/>
      <c r="G5096" s="224"/>
      <c r="H5096" s="222"/>
    </row>
    <row r="5097" spans="1:8" s="212" customFormat="1">
      <c r="A5097" s="150"/>
      <c r="B5097" s="83"/>
      <c r="C5097" s="148"/>
      <c r="D5097" s="84"/>
      <c r="E5097" s="84"/>
      <c r="F5097" s="84"/>
      <c r="G5097" s="224"/>
      <c r="H5097" s="222"/>
    </row>
    <row r="5098" spans="1:8" s="212" customFormat="1">
      <c r="A5098" s="150"/>
      <c r="B5098" s="83"/>
      <c r="C5098" s="148"/>
      <c r="D5098" s="84"/>
      <c r="E5098" s="84"/>
      <c r="F5098" s="84"/>
      <c r="G5098" s="224"/>
      <c r="H5098" s="222"/>
    </row>
    <row r="5099" spans="1:8" s="212" customFormat="1">
      <c r="A5099" s="150"/>
      <c r="B5099" s="83"/>
      <c r="C5099" s="148"/>
      <c r="D5099" s="84"/>
      <c r="E5099" s="84"/>
      <c r="F5099" s="84"/>
      <c r="G5099" s="224"/>
      <c r="H5099" s="222"/>
    </row>
    <row r="5100" spans="1:8" s="212" customFormat="1">
      <c r="A5100" s="150"/>
      <c r="B5100" s="83"/>
      <c r="C5100" s="148"/>
      <c r="D5100" s="84"/>
      <c r="E5100" s="84"/>
      <c r="F5100" s="84"/>
      <c r="G5100" s="224"/>
      <c r="H5100" s="222"/>
    </row>
    <row r="5101" spans="1:8" s="212" customFormat="1">
      <c r="A5101" s="150"/>
      <c r="B5101" s="83"/>
      <c r="C5101" s="148"/>
      <c r="D5101" s="84"/>
      <c r="E5101" s="84"/>
      <c r="F5101" s="84"/>
      <c r="G5101" s="224"/>
      <c r="H5101" s="221"/>
    </row>
    <row r="5102" spans="1:8" s="212" customFormat="1">
      <c r="A5102" s="91"/>
      <c r="B5102" s="91"/>
      <c r="C5102" s="91"/>
      <c r="D5102" s="91"/>
      <c r="E5102" s="91"/>
      <c r="G5102" s="213"/>
      <c r="H5102" s="222"/>
    </row>
    <row r="5103" spans="1:8" s="212" customFormat="1">
      <c r="A5103" s="120"/>
      <c r="B5103" s="73"/>
      <c r="C5103" s="73"/>
      <c r="D5103" s="73"/>
      <c r="E5103" s="73"/>
      <c r="G5103" s="73"/>
      <c r="H5103" s="222"/>
    </row>
    <row r="5104" spans="1:8" s="212" customFormat="1">
      <c r="A5104" s="220"/>
      <c r="B5104" s="141"/>
      <c r="C5104" s="141"/>
      <c r="D5104" s="141"/>
      <c r="E5104" s="141"/>
      <c r="F5104" s="141"/>
      <c r="G5104" s="141"/>
      <c r="H5104" s="222"/>
    </row>
    <row r="5105" spans="1:9" s="212" customFormat="1">
      <c r="A5105" s="146"/>
      <c r="B5105" s="83"/>
      <c r="C5105" s="148"/>
      <c r="D5105" s="84"/>
      <c r="E5105" s="84"/>
      <c r="F5105" s="84"/>
      <c r="G5105" s="146"/>
      <c r="H5105" s="221"/>
    </row>
    <row r="5106" spans="1:9" s="212" customFormat="1">
      <c r="A5106" s="91"/>
      <c r="B5106" s="91"/>
      <c r="C5106" s="91"/>
      <c r="D5106" s="91"/>
      <c r="E5106" s="91"/>
      <c r="G5106" s="213"/>
      <c r="H5106" s="222"/>
    </row>
    <row r="5107" spans="1:9" s="212" customFormat="1">
      <c r="A5107" s="120"/>
      <c r="B5107" s="73"/>
      <c r="C5107" s="73"/>
      <c r="D5107" s="73"/>
      <c r="E5107" s="73"/>
      <c r="G5107" s="73"/>
      <c r="H5107" s="222"/>
    </row>
    <row r="5108" spans="1:9" s="212" customFormat="1">
      <c r="A5108" s="220"/>
      <c r="B5108" s="141"/>
      <c r="C5108" s="141"/>
      <c r="D5108" s="141"/>
      <c r="E5108" s="141"/>
      <c r="F5108" s="141"/>
      <c r="G5108" s="141"/>
      <c r="H5108" s="222"/>
    </row>
    <row r="5109" spans="1:9" s="212" customFormat="1">
      <c r="A5109" s="142"/>
      <c r="B5109" s="143"/>
      <c r="C5109" s="143"/>
      <c r="D5109" s="143"/>
      <c r="E5109" s="143"/>
      <c r="F5109" s="84"/>
      <c r="G5109" s="146"/>
      <c r="H5109" s="221"/>
    </row>
    <row r="5110" spans="1:9" s="212" customFormat="1">
      <c r="A5110" s="123"/>
      <c r="B5110" s="95"/>
      <c r="C5110" s="95"/>
      <c r="D5110" s="95"/>
      <c r="E5110" s="95"/>
      <c r="G5110" s="213"/>
      <c r="H5110" s="73"/>
    </row>
    <row r="5111" spans="1:9" s="212" customFormat="1">
      <c r="A5111" s="123"/>
      <c r="B5111" s="95"/>
      <c r="C5111" s="95"/>
      <c r="D5111" s="95"/>
      <c r="E5111" s="95"/>
      <c r="G5111" s="73"/>
      <c r="H5111" s="225"/>
    </row>
    <row r="5112" spans="1:9" s="212" customFormat="1">
      <c r="B5112" s="97"/>
      <c r="C5112" s="98"/>
      <c r="D5112" s="98"/>
      <c r="E5112" s="98"/>
      <c r="G5112" s="220"/>
    </row>
    <row r="5113" spans="1:9" s="212" customFormat="1">
      <c r="B5113" s="97"/>
      <c r="C5113" s="98"/>
      <c r="D5113" s="98"/>
      <c r="E5113" s="98"/>
      <c r="F5113" s="220"/>
      <c r="G5113" s="225"/>
      <c r="H5113" s="226"/>
    </row>
    <row r="5114" spans="1:9" s="212" customFormat="1">
      <c r="A5114" s="633"/>
      <c r="B5114" s="633"/>
      <c r="C5114" s="633"/>
      <c r="D5114" s="633"/>
      <c r="E5114" s="633"/>
      <c r="F5114" s="633"/>
      <c r="G5114" s="633"/>
    </row>
    <row r="5115" spans="1:9" s="212" customFormat="1">
      <c r="H5115" s="227"/>
      <c r="I5115" s="228"/>
    </row>
    <row r="5116" spans="1:9" s="212" customFormat="1">
      <c r="A5116" s="658"/>
      <c r="B5116" s="227"/>
      <c r="C5116" s="227"/>
      <c r="D5116" s="227"/>
      <c r="E5116" s="227"/>
      <c r="F5116" s="227"/>
      <c r="G5116" s="227"/>
      <c r="H5116" s="227"/>
      <c r="I5116" s="229"/>
    </row>
    <row r="5117" spans="1:9" s="212" customFormat="1">
      <c r="A5117" s="658"/>
      <c r="B5117" s="227"/>
      <c r="C5117" s="227"/>
      <c r="D5117" s="227"/>
      <c r="E5117" s="227"/>
      <c r="F5117" s="227"/>
      <c r="G5117" s="227"/>
    </row>
    <row r="5118" spans="1:9" s="212" customFormat="1">
      <c r="A5118" s="69"/>
      <c r="B5118" s="69"/>
      <c r="C5118" s="69"/>
      <c r="D5118" s="69"/>
      <c r="E5118" s="69"/>
    </row>
    <row r="5119" spans="1:9" s="212" customFormat="1">
      <c r="A5119" s="120"/>
      <c r="B5119" s="73"/>
      <c r="C5119" s="73"/>
      <c r="D5119" s="73"/>
      <c r="E5119" s="73"/>
      <c r="F5119" s="73"/>
      <c r="G5119" s="73"/>
      <c r="H5119" s="73"/>
    </row>
    <row r="5120" spans="1:9" s="212" customFormat="1">
      <c r="A5120" s="220"/>
      <c r="B5120" s="141"/>
      <c r="C5120" s="141"/>
      <c r="D5120" s="141"/>
      <c r="E5120" s="141"/>
      <c r="F5120" s="141"/>
      <c r="G5120" s="141"/>
      <c r="H5120" s="73"/>
    </row>
    <row r="5121" spans="1:8" s="212" customFormat="1">
      <c r="A5121" s="150"/>
      <c r="B5121" s="84"/>
      <c r="C5121" s="148"/>
      <c r="D5121" s="84"/>
      <c r="E5121" s="84"/>
      <c r="F5121" s="84"/>
      <c r="G5121" s="224"/>
      <c r="H5121" s="73"/>
    </row>
    <row r="5122" spans="1:8" s="212" customFormat="1">
      <c r="A5122" s="150"/>
      <c r="B5122" s="84"/>
      <c r="C5122" s="148"/>
      <c r="D5122" s="84"/>
      <c r="E5122" s="84"/>
      <c r="F5122" s="84"/>
      <c r="G5122" s="224"/>
      <c r="H5122" s="221"/>
    </row>
    <row r="5123" spans="1:8" s="212" customFormat="1">
      <c r="A5123" s="84"/>
      <c r="B5123" s="83"/>
      <c r="C5123" s="84"/>
      <c r="D5123" s="84"/>
      <c r="E5123" s="84"/>
      <c r="G5123" s="213"/>
      <c r="H5123" s="222"/>
    </row>
    <row r="5124" spans="1:8" s="212" customFormat="1">
      <c r="A5124" s="120"/>
      <c r="B5124" s="73"/>
      <c r="C5124" s="73"/>
      <c r="D5124" s="73"/>
      <c r="E5124" s="73"/>
      <c r="G5124" s="73"/>
      <c r="H5124" s="222"/>
    </row>
    <row r="5125" spans="1:8" s="212" customFormat="1">
      <c r="A5125" s="220"/>
      <c r="B5125" s="141"/>
      <c r="C5125" s="141"/>
      <c r="D5125" s="141"/>
      <c r="E5125" s="141"/>
      <c r="F5125" s="141"/>
      <c r="G5125" s="141"/>
      <c r="H5125" s="222"/>
    </row>
    <row r="5126" spans="1:8" s="212" customFormat="1">
      <c r="A5126" s="150"/>
      <c r="B5126" s="83"/>
      <c r="C5126" s="148"/>
      <c r="D5126" s="84"/>
      <c r="E5126" s="84"/>
      <c r="F5126" s="84"/>
      <c r="G5126" s="224"/>
      <c r="H5126" s="222"/>
    </row>
    <row r="5127" spans="1:8" s="212" customFormat="1">
      <c r="A5127" s="150"/>
      <c r="B5127" s="83"/>
      <c r="C5127" s="148"/>
      <c r="D5127" s="84"/>
      <c r="E5127" s="84"/>
      <c r="F5127" s="84"/>
      <c r="G5127" s="224"/>
      <c r="H5127" s="222"/>
    </row>
    <row r="5128" spans="1:8" s="212" customFormat="1">
      <c r="A5128" s="150"/>
      <c r="B5128" s="83"/>
      <c r="C5128" s="148"/>
      <c r="D5128" s="84"/>
      <c r="E5128" s="84"/>
      <c r="F5128" s="84"/>
      <c r="G5128" s="224"/>
      <c r="H5128" s="222"/>
    </row>
    <row r="5129" spans="1:8" s="212" customFormat="1">
      <c r="A5129" s="150"/>
      <c r="B5129" s="83"/>
      <c r="C5129" s="148"/>
      <c r="D5129" s="84"/>
      <c r="E5129" s="84"/>
      <c r="F5129" s="84"/>
      <c r="G5129" s="224"/>
      <c r="H5129" s="222"/>
    </row>
    <row r="5130" spans="1:8" s="212" customFormat="1">
      <c r="A5130" s="150"/>
      <c r="B5130" s="83"/>
      <c r="C5130" s="148"/>
      <c r="D5130" s="84"/>
      <c r="E5130" s="84"/>
      <c r="F5130" s="84"/>
      <c r="G5130" s="224"/>
      <c r="H5130" s="221"/>
    </row>
    <row r="5131" spans="1:8" s="212" customFormat="1">
      <c r="A5131" s="91"/>
      <c r="B5131" s="91"/>
      <c r="C5131" s="91"/>
      <c r="D5131" s="91"/>
      <c r="E5131" s="91"/>
      <c r="G5131" s="213"/>
      <c r="H5131" s="222"/>
    </row>
    <row r="5132" spans="1:8" s="212" customFormat="1">
      <c r="A5132" s="120"/>
      <c r="B5132" s="73"/>
      <c r="C5132" s="73"/>
      <c r="D5132" s="73"/>
      <c r="E5132" s="73"/>
      <c r="G5132" s="73"/>
      <c r="H5132" s="222"/>
    </row>
    <row r="5133" spans="1:8" s="212" customFormat="1">
      <c r="A5133" s="220"/>
      <c r="B5133" s="141"/>
      <c r="C5133" s="141"/>
      <c r="D5133" s="141"/>
      <c r="E5133" s="141"/>
      <c r="F5133" s="141"/>
      <c r="G5133" s="141"/>
      <c r="H5133" s="222"/>
    </row>
    <row r="5134" spans="1:8" s="212" customFormat="1">
      <c r="A5134" s="146"/>
      <c r="B5134" s="83"/>
      <c r="C5134" s="148"/>
      <c r="D5134" s="84"/>
      <c r="E5134" s="84"/>
      <c r="F5134" s="84"/>
      <c r="G5134" s="146"/>
      <c r="H5134" s="221"/>
    </row>
    <row r="5135" spans="1:8" s="212" customFormat="1">
      <c r="A5135" s="91"/>
      <c r="B5135" s="91"/>
      <c r="C5135" s="91"/>
      <c r="D5135" s="91"/>
      <c r="E5135" s="91"/>
      <c r="G5135" s="213"/>
      <c r="H5135" s="222"/>
    </row>
    <row r="5136" spans="1:8" s="212" customFormat="1">
      <c r="A5136" s="120"/>
      <c r="B5136" s="73"/>
      <c r="C5136" s="73"/>
      <c r="D5136" s="73"/>
      <c r="E5136" s="73"/>
      <c r="G5136" s="73"/>
      <c r="H5136" s="222"/>
    </row>
    <row r="5137" spans="1:9" s="212" customFormat="1">
      <c r="A5137" s="220"/>
      <c r="B5137" s="141"/>
      <c r="C5137" s="141"/>
      <c r="D5137" s="141"/>
      <c r="E5137" s="141"/>
      <c r="F5137" s="141"/>
      <c r="G5137" s="141"/>
      <c r="H5137" s="222"/>
    </row>
    <row r="5138" spans="1:9" s="212" customFormat="1">
      <c r="A5138" s="142"/>
      <c r="B5138" s="143"/>
      <c r="C5138" s="143"/>
      <c r="D5138" s="143"/>
      <c r="E5138" s="143"/>
      <c r="F5138" s="84"/>
      <c r="G5138" s="146"/>
      <c r="H5138" s="221"/>
    </row>
    <row r="5139" spans="1:9" s="212" customFormat="1">
      <c r="A5139" s="123"/>
      <c r="B5139" s="95"/>
      <c r="C5139" s="95"/>
      <c r="D5139" s="95"/>
      <c r="E5139" s="95"/>
      <c r="G5139" s="213"/>
      <c r="H5139" s="73"/>
    </row>
    <row r="5140" spans="1:9" s="212" customFormat="1">
      <c r="A5140" s="123"/>
      <c r="B5140" s="95"/>
      <c r="C5140" s="95"/>
      <c r="D5140" s="95"/>
      <c r="E5140" s="95"/>
      <c r="G5140" s="73"/>
      <c r="H5140" s="225"/>
    </row>
    <row r="5141" spans="1:9" s="212" customFormat="1">
      <c r="B5141" s="97"/>
      <c r="C5141" s="98"/>
      <c r="D5141" s="98"/>
      <c r="E5141" s="98"/>
      <c r="G5141" s="220"/>
    </row>
    <row r="5142" spans="1:9" s="212" customFormat="1">
      <c r="B5142" s="97"/>
      <c r="C5142" s="98"/>
      <c r="D5142" s="98"/>
      <c r="E5142" s="98"/>
      <c r="F5142" s="220"/>
      <c r="G5142" s="225"/>
      <c r="H5142" s="226"/>
    </row>
    <row r="5143" spans="1:9" s="212" customFormat="1">
      <c r="A5143" s="633"/>
      <c r="B5143" s="633"/>
      <c r="C5143" s="633"/>
      <c r="D5143" s="633"/>
      <c r="E5143" s="633"/>
      <c r="F5143" s="633"/>
      <c r="G5143" s="633"/>
    </row>
    <row r="5144" spans="1:9" s="212" customFormat="1">
      <c r="H5144" s="227"/>
      <c r="I5144" s="228"/>
    </row>
    <row r="5145" spans="1:9" s="212" customFormat="1">
      <c r="A5145" s="658"/>
      <c r="B5145" s="227"/>
      <c r="C5145" s="227"/>
      <c r="D5145" s="227"/>
      <c r="E5145" s="227"/>
      <c r="F5145" s="227"/>
      <c r="G5145" s="227"/>
      <c r="H5145" s="227"/>
      <c r="I5145" s="229"/>
    </row>
    <row r="5146" spans="1:9" s="212" customFormat="1">
      <c r="A5146" s="658"/>
      <c r="B5146" s="227"/>
      <c r="C5146" s="227"/>
      <c r="D5146" s="227"/>
      <c r="E5146" s="227"/>
      <c r="F5146" s="227"/>
      <c r="G5146" s="227"/>
    </row>
    <row r="5147" spans="1:9" s="212" customFormat="1">
      <c r="A5147" s="69"/>
      <c r="B5147" s="69"/>
      <c r="C5147" s="69"/>
      <c r="D5147" s="69"/>
      <c r="E5147" s="69"/>
    </row>
    <row r="5148" spans="1:9" s="212" customFormat="1">
      <c r="A5148" s="120"/>
      <c r="B5148" s="73"/>
      <c r="C5148" s="73"/>
      <c r="D5148" s="73"/>
      <c r="E5148" s="73"/>
      <c r="F5148" s="73"/>
      <c r="G5148" s="73"/>
      <c r="H5148" s="73"/>
    </row>
    <row r="5149" spans="1:9" s="212" customFormat="1">
      <c r="A5149" s="220"/>
      <c r="B5149" s="141"/>
      <c r="C5149" s="141"/>
      <c r="D5149" s="141"/>
      <c r="E5149" s="141"/>
      <c r="F5149" s="141"/>
      <c r="G5149" s="141"/>
      <c r="H5149" s="73"/>
    </row>
    <row r="5150" spans="1:9" s="212" customFormat="1">
      <c r="A5150" s="150"/>
      <c r="B5150" s="84"/>
      <c r="C5150" s="148"/>
      <c r="D5150" s="84"/>
      <c r="E5150" s="84"/>
      <c r="F5150" s="84"/>
      <c r="G5150" s="146"/>
      <c r="H5150" s="221"/>
    </row>
    <row r="5151" spans="1:9" s="212" customFormat="1">
      <c r="A5151" s="84"/>
      <c r="B5151" s="83"/>
      <c r="C5151" s="84"/>
      <c r="D5151" s="84"/>
      <c r="E5151" s="84"/>
      <c r="G5151" s="213"/>
      <c r="H5151" s="222"/>
    </row>
    <row r="5152" spans="1:9" s="212" customFormat="1">
      <c r="A5152" s="120"/>
      <c r="B5152" s="73"/>
      <c r="C5152" s="73"/>
      <c r="D5152" s="73"/>
      <c r="E5152" s="73"/>
      <c r="G5152" s="73"/>
      <c r="H5152" s="222"/>
    </row>
    <row r="5153" spans="1:9" s="212" customFormat="1">
      <c r="A5153" s="220"/>
      <c r="B5153" s="141"/>
      <c r="C5153" s="141"/>
      <c r="D5153" s="141"/>
      <c r="E5153" s="141"/>
      <c r="F5153" s="141"/>
      <c r="G5153" s="141"/>
      <c r="H5153" s="222"/>
    </row>
    <row r="5154" spans="1:9" s="212" customFormat="1">
      <c r="A5154" s="150"/>
      <c r="B5154" s="171"/>
      <c r="C5154" s="148"/>
      <c r="D5154" s="160"/>
      <c r="E5154" s="84"/>
      <c r="F5154" s="84"/>
      <c r="G5154" s="146"/>
      <c r="H5154" s="221"/>
    </row>
    <row r="5155" spans="1:9" s="212" customFormat="1">
      <c r="A5155" s="91"/>
      <c r="B5155" s="91"/>
      <c r="C5155" s="91"/>
      <c r="D5155" s="91"/>
      <c r="E5155" s="91"/>
      <c r="G5155" s="213"/>
      <c r="H5155" s="222"/>
    </row>
    <row r="5156" spans="1:9" s="212" customFormat="1">
      <c r="A5156" s="120"/>
      <c r="B5156" s="73"/>
      <c r="C5156" s="73"/>
      <c r="D5156" s="73"/>
      <c r="E5156" s="73"/>
      <c r="G5156" s="73"/>
      <c r="H5156" s="222"/>
    </row>
    <row r="5157" spans="1:9" s="212" customFormat="1">
      <c r="A5157" s="220"/>
      <c r="B5157" s="141"/>
      <c r="C5157" s="141"/>
      <c r="D5157" s="141"/>
      <c r="E5157" s="141"/>
      <c r="F5157" s="141"/>
      <c r="G5157" s="141"/>
      <c r="H5157" s="222"/>
    </row>
    <row r="5158" spans="1:9" s="212" customFormat="1">
      <c r="A5158" s="150"/>
      <c r="B5158" s="84"/>
      <c r="C5158" s="148"/>
      <c r="D5158" s="84"/>
      <c r="E5158" s="84"/>
      <c r="F5158" s="84"/>
      <c r="G5158" s="146"/>
      <c r="H5158" s="221"/>
    </row>
    <row r="5159" spans="1:9" s="212" customFormat="1">
      <c r="A5159" s="91"/>
      <c r="B5159" s="91"/>
      <c r="C5159" s="91"/>
      <c r="D5159" s="91"/>
      <c r="E5159" s="91"/>
      <c r="G5159" s="213"/>
      <c r="H5159" s="222"/>
    </row>
    <row r="5160" spans="1:9" s="212" customFormat="1">
      <c r="A5160" s="120"/>
      <c r="B5160" s="73"/>
      <c r="C5160" s="73"/>
      <c r="D5160" s="73"/>
      <c r="E5160" s="73"/>
      <c r="G5160" s="73"/>
      <c r="H5160" s="222"/>
    </row>
    <row r="5161" spans="1:9" s="212" customFormat="1">
      <c r="A5161" s="220"/>
      <c r="B5161" s="141"/>
      <c r="C5161" s="141"/>
      <c r="D5161" s="141"/>
      <c r="E5161" s="141"/>
      <c r="F5161" s="141"/>
      <c r="G5161" s="141"/>
      <c r="H5161" s="222"/>
    </row>
    <row r="5162" spans="1:9" s="212" customFormat="1">
      <c r="A5162" s="142"/>
      <c r="B5162" s="143"/>
      <c r="C5162" s="143"/>
      <c r="D5162" s="143"/>
      <c r="E5162" s="143"/>
      <c r="F5162" s="84"/>
      <c r="G5162" s="146"/>
      <c r="H5162" s="221"/>
    </row>
    <row r="5163" spans="1:9" s="212" customFormat="1">
      <c r="A5163" s="123"/>
      <c r="B5163" s="95"/>
      <c r="C5163" s="95"/>
      <c r="D5163" s="95"/>
      <c r="E5163" s="95"/>
      <c r="G5163" s="213"/>
      <c r="H5163" s="73"/>
    </row>
    <row r="5164" spans="1:9" s="212" customFormat="1">
      <c r="A5164" s="123"/>
      <c r="B5164" s="95"/>
      <c r="C5164" s="95"/>
      <c r="D5164" s="95"/>
      <c r="E5164" s="95"/>
      <c r="G5164" s="73"/>
      <c r="H5164" s="225"/>
    </row>
    <row r="5165" spans="1:9" s="212" customFormat="1">
      <c r="B5165" s="97"/>
      <c r="C5165" s="98"/>
      <c r="D5165" s="98"/>
      <c r="E5165" s="98"/>
      <c r="G5165" s="220"/>
    </row>
    <row r="5166" spans="1:9" s="212" customFormat="1">
      <c r="B5166" s="97"/>
      <c r="C5166" s="98"/>
      <c r="D5166" s="98"/>
      <c r="E5166" s="98"/>
      <c r="F5166" s="220"/>
      <c r="G5166" s="225"/>
      <c r="H5166" s="226"/>
    </row>
    <row r="5167" spans="1:9" s="212" customFormat="1">
      <c r="A5167" s="633"/>
      <c r="B5167" s="633"/>
      <c r="C5167" s="633"/>
      <c r="D5167" s="633"/>
      <c r="E5167" s="633"/>
      <c r="F5167" s="633"/>
      <c r="G5167" s="633"/>
    </row>
    <row r="5168" spans="1:9" s="212" customFormat="1">
      <c r="H5168" s="227"/>
      <c r="I5168" s="228"/>
    </row>
    <row r="5169" spans="1:9" s="212" customFormat="1">
      <c r="A5169" s="658"/>
      <c r="B5169" s="227"/>
      <c r="C5169" s="227"/>
      <c r="D5169" s="227"/>
      <c r="E5169" s="227"/>
      <c r="F5169" s="227"/>
      <c r="G5169" s="227"/>
      <c r="H5169" s="227"/>
      <c r="I5169" s="229"/>
    </row>
    <row r="5170" spans="1:9" s="212" customFormat="1">
      <c r="A5170" s="658"/>
      <c r="B5170" s="227"/>
      <c r="C5170" s="227"/>
      <c r="D5170" s="227"/>
      <c r="E5170" s="227"/>
      <c r="F5170" s="227"/>
      <c r="G5170" s="227"/>
    </row>
    <row r="5171" spans="1:9" s="212" customFormat="1">
      <c r="A5171" s="69"/>
      <c r="B5171" s="69"/>
      <c r="C5171" s="69"/>
      <c r="D5171" s="69"/>
      <c r="E5171" s="69"/>
    </row>
    <row r="5172" spans="1:9" s="212" customFormat="1">
      <c r="A5172" s="120"/>
      <c r="B5172" s="73"/>
      <c r="C5172" s="73"/>
      <c r="D5172" s="73"/>
      <c r="E5172" s="73"/>
      <c r="F5172" s="73"/>
      <c r="G5172" s="73"/>
      <c r="H5172" s="73"/>
    </row>
    <row r="5173" spans="1:9" s="212" customFormat="1">
      <c r="A5173" s="220"/>
      <c r="B5173" s="141"/>
      <c r="C5173" s="141"/>
      <c r="D5173" s="141"/>
      <c r="E5173" s="141"/>
      <c r="F5173" s="141"/>
      <c r="G5173" s="141"/>
      <c r="H5173" s="73"/>
    </row>
    <row r="5174" spans="1:9" s="212" customFormat="1">
      <c r="A5174" s="150"/>
      <c r="B5174" s="84"/>
      <c r="C5174" s="148"/>
      <c r="D5174" s="84"/>
      <c r="E5174" s="84"/>
      <c r="F5174" s="84"/>
      <c r="G5174" s="146"/>
      <c r="H5174" s="221"/>
    </row>
    <row r="5175" spans="1:9" s="212" customFormat="1">
      <c r="A5175" s="84"/>
      <c r="B5175" s="83"/>
      <c r="C5175" s="84"/>
      <c r="D5175" s="84"/>
      <c r="E5175" s="84"/>
      <c r="G5175" s="213"/>
      <c r="H5175" s="222"/>
    </row>
    <row r="5176" spans="1:9" s="212" customFormat="1">
      <c r="A5176" s="120"/>
      <c r="B5176" s="73"/>
      <c r="C5176" s="73"/>
      <c r="D5176" s="73"/>
      <c r="E5176" s="73"/>
      <c r="G5176" s="73"/>
      <c r="H5176" s="222"/>
    </row>
    <row r="5177" spans="1:9" s="212" customFormat="1">
      <c r="A5177" s="220"/>
      <c r="B5177" s="141"/>
      <c r="C5177" s="141"/>
      <c r="D5177" s="141"/>
      <c r="E5177" s="141"/>
      <c r="F5177" s="141"/>
      <c r="G5177" s="141"/>
      <c r="H5177" s="222"/>
    </row>
    <row r="5178" spans="1:9" s="212" customFormat="1">
      <c r="A5178" s="150"/>
      <c r="B5178" s="171"/>
      <c r="C5178" s="148"/>
      <c r="D5178" s="160"/>
      <c r="E5178" s="84"/>
      <c r="F5178" s="84"/>
      <c r="G5178" s="146"/>
      <c r="H5178" s="221"/>
    </row>
    <row r="5179" spans="1:9" s="212" customFormat="1">
      <c r="A5179" s="91"/>
      <c r="B5179" s="91"/>
      <c r="C5179" s="91"/>
      <c r="D5179" s="91"/>
      <c r="E5179" s="91"/>
      <c r="G5179" s="213"/>
      <c r="H5179" s="222"/>
    </row>
    <row r="5180" spans="1:9" s="212" customFormat="1">
      <c r="A5180" s="120"/>
      <c r="B5180" s="73"/>
      <c r="C5180" s="73"/>
      <c r="D5180" s="73"/>
      <c r="E5180" s="73"/>
      <c r="G5180" s="73"/>
      <c r="H5180" s="222"/>
    </row>
    <row r="5181" spans="1:9" s="212" customFormat="1">
      <c r="A5181" s="220"/>
      <c r="B5181" s="141"/>
      <c r="C5181" s="141"/>
      <c r="D5181" s="141"/>
      <c r="E5181" s="141"/>
      <c r="F5181" s="141"/>
      <c r="G5181" s="141"/>
      <c r="H5181" s="222"/>
    </row>
    <row r="5182" spans="1:9" s="212" customFormat="1">
      <c r="A5182" s="150"/>
      <c r="B5182" s="84"/>
      <c r="C5182" s="148"/>
      <c r="D5182" s="84"/>
      <c r="E5182" s="84"/>
      <c r="F5182" s="84"/>
      <c r="G5182" s="146"/>
      <c r="H5182" s="221"/>
    </row>
    <row r="5183" spans="1:9" s="212" customFormat="1">
      <c r="A5183" s="91"/>
      <c r="B5183" s="91"/>
      <c r="C5183" s="91"/>
      <c r="D5183" s="91"/>
      <c r="E5183" s="91"/>
      <c r="G5183" s="213"/>
      <c r="H5183" s="222"/>
    </row>
    <row r="5184" spans="1:9" s="212" customFormat="1">
      <c r="A5184" s="120"/>
      <c r="B5184" s="73"/>
      <c r="C5184" s="73"/>
      <c r="D5184" s="73"/>
      <c r="E5184" s="73"/>
      <c r="G5184" s="73"/>
      <c r="H5184" s="222"/>
    </row>
    <row r="5185" spans="1:9" s="212" customFormat="1">
      <c r="A5185" s="220"/>
      <c r="B5185" s="141"/>
      <c r="C5185" s="141"/>
      <c r="D5185" s="141"/>
      <c r="E5185" s="141"/>
      <c r="F5185" s="141"/>
      <c r="G5185" s="141"/>
      <c r="H5185" s="222"/>
    </row>
    <row r="5186" spans="1:9" s="212" customFormat="1">
      <c r="A5186" s="142"/>
      <c r="B5186" s="143"/>
      <c r="C5186" s="143"/>
      <c r="D5186" s="143"/>
      <c r="E5186" s="143"/>
      <c r="F5186" s="84"/>
      <c r="G5186" s="146"/>
      <c r="H5186" s="221"/>
    </row>
    <row r="5187" spans="1:9" s="212" customFormat="1">
      <c r="A5187" s="123"/>
      <c r="B5187" s="95"/>
      <c r="C5187" s="95"/>
      <c r="D5187" s="95"/>
      <c r="E5187" s="95"/>
      <c r="G5187" s="213"/>
      <c r="H5187" s="73"/>
    </row>
    <row r="5188" spans="1:9" s="212" customFormat="1">
      <c r="A5188" s="123"/>
      <c r="B5188" s="95"/>
      <c r="C5188" s="95"/>
      <c r="D5188" s="95"/>
      <c r="E5188" s="95"/>
      <c r="G5188" s="73"/>
      <c r="H5188" s="225"/>
    </row>
    <row r="5189" spans="1:9" s="212" customFormat="1">
      <c r="B5189" s="97"/>
      <c r="C5189" s="98"/>
      <c r="D5189" s="98"/>
      <c r="E5189" s="98"/>
      <c r="G5189" s="220"/>
    </row>
    <row r="5190" spans="1:9" s="212" customFormat="1">
      <c r="B5190" s="97"/>
      <c r="C5190" s="98"/>
      <c r="D5190" s="98"/>
      <c r="E5190" s="98"/>
      <c r="F5190" s="220"/>
      <c r="G5190" s="225"/>
      <c r="H5190" s="226"/>
    </row>
    <row r="5191" spans="1:9" s="212" customFormat="1">
      <c r="A5191" s="633"/>
      <c r="B5191" s="633"/>
      <c r="C5191" s="633"/>
      <c r="D5191" s="633"/>
      <c r="E5191" s="633"/>
      <c r="F5191" s="633"/>
      <c r="G5191" s="633"/>
    </row>
    <row r="5192" spans="1:9" s="212" customFormat="1">
      <c r="H5192" s="227"/>
      <c r="I5192" s="228"/>
    </row>
    <row r="5193" spans="1:9" s="212" customFormat="1">
      <c r="A5193" s="658"/>
      <c r="B5193" s="227"/>
      <c r="C5193" s="227"/>
      <c r="D5193" s="227"/>
      <c r="E5193" s="227"/>
      <c r="F5193" s="227"/>
      <c r="G5193" s="227"/>
      <c r="H5193" s="227"/>
      <c r="I5193" s="229"/>
    </row>
    <row r="5194" spans="1:9" s="212" customFormat="1">
      <c r="A5194" s="658"/>
      <c r="B5194" s="227"/>
      <c r="C5194" s="227"/>
      <c r="D5194" s="227"/>
      <c r="E5194" s="227"/>
      <c r="F5194" s="227"/>
      <c r="G5194" s="227"/>
    </row>
    <row r="5195" spans="1:9" s="212" customFormat="1">
      <c r="A5195" s="69"/>
      <c r="B5195" s="69"/>
      <c r="C5195" s="69"/>
      <c r="D5195" s="69"/>
      <c r="E5195" s="69"/>
    </row>
    <row r="5196" spans="1:9" s="212" customFormat="1">
      <c r="A5196" s="120"/>
      <c r="B5196" s="73"/>
      <c r="C5196" s="73"/>
      <c r="D5196" s="73"/>
      <c r="E5196" s="73"/>
      <c r="F5196" s="73"/>
      <c r="G5196" s="73"/>
      <c r="H5196" s="73"/>
    </row>
    <row r="5197" spans="1:9" s="212" customFormat="1">
      <c r="A5197" s="220"/>
      <c r="B5197" s="141"/>
      <c r="C5197" s="141"/>
      <c r="D5197" s="141"/>
      <c r="E5197" s="141"/>
      <c r="F5197" s="141"/>
      <c r="G5197" s="141"/>
      <c r="H5197" s="73"/>
    </row>
    <row r="5198" spans="1:9" s="212" customFormat="1">
      <c r="A5198" s="142"/>
      <c r="B5198" s="143"/>
      <c r="C5198" s="143"/>
      <c r="D5198" s="143"/>
      <c r="E5198" s="143"/>
      <c r="F5198" s="84"/>
      <c r="G5198" s="146"/>
      <c r="H5198" s="221"/>
    </row>
    <row r="5199" spans="1:9" s="212" customFormat="1">
      <c r="A5199" s="84"/>
      <c r="B5199" s="83"/>
      <c r="C5199" s="84"/>
      <c r="D5199" s="84"/>
      <c r="E5199" s="84"/>
      <c r="G5199" s="213"/>
      <c r="H5199" s="222"/>
    </row>
    <row r="5200" spans="1:9" s="212" customFormat="1">
      <c r="A5200" s="120"/>
      <c r="B5200" s="73"/>
      <c r="C5200" s="73"/>
      <c r="D5200" s="73"/>
      <c r="E5200" s="73"/>
      <c r="G5200" s="73"/>
      <c r="H5200" s="222"/>
    </row>
    <row r="5201" spans="1:9" s="212" customFormat="1">
      <c r="A5201" s="220"/>
      <c r="B5201" s="141"/>
      <c r="C5201" s="141"/>
      <c r="D5201" s="141"/>
      <c r="E5201" s="141"/>
      <c r="F5201" s="141"/>
      <c r="G5201" s="141"/>
      <c r="H5201" s="222"/>
    </row>
    <row r="5202" spans="1:9" s="212" customFormat="1">
      <c r="A5202" s="150"/>
      <c r="B5202" s="83"/>
      <c r="C5202" s="148"/>
      <c r="D5202" s="160"/>
      <c r="E5202" s="84"/>
      <c r="F5202" s="84"/>
      <c r="G5202" s="146"/>
      <c r="H5202" s="221"/>
    </row>
    <row r="5203" spans="1:9" s="212" customFormat="1">
      <c r="A5203" s="91"/>
      <c r="B5203" s="91"/>
      <c r="C5203" s="91"/>
      <c r="D5203" s="91"/>
      <c r="E5203" s="91"/>
      <c r="G5203" s="213"/>
      <c r="H5203" s="222"/>
    </row>
    <row r="5204" spans="1:9" s="212" customFormat="1">
      <c r="A5204" s="120"/>
      <c r="B5204" s="73"/>
      <c r="C5204" s="73"/>
      <c r="D5204" s="73"/>
      <c r="E5204" s="73"/>
      <c r="G5204" s="73"/>
      <c r="H5204" s="222"/>
    </row>
    <row r="5205" spans="1:9" s="212" customFormat="1">
      <c r="A5205" s="220"/>
      <c r="B5205" s="141"/>
      <c r="C5205" s="141"/>
      <c r="D5205" s="141"/>
      <c r="E5205" s="141"/>
      <c r="F5205" s="141"/>
      <c r="G5205" s="141"/>
      <c r="H5205" s="222"/>
    </row>
    <row r="5206" spans="1:9" s="212" customFormat="1">
      <c r="A5206" s="142"/>
      <c r="B5206" s="143"/>
      <c r="C5206" s="143"/>
      <c r="D5206" s="143"/>
      <c r="E5206" s="143"/>
      <c r="F5206" s="84"/>
      <c r="G5206" s="146"/>
      <c r="H5206" s="221"/>
    </row>
    <row r="5207" spans="1:9" s="212" customFormat="1">
      <c r="A5207" s="91"/>
      <c r="B5207" s="91"/>
      <c r="C5207" s="91"/>
      <c r="D5207" s="91"/>
      <c r="E5207" s="91"/>
      <c r="G5207" s="213"/>
      <c r="H5207" s="222"/>
    </row>
    <row r="5208" spans="1:9" s="212" customFormat="1">
      <c r="A5208" s="120"/>
      <c r="B5208" s="73"/>
      <c r="C5208" s="73"/>
      <c r="D5208" s="73"/>
      <c r="E5208" s="73"/>
      <c r="G5208" s="73"/>
      <c r="H5208" s="222"/>
    </row>
    <row r="5209" spans="1:9" s="212" customFormat="1">
      <c r="A5209" s="220"/>
      <c r="B5209" s="141"/>
      <c r="C5209" s="141"/>
      <c r="D5209" s="141"/>
      <c r="E5209" s="141"/>
      <c r="F5209" s="141"/>
      <c r="G5209" s="141"/>
      <c r="H5209" s="222"/>
    </row>
    <row r="5210" spans="1:9" s="212" customFormat="1">
      <c r="A5210" s="142"/>
      <c r="B5210" s="143"/>
      <c r="C5210" s="143"/>
      <c r="D5210" s="143"/>
      <c r="E5210" s="143"/>
      <c r="F5210" s="84"/>
      <c r="G5210" s="146"/>
      <c r="H5210" s="221"/>
    </row>
    <row r="5211" spans="1:9" s="212" customFormat="1">
      <c r="A5211" s="123"/>
      <c r="B5211" s="95"/>
      <c r="C5211" s="95"/>
      <c r="D5211" s="95"/>
      <c r="E5211" s="95"/>
      <c r="G5211" s="213"/>
      <c r="H5211" s="73"/>
    </row>
    <row r="5212" spans="1:9" s="212" customFormat="1">
      <c r="A5212" s="123"/>
      <c r="B5212" s="95"/>
      <c r="C5212" s="95"/>
      <c r="D5212" s="95"/>
      <c r="E5212" s="95"/>
      <c r="G5212" s="73"/>
      <c r="H5212" s="225"/>
    </row>
    <row r="5213" spans="1:9" s="212" customFormat="1">
      <c r="B5213" s="97"/>
      <c r="C5213" s="98"/>
      <c r="D5213" s="98"/>
      <c r="E5213" s="98"/>
      <c r="G5213" s="220"/>
    </row>
    <row r="5214" spans="1:9" s="212" customFormat="1">
      <c r="B5214" s="97"/>
      <c r="C5214" s="98"/>
      <c r="D5214" s="98"/>
      <c r="E5214" s="98"/>
      <c r="F5214" s="220"/>
      <c r="G5214" s="225"/>
      <c r="H5214" s="226"/>
    </row>
    <row r="5215" spans="1:9" s="212" customFormat="1">
      <c r="A5215" s="633"/>
      <c r="B5215" s="633"/>
      <c r="C5215" s="633"/>
      <c r="D5215" s="633"/>
      <c r="E5215" s="633"/>
      <c r="F5215" s="633"/>
      <c r="G5215" s="633"/>
    </row>
    <row r="5216" spans="1:9" s="212" customFormat="1">
      <c r="H5216" s="227"/>
      <c r="I5216" s="228"/>
    </row>
    <row r="5217" spans="1:9" s="212" customFormat="1">
      <c r="A5217" s="658"/>
      <c r="B5217" s="227"/>
      <c r="C5217" s="227"/>
      <c r="D5217" s="227"/>
      <c r="E5217" s="227"/>
      <c r="F5217" s="227"/>
      <c r="G5217" s="227"/>
      <c r="H5217" s="227"/>
      <c r="I5217" s="229"/>
    </row>
    <row r="5218" spans="1:9" s="212" customFormat="1">
      <c r="A5218" s="658"/>
      <c r="B5218" s="227"/>
      <c r="C5218" s="227"/>
      <c r="D5218" s="227"/>
      <c r="E5218" s="227"/>
      <c r="F5218" s="227"/>
      <c r="G5218" s="227"/>
    </row>
    <row r="5219" spans="1:9" s="212" customFormat="1">
      <c r="A5219" s="69"/>
      <c r="B5219" s="69"/>
      <c r="C5219" s="69"/>
      <c r="D5219" s="69"/>
      <c r="E5219" s="69"/>
    </row>
    <row r="5220" spans="1:9" s="212" customFormat="1">
      <c r="A5220" s="120"/>
      <c r="B5220" s="73"/>
      <c r="C5220" s="73"/>
      <c r="D5220" s="73"/>
      <c r="E5220" s="73"/>
      <c r="F5220" s="73"/>
      <c r="G5220" s="73"/>
      <c r="H5220" s="73"/>
    </row>
    <row r="5221" spans="1:9" s="212" customFormat="1">
      <c r="A5221" s="220"/>
      <c r="B5221" s="141"/>
      <c r="C5221" s="141"/>
      <c r="D5221" s="141"/>
      <c r="E5221" s="141"/>
      <c r="F5221" s="141"/>
      <c r="G5221" s="141"/>
      <c r="H5221" s="73"/>
    </row>
    <row r="5222" spans="1:9" s="212" customFormat="1">
      <c r="A5222" s="142"/>
      <c r="B5222" s="143"/>
      <c r="C5222" s="143"/>
      <c r="D5222" s="143"/>
      <c r="E5222" s="143"/>
      <c r="F5222" s="84"/>
      <c r="G5222" s="146"/>
      <c r="H5222" s="221"/>
    </row>
    <row r="5223" spans="1:9" s="212" customFormat="1">
      <c r="A5223" s="84"/>
      <c r="B5223" s="83"/>
      <c r="C5223" s="84"/>
      <c r="D5223" s="84"/>
      <c r="E5223" s="84"/>
      <c r="G5223" s="213"/>
      <c r="H5223" s="222"/>
    </row>
    <row r="5224" spans="1:9" s="212" customFormat="1">
      <c r="A5224" s="120"/>
      <c r="B5224" s="73"/>
      <c r="C5224" s="73"/>
      <c r="D5224" s="73"/>
      <c r="E5224" s="73"/>
      <c r="G5224" s="73"/>
      <c r="H5224" s="222"/>
    </row>
    <row r="5225" spans="1:9" s="212" customFormat="1">
      <c r="A5225" s="220"/>
      <c r="B5225" s="141"/>
      <c r="C5225" s="141"/>
      <c r="D5225" s="141"/>
      <c r="E5225" s="141"/>
      <c r="F5225" s="141"/>
      <c r="G5225" s="141"/>
      <c r="H5225" s="222"/>
    </row>
    <row r="5226" spans="1:9" s="212" customFormat="1">
      <c r="A5226" s="150"/>
      <c r="B5226" s="83"/>
      <c r="C5226" s="148"/>
      <c r="D5226" s="160"/>
      <c r="E5226" s="84"/>
      <c r="F5226" s="84"/>
      <c r="G5226" s="146"/>
      <c r="H5226" s="221"/>
    </row>
    <row r="5227" spans="1:9" s="212" customFormat="1">
      <c r="A5227" s="91"/>
      <c r="B5227" s="91"/>
      <c r="C5227" s="91"/>
      <c r="D5227" s="91"/>
      <c r="E5227" s="91"/>
      <c r="G5227" s="213"/>
      <c r="H5227" s="222"/>
    </row>
    <row r="5228" spans="1:9" s="212" customFormat="1">
      <c r="A5228" s="120"/>
      <c r="B5228" s="73"/>
      <c r="C5228" s="73"/>
      <c r="D5228" s="73"/>
      <c r="E5228" s="73"/>
      <c r="G5228" s="73"/>
      <c r="H5228" s="222"/>
    </row>
    <row r="5229" spans="1:9" s="212" customFormat="1">
      <c r="A5229" s="220"/>
      <c r="B5229" s="141"/>
      <c r="C5229" s="141"/>
      <c r="D5229" s="141"/>
      <c r="E5229" s="141"/>
      <c r="F5229" s="141"/>
      <c r="G5229" s="141"/>
      <c r="H5229" s="222"/>
    </row>
    <row r="5230" spans="1:9" s="212" customFormat="1">
      <c r="A5230" s="142"/>
      <c r="B5230" s="143"/>
      <c r="C5230" s="143"/>
      <c r="D5230" s="143"/>
      <c r="E5230" s="143"/>
      <c r="F5230" s="84"/>
      <c r="G5230" s="146"/>
      <c r="H5230" s="221"/>
    </row>
    <row r="5231" spans="1:9" s="212" customFormat="1">
      <c r="A5231" s="91"/>
      <c r="B5231" s="91"/>
      <c r="C5231" s="91"/>
      <c r="D5231" s="91"/>
      <c r="E5231" s="91"/>
      <c r="G5231" s="213"/>
      <c r="H5231" s="222"/>
    </row>
    <row r="5232" spans="1:9" s="212" customFormat="1">
      <c r="A5232" s="120"/>
      <c r="B5232" s="73"/>
      <c r="C5232" s="73"/>
      <c r="D5232" s="73"/>
      <c r="E5232" s="73"/>
      <c r="G5232" s="73"/>
      <c r="H5232" s="222"/>
    </row>
    <row r="5233" spans="1:9" s="212" customFormat="1">
      <c r="A5233" s="220"/>
      <c r="B5233" s="141"/>
      <c r="C5233" s="141"/>
      <c r="D5233" s="141"/>
      <c r="E5233" s="141"/>
      <c r="F5233" s="141"/>
      <c r="G5233" s="141"/>
      <c r="H5233" s="222"/>
    </row>
    <row r="5234" spans="1:9" s="212" customFormat="1">
      <c r="A5234" s="142"/>
      <c r="B5234" s="143"/>
      <c r="C5234" s="143"/>
      <c r="D5234" s="143"/>
      <c r="E5234" s="143"/>
      <c r="F5234" s="84"/>
      <c r="G5234" s="146"/>
      <c r="H5234" s="221"/>
    </row>
    <row r="5235" spans="1:9" s="212" customFormat="1">
      <c r="A5235" s="123"/>
      <c r="B5235" s="95"/>
      <c r="C5235" s="95"/>
      <c r="D5235" s="95"/>
      <c r="E5235" s="95"/>
      <c r="G5235" s="213"/>
      <c r="H5235" s="73"/>
    </row>
    <row r="5236" spans="1:9" s="212" customFormat="1">
      <c r="A5236" s="123"/>
      <c r="B5236" s="95"/>
      <c r="C5236" s="95"/>
      <c r="D5236" s="95"/>
      <c r="E5236" s="95"/>
      <c r="G5236" s="73"/>
      <c r="H5236" s="225"/>
    </row>
    <row r="5237" spans="1:9" s="212" customFormat="1">
      <c r="B5237" s="97"/>
      <c r="C5237" s="98"/>
      <c r="D5237" s="98"/>
      <c r="E5237" s="98"/>
      <c r="G5237" s="220"/>
    </row>
    <row r="5238" spans="1:9" s="212" customFormat="1">
      <c r="B5238" s="97"/>
      <c r="C5238" s="98"/>
      <c r="D5238" s="98"/>
      <c r="E5238" s="98"/>
      <c r="F5238" s="220"/>
      <c r="G5238" s="225"/>
      <c r="H5238" s="226"/>
    </row>
    <row r="5239" spans="1:9" s="212" customFormat="1">
      <c r="A5239" s="633"/>
      <c r="B5239" s="633"/>
      <c r="C5239" s="633"/>
      <c r="D5239" s="633"/>
      <c r="E5239" s="633"/>
      <c r="F5239" s="633"/>
      <c r="G5239" s="633"/>
    </row>
    <row r="5240" spans="1:9" s="212" customFormat="1">
      <c r="H5240" s="227"/>
      <c r="I5240" s="228"/>
    </row>
    <row r="5241" spans="1:9" s="212" customFormat="1">
      <c r="A5241" s="658"/>
      <c r="B5241" s="227"/>
      <c r="C5241" s="227"/>
      <c r="D5241" s="227"/>
      <c r="E5241" s="227"/>
      <c r="F5241" s="227"/>
      <c r="G5241" s="227"/>
      <c r="H5241" s="227"/>
      <c r="I5241" s="229"/>
    </row>
    <row r="5242" spans="1:9" s="212" customFormat="1">
      <c r="A5242" s="658"/>
      <c r="B5242" s="227"/>
      <c r="C5242" s="227"/>
      <c r="D5242" s="227"/>
      <c r="E5242" s="227"/>
      <c r="F5242" s="227"/>
      <c r="G5242" s="227"/>
    </row>
    <row r="5243" spans="1:9" s="212" customFormat="1">
      <c r="A5243" s="69"/>
      <c r="B5243" s="69"/>
      <c r="C5243" s="69"/>
      <c r="D5243" s="69"/>
      <c r="E5243" s="69"/>
    </row>
    <row r="5244" spans="1:9" s="212" customFormat="1">
      <c r="A5244" s="120"/>
      <c r="B5244" s="73"/>
      <c r="C5244" s="73"/>
      <c r="D5244" s="73"/>
      <c r="E5244" s="73"/>
      <c r="F5244" s="73"/>
      <c r="G5244" s="73"/>
      <c r="H5244" s="73"/>
    </row>
    <row r="5245" spans="1:9" s="212" customFormat="1">
      <c r="A5245" s="220"/>
      <c r="B5245" s="141"/>
      <c r="C5245" s="141"/>
      <c r="D5245" s="141"/>
      <c r="E5245" s="141"/>
      <c r="F5245" s="141"/>
      <c r="G5245" s="141"/>
      <c r="H5245" s="73"/>
    </row>
    <row r="5246" spans="1:9" s="212" customFormat="1">
      <c r="A5246" s="142"/>
      <c r="B5246" s="143"/>
      <c r="C5246" s="143"/>
      <c r="D5246" s="143"/>
      <c r="E5246" s="143"/>
      <c r="F5246" s="84"/>
      <c r="G5246" s="146"/>
      <c r="H5246" s="221"/>
    </row>
    <row r="5247" spans="1:9" s="212" customFormat="1">
      <c r="A5247" s="84"/>
      <c r="B5247" s="83"/>
      <c r="C5247" s="84"/>
      <c r="D5247" s="84"/>
      <c r="E5247" s="84"/>
      <c r="G5247" s="213"/>
      <c r="H5247" s="222"/>
    </row>
    <row r="5248" spans="1:9" s="212" customFormat="1">
      <c r="A5248" s="120"/>
      <c r="B5248" s="73"/>
      <c r="C5248" s="73"/>
      <c r="D5248" s="73"/>
      <c r="E5248" s="73"/>
      <c r="G5248" s="73"/>
      <c r="H5248" s="222"/>
    </row>
    <row r="5249" spans="1:9" s="212" customFormat="1">
      <c r="A5249" s="220"/>
      <c r="B5249" s="141"/>
      <c r="C5249" s="141"/>
      <c r="D5249" s="141"/>
      <c r="E5249" s="141"/>
      <c r="F5249" s="141"/>
      <c r="G5249" s="141"/>
      <c r="H5249" s="222"/>
    </row>
    <row r="5250" spans="1:9" s="212" customFormat="1">
      <c r="A5250" s="150"/>
      <c r="B5250" s="83"/>
      <c r="C5250" s="148"/>
      <c r="D5250" s="160"/>
      <c r="E5250" s="84"/>
      <c r="F5250" s="84"/>
      <c r="G5250" s="146"/>
      <c r="H5250" s="221"/>
    </row>
    <row r="5251" spans="1:9" s="212" customFormat="1">
      <c r="A5251" s="91"/>
      <c r="B5251" s="91"/>
      <c r="C5251" s="91"/>
      <c r="D5251" s="91"/>
      <c r="E5251" s="91"/>
      <c r="G5251" s="213"/>
      <c r="H5251" s="222"/>
    </row>
    <row r="5252" spans="1:9" s="212" customFormat="1">
      <c r="A5252" s="120"/>
      <c r="B5252" s="73"/>
      <c r="C5252" s="73"/>
      <c r="D5252" s="73"/>
      <c r="E5252" s="73"/>
      <c r="G5252" s="73"/>
      <c r="H5252" s="222"/>
    </row>
    <row r="5253" spans="1:9" s="212" customFormat="1">
      <c r="A5253" s="220"/>
      <c r="B5253" s="141"/>
      <c r="C5253" s="141"/>
      <c r="D5253" s="141"/>
      <c r="E5253" s="141"/>
      <c r="F5253" s="141"/>
      <c r="G5253" s="141"/>
      <c r="H5253" s="222"/>
    </row>
    <row r="5254" spans="1:9" s="212" customFormat="1">
      <c r="A5254" s="142"/>
      <c r="B5254" s="143"/>
      <c r="C5254" s="143"/>
      <c r="D5254" s="143"/>
      <c r="E5254" s="143"/>
      <c r="F5254" s="84"/>
      <c r="G5254" s="146"/>
      <c r="H5254" s="221"/>
    </row>
    <row r="5255" spans="1:9" s="212" customFormat="1">
      <c r="A5255" s="91"/>
      <c r="B5255" s="91"/>
      <c r="C5255" s="91"/>
      <c r="D5255" s="91"/>
      <c r="E5255" s="91"/>
      <c r="G5255" s="213"/>
      <c r="H5255" s="222"/>
    </row>
    <row r="5256" spans="1:9" s="212" customFormat="1">
      <c r="A5256" s="120"/>
      <c r="B5256" s="73"/>
      <c r="C5256" s="73"/>
      <c r="D5256" s="73"/>
      <c r="E5256" s="73"/>
      <c r="G5256" s="73"/>
      <c r="H5256" s="222"/>
    </row>
    <row r="5257" spans="1:9" s="212" customFormat="1">
      <c r="A5257" s="220"/>
      <c r="B5257" s="141"/>
      <c r="C5257" s="141"/>
      <c r="D5257" s="141"/>
      <c r="E5257" s="141"/>
      <c r="F5257" s="141"/>
      <c r="G5257" s="141"/>
      <c r="H5257" s="222"/>
    </row>
    <row r="5258" spans="1:9" s="212" customFormat="1">
      <c r="A5258" s="142"/>
      <c r="B5258" s="143"/>
      <c r="C5258" s="143"/>
      <c r="D5258" s="143"/>
      <c r="E5258" s="143"/>
      <c r="F5258" s="84"/>
      <c r="G5258" s="146"/>
      <c r="H5258" s="221"/>
    </row>
    <row r="5259" spans="1:9" s="212" customFormat="1">
      <c r="A5259" s="123"/>
      <c r="B5259" s="95"/>
      <c r="C5259" s="95"/>
      <c r="D5259" s="95"/>
      <c r="E5259" s="95"/>
      <c r="G5259" s="213"/>
      <c r="H5259" s="73"/>
    </row>
    <row r="5260" spans="1:9" s="212" customFormat="1">
      <c r="A5260" s="123"/>
      <c r="B5260" s="95"/>
      <c r="C5260" s="95"/>
      <c r="D5260" s="95"/>
      <c r="E5260" s="95"/>
      <c r="G5260" s="73"/>
      <c r="H5260" s="225"/>
    </row>
    <row r="5261" spans="1:9" s="212" customFormat="1">
      <c r="B5261" s="97"/>
      <c r="C5261" s="98"/>
      <c r="D5261" s="98"/>
      <c r="E5261" s="98"/>
      <c r="G5261" s="220"/>
    </row>
    <row r="5262" spans="1:9" s="212" customFormat="1">
      <c r="B5262" s="97"/>
      <c r="C5262" s="98"/>
      <c r="D5262" s="98"/>
      <c r="E5262" s="98"/>
      <c r="F5262" s="220"/>
      <c r="G5262" s="225"/>
      <c r="H5262" s="226"/>
    </row>
    <row r="5263" spans="1:9" s="212" customFormat="1">
      <c r="A5263" s="633"/>
      <c r="B5263" s="633"/>
      <c r="C5263" s="633"/>
      <c r="D5263" s="633"/>
      <c r="E5263" s="633"/>
      <c r="F5263" s="633"/>
      <c r="G5263" s="633"/>
    </row>
    <row r="5264" spans="1:9" s="212" customFormat="1">
      <c r="H5264" s="227"/>
      <c r="I5264" s="228"/>
    </row>
    <row r="5265" spans="1:9" s="212" customFormat="1">
      <c r="A5265" s="658"/>
      <c r="B5265" s="227"/>
      <c r="C5265" s="227"/>
      <c r="D5265" s="227"/>
      <c r="E5265" s="227"/>
      <c r="F5265" s="227"/>
      <c r="G5265" s="227"/>
      <c r="H5265" s="227"/>
      <c r="I5265" s="229"/>
    </row>
    <row r="5266" spans="1:9" s="212" customFormat="1">
      <c r="A5266" s="658"/>
      <c r="B5266" s="227"/>
      <c r="C5266" s="227"/>
      <c r="D5266" s="227"/>
      <c r="E5266" s="227"/>
      <c r="F5266" s="227"/>
      <c r="G5266" s="227"/>
    </row>
    <row r="5267" spans="1:9" s="212" customFormat="1">
      <c r="A5267" s="69"/>
      <c r="B5267" s="69"/>
      <c r="C5267" s="69"/>
      <c r="D5267" s="69"/>
      <c r="E5267" s="69"/>
    </row>
    <row r="5268" spans="1:9" s="212" customFormat="1">
      <c r="A5268" s="120"/>
      <c r="B5268" s="73"/>
      <c r="C5268" s="73"/>
      <c r="D5268" s="73"/>
      <c r="E5268" s="73"/>
      <c r="F5268" s="73"/>
      <c r="G5268" s="73"/>
      <c r="H5268" s="73"/>
    </row>
    <row r="5269" spans="1:9" s="212" customFormat="1">
      <c r="A5269" s="220"/>
      <c r="B5269" s="141"/>
      <c r="C5269" s="141"/>
      <c r="D5269" s="141"/>
      <c r="E5269" s="141"/>
      <c r="F5269" s="141"/>
      <c r="G5269" s="141"/>
      <c r="H5269" s="73"/>
    </row>
    <row r="5270" spans="1:9" s="212" customFormat="1">
      <c r="A5270" s="142"/>
      <c r="B5270" s="143"/>
      <c r="C5270" s="143"/>
      <c r="D5270" s="143"/>
      <c r="E5270" s="143"/>
      <c r="F5270" s="84"/>
      <c r="G5270" s="146"/>
      <c r="H5270" s="221"/>
    </row>
    <row r="5271" spans="1:9" s="212" customFormat="1">
      <c r="A5271" s="84"/>
      <c r="B5271" s="83"/>
      <c r="C5271" s="84"/>
      <c r="D5271" s="84"/>
      <c r="E5271" s="84"/>
      <c r="G5271" s="213"/>
      <c r="H5271" s="222"/>
    </row>
    <row r="5272" spans="1:9" s="212" customFormat="1">
      <c r="A5272" s="120"/>
      <c r="B5272" s="73"/>
      <c r="C5272" s="73"/>
      <c r="D5272" s="73"/>
      <c r="E5272" s="73"/>
      <c r="G5272" s="73"/>
      <c r="H5272" s="222"/>
    </row>
    <row r="5273" spans="1:9" s="212" customFormat="1">
      <c r="A5273" s="220"/>
      <c r="B5273" s="141"/>
      <c r="C5273" s="141"/>
      <c r="D5273" s="141"/>
      <c r="E5273" s="141"/>
      <c r="F5273" s="141"/>
      <c r="G5273" s="141"/>
      <c r="H5273" s="222"/>
    </row>
    <row r="5274" spans="1:9" s="212" customFormat="1">
      <c r="A5274" s="150"/>
      <c r="B5274" s="83"/>
      <c r="C5274" s="148"/>
      <c r="D5274" s="160"/>
      <c r="E5274" s="84"/>
      <c r="F5274" s="84"/>
      <c r="G5274" s="146"/>
      <c r="H5274" s="221"/>
    </row>
    <row r="5275" spans="1:9" s="212" customFormat="1">
      <c r="A5275" s="91"/>
      <c r="B5275" s="91"/>
      <c r="C5275" s="91"/>
      <c r="D5275" s="91"/>
      <c r="E5275" s="91"/>
      <c r="G5275" s="213"/>
      <c r="H5275" s="222"/>
    </row>
    <row r="5276" spans="1:9" s="212" customFormat="1">
      <c r="A5276" s="120"/>
      <c r="B5276" s="73"/>
      <c r="C5276" s="73"/>
      <c r="D5276" s="73"/>
      <c r="E5276" s="73"/>
      <c r="G5276" s="73"/>
      <c r="H5276" s="222"/>
    </row>
    <row r="5277" spans="1:9" s="212" customFormat="1">
      <c r="A5277" s="220"/>
      <c r="B5277" s="141"/>
      <c r="C5277" s="141"/>
      <c r="D5277" s="141"/>
      <c r="E5277" s="141"/>
      <c r="F5277" s="141"/>
      <c r="G5277" s="141"/>
      <c r="H5277" s="222"/>
    </row>
    <row r="5278" spans="1:9" s="212" customFormat="1">
      <c r="A5278" s="142"/>
      <c r="B5278" s="143"/>
      <c r="C5278" s="143"/>
      <c r="D5278" s="143"/>
      <c r="E5278" s="143"/>
      <c r="F5278" s="84"/>
      <c r="G5278" s="146"/>
      <c r="H5278" s="221"/>
    </row>
    <row r="5279" spans="1:9" s="212" customFormat="1">
      <c r="A5279" s="91"/>
      <c r="B5279" s="91"/>
      <c r="C5279" s="91"/>
      <c r="D5279" s="91"/>
      <c r="E5279" s="91"/>
      <c r="G5279" s="213"/>
      <c r="H5279" s="222"/>
    </row>
    <row r="5280" spans="1:9" s="212" customFormat="1">
      <c r="A5280" s="120"/>
      <c r="B5280" s="73"/>
      <c r="C5280" s="73"/>
      <c r="D5280" s="73"/>
      <c r="E5280" s="73"/>
      <c r="G5280" s="73"/>
      <c r="H5280" s="222"/>
    </row>
    <row r="5281" spans="1:9" s="212" customFormat="1">
      <c r="A5281" s="220"/>
      <c r="B5281" s="141"/>
      <c r="C5281" s="141"/>
      <c r="D5281" s="141"/>
      <c r="E5281" s="141"/>
      <c r="F5281" s="141"/>
      <c r="G5281" s="141"/>
      <c r="H5281" s="222"/>
    </row>
    <row r="5282" spans="1:9" s="212" customFormat="1">
      <c r="A5282" s="142"/>
      <c r="B5282" s="143"/>
      <c r="C5282" s="143"/>
      <c r="D5282" s="143"/>
      <c r="E5282" s="143"/>
      <c r="F5282" s="84"/>
      <c r="G5282" s="146"/>
      <c r="H5282" s="221"/>
    </row>
    <row r="5283" spans="1:9" s="212" customFormat="1">
      <c r="A5283" s="123"/>
      <c r="B5283" s="95"/>
      <c r="C5283" s="95"/>
      <c r="D5283" s="95"/>
      <c r="E5283" s="95"/>
      <c r="G5283" s="213"/>
      <c r="H5283" s="73"/>
    </row>
    <row r="5284" spans="1:9" s="212" customFormat="1">
      <c r="A5284" s="123"/>
      <c r="B5284" s="95"/>
      <c r="C5284" s="95"/>
      <c r="D5284" s="95"/>
      <c r="E5284" s="95"/>
      <c r="G5284" s="73"/>
      <c r="H5284" s="225"/>
    </row>
    <row r="5285" spans="1:9" s="212" customFormat="1">
      <c r="B5285" s="97"/>
      <c r="C5285" s="98"/>
      <c r="D5285" s="98"/>
      <c r="E5285" s="98"/>
      <c r="G5285" s="220"/>
    </row>
    <row r="5286" spans="1:9" s="212" customFormat="1">
      <c r="B5286" s="97"/>
      <c r="C5286" s="98"/>
      <c r="D5286" s="98"/>
      <c r="E5286" s="98"/>
      <c r="F5286" s="220"/>
      <c r="G5286" s="225"/>
      <c r="H5286" s="226"/>
    </row>
    <row r="5287" spans="1:9" s="212" customFormat="1">
      <c r="A5287" s="633"/>
      <c r="B5287" s="633"/>
      <c r="C5287" s="633"/>
      <c r="D5287" s="633"/>
      <c r="E5287" s="633"/>
      <c r="F5287" s="633"/>
      <c r="G5287" s="633"/>
    </row>
    <row r="5288" spans="1:9" s="212" customFormat="1">
      <c r="H5288" s="227"/>
      <c r="I5288" s="228"/>
    </row>
    <row r="5289" spans="1:9" s="212" customFormat="1">
      <c r="A5289" s="658"/>
      <c r="B5289" s="227"/>
      <c r="C5289" s="227"/>
      <c r="D5289" s="227"/>
      <c r="E5289" s="227"/>
      <c r="F5289" s="227"/>
      <c r="G5289" s="227"/>
      <c r="H5289" s="227"/>
      <c r="I5289" s="229"/>
    </row>
    <row r="5290" spans="1:9" s="212" customFormat="1">
      <c r="A5290" s="658"/>
      <c r="B5290" s="227"/>
      <c r="C5290" s="227"/>
      <c r="D5290" s="227"/>
      <c r="E5290" s="227"/>
      <c r="F5290" s="227"/>
      <c r="G5290" s="227"/>
    </row>
    <row r="5291" spans="1:9" s="212" customFormat="1">
      <c r="A5291" s="69"/>
      <c r="B5291" s="69"/>
      <c r="C5291" s="69"/>
      <c r="D5291" s="69"/>
      <c r="E5291" s="69"/>
    </row>
    <row r="5292" spans="1:9" s="212" customFormat="1">
      <c r="A5292" s="120"/>
      <c r="B5292" s="73"/>
      <c r="C5292" s="73"/>
      <c r="D5292" s="73"/>
      <c r="E5292" s="73"/>
      <c r="F5292" s="73"/>
      <c r="G5292" s="73"/>
      <c r="H5292" s="73"/>
    </row>
    <row r="5293" spans="1:9" s="212" customFormat="1">
      <c r="A5293" s="220"/>
      <c r="B5293" s="141"/>
      <c r="C5293" s="141"/>
      <c r="D5293" s="141"/>
      <c r="E5293" s="141"/>
      <c r="F5293" s="141"/>
      <c r="G5293" s="141"/>
      <c r="H5293" s="73"/>
    </row>
    <row r="5294" spans="1:9" s="212" customFormat="1">
      <c r="A5294" s="142"/>
      <c r="B5294" s="143"/>
      <c r="C5294" s="143"/>
      <c r="D5294" s="143"/>
      <c r="E5294" s="143"/>
      <c r="F5294" s="84"/>
      <c r="G5294" s="146"/>
      <c r="H5294" s="221"/>
    </row>
    <row r="5295" spans="1:9" s="212" customFormat="1">
      <c r="A5295" s="84"/>
      <c r="B5295" s="83"/>
      <c r="C5295" s="84"/>
      <c r="D5295" s="84"/>
      <c r="E5295" s="84"/>
      <c r="G5295" s="213"/>
      <c r="H5295" s="222"/>
    </row>
    <row r="5296" spans="1:9" s="212" customFormat="1">
      <c r="A5296" s="120"/>
      <c r="B5296" s="73"/>
      <c r="C5296" s="73"/>
      <c r="D5296" s="73"/>
      <c r="E5296" s="73"/>
      <c r="G5296" s="73"/>
      <c r="H5296" s="222"/>
    </row>
    <row r="5297" spans="1:9" s="212" customFormat="1">
      <c r="A5297" s="220"/>
      <c r="B5297" s="141"/>
      <c r="C5297" s="141"/>
      <c r="D5297" s="141"/>
      <c r="E5297" s="141"/>
      <c r="F5297" s="141"/>
      <c r="G5297" s="141"/>
      <c r="H5297" s="222"/>
    </row>
    <row r="5298" spans="1:9" s="212" customFormat="1">
      <c r="A5298" s="150"/>
      <c r="B5298" s="83"/>
      <c r="C5298" s="148"/>
      <c r="D5298" s="160"/>
      <c r="E5298" s="84"/>
      <c r="F5298" s="84"/>
      <c r="G5298" s="146"/>
      <c r="H5298" s="221"/>
    </row>
    <row r="5299" spans="1:9" s="212" customFormat="1">
      <c r="A5299" s="91"/>
      <c r="B5299" s="91"/>
      <c r="C5299" s="91"/>
      <c r="D5299" s="91"/>
      <c r="E5299" s="91"/>
      <c r="G5299" s="213"/>
      <c r="H5299" s="222"/>
    </row>
    <row r="5300" spans="1:9" s="212" customFormat="1">
      <c r="A5300" s="120"/>
      <c r="B5300" s="73"/>
      <c r="C5300" s="73"/>
      <c r="D5300" s="73"/>
      <c r="E5300" s="73"/>
      <c r="G5300" s="73"/>
      <c r="H5300" s="222"/>
    </row>
    <row r="5301" spans="1:9" s="212" customFormat="1">
      <c r="A5301" s="220"/>
      <c r="B5301" s="141"/>
      <c r="C5301" s="141"/>
      <c r="D5301" s="141"/>
      <c r="E5301" s="141"/>
      <c r="F5301" s="141"/>
      <c r="G5301" s="141"/>
      <c r="H5301" s="222"/>
    </row>
    <row r="5302" spans="1:9" s="212" customFormat="1">
      <c r="A5302" s="142"/>
      <c r="B5302" s="143"/>
      <c r="C5302" s="143"/>
      <c r="D5302" s="143"/>
      <c r="E5302" s="143"/>
      <c r="F5302" s="84"/>
      <c r="G5302" s="146"/>
      <c r="H5302" s="221"/>
    </row>
    <row r="5303" spans="1:9" s="212" customFormat="1">
      <c r="A5303" s="91"/>
      <c r="B5303" s="91"/>
      <c r="C5303" s="91"/>
      <c r="D5303" s="91"/>
      <c r="E5303" s="91"/>
      <c r="G5303" s="213"/>
      <c r="H5303" s="222"/>
    </row>
    <row r="5304" spans="1:9" s="212" customFormat="1">
      <c r="A5304" s="120"/>
      <c r="B5304" s="73"/>
      <c r="C5304" s="73"/>
      <c r="D5304" s="73"/>
      <c r="E5304" s="73"/>
      <c r="G5304" s="73"/>
      <c r="H5304" s="222"/>
    </row>
    <row r="5305" spans="1:9" s="212" customFormat="1">
      <c r="A5305" s="220"/>
      <c r="B5305" s="141"/>
      <c r="C5305" s="141"/>
      <c r="D5305" s="141"/>
      <c r="E5305" s="141"/>
      <c r="F5305" s="141"/>
      <c r="G5305" s="141"/>
      <c r="H5305" s="222"/>
    </row>
    <row r="5306" spans="1:9" s="212" customFormat="1">
      <c r="A5306" s="142"/>
      <c r="B5306" s="143"/>
      <c r="C5306" s="143"/>
      <c r="D5306" s="143"/>
      <c r="E5306" s="143"/>
      <c r="F5306" s="84"/>
      <c r="G5306" s="146"/>
      <c r="H5306" s="221"/>
    </row>
    <row r="5307" spans="1:9" s="212" customFormat="1">
      <c r="A5307" s="123"/>
      <c r="B5307" s="95"/>
      <c r="C5307" s="95"/>
      <c r="D5307" s="95"/>
      <c r="E5307" s="95"/>
      <c r="G5307" s="213"/>
      <c r="H5307" s="73"/>
    </row>
    <row r="5308" spans="1:9" s="212" customFormat="1">
      <c r="A5308" s="123"/>
      <c r="B5308" s="95"/>
      <c r="C5308" s="95"/>
      <c r="D5308" s="95"/>
      <c r="E5308" s="95"/>
      <c r="G5308" s="73"/>
      <c r="H5308" s="225"/>
    </row>
    <row r="5309" spans="1:9" s="212" customFormat="1">
      <c r="B5309" s="97"/>
      <c r="C5309" s="98"/>
      <c r="D5309" s="98"/>
      <c r="E5309" s="98"/>
      <c r="G5309" s="220"/>
    </row>
    <row r="5310" spans="1:9" s="212" customFormat="1">
      <c r="B5310" s="97"/>
      <c r="C5310" s="98"/>
      <c r="D5310" s="98"/>
      <c r="E5310" s="98"/>
      <c r="F5310" s="220"/>
      <c r="G5310" s="225"/>
      <c r="H5310" s="226"/>
    </row>
    <row r="5311" spans="1:9" s="212" customFormat="1">
      <c r="A5311" s="633"/>
      <c r="B5311" s="633"/>
      <c r="C5311" s="633"/>
      <c r="D5311" s="633"/>
      <c r="E5311" s="633"/>
      <c r="F5311" s="633"/>
      <c r="G5311" s="633"/>
    </row>
    <row r="5312" spans="1:9" s="212" customFormat="1">
      <c r="H5312" s="227"/>
      <c r="I5312" s="228"/>
    </row>
    <row r="5313" spans="1:9" s="212" customFormat="1">
      <c r="A5313" s="658"/>
      <c r="B5313" s="227"/>
      <c r="C5313" s="227"/>
      <c r="D5313" s="227"/>
      <c r="E5313" s="227"/>
      <c r="F5313" s="227"/>
      <c r="G5313" s="227"/>
      <c r="H5313" s="227"/>
      <c r="I5313" s="229"/>
    </row>
    <row r="5314" spans="1:9" s="212" customFormat="1">
      <c r="A5314" s="658"/>
      <c r="B5314" s="227"/>
      <c r="C5314" s="227"/>
      <c r="D5314" s="227"/>
      <c r="E5314" s="227"/>
      <c r="F5314" s="227"/>
      <c r="G5314" s="227"/>
    </row>
    <row r="5315" spans="1:9" s="212" customFormat="1">
      <c r="A5315" s="69"/>
      <c r="B5315" s="69"/>
      <c r="C5315" s="69"/>
      <c r="D5315" s="69"/>
      <c r="E5315" s="69"/>
    </row>
    <row r="5316" spans="1:9" s="212" customFormat="1">
      <c r="A5316" s="120"/>
      <c r="B5316" s="73"/>
      <c r="C5316" s="73"/>
      <c r="D5316" s="73"/>
      <c r="E5316" s="73"/>
      <c r="F5316" s="73"/>
      <c r="G5316" s="73"/>
      <c r="H5316" s="73"/>
    </row>
    <row r="5317" spans="1:9" s="212" customFormat="1">
      <c r="A5317" s="220"/>
      <c r="B5317" s="141"/>
      <c r="C5317" s="141"/>
      <c r="D5317" s="141"/>
      <c r="E5317" s="141"/>
      <c r="F5317" s="141"/>
      <c r="G5317" s="141"/>
      <c r="H5317" s="73"/>
    </row>
    <row r="5318" spans="1:9" s="212" customFormat="1">
      <c r="A5318" s="142"/>
      <c r="B5318" s="143"/>
      <c r="C5318" s="143"/>
      <c r="D5318" s="143"/>
      <c r="E5318" s="143"/>
      <c r="F5318" s="84"/>
      <c r="G5318" s="146"/>
      <c r="H5318" s="221"/>
    </row>
    <row r="5319" spans="1:9" s="212" customFormat="1">
      <c r="A5319" s="84"/>
      <c r="B5319" s="83"/>
      <c r="C5319" s="84"/>
      <c r="D5319" s="84"/>
      <c r="E5319" s="84"/>
      <c r="G5319" s="213"/>
      <c r="H5319" s="222"/>
    </row>
    <row r="5320" spans="1:9" s="212" customFormat="1">
      <c r="A5320" s="120"/>
      <c r="B5320" s="73"/>
      <c r="C5320" s="73"/>
      <c r="D5320" s="73"/>
      <c r="E5320" s="73"/>
      <c r="G5320" s="73"/>
      <c r="H5320" s="222"/>
    </row>
    <row r="5321" spans="1:9" s="212" customFormat="1">
      <c r="A5321" s="220"/>
      <c r="B5321" s="141"/>
      <c r="C5321" s="141"/>
      <c r="D5321" s="141"/>
      <c r="E5321" s="141"/>
      <c r="F5321" s="141"/>
      <c r="G5321" s="141"/>
      <c r="H5321" s="222"/>
    </row>
    <row r="5322" spans="1:9" s="212" customFormat="1">
      <c r="A5322" s="150"/>
      <c r="B5322" s="83"/>
      <c r="C5322" s="148"/>
      <c r="D5322" s="160"/>
      <c r="E5322" s="84"/>
      <c r="F5322" s="84"/>
      <c r="G5322" s="146"/>
      <c r="H5322" s="221"/>
    </row>
    <row r="5323" spans="1:9" s="212" customFormat="1">
      <c r="A5323" s="91"/>
      <c r="B5323" s="91"/>
      <c r="C5323" s="91"/>
      <c r="D5323" s="91"/>
      <c r="E5323" s="91"/>
      <c r="G5323" s="213"/>
      <c r="H5323" s="222"/>
    </row>
    <row r="5324" spans="1:9" s="212" customFormat="1">
      <c r="A5324" s="120"/>
      <c r="B5324" s="73"/>
      <c r="C5324" s="73"/>
      <c r="D5324" s="73"/>
      <c r="E5324" s="73"/>
      <c r="G5324" s="73"/>
      <c r="H5324" s="222"/>
    </row>
    <row r="5325" spans="1:9" s="212" customFormat="1">
      <c r="A5325" s="220"/>
      <c r="B5325" s="141"/>
      <c r="C5325" s="141"/>
      <c r="D5325" s="141"/>
      <c r="E5325" s="141"/>
      <c r="F5325" s="141"/>
      <c r="G5325" s="141"/>
      <c r="H5325" s="222"/>
    </row>
    <row r="5326" spans="1:9" s="212" customFormat="1">
      <c r="A5326" s="142"/>
      <c r="B5326" s="143"/>
      <c r="C5326" s="143"/>
      <c r="D5326" s="143"/>
      <c r="E5326" s="143"/>
      <c r="F5326" s="84"/>
      <c r="G5326" s="146"/>
      <c r="H5326" s="221"/>
    </row>
    <row r="5327" spans="1:9" s="212" customFormat="1">
      <c r="A5327" s="91"/>
      <c r="B5327" s="91"/>
      <c r="C5327" s="91"/>
      <c r="D5327" s="91"/>
      <c r="E5327" s="91"/>
      <c r="G5327" s="213"/>
      <c r="H5327" s="222"/>
    </row>
    <row r="5328" spans="1:9" s="212" customFormat="1">
      <c r="A5328" s="120"/>
      <c r="B5328" s="73"/>
      <c r="C5328" s="73"/>
      <c r="D5328" s="73"/>
      <c r="E5328" s="73"/>
      <c r="G5328" s="73"/>
      <c r="H5328" s="222"/>
    </row>
    <row r="5329" spans="1:9" s="212" customFormat="1">
      <c r="A5329" s="220"/>
      <c r="B5329" s="141"/>
      <c r="C5329" s="141"/>
      <c r="D5329" s="141"/>
      <c r="E5329" s="141"/>
      <c r="F5329" s="141"/>
      <c r="G5329" s="141"/>
      <c r="H5329" s="222"/>
    </row>
    <row r="5330" spans="1:9" s="212" customFormat="1">
      <c r="A5330" s="142"/>
      <c r="B5330" s="143"/>
      <c r="C5330" s="143"/>
      <c r="D5330" s="143"/>
      <c r="E5330" s="143"/>
      <c r="F5330" s="84"/>
      <c r="G5330" s="146"/>
      <c r="H5330" s="221"/>
    </row>
    <row r="5331" spans="1:9" s="212" customFormat="1">
      <c r="A5331" s="123"/>
      <c r="B5331" s="95"/>
      <c r="C5331" s="95"/>
      <c r="D5331" s="95"/>
      <c r="E5331" s="95"/>
      <c r="G5331" s="213"/>
      <c r="H5331" s="73"/>
    </row>
    <row r="5332" spans="1:9" s="212" customFormat="1">
      <c r="A5332" s="123"/>
      <c r="B5332" s="95"/>
      <c r="C5332" s="95"/>
      <c r="D5332" s="95"/>
      <c r="E5332" s="95"/>
      <c r="G5332" s="73"/>
      <c r="H5332" s="225"/>
    </row>
    <row r="5333" spans="1:9" s="212" customFormat="1">
      <c r="B5333" s="97"/>
      <c r="C5333" s="98"/>
      <c r="D5333" s="98"/>
      <c r="E5333" s="98"/>
      <c r="G5333" s="220"/>
    </row>
    <row r="5334" spans="1:9" s="212" customFormat="1">
      <c r="B5334" s="97"/>
      <c r="C5334" s="98"/>
      <c r="D5334" s="98"/>
      <c r="E5334" s="98"/>
      <c r="F5334" s="220"/>
      <c r="G5334" s="225"/>
      <c r="H5334" s="226"/>
    </row>
    <row r="5335" spans="1:9" s="212" customFormat="1">
      <c r="A5335" s="633"/>
      <c r="B5335" s="633"/>
      <c r="C5335" s="633"/>
      <c r="D5335" s="633"/>
      <c r="E5335" s="633"/>
      <c r="F5335" s="633"/>
      <c r="G5335" s="633"/>
    </row>
    <row r="5336" spans="1:9" s="212" customFormat="1">
      <c r="H5336" s="227"/>
      <c r="I5336" s="228"/>
    </row>
    <row r="5337" spans="1:9" s="212" customFormat="1">
      <c r="A5337" s="658"/>
      <c r="B5337" s="227"/>
      <c r="C5337" s="227"/>
      <c r="D5337" s="227"/>
      <c r="E5337" s="227"/>
      <c r="F5337" s="227"/>
      <c r="G5337" s="227"/>
      <c r="H5337" s="227"/>
      <c r="I5337" s="229"/>
    </row>
    <row r="5338" spans="1:9" s="212" customFormat="1">
      <c r="A5338" s="658"/>
      <c r="B5338" s="227"/>
      <c r="C5338" s="227"/>
      <c r="D5338" s="227"/>
      <c r="E5338" s="227"/>
      <c r="F5338" s="227"/>
      <c r="G5338" s="227"/>
    </row>
    <row r="5339" spans="1:9" s="212" customFormat="1">
      <c r="A5339" s="69"/>
      <c r="B5339" s="69"/>
      <c r="C5339" s="69"/>
      <c r="D5339" s="69"/>
      <c r="E5339" s="69"/>
    </row>
    <row r="5340" spans="1:9" s="212" customFormat="1">
      <c r="A5340" s="120"/>
      <c r="B5340" s="73"/>
      <c r="C5340" s="73"/>
      <c r="D5340" s="73"/>
      <c r="E5340" s="73"/>
      <c r="F5340" s="73"/>
      <c r="G5340" s="73"/>
      <c r="H5340" s="73"/>
    </row>
    <row r="5341" spans="1:9" s="212" customFormat="1">
      <c r="A5341" s="220"/>
      <c r="B5341" s="141"/>
      <c r="C5341" s="141"/>
      <c r="D5341" s="141"/>
      <c r="E5341" s="141"/>
      <c r="F5341" s="141"/>
      <c r="G5341" s="141"/>
      <c r="H5341" s="73"/>
    </row>
    <row r="5342" spans="1:9" s="212" customFormat="1">
      <c r="A5342" s="142"/>
      <c r="B5342" s="143"/>
      <c r="C5342" s="143"/>
      <c r="D5342" s="143"/>
      <c r="E5342" s="143"/>
      <c r="F5342" s="84"/>
      <c r="G5342" s="146"/>
      <c r="H5342" s="221"/>
    </row>
    <row r="5343" spans="1:9" s="212" customFormat="1">
      <c r="A5343" s="84"/>
      <c r="B5343" s="83"/>
      <c r="C5343" s="84"/>
      <c r="D5343" s="84"/>
      <c r="E5343" s="84"/>
      <c r="G5343" s="213"/>
      <c r="H5343" s="222"/>
    </row>
    <row r="5344" spans="1:9" s="212" customFormat="1">
      <c r="A5344" s="120"/>
      <c r="B5344" s="73"/>
      <c r="C5344" s="73"/>
      <c r="D5344" s="73"/>
      <c r="E5344" s="73"/>
      <c r="G5344" s="73"/>
      <c r="H5344" s="222"/>
    </row>
    <row r="5345" spans="1:9" s="212" customFormat="1">
      <c r="A5345" s="220"/>
      <c r="B5345" s="141"/>
      <c r="C5345" s="141"/>
      <c r="D5345" s="141"/>
      <c r="E5345" s="141"/>
      <c r="F5345" s="141"/>
      <c r="G5345" s="141"/>
      <c r="H5345" s="222"/>
    </row>
    <row r="5346" spans="1:9" s="212" customFormat="1">
      <c r="A5346" s="150"/>
      <c r="B5346" s="83"/>
      <c r="C5346" s="148"/>
      <c r="D5346" s="160"/>
      <c r="E5346" s="84"/>
      <c r="F5346" s="84"/>
      <c r="G5346" s="146"/>
      <c r="H5346" s="221"/>
    </row>
    <row r="5347" spans="1:9" s="212" customFormat="1">
      <c r="A5347" s="91"/>
      <c r="B5347" s="91"/>
      <c r="C5347" s="91"/>
      <c r="D5347" s="91"/>
      <c r="E5347" s="91"/>
      <c r="G5347" s="213"/>
      <c r="H5347" s="222"/>
    </row>
    <row r="5348" spans="1:9" s="212" customFormat="1">
      <c r="A5348" s="120"/>
      <c r="B5348" s="73"/>
      <c r="C5348" s="73"/>
      <c r="D5348" s="73"/>
      <c r="E5348" s="73"/>
      <c r="G5348" s="73"/>
      <c r="H5348" s="222"/>
    </row>
    <row r="5349" spans="1:9" s="212" customFormat="1">
      <c r="A5349" s="220"/>
      <c r="B5349" s="141"/>
      <c r="C5349" s="141"/>
      <c r="D5349" s="141"/>
      <c r="E5349" s="141"/>
      <c r="F5349" s="141"/>
      <c r="G5349" s="141"/>
      <c r="H5349" s="222"/>
    </row>
    <row r="5350" spans="1:9" s="212" customFormat="1">
      <c r="A5350" s="142"/>
      <c r="B5350" s="143"/>
      <c r="C5350" s="143"/>
      <c r="D5350" s="143"/>
      <c r="E5350" s="143"/>
      <c r="F5350" s="84"/>
      <c r="G5350" s="146"/>
      <c r="H5350" s="221"/>
    </row>
    <row r="5351" spans="1:9" s="212" customFormat="1">
      <c r="A5351" s="91"/>
      <c r="B5351" s="91"/>
      <c r="C5351" s="91"/>
      <c r="D5351" s="91"/>
      <c r="E5351" s="91"/>
      <c r="G5351" s="213"/>
      <c r="H5351" s="222"/>
    </row>
    <row r="5352" spans="1:9" s="212" customFormat="1">
      <c r="A5352" s="120"/>
      <c r="B5352" s="73"/>
      <c r="C5352" s="73"/>
      <c r="D5352" s="73"/>
      <c r="E5352" s="73"/>
      <c r="G5352" s="73"/>
      <c r="H5352" s="222"/>
    </row>
    <row r="5353" spans="1:9" s="212" customFormat="1">
      <c r="A5353" s="220"/>
      <c r="B5353" s="141"/>
      <c r="C5353" s="141"/>
      <c r="D5353" s="141"/>
      <c r="E5353" s="141"/>
      <c r="F5353" s="141"/>
      <c r="G5353" s="141"/>
      <c r="H5353" s="222"/>
    </row>
    <row r="5354" spans="1:9" s="212" customFormat="1">
      <c r="A5354" s="142"/>
      <c r="B5354" s="143"/>
      <c r="C5354" s="143"/>
      <c r="D5354" s="143"/>
      <c r="E5354" s="143"/>
      <c r="F5354" s="84"/>
      <c r="G5354" s="146"/>
      <c r="H5354" s="221"/>
    </row>
    <row r="5355" spans="1:9" s="212" customFormat="1">
      <c r="A5355" s="123"/>
      <c r="B5355" s="95"/>
      <c r="C5355" s="95"/>
      <c r="D5355" s="95"/>
      <c r="E5355" s="95"/>
      <c r="G5355" s="213"/>
      <c r="H5355" s="73"/>
    </row>
    <row r="5356" spans="1:9" s="212" customFormat="1">
      <c r="A5356" s="123"/>
      <c r="B5356" s="95"/>
      <c r="C5356" s="95"/>
      <c r="D5356" s="95"/>
      <c r="E5356" s="95"/>
      <c r="G5356" s="73"/>
      <c r="H5356" s="225"/>
    </row>
    <row r="5357" spans="1:9" s="212" customFormat="1">
      <c r="B5357" s="97"/>
      <c r="C5357" s="98"/>
      <c r="D5357" s="98"/>
      <c r="E5357" s="98"/>
      <c r="G5357" s="220"/>
    </row>
    <row r="5358" spans="1:9" s="212" customFormat="1">
      <c r="B5358" s="97"/>
      <c r="C5358" s="98"/>
      <c r="D5358" s="98"/>
      <c r="E5358" s="98"/>
      <c r="F5358" s="220"/>
      <c r="G5358" s="225"/>
      <c r="H5358" s="226"/>
    </row>
    <row r="5359" spans="1:9" s="212" customFormat="1">
      <c r="A5359" s="633"/>
      <c r="B5359" s="633"/>
      <c r="C5359" s="633"/>
      <c r="D5359" s="633"/>
      <c r="E5359" s="633"/>
      <c r="F5359" s="633"/>
      <c r="G5359" s="633"/>
    </row>
    <row r="5360" spans="1:9" s="212" customFormat="1">
      <c r="H5360" s="227"/>
      <c r="I5360" s="228"/>
    </row>
    <row r="5361" spans="1:9" s="212" customFormat="1">
      <c r="A5361" s="658"/>
      <c r="B5361" s="227"/>
      <c r="C5361" s="227"/>
      <c r="D5361" s="227"/>
      <c r="E5361" s="227"/>
      <c r="F5361" s="227"/>
      <c r="G5361" s="227"/>
      <c r="H5361" s="227"/>
      <c r="I5361" s="229"/>
    </row>
    <row r="5362" spans="1:9" s="212" customFormat="1">
      <c r="A5362" s="658"/>
      <c r="B5362" s="227"/>
      <c r="C5362" s="227"/>
      <c r="D5362" s="227"/>
      <c r="E5362" s="227"/>
      <c r="F5362" s="227"/>
      <c r="G5362" s="227"/>
    </row>
    <row r="5363" spans="1:9" s="212" customFormat="1">
      <c r="A5363" s="69"/>
      <c r="B5363" s="69"/>
      <c r="C5363" s="69"/>
      <c r="D5363" s="69"/>
      <c r="E5363" s="69"/>
    </row>
    <row r="5364" spans="1:9" s="212" customFormat="1">
      <c r="A5364" s="120"/>
      <c r="B5364" s="73"/>
      <c r="C5364" s="73"/>
      <c r="D5364" s="73"/>
      <c r="E5364" s="73"/>
      <c r="F5364" s="73"/>
      <c r="G5364" s="73"/>
      <c r="H5364" s="73"/>
    </row>
    <row r="5365" spans="1:9" s="212" customFormat="1">
      <c r="A5365" s="220"/>
      <c r="B5365" s="141"/>
      <c r="C5365" s="141"/>
      <c r="D5365" s="141"/>
      <c r="E5365" s="141"/>
      <c r="F5365" s="141"/>
      <c r="G5365" s="141"/>
      <c r="H5365" s="73"/>
    </row>
    <row r="5366" spans="1:9" s="212" customFormat="1">
      <c r="A5366" s="142"/>
      <c r="B5366" s="143"/>
      <c r="C5366" s="143"/>
      <c r="D5366" s="143"/>
      <c r="E5366" s="143"/>
      <c r="F5366" s="84"/>
      <c r="G5366" s="146"/>
      <c r="H5366" s="221"/>
    </row>
    <row r="5367" spans="1:9" s="212" customFormat="1">
      <c r="A5367" s="84"/>
      <c r="B5367" s="83"/>
      <c r="C5367" s="84"/>
      <c r="D5367" s="84"/>
      <c r="E5367" s="84"/>
      <c r="G5367" s="213"/>
      <c r="H5367" s="222"/>
    </row>
    <row r="5368" spans="1:9" s="212" customFormat="1">
      <c r="A5368" s="120"/>
      <c r="B5368" s="73"/>
      <c r="C5368" s="73"/>
      <c r="D5368" s="73"/>
      <c r="E5368" s="73"/>
      <c r="G5368" s="73"/>
      <c r="H5368" s="222"/>
    </row>
    <row r="5369" spans="1:9" s="212" customFormat="1">
      <c r="A5369" s="220"/>
      <c r="B5369" s="141"/>
      <c r="C5369" s="141"/>
      <c r="D5369" s="141"/>
      <c r="E5369" s="141"/>
      <c r="F5369" s="141"/>
      <c r="G5369" s="141"/>
      <c r="H5369" s="222"/>
    </row>
    <row r="5370" spans="1:9" s="212" customFormat="1">
      <c r="A5370" s="150"/>
      <c r="B5370" s="83"/>
      <c r="C5370" s="148"/>
      <c r="D5370" s="160"/>
      <c r="E5370" s="84"/>
      <c r="F5370" s="84"/>
      <c r="G5370" s="146"/>
      <c r="H5370" s="221"/>
    </row>
    <row r="5371" spans="1:9" s="212" customFormat="1">
      <c r="A5371" s="91"/>
      <c r="B5371" s="91"/>
      <c r="C5371" s="91"/>
      <c r="D5371" s="91"/>
      <c r="E5371" s="91"/>
      <c r="G5371" s="213"/>
      <c r="H5371" s="222"/>
    </row>
    <row r="5372" spans="1:9" s="212" customFormat="1">
      <c r="A5372" s="120"/>
      <c r="B5372" s="73"/>
      <c r="C5372" s="73"/>
      <c r="D5372" s="73"/>
      <c r="E5372" s="73"/>
      <c r="G5372" s="73"/>
      <c r="H5372" s="222"/>
    </row>
    <row r="5373" spans="1:9" s="212" customFormat="1">
      <c r="A5373" s="220"/>
      <c r="B5373" s="141"/>
      <c r="C5373" s="141"/>
      <c r="D5373" s="141"/>
      <c r="E5373" s="141"/>
      <c r="F5373" s="141"/>
      <c r="G5373" s="141"/>
      <c r="H5373" s="222"/>
    </row>
    <row r="5374" spans="1:9" s="212" customFormat="1">
      <c r="A5374" s="142"/>
      <c r="B5374" s="143"/>
      <c r="C5374" s="143"/>
      <c r="D5374" s="143"/>
      <c r="E5374" s="143"/>
      <c r="F5374" s="84"/>
      <c r="G5374" s="146"/>
      <c r="H5374" s="221"/>
    </row>
    <row r="5375" spans="1:9" s="212" customFormat="1">
      <c r="A5375" s="91"/>
      <c r="B5375" s="91"/>
      <c r="C5375" s="91"/>
      <c r="D5375" s="91"/>
      <c r="E5375" s="91"/>
      <c r="G5375" s="213"/>
      <c r="H5375" s="222"/>
    </row>
    <row r="5376" spans="1:9" s="212" customFormat="1">
      <c r="A5376" s="120"/>
      <c r="B5376" s="73"/>
      <c r="C5376" s="73"/>
      <c r="D5376" s="73"/>
      <c r="E5376" s="73"/>
      <c r="G5376" s="73"/>
      <c r="H5376" s="222"/>
    </row>
    <row r="5377" spans="1:9" s="212" customFormat="1">
      <c r="A5377" s="220"/>
      <c r="B5377" s="141"/>
      <c r="C5377" s="141"/>
      <c r="D5377" s="141"/>
      <c r="E5377" s="141"/>
      <c r="F5377" s="141"/>
      <c r="G5377" s="141"/>
      <c r="H5377" s="222"/>
    </row>
    <row r="5378" spans="1:9" s="212" customFormat="1">
      <c r="A5378" s="142"/>
      <c r="B5378" s="143"/>
      <c r="C5378" s="143"/>
      <c r="D5378" s="143"/>
      <c r="E5378" s="143"/>
      <c r="F5378" s="84"/>
      <c r="G5378" s="146"/>
      <c r="H5378" s="221"/>
    </row>
    <row r="5379" spans="1:9" s="212" customFormat="1">
      <c r="A5379" s="123"/>
      <c r="B5379" s="95"/>
      <c r="C5379" s="95"/>
      <c r="D5379" s="95"/>
      <c r="E5379" s="95"/>
      <c r="G5379" s="213"/>
      <c r="H5379" s="73"/>
    </row>
    <row r="5380" spans="1:9" s="212" customFormat="1">
      <c r="A5380" s="123"/>
      <c r="B5380" s="95"/>
      <c r="C5380" s="95"/>
      <c r="D5380" s="95"/>
      <c r="E5380" s="95"/>
      <c r="G5380" s="73"/>
      <c r="H5380" s="225"/>
    </row>
    <row r="5381" spans="1:9" s="212" customFormat="1">
      <c r="B5381" s="97"/>
      <c r="C5381" s="98"/>
      <c r="D5381" s="98"/>
      <c r="E5381" s="98"/>
      <c r="G5381" s="220"/>
    </row>
    <row r="5382" spans="1:9" s="212" customFormat="1">
      <c r="B5382" s="97"/>
      <c r="C5382" s="98"/>
      <c r="D5382" s="98"/>
      <c r="E5382" s="98"/>
      <c r="F5382" s="220"/>
      <c r="G5382" s="225"/>
      <c r="H5382" s="226"/>
    </row>
    <row r="5383" spans="1:9" s="212" customFormat="1">
      <c r="A5383" s="633"/>
      <c r="B5383" s="633"/>
      <c r="C5383" s="633"/>
      <c r="D5383" s="633"/>
      <c r="E5383" s="633"/>
      <c r="F5383" s="633"/>
      <c r="G5383" s="633"/>
    </row>
    <row r="5384" spans="1:9" s="212" customFormat="1">
      <c r="H5384" s="227"/>
      <c r="I5384" s="228"/>
    </row>
    <row r="5385" spans="1:9" s="212" customFormat="1">
      <c r="A5385" s="658"/>
      <c r="B5385" s="227"/>
      <c r="C5385" s="227"/>
      <c r="D5385" s="227"/>
      <c r="E5385" s="227"/>
      <c r="F5385" s="227"/>
      <c r="G5385" s="227"/>
      <c r="H5385" s="227"/>
      <c r="I5385" s="229"/>
    </row>
    <row r="5386" spans="1:9" s="212" customFormat="1">
      <c r="A5386" s="658"/>
      <c r="B5386" s="227"/>
      <c r="C5386" s="227"/>
      <c r="D5386" s="227"/>
      <c r="E5386" s="227"/>
      <c r="F5386" s="227"/>
      <c r="G5386" s="227"/>
    </row>
    <row r="5387" spans="1:9" s="212" customFormat="1">
      <c r="A5387" s="69"/>
      <c r="B5387" s="69"/>
      <c r="C5387" s="69"/>
      <c r="D5387" s="69"/>
      <c r="E5387" s="69"/>
    </row>
    <row r="5388" spans="1:9" s="212" customFormat="1">
      <c r="A5388" s="120"/>
      <c r="B5388" s="73"/>
      <c r="C5388" s="73"/>
      <c r="D5388" s="73"/>
      <c r="E5388" s="73"/>
      <c r="F5388" s="73"/>
      <c r="G5388" s="73"/>
      <c r="H5388" s="73"/>
    </row>
    <row r="5389" spans="1:9" s="212" customFormat="1">
      <c r="A5389" s="220"/>
      <c r="B5389" s="141"/>
      <c r="C5389" s="141"/>
      <c r="D5389" s="141"/>
      <c r="E5389" s="141"/>
      <c r="F5389" s="141"/>
      <c r="G5389" s="141"/>
      <c r="H5389" s="73"/>
    </row>
    <row r="5390" spans="1:9" s="212" customFormat="1">
      <c r="A5390" s="142"/>
      <c r="B5390" s="143"/>
      <c r="C5390" s="143"/>
      <c r="D5390" s="143"/>
      <c r="E5390" s="143"/>
      <c r="F5390" s="84"/>
      <c r="G5390" s="146"/>
      <c r="H5390" s="221"/>
    </row>
    <row r="5391" spans="1:9" s="212" customFormat="1">
      <c r="A5391" s="84"/>
      <c r="B5391" s="83"/>
      <c r="C5391" s="84"/>
      <c r="D5391" s="84"/>
      <c r="E5391" s="84"/>
      <c r="G5391" s="213"/>
      <c r="H5391" s="222"/>
    </row>
    <row r="5392" spans="1:9" s="212" customFormat="1">
      <c r="A5392" s="120"/>
      <c r="B5392" s="73"/>
      <c r="C5392" s="73"/>
      <c r="D5392" s="73"/>
      <c r="E5392" s="73"/>
      <c r="G5392" s="73"/>
      <c r="H5392" s="222"/>
    </row>
    <row r="5393" spans="1:9" s="212" customFormat="1">
      <c r="A5393" s="220"/>
      <c r="B5393" s="141"/>
      <c r="C5393" s="141"/>
      <c r="D5393" s="141"/>
      <c r="E5393" s="141"/>
      <c r="F5393" s="141"/>
      <c r="G5393" s="141"/>
      <c r="H5393" s="222"/>
    </row>
    <row r="5394" spans="1:9" s="212" customFormat="1">
      <c r="A5394" s="150"/>
      <c r="B5394" s="83"/>
      <c r="C5394" s="148"/>
      <c r="D5394" s="160"/>
      <c r="E5394" s="84"/>
      <c r="F5394" s="84"/>
      <c r="G5394" s="146"/>
      <c r="H5394" s="221"/>
    </row>
    <row r="5395" spans="1:9" s="212" customFormat="1">
      <c r="A5395" s="91"/>
      <c r="B5395" s="91"/>
      <c r="C5395" s="91"/>
      <c r="D5395" s="91"/>
      <c r="E5395" s="91"/>
      <c r="G5395" s="213"/>
      <c r="H5395" s="222"/>
    </row>
    <row r="5396" spans="1:9" s="212" customFormat="1">
      <c r="A5396" s="120"/>
      <c r="B5396" s="73"/>
      <c r="C5396" s="73"/>
      <c r="D5396" s="73"/>
      <c r="E5396" s="73"/>
      <c r="G5396" s="73"/>
      <c r="H5396" s="222"/>
    </row>
    <row r="5397" spans="1:9" s="212" customFormat="1">
      <c r="A5397" s="220"/>
      <c r="B5397" s="141"/>
      <c r="C5397" s="141"/>
      <c r="D5397" s="141"/>
      <c r="E5397" s="141"/>
      <c r="F5397" s="141"/>
      <c r="G5397" s="141"/>
      <c r="H5397" s="222"/>
    </row>
    <row r="5398" spans="1:9" s="212" customFormat="1">
      <c r="A5398" s="142"/>
      <c r="B5398" s="143"/>
      <c r="C5398" s="143"/>
      <c r="D5398" s="143"/>
      <c r="E5398" s="143"/>
      <c r="F5398" s="84"/>
      <c r="G5398" s="146"/>
      <c r="H5398" s="221"/>
    </row>
    <row r="5399" spans="1:9" s="212" customFormat="1">
      <c r="A5399" s="91"/>
      <c r="B5399" s="91"/>
      <c r="C5399" s="91"/>
      <c r="D5399" s="91"/>
      <c r="E5399" s="91"/>
      <c r="G5399" s="213"/>
      <c r="H5399" s="222"/>
    </row>
    <row r="5400" spans="1:9" s="212" customFormat="1">
      <c r="A5400" s="120"/>
      <c r="B5400" s="73"/>
      <c r="C5400" s="73"/>
      <c r="D5400" s="73"/>
      <c r="E5400" s="73"/>
      <c r="G5400" s="73"/>
      <c r="H5400" s="222"/>
    </row>
    <row r="5401" spans="1:9" s="212" customFormat="1">
      <c r="A5401" s="220"/>
      <c r="B5401" s="141"/>
      <c r="C5401" s="141"/>
      <c r="D5401" s="141"/>
      <c r="E5401" s="141"/>
      <c r="F5401" s="141"/>
      <c r="G5401" s="141"/>
      <c r="H5401" s="222"/>
    </row>
    <row r="5402" spans="1:9" s="212" customFormat="1">
      <c r="A5402" s="142"/>
      <c r="B5402" s="143"/>
      <c r="C5402" s="143"/>
      <c r="D5402" s="143"/>
      <c r="E5402" s="143"/>
      <c r="F5402" s="84"/>
      <c r="G5402" s="146"/>
      <c r="H5402" s="221"/>
    </row>
    <row r="5403" spans="1:9" s="212" customFormat="1">
      <c r="A5403" s="123"/>
      <c r="B5403" s="95"/>
      <c r="C5403" s="95"/>
      <c r="D5403" s="95"/>
      <c r="E5403" s="95"/>
      <c r="G5403" s="213"/>
      <c r="H5403" s="73"/>
    </row>
    <row r="5404" spans="1:9" s="212" customFormat="1">
      <c r="A5404" s="123"/>
      <c r="B5404" s="95"/>
      <c r="C5404" s="95"/>
      <c r="D5404" s="95"/>
      <c r="E5404" s="95"/>
      <c r="G5404" s="73"/>
      <c r="H5404" s="225"/>
    </row>
    <row r="5405" spans="1:9" s="212" customFormat="1">
      <c r="B5405" s="97"/>
      <c r="C5405" s="98"/>
      <c r="D5405" s="98"/>
      <c r="E5405" s="98"/>
      <c r="G5405" s="220"/>
    </row>
    <row r="5406" spans="1:9" s="212" customFormat="1">
      <c r="B5406" s="97"/>
      <c r="C5406" s="98"/>
      <c r="D5406" s="98"/>
      <c r="E5406" s="98"/>
      <c r="F5406" s="220"/>
      <c r="G5406" s="225"/>
      <c r="H5406" s="226"/>
    </row>
    <row r="5407" spans="1:9" s="212" customFormat="1">
      <c r="A5407" s="633"/>
      <c r="B5407" s="633"/>
      <c r="C5407" s="633"/>
      <c r="D5407" s="633"/>
      <c r="E5407" s="633"/>
      <c r="F5407" s="633"/>
      <c r="G5407" s="633"/>
    </row>
    <row r="5408" spans="1:9" s="212" customFormat="1">
      <c r="H5408" s="227"/>
      <c r="I5408" s="228"/>
    </row>
    <row r="5409" spans="1:9" s="212" customFormat="1">
      <c r="A5409" s="658"/>
      <c r="B5409" s="227"/>
      <c r="C5409" s="227"/>
      <c r="D5409" s="227"/>
      <c r="E5409" s="227"/>
      <c r="F5409" s="227"/>
      <c r="G5409" s="227"/>
      <c r="H5409" s="227"/>
      <c r="I5409" s="229"/>
    </row>
    <row r="5410" spans="1:9" s="212" customFormat="1">
      <c r="A5410" s="658"/>
      <c r="B5410" s="227"/>
      <c r="C5410" s="227"/>
      <c r="D5410" s="227"/>
      <c r="E5410" s="227"/>
      <c r="F5410" s="227"/>
      <c r="G5410" s="227"/>
    </row>
    <row r="5411" spans="1:9" s="212" customFormat="1">
      <c r="A5411" s="69"/>
      <c r="B5411" s="69"/>
      <c r="C5411" s="69"/>
      <c r="D5411" s="69"/>
      <c r="E5411" s="69"/>
    </row>
    <row r="5412" spans="1:9" s="212" customFormat="1">
      <c r="A5412" s="120"/>
      <c r="B5412" s="73"/>
      <c r="C5412" s="73"/>
      <c r="D5412" s="73"/>
      <c r="E5412" s="73"/>
      <c r="F5412" s="73"/>
      <c r="G5412" s="73"/>
      <c r="H5412" s="73"/>
    </row>
    <row r="5413" spans="1:9" s="212" customFormat="1">
      <c r="A5413" s="220"/>
      <c r="B5413" s="141"/>
      <c r="C5413" s="141"/>
      <c r="D5413" s="141"/>
      <c r="E5413" s="141"/>
      <c r="F5413" s="141"/>
      <c r="G5413" s="141"/>
      <c r="H5413" s="73"/>
    </row>
    <row r="5414" spans="1:9" s="212" customFormat="1">
      <c r="A5414" s="142"/>
      <c r="B5414" s="143"/>
      <c r="C5414" s="143"/>
      <c r="D5414" s="143"/>
      <c r="E5414" s="143"/>
      <c r="F5414" s="84"/>
      <c r="G5414" s="146"/>
      <c r="H5414" s="221"/>
    </row>
    <row r="5415" spans="1:9" s="212" customFormat="1">
      <c r="A5415" s="84"/>
      <c r="B5415" s="83"/>
      <c r="C5415" s="84"/>
      <c r="D5415" s="84"/>
      <c r="E5415" s="84"/>
      <c r="G5415" s="213"/>
      <c r="H5415" s="222"/>
    </row>
    <row r="5416" spans="1:9" s="212" customFormat="1">
      <c r="A5416" s="120"/>
      <c r="B5416" s="73"/>
      <c r="C5416" s="73"/>
      <c r="D5416" s="73"/>
      <c r="E5416" s="73"/>
      <c r="G5416" s="73"/>
      <c r="H5416" s="222"/>
    </row>
    <row r="5417" spans="1:9" s="212" customFormat="1">
      <c r="A5417" s="220"/>
      <c r="B5417" s="141"/>
      <c r="C5417" s="141"/>
      <c r="D5417" s="141"/>
      <c r="E5417" s="141"/>
      <c r="F5417" s="141"/>
      <c r="G5417" s="141"/>
      <c r="H5417" s="222"/>
    </row>
    <row r="5418" spans="1:9" s="212" customFormat="1">
      <c r="A5418" s="150"/>
      <c r="B5418" s="83"/>
      <c r="C5418" s="148"/>
      <c r="D5418" s="160"/>
      <c r="E5418" s="84"/>
      <c r="F5418" s="84"/>
      <c r="G5418" s="146"/>
      <c r="H5418" s="221"/>
    </row>
    <row r="5419" spans="1:9" s="212" customFormat="1">
      <c r="A5419" s="91"/>
      <c r="B5419" s="91"/>
      <c r="C5419" s="91"/>
      <c r="D5419" s="91"/>
      <c r="E5419" s="91"/>
      <c r="G5419" s="213"/>
      <c r="H5419" s="222"/>
    </row>
    <row r="5420" spans="1:9" s="212" customFormat="1">
      <c r="A5420" s="120"/>
      <c r="B5420" s="73"/>
      <c r="C5420" s="73"/>
      <c r="D5420" s="73"/>
      <c r="E5420" s="73"/>
      <c r="G5420" s="73"/>
      <c r="H5420" s="222"/>
    </row>
    <row r="5421" spans="1:9" s="212" customFormat="1">
      <c r="A5421" s="220"/>
      <c r="B5421" s="141"/>
      <c r="C5421" s="141"/>
      <c r="D5421" s="141"/>
      <c r="E5421" s="141"/>
      <c r="F5421" s="141"/>
      <c r="G5421" s="141"/>
      <c r="H5421" s="222"/>
    </row>
    <row r="5422" spans="1:9" s="212" customFormat="1">
      <c r="A5422" s="142"/>
      <c r="B5422" s="143"/>
      <c r="C5422" s="143"/>
      <c r="D5422" s="143"/>
      <c r="E5422" s="143"/>
      <c r="F5422" s="84"/>
      <c r="G5422" s="146"/>
      <c r="H5422" s="221"/>
    </row>
    <row r="5423" spans="1:9" s="212" customFormat="1">
      <c r="A5423" s="91"/>
      <c r="B5423" s="91"/>
      <c r="C5423" s="91"/>
      <c r="D5423" s="91"/>
      <c r="E5423" s="91"/>
      <c r="G5423" s="213"/>
      <c r="H5423" s="222"/>
    </row>
    <row r="5424" spans="1:9" s="212" customFormat="1">
      <c r="A5424" s="120"/>
      <c r="B5424" s="73"/>
      <c r="C5424" s="73"/>
      <c r="D5424" s="73"/>
      <c r="E5424" s="73"/>
      <c r="G5424" s="73"/>
      <c r="H5424" s="222"/>
    </row>
    <row r="5425" spans="1:9" s="212" customFormat="1">
      <c r="A5425" s="220"/>
      <c r="B5425" s="141"/>
      <c r="C5425" s="141"/>
      <c r="D5425" s="141"/>
      <c r="E5425" s="141"/>
      <c r="F5425" s="141"/>
      <c r="G5425" s="141"/>
      <c r="H5425" s="222"/>
    </row>
    <row r="5426" spans="1:9" s="212" customFormat="1">
      <c r="A5426" s="142"/>
      <c r="B5426" s="143"/>
      <c r="C5426" s="143"/>
      <c r="D5426" s="143"/>
      <c r="E5426" s="143"/>
      <c r="F5426" s="84"/>
      <c r="G5426" s="146"/>
      <c r="H5426" s="221"/>
    </row>
    <row r="5427" spans="1:9" s="212" customFormat="1">
      <c r="A5427" s="123"/>
      <c r="B5427" s="95"/>
      <c r="C5427" s="95"/>
      <c r="D5427" s="95"/>
      <c r="E5427" s="95"/>
      <c r="G5427" s="213"/>
      <c r="H5427" s="73"/>
    </row>
    <row r="5428" spans="1:9" s="212" customFormat="1">
      <c r="A5428" s="123"/>
      <c r="B5428" s="95"/>
      <c r="C5428" s="95"/>
      <c r="D5428" s="95"/>
      <c r="E5428" s="95"/>
      <c r="G5428" s="73"/>
      <c r="H5428" s="225"/>
    </row>
    <row r="5429" spans="1:9" s="212" customFormat="1">
      <c r="B5429" s="97"/>
      <c r="C5429" s="98"/>
      <c r="D5429" s="98"/>
      <c r="E5429" s="98"/>
      <c r="G5429" s="220"/>
    </row>
    <row r="5430" spans="1:9" s="212" customFormat="1">
      <c r="B5430" s="97"/>
      <c r="C5430" s="98"/>
      <c r="D5430" s="98"/>
      <c r="E5430" s="98"/>
      <c r="F5430" s="220"/>
      <c r="G5430" s="225"/>
      <c r="H5430" s="226"/>
    </row>
    <row r="5431" spans="1:9" s="212" customFormat="1">
      <c r="A5431" s="633"/>
      <c r="B5431" s="633"/>
      <c r="C5431" s="633"/>
      <c r="D5431" s="633"/>
      <c r="E5431" s="633"/>
      <c r="F5431" s="633"/>
      <c r="G5431" s="633"/>
    </row>
    <row r="5432" spans="1:9" s="212" customFormat="1">
      <c r="H5432" s="227"/>
      <c r="I5432" s="228"/>
    </row>
    <row r="5433" spans="1:9" s="212" customFormat="1">
      <c r="A5433" s="658"/>
      <c r="B5433" s="227"/>
      <c r="C5433" s="227"/>
      <c r="D5433" s="227"/>
      <c r="E5433" s="227"/>
      <c r="F5433" s="227"/>
      <c r="G5433" s="227"/>
      <c r="H5433" s="227"/>
      <c r="I5433" s="229"/>
    </row>
    <row r="5434" spans="1:9" s="212" customFormat="1">
      <c r="A5434" s="658"/>
      <c r="B5434" s="227"/>
      <c r="C5434" s="227"/>
      <c r="D5434" s="227"/>
      <c r="E5434" s="227"/>
      <c r="F5434" s="227"/>
      <c r="G5434" s="227"/>
    </row>
    <row r="5435" spans="1:9" s="212" customFormat="1">
      <c r="A5435" s="69"/>
      <c r="B5435" s="69"/>
      <c r="C5435" s="69"/>
      <c r="D5435" s="69"/>
      <c r="E5435" s="69"/>
    </row>
    <row r="5436" spans="1:9" s="212" customFormat="1">
      <c r="A5436" s="120"/>
      <c r="B5436" s="73"/>
      <c r="C5436" s="73"/>
      <c r="D5436" s="73"/>
      <c r="E5436" s="73"/>
      <c r="F5436" s="73"/>
      <c r="G5436" s="73"/>
      <c r="H5436" s="73"/>
    </row>
    <row r="5437" spans="1:9" s="212" customFormat="1">
      <c r="A5437" s="220"/>
      <c r="B5437" s="141"/>
      <c r="C5437" s="141"/>
      <c r="D5437" s="141"/>
      <c r="E5437" s="141"/>
      <c r="F5437" s="141"/>
      <c r="G5437" s="141"/>
      <c r="H5437" s="73"/>
    </row>
    <row r="5438" spans="1:9" s="212" customFormat="1">
      <c r="A5438" s="142"/>
      <c r="B5438" s="143"/>
      <c r="C5438" s="143"/>
      <c r="D5438" s="143"/>
      <c r="E5438" s="143"/>
      <c r="F5438" s="84"/>
      <c r="G5438" s="146"/>
      <c r="H5438" s="221"/>
    </row>
    <row r="5439" spans="1:9" s="212" customFormat="1">
      <c r="A5439" s="84"/>
      <c r="B5439" s="83"/>
      <c r="C5439" s="84"/>
      <c r="D5439" s="84"/>
      <c r="E5439" s="84"/>
      <c r="G5439" s="213"/>
      <c r="H5439" s="222"/>
    </row>
    <row r="5440" spans="1:9" s="212" customFormat="1">
      <c r="A5440" s="120"/>
      <c r="B5440" s="73"/>
      <c r="C5440" s="73"/>
      <c r="D5440" s="73"/>
      <c r="E5440" s="73"/>
      <c r="G5440" s="73"/>
      <c r="H5440" s="222"/>
    </row>
    <row r="5441" spans="1:9" s="212" customFormat="1">
      <c r="A5441" s="220"/>
      <c r="B5441" s="141"/>
      <c r="C5441" s="141"/>
      <c r="D5441" s="141"/>
      <c r="E5441" s="141"/>
      <c r="F5441" s="141"/>
      <c r="G5441" s="141"/>
      <c r="H5441" s="222"/>
    </row>
    <row r="5442" spans="1:9" s="212" customFormat="1">
      <c r="A5442" s="150"/>
      <c r="B5442" s="83"/>
      <c r="C5442" s="148"/>
      <c r="D5442" s="160"/>
      <c r="E5442" s="84"/>
      <c r="F5442" s="84"/>
      <c r="G5442" s="146"/>
      <c r="H5442" s="221"/>
    </row>
    <row r="5443" spans="1:9" s="212" customFormat="1">
      <c r="A5443" s="91"/>
      <c r="B5443" s="91"/>
      <c r="C5443" s="91"/>
      <c r="D5443" s="91"/>
      <c r="E5443" s="91"/>
      <c r="G5443" s="213"/>
      <c r="H5443" s="222"/>
    </row>
    <row r="5444" spans="1:9" s="212" customFormat="1">
      <c r="A5444" s="120"/>
      <c r="B5444" s="73"/>
      <c r="C5444" s="73"/>
      <c r="D5444" s="73"/>
      <c r="E5444" s="73"/>
      <c r="G5444" s="73"/>
      <c r="H5444" s="222"/>
    </row>
    <row r="5445" spans="1:9" s="212" customFormat="1">
      <c r="A5445" s="220"/>
      <c r="B5445" s="141"/>
      <c r="C5445" s="141"/>
      <c r="D5445" s="141"/>
      <c r="E5445" s="141"/>
      <c r="F5445" s="141"/>
      <c r="G5445" s="141"/>
      <c r="H5445" s="222"/>
    </row>
    <row r="5446" spans="1:9" s="212" customFormat="1">
      <c r="A5446" s="142"/>
      <c r="B5446" s="143"/>
      <c r="C5446" s="143"/>
      <c r="D5446" s="143"/>
      <c r="E5446" s="143"/>
      <c r="F5446" s="84"/>
      <c r="G5446" s="146"/>
      <c r="H5446" s="221"/>
    </row>
    <row r="5447" spans="1:9" s="212" customFormat="1">
      <c r="A5447" s="91"/>
      <c r="B5447" s="91"/>
      <c r="C5447" s="91"/>
      <c r="D5447" s="91"/>
      <c r="E5447" s="91"/>
      <c r="G5447" s="213"/>
      <c r="H5447" s="222"/>
    </row>
    <row r="5448" spans="1:9" s="212" customFormat="1">
      <c r="A5448" s="120"/>
      <c r="B5448" s="73"/>
      <c r="C5448" s="73"/>
      <c r="D5448" s="73"/>
      <c r="E5448" s="73"/>
      <c r="G5448" s="73"/>
      <c r="H5448" s="222"/>
    </row>
    <row r="5449" spans="1:9" s="212" customFormat="1">
      <c r="A5449" s="220"/>
      <c r="B5449" s="141"/>
      <c r="C5449" s="141"/>
      <c r="D5449" s="141"/>
      <c r="E5449" s="141"/>
      <c r="F5449" s="141"/>
      <c r="G5449" s="141"/>
      <c r="H5449" s="222"/>
    </row>
    <row r="5450" spans="1:9" s="212" customFormat="1">
      <c r="A5450" s="142"/>
      <c r="B5450" s="143"/>
      <c r="C5450" s="143"/>
      <c r="D5450" s="143"/>
      <c r="E5450" s="143"/>
      <c r="F5450" s="84"/>
      <c r="G5450" s="146"/>
      <c r="H5450" s="221"/>
    </row>
    <row r="5451" spans="1:9" s="212" customFormat="1">
      <c r="A5451" s="123"/>
      <c r="B5451" s="95"/>
      <c r="C5451" s="95"/>
      <c r="D5451" s="95"/>
      <c r="E5451" s="95"/>
      <c r="G5451" s="213"/>
      <c r="H5451" s="73"/>
    </row>
    <row r="5452" spans="1:9" s="212" customFormat="1">
      <c r="A5452" s="123"/>
      <c r="B5452" s="95"/>
      <c r="C5452" s="95"/>
      <c r="D5452" s="95"/>
      <c r="E5452" s="95"/>
      <c r="G5452" s="73"/>
      <c r="H5452" s="225"/>
    </row>
    <row r="5453" spans="1:9" s="212" customFormat="1">
      <c r="B5453" s="97"/>
      <c r="C5453" s="98"/>
      <c r="D5453" s="98"/>
      <c r="E5453" s="98"/>
      <c r="G5453" s="220"/>
    </row>
    <row r="5454" spans="1:9" s="212" customFormat="1">
      <c r="B5454" s="97"/>
      <c r="C5454" s="98"/>
      <c r="D5454" s="98"/>
      <c r="E5454" s="98"/>
      <c r="F5454" s="220"/>
      <c r="G5454" s="225"/>
      <c r="H5454" s="226"/>
    </row>
    <row r="5455" spans="1:9" s="212" customFormat="1">
      <c r="A5455" s="633"/>
      <c r="B5455" s="633"/>
      <c r="C5455" s="633"/>
      <c r="D5455" s="633"/>
      <c r="E5455" s="633"/>
      <c r="F5455" s="633"/>
      <c r="G5455" s="633"/>
    </row>
    <row r="5456" spans="1:9" s="212" customFormat="1">
      <c r="H5456" s="227"/>
      <c r="I5456" s="228"/>
    </row>
    <row r="5457" spans="1:9" s="212" customFormat="1">
      <c r="A5457" s="658"/>
      <c r="B5457" s="227"/>
      <c r="C5457" s="227"/>
      <c r="D5457" s="227"/>
      <c r="E5457" s="227"/>
      <c r="F5457" s="227"/>
      <c r="G5457" s="227"/>
      <c r="H5457" s="227"/>
      <c r="I5457" s="229"/>
    </row>
    <row r="5458" spans="1:9" s="212" customFormat="1">
      <c r="A5458" s="658"/>
      <c r="B5458" s="227"/>
      <c r="C5458" s="227"/>
      <c r="D5458" s="227"/>
      <c r="E5458" s="227"/>
      <c r="F5458" s="227"/>
      <c r="G5458" s="227"/>
    </row>
    <row r="5459" spans="1:9" s="212" customFormat="1">
      <c r="A5459" s="69"/>
      <c r="B5459" s="69"/>
      <c r="C5459" s="69"/>
      <c r="D5459" s="69"/>
      <c r="E5459" s="69"/>
    </row>
    <row r="5460" spans="1:9" s="212" customFormat="1">
      <c r="A5460" s="120"/>
      <c r="B5460" s="73"/>
      <c r="C5460" s="73"/>
      <c r="D5460" s="73"/>
      <c r="E5460" s="73"/>
      <c r="F5460" s="73"/>
      <c r="G5460" s="73"/>
      <c r="H5460" s="73"/>
    </row>
    <row r="5461" spans="1:9" s="212" customFormat="1">
      <c r="A5461" s="220"/>
      <c r="B5461" s="141"/>
      <c r="C5461" s="141"/>
      <c r="D5461" s="141"/>
      <c r="E5461" s="141"/>
      <c r="F5461" s="141"/>
      <c r="G5461" s="141"/>
      <c r="H5461" s="73"/>
    </row>
    <row r="5462" spans="1:9" s="212" customFormat="1">
      <c r="A5462" s="142"/>
      <c r="B5462" s="143"/>
      <c r="C5462" s="143"/>
      <c r="D5462" s="143"/>
      <c r="E5462" s="143"/>
      <c r="F5462" s="84"/>
      <c r="G5462" s="146"/>
      <c r="H5462" s="221"/>
    </row>
    <row r="5463" spans="1:9" s="212" customFormat="1">
      <c r="A5463" s="84"/>
      <c r="B5463" s="83"/>
      <c r="C5463" s="84"/>
      <c r="D5463" s="84"/>
      <c r="E5463" s="84"/>
      <c r="G5463" s="213"/>
      <c r="H5463" s="222"/>
    </row>
    <row r="5464" spans="1:9" s="212" customFormat="1">
      <c r="A5464" s="120"/>
      <c r="B5464" s="73"/>
      <c r="C5464" s="73"/>
      <c r="D5464" s="73"/>
      <c r="E5464" s="73"/>
      <c r="G5464" s="73"/>
      <c r="H5464" s="222"/>
    </row>
    <row r="5465" spans="1:9" s="212" customFormat="1">
      <c r="A5465" s="220"/>
      <c r="B5465" s="141"/>
      <c r="C5465" s="141"/>
      <c r="D5465" s="141"/>
      <c r="E5465" s="141"/>
      <c r="F5465" s="141"/>
      <c r="G5465" s="141"/>
      <c r="H5465" s="222"/>
    </row>
    <row r="5466" spans="1:9" s="212" customFormat="1">
      <c r="A5466" s="150"/>
      <c r="B5466" s="83"/>
      <c r="C5466" s="148"/>
      <c r="D5466" s="160"/>
      <c r="E5466" s="84"/>
      <c r="F5466" s="84"/>
      <c r="G5466" s="146"/>
      <c r="H5466" s="221"/>
    </row>
    <row r="5467" spans="1:9" s="212" customFormat="1">
      <c r="A5467" s="91"/>
      <c r="B5467" s="91"/>
      <c r="C5467" s="91"/>
      <c r="D5467" s="91"/>
      <c r="E5467" s="91"/>
      <c r="G5467" s="213"/>
      <c r="H5467" s="222"/>
    </row>
    <row r="5468" spans="1:9" s="212" customFormat="1">
      <c r="A5468" s="120"/>
      <c r="B5468" s="73"/>
      <c r="C5468" s="73"/>
      <c r="D5468" s="73"/>
      <c r="E5468" s="73"/>
      <c r="G5468" s="73"/>
      <c r="H5468" s="222"/>
    </row>
    <row r="5469" spans="1:9" s="212" customFormat="1">
      <c r="A5469" s="220"/>
      <c r="B5469" s="141"/>
      <c r="C5469" s="141"/>
      <c r="D5469" s="141"/>
      <c r="E5469" s="141"/>
      <c r="F5469" s="141"/>
      <c r="G5469" s="141"/>
      <c r="H5469" s="222"/>
    </row>
    <row r="5470" spans="1:9" s="212" customFormat="1">
      <c r="A5470" s="142"/>
      <c r="B5470" s="143"/>
      <c r="C5470" s="143"/>
      <c r="D5470" s="143"/>
      <c r="E5470" s="143"/>
      <c r="F5470" s="84"/>
      <c r="G5470" s="146"/>
      <c r="H5470" s="221"/>
    </row>
    <row r="5471" spans="1:9" s="212" customFormat="1">
      <c r="A5471" s="91"/>
      <c r="B5471" s="91"/>
      <c r="C5471" s="91"/>
      <c r="D5471" s="91"/>
      <c r="E5471" s="91"/>
      <c r="G5471" s="213"/>
      <c r="H5471" s="222"/>
    </row>
    <row r="5472" spans="1:9" s="212" customFormat="1">
      <c r="A5472" s="120"/>
      <c r="B5472" s="73"/>
      <c r="C5472" s="73"/>
      <c r="D5472" s="73"/>
      <c r="E5472" s="73"/>
      <c r="G5472" s="73"/>
      <c r="H5472" s="222"/>
    </row>
    <row r="5473" spans="1:9" s="212" customFormat="1">
      <c r="A5473" s="220"/>
      <c r="B5473" s="141"/>
      <c r="C5473" s="141"/>
      <c r="D5473" s="141"/>
      <c r="E5473" s="141"/>
      <c r="F5473" s="141"/>
      <c r="G5473" s="141"/>
      <c r="H5473" s="222"/>
    </row>
    <row r="5474" spans="1:9" s="212" customFormat="1">
      <c r="A5474" s="142"/>
      <c r="B5474" s="143"/>
      <c r="C5474" s="143"/>
      <c r="D5474" s="143"/>
      <c r="E5474" s="143"/>
      <c r="F5474" s="84"/>
      <c r="G5474" s="146"/>
      <c r="H5474" s="221"/>
    </row>
    <row r="5475" spans="1:9" s="212" customFormat="1">
      <c r="A5475" s="123"/>
      <c r="B5475" s="95"/>
      <c r="C5475" s="95"/>
      <c r="D5475" s="95"/>
      <c r="E5475" s="95"/>
      <c r="G5475" s="213"/>
      <c r="H5475" s="73"/>
    </row>
    <row r="5476" spans="1:9" s="212" customFormat="1">
      <c r="A5476" s="123"/>
      <c r="B5476" s="95"/>
      <c r="C5476" s="95"/>
      <c r="D5476" s="95"/>
      <c r="E5476" s="95"/>
      <c r="G5476" s="73"/>
      <c r="H5476" s="225"/>
    </row>
    <row r="5477" spans="1:9" s="212" customFormat="1">
      <c r="B5477" s="97"/>
      <c r="C5477" s="98"/>
      <c r="D5477" s="98"/>
      <c r="E5477" s="98"/>
      <c r="G5477" s="220"/>
    </row>
    <row r="5478" spans="1:9" s="212" customFormat="1">
      <c r="B5478" s="97"/>
      <c r="C5478" s="98"/>
      <c r="D5478" s="98"/>
      <c r="E5478" s="98"/>
      <c r="F5478" s="220"/>
      <c r="G5478" s="225"/>
      <c r="H5478" s="226"/>
    </row>
    <row r="5479" spans="1:9" s="212" customFormat="1">
      <c r="A5479" s="633"/>
      <c r="B5479" s="633"/>
      <c r="C5479" s="633"/>
      <c r="D5479" s="633"/>
      <c r="E5479" s="633"/>
      <c r="F5479" s="633"/>
      <c r="G5479" s="633"/>
    </row>
    <row r="5480" spans="1:9" s="212" customFormat="1">
      <c r="H5480" s="227"/>
      <c r="I5480" s="228"/>
    </row>
    <row r="5481" spans="1:9" s="212" customFormat="1">
      <c r="A5481" s="658"/>
      <c r="B5481" s="227"/>
      <c r="C5481" s="227"/>
      <c r="D5481" s="227"/>
      <c r="E5481" s="227"/>
      <c r="F5481" s="227"/>
      <c r="G5481" s="227"/>
      <c r="H5481" s="227"/>
      <c r="I5481" s="229"/>
    </row>
    <row r="5482" spans="1:9" s="212" customFormat="1">
      <c r="A5482" s="658"/>
      <c r="B5482" s="227"/>
      <c r="C5482" s="227"/>
      <c r="D5482" s="227"/>
      <c r="E5482" s="227"/>
      <c r="F5482" s="227"/>
      <c r="G5482" s="227"/>
    </row>
    <row r="5483" spans="1:9" s="212" customFormat="1">
      <c r="A5483" s="69"/>
      <c r="B5483" s="69"/>
      <c r="C5483" s="69"/>
      <c r="D5483" s="69"/>
      <c r="E5483" s="69"/>
    </row>
    <row r="5484" spans="1:9" s="212" customFormat="1">
      <c r="A5484" s="120"/>
      <c r="B5484" s="73"/>
      <c r="C5484" s="73"/>
      <c r="D5484" s="73"/>
      <c r="E5484" s="73"/>
      <c r="F5484" s="73"/>
      <c r="G5484" s="73"/>
      <c r="H5484" s="73"/>
    </row>
    <row r="5485" spans="1:9" s="212" customFormat="1">
      <c r="A5485" s="220"/>
      <c r="B5485" s="141"/>
      <c r="C5485" s="141"/>
      <c r="D5485" s="141"/>
      <c r="E5485" s="141"/>
      <c r="F5485" s="141"/>
      <c r="G5485" s="141"/>
      <c r="H5485" s="73"/>
    </row>
    <row r="5486" spans="1:9" s="212" customFormat="1">
      <c r="A5486" s="142"/>
      <c r="B5486" s="143"/>
      <c r="C5486" s="143"/>
      <c r="D5486" s="143"/>
      <c r="E5486" s="143"/>
      <c r="F5486" s="84"/>
      <c r="G5486" s="146"/>
      <c r="H5486" s="221"/>
    </row>
    <row r="5487" spans="1:9" s="212" customFormat="1">
      <c r="A5487" s="84"/>
      <c r="B5487" s="83"/>
      <c r="C5487" s="84"/>
      <c r="D5487" s="84"/>
      <c r="E5487" s="84"/>
      <c r="G5487" s="213"/>
      <c r="H5487" s="222"/>
    </row>
    <row r="5488" spans="1:9" s="212" customFormat="1">
      <c r="A5488" s="120"/>
      <c r="B5488" s="73"/>
      <c r="C5488" s="73"/>
      <c r="D5488" s="73"/>
      <c r="E5488" s="73"/>
      <c r="G5488" s="73"/>
      <c r="H5488" s="222"/>
    </row>
    <row r="5489" spans="1:9" s="212" customFormat="1">
      <c r="A5489" s="220"/>
      <c r="B5489" s="141"/>
      <c r="C5489" s="141"/>
      <c r="D5489" s="141"/>
      <c r="E5489" s="141"/>
      <c r="F5489" s="141"/>
      <c r="G5489" s="141"/>
      <c r="H5489" s="222"/>
    </row>
    <row r="5490" spans="1:9" s="212" customFormat="1">
      <c r="A5490" s="150"/>
      <c r="B5490" s="83"/>
      <c r="C5490" s="148"/>
      <c r="D5490" s="160"/>
      <c r="E5490" s="84"/>
      <c r="F5490" s="84"/>
      <c r="G5490" s="146"/>
      <c r="H5490" s="221"/>
    </row>
    <row r="5491" spans="1:9" s="212" customFormat="1">
      <c r="A5491" s="91"/>
      <c r="B5491" s="91"/>
      <c r="C5491" s="91"/>
      <c r="D5491" s="91"/>
      <c r="E5491" s="91"/>
      <c r="G5491" s="213"/>
      <c r="H5491" s="222"/>
    </row>
    <row r="5492" spans="1:9" s="212" customFormat="1">
      <c r="A5492" s="120"/>
      <c r="B5492" s="73"/>
      <c r="C5492" s="73"/>
      <c r="D5492" s="73"/>
      <c r="E5492" s="73"/>
      <c r="G5492" s="73"/>
      <c r="H5492" s="222"/>
    </row>
    <row r="5493" spans="1:9" s="212" customFormat="1">
      <c r="A5493" s="220"/>
      <c r="B5493" s="141"/>
      <c r="C5493" s="141"/>
      <c r="D5493" s="141"/>
      <c r="E5493" s="141"/>
      <c r="F5493" s="141"/>
      <c r="G5493" s="141"/>
      <c r="H5493" s="222"/>
    </row>
    <row r="5494" spans="1:9" s="212" customFormat="1">
      <c r="A5494" s="142"/>
      <c r="B5494" s="143"/>
      <c r="C5494" s="143"/>
      <c r="D5494" s="143"/>
      <c r="E5494" s="143"/>
      <c r="F5494" s="84"/>
      <c r="G5494" s="146"/>
      <c r="H5494" s="221"/>
    </row>
    <row r="5495" spans="1:9" s="212" customFormat="1">
      <c r="A5495" s="91"/>
      <c r="B5495" s="91"/>
      <c r="C5495" s="91"/>
      <c r="D5495" s="91"/>
      <c r="E5495" s="91"/>
      <c r="G5495" s="213"/>
      <c r="H5495" s="222"/>
    </row>
    <row r="5496" spans="1:9" s="212" customFormat="1">
      <c r="A5496" s="120"/>
      <c r="B5496" s="73"/>
      <c r="C5496" s="73"/>
      <c r="D5496" s="73"/>
      <c r="E5496" s="73"/>
      <c r="G5496" s="73"/>
      <c r="H5496" s="222"/>
    </row>
    <row r="5497" spans="1:9" s="212" customFormat="1">
      <c r="A5497" s="220"/>
      <c r="B5497" s="141"/>
      <c r="C5497" s="141"/>
      <c r="D5497" s="141"/>
      <c r="E5497" s="141"/>
      <c r="F5497" s="141"/>
      <c r="G5497" s="141"/>
      <c r="H5497" s="222"/>
    </row>
    <row r="5498" spans="1:9" s="212" customFormat="1">
      <c r="A5498" s="142"/>
      <c r="B5498" s="143"/>
      <c r="C5498" s="143"/>
      <c r="D5498" s="143"/>
      <c r="E5498" s="143"/>
      <c r="F5498" s="84"/>
      <c r="G5498" s="146"/>
      <c r="H5498" s="221"/>
    </row>
    <row r="5499" spans="1:9" s="212" customFormat="1">
      <c r="A5499" s="123"/>
      <c r="B5499" s="95"/>
      <c r="C5499" s="95"/>
      <c r="D5499" s="95"/>
      <c r="E5499" s="95"/>
      <c r="G5499" s="213"/>
      <c r="H5499" s="73"/>
    </row>
    <row r="5500" spans="1:9" s="212" customFormat="1">
      <c r="A5500" s="123"/>
      <c r="B5500" s="95"/>
      <c r="C5500" s="95"/>
      <c r="D5500" s="95"/>
      <c r="E5500" s="95"/>
      <c r="G5500" s="73"/>
      <c r="H5500" s="225"/>
    </row>
    <row r="5501" spans="1:9" s="212" customFormat="1">
      <c r="B5501" s="97"/>
      <c r="C5501" s="98"/>
      <c r="D5501" s="98"/>
      <c r="E5501" s="98"/>
      <c r="G5501" s="220"/>
    </row>
    <row r="5502" spans="1:9" s="212" customFormat="1">
      <c r="B5502" s="97"/>
      <c r="C5502" s="98"/>
      <c r="D5502" s="98"/>
      <c r="E5502" s="98"/>
      <c r="F5502" s="220"/>
      <c r="G5502" s="225"/>
      <c r="H5502" s="226"/>
    </row>
    <row r="5503" spans="1:9" s="212" customFormat="1">
      <c r="A5503" s="633"/>
      <c r="B5503" s="633"/>
      <c r="C5503" s="633"/>
      <c r="D5503" s="633"/>
      <c r="E5503" s="633"/>
      <c r="F5503" s="633"/>
      <c r="G5503" s="633"/>
    </row>
    <row r="5504" spans="1:9" s="212" customFormat="1">
      <c r="H5504" s="227"/>
      <c r="I5504" s="228"/>
    </row>
    <row r="5505" spans="1:9" s="212" customFormat="1">
      <c r="A5505" s="658"/>
      <c r="B5505" s="227"/>
      <c r="C5505" s="227"/>
      <c r="D5505" s="227"/>
      <c r="E5505" s="227"/>
      <c r="F5505" s="227"/>
      <c r="G5505" s="227"/>
      <c r="H5505" s="227"/>
      <c r="I5505" s="229"/>
    </row>
    <row r="5506" spans="1:9" s="212" customFormat="1">
      <c r="A5506" s="658"/>
      <c r="B5506" s="227"/>
      <c r="C5506" s="227"/>
      <c r="D5506" s="227"/>
      <c r="E5506" s="227"/>
      <c r="F5506" s="227"/>
      <c r="G5506" s="227"/>
    </row>
    <row r="5507" spans="1:9" s="212" customFormat="1">
      <c r="A5507" s="69"/>
      <c r="B5507" s="69"/>
      <c r="C5507" s="69"/>
      <c r="D5507" s="69"/>
      <c r="E5507" s="69"/>
    </row>
    <row r="5508" spans="1:9" s="212" customFormat="1">
      <c r="A5508" s="120"/>
      <c r="B5508" s="73"/>
      <c r="C5508" s="73"/>
      <c r="D5508" s="73"/>
      <c r="E5508" s="73"/>
      <c r="F5508" s="73"/>
      <c r="G5508" s="73"/>
      <c r="H5508" s="73"/>
    </row>
    <row r="5509" spans="1:9" s="212" customFormat="1">
      <c r="A5509" s="220"/>
      <c r="B5509" s="141"/>
      <c r="C5509" s="141"/>
      <c r="D5509" s="141"/>
      <c r="E5509" s="141"/>
      <c r="F5509" s="141"/>
      <c r="G5509" s="141"/>
      <c r="H5509" s="73"/>
    </row>
    <row r="5510" spans="1:9" s="212" customFormat="1">
      <c r="A5510" s="142"/>
      <c r="B5510" s="143"/>
      <c r="C5510" s="143"/>
      <c r="D5510" s="143"/>
      <c r="E5510" s="143"/>
      <c r="F5510" s="84"/>
      <c r="G5510" s="146"/>
      <c r="H5510" s="221"/>
    </row>
    <row r="5511" spans="1:9" s="212" customFormat="1">
      <c r="A5511" s="84"/>
      <c r="B5511" s="83"/>
      <c r="C5511" s="84"/>
      <c r="D5511" s="84"/>
      <c r="E5511" s="84"/>
      <c r="G5511" s="213"/>
      <c r="H5511" s="222"/>
    </row>
    <row r="5512" spans="1:9" s="212" customFormat="1">
      <c r="A5512" s="120"/>
      <c r="B5512" s="73"/>
      <c r="C5512" s="73"/>
      <c r="D5512" s="73"/>
      <c r="E5512" s="73"/>
      <c r="G5512" s="73"/>
      <c r="H5512" s="222"/>
    </row>
    <row r="5513" spans="1:9" s="212" customFormat="1">
      <c r="A5513" s="220"/>
      <c r="B5513" s="141"/>
      <c r="C5513" s="141"/>
      <c r="D5513" s="141"/>
      <c r="E5513" s="141"/>
      <c r="F5513" s="141"/>
      <c r="G5513" s="141"/>
      <c r="H5513" s="222"/>
    </row>
    <row r="5514" spans="1:9" s="212" customFormat="1">
      <c r="A5514" s="150"/>
      <c r="B5514" s="83"/>
      <c r="C5514" s="148"/>
      <c r="D5514" s="160"/>
      <c r="E5514" s="84"/>
      <c r="F5514" s="84"/>
      <c r="G5514" s="146"/>
      <c r="H5514" s="221"/>
    </row>
    <row r="5515" spans="1:9" s="212" customFormat="1">
      <c r="A5515" s="91"/>
      <c r="B5515" s="91"/>
      <c r="C5515" s="91"/>
      <c r="D5515" s="91"/>
      <c r="E5515" s="91"/>
      <c r="G5515" s="213"/>
      <c r="H5515" s="222"/>
    </row>
    <row r="5516" spans="1:9" s="212" customFormat="1">
      <c r="A5516" s="120"/>
      <c r="B5516" s="73"/>
      <c r="C5516" s="73"/>
      <c r="D5516" s="73"/>
      <c r="E5516" s="73"/>
      <c r="G5516" s="73"/>
      <c r="H5516" s="222"/>
    </row>
    <row r="5517" spans="1:9" s="212" customFormat="1">
      <c r="A5517" s="220"/>
      <c r="B5517" s="141"/>
      <c r="C5517" s="141"/>
      <c r="D5517" s="141"/>
      <c r="E5517" s="141"/>
      <c r="F5517" s="141"/>
      <c r="G5517" s="141"/>
      <c r="H5517" s="222"/>
    </row>
    <row r="5518" spans="1:9" s="212" customFormat="1">
      <c r="A5518" s="142"/>
      <c r="B5518" s="143"/>
      <c r="C5518" s="143"/>
      <c r="D5518" s="143"/>
      <c r="E5518" s="143"/>
      <c r="F5518" s="84"/>
      <c r="G5518" s="146"/>
      <c r="H5518" s="221"/>
    </row>
    <row r="5519" spans="1:9" s="212" customFormat="1">
      <c r="A5519" s="91"/>
      <c r="B5519" s="91"/>
      <c r="C5519" s="91"/>
      <c r="D5519" s="91"/>
      <c r="E5519" s="91"/>
      <c r="G5519" s="213"/>
      <c r="H5519" s="222"/>
    </row>
    <row r="5520" spans="1:9" s="212" customFormat="1">
      <c r="A5520" s="120"/>
      <c r="B5520" s="73"/>
      <c r="C5520" s="73"/>
      <c r="D5520" s="73"/>
      <c r="E5520" s="73"/>
      <c r="G5520" s="73"/>
      <c r="H5520" s="222"/>
    </row>
    <row r="5521" spans="1:9" s="212" customFormat="1">
      <c r="A5521" s="220"/>
      <c r="B5521" s="141"/>
      <c r="C5521" s="141"/>
      <c r="D5521" s="141"/>
      <c r="E5521" s="141"/>
      <c r="F5521" s="141"/>
      <c r="G5521" s="141"/>
      <c r="H5521" s="222"/>
    </row>
    <row r="5522" spans="1:9" s="212" customFormat="1">
      <c r="A5522" s="142"/>
      <c r="B5522" s="143"/>
      <c r="C5522" s="143"/>
      <c r="D5522" s="143"/>
      <c r="E5522" s="143"/>
      <c r="F5522" s="84"/>
      <c r="G5522" s="146"/>
      <c r="H5522" s="221"/>
    </row>
    <row r="5523" spans="1:9" s="212" customFormat="1">
      <c r="A5523" s="123"/>
      <c r="B5523" s="95"/>
      <c r="C5523" s="95"/>
      <c r="D5523" s="95"/>
      <c r="E5523" s="95"/>
      <c r="G5523" s="213"/>
      <c r="H5523" s="73"/>
    </row>
    <row r="5524" spans="1:9" s="212" customFormat="1">
      <c r="A5524" s="123"/>
      <c r="B5524" s="95"/>
      <c r="C5524" s="95"/>
      <c r="D5524" s="95"/>
      <c r="E5524" s="95"/>
      <c r="G5524" s="73"/>
      <c r="H5524" s="225"/>
    </row>
    <row r="5525" spans="1:9" s="212" customFormat="1">
      <c r="B5525" s="97"/>
      <c r="C5525" s="98"/>
      <c r="D5525" s="98"/>
      <c r="E5525" s="98"/>
      <c r="G5525" s="220"/>
    </row>
    <row r="5526" spans="1:9" s="212" customFormat="1">
      <c r="B5526" s="97"/>
      <c r="C5526" s="98"/>
      <c r="D5526" s="98"/>
      <c r="E5526" s="98"/>
      <c r="F5526" s="220"/>
      <c r="G5526" s="225"/>
      <c r="H5526" s="226"/>
    </row>
    <row r="5527" spans="1:9" s="212" customFormat="1">
      <c r="A5527" s="633"/>
      <c r="B5527" s="633"/>
      <c r="C5527" s="633"/>
      <c r="D5527" s="633"/>
      <c r="E5527" s="633"/>
      <c r="F5527" s="633"/>
      <c r="G5527" s="633"/>
    </row>
    <row r="5528" spans="1:9" s="212" customFormat="1">
      <c r="H5528" s="227"/>
      <c r="I5528" s="228"/>
    </row>
    <row r="5529" spans="1:9" s="212" customFormat="1">
      <c r="A5529" s="658"/>
      <c r="B5529" s="227"/>
      <c r="C5529" s="227"/>
      <c r="D5529" s="227"/>
      <c r="E5529" s="227"/>
      <c r="F5529" s="227"/>
      <c r="G5529" s="227"/>
      <c r="H5529" s="227"/>
      <c r="I5529" s="229"/>
    </row>
    <row r="5530" spans="1:9" s="212" customFormat="1">
      <c r="A5530" s="658"/>
      <c r="B5530" s="227"/>
      <c r="C5530" s="227"/>
      <c r="D5530" s="227"/>
      <c r="E5530" s="227"/>
      <c r="F5530" s="227"/>
      <c r="G5530" s="227"/>
    </row>
    <row r="5531" spans="1:9" s="212" customFormat="1">
      <c r="A5531" s="69"/>
      <c r="B5531" s="69"/>
      <c r="C5531" s="69"/>
      <c r="D5531" s="69"/>
      <c r="E5531" s="69"/>
    </row>
    <row r="5532" spans="1:9" s="212" customFormat="1">
      <c r="A5532" s="120"/>
      <c r="B5532" s="73"/>
      <c r="C5532" s="73"/>
      <c r="D5532" s="73"/>
      <c r="E5532" s="73"/>
      <c r="F5532" s="73"/>
      <c r="G5532" s="73"/>
      <c r="H5532" s="73"/>
    </row>
    <row r="5533" spans="1:9" s="212" customFormat="1">
      <c r="A5533" s="220"/>
      <c r="B5533" s="141"/>
      <c r="C5533" s="141"/>
      <c r="D5533" s="141"/>
      <c r="E5533" s="141"/>
      <c r="F5533" s="141"/>
      <c r="G5533" s="141"/>
      <c r="H5533" s="73"/>
    </row>
    <row r="5534" spans="1:9" s="212" customFormat="1">
      <c r="A5534" s="142"/>
      <c r="B5534" s="143"/>
      <c r="C5534" s="143"/>
      <c r="D5534" s="143"/>
      <c r="E5534" s="143"/>
      <c r="F5534" s="84"/>
      <c r="G5534" s="146"/>
      <c r="H5534" s="221"/>
    </row>
    <row r="5535" spans="1:9" s="212" customFormat="1">
      <c r="A5535" s="84"/>
      <c r="B5535" s="83"/>
      <c r="C5535" s="84"/>
      <c r="D5535" s="84"/>
      <c r="E5535" s="84"/>
      <c r="G5535" s="213"/>
      <c r="H5535" s="222"/>
    </row>
    <row r="5536" spans="1:9" s="212" customFormat="1">
      <c r="A5536" s="120"/>
      <c r="B5536" s="73"/>
      <c r="C5536" s="73"/>
      <c r="D5536" s="73"/>
      <c r="E5536" s="73"/>
      <c r="G5536" s="73"/>
      <c r="H5536" s="222"/>
    </row>
    <row r="5537" spans="1:9" s="212" customFormat="1">
      <c r="A5537" s="220"/>
      <c r="B5537" s="141"/>
      <c r="C5537" s="141"/>
      <c r="D5537" s="141"/>
      <c r="E5537" s="141"/>
      <c r="F5537" s="141"/>
      <c r="G5537" s="141"/>
      <c r="H5537" s="222"/>
    </row>
    <row r="5538" spans="1:9" s="212" customFormat="1">
      <c r="A5538" s="150"/>
      <c r="B5538" s="83"/>
      <c r="C5538" s="148"/>
      <c r="D5538" s="160"/>
      <c r="E5538" s="84"/>
      <c r="F5538" s="84"/>
      <c r="G5538" s="146"/>
      <c r="H5538" s="221"/>
    </row>
    <row r="5539" spans="1:9" s="212" customFormat="1">
      <c r="A5539" s="91"/>
      <c r="B5539" s="91"/>
      <c r="C5539" s="91"/>
      <c r="D5539" s="91"/>
      <c r="E5539" s="91"/>
      <c r="G5539" s="213"/>
      <c r="H5539" s="222"/>
    </row>
    <row r="5540" spans="1:9" s="212" customFormat="1">
      <c r="A5540" s="120"/>
      <c r="B5540" s="73"/>
      <c r="C5540" s="73"/>
      <c r="D5540" s="73"/>
      <c r="E5540" s="73"/>
      <c r="G5540" s="73"/>
      <c r="H5540" s="222"/>
    </row>
    <row r="5541" spans="1:9" s="212" customFormat="1">
      <c r="A5541" s="220"/>
      <c r="B5541" s="141"/>
      <c r="C5541" s="141"/>
      <c r="D5541" s="141"/>
      <c r="E5541" s="141"/>
      <c r="F5541" s="141"/>
      <c r="G5541" s="141"/>
      <c r="H5541" s="222"/>
    </row>
    <row r="5542" spans="1:9" s="212" customFormat="1">
      <c r="A5542" s="142"/>
      <c r="B5542" s="143"/>
      <c r="C5542" s="143"/>
      <c r="D5542" s="143"/>
      <c r="E5542" s="143"/>
      <c r="F5542" s="84"/>
      <c r="G5542" s="146"/>
      <c r="H5542" s="221"/>
    </row>
    <row r="5543" spans="1:9" s="212" customFormat="1">
      <c r="A5543" s="91"/>
      <c r="B5543" s="91"/>
      <c r="C5543" s="91"/>
      <c r="D5543" s="91"/>
      <c r="E5543" s="91"/>
      <c r="G5543" s="213"/>
      <c r="H5543" s="222"/>
    </row>
    <row r="5544" spans="1:9" s="212" customFormat="1">
      <c r="A5544" s="120"/>
      <c r="B5544" s="73"/>
      <c r="C5544" s="73"/>
      <c r="D5544" s="73"/>
      <c r="E5544" s="73"/>
      <c r="G5544" s="73"/>
      <c r="H5544" s="222"/>
    </row>
    <row r="5545" spans="1:9" s="212" customFormat="1">
      <c r="A5545" s="220"/>
      <c r="B5545" s="141"/>
      <c r="C5545" s="141"/>
      <c r="D5545" s="141"/>
      <c r="E5545" s="141"/>
      <c r="F5545" s="141"/>
      <c r="G5545" s="141"/>
      <c r="H5545" s="222"/>
    </row>
    <row r="5546" spans="1:9" s="212" customFormat="1">
      <c r="A5546" s="142"/>
      <c r="B5546" s="143"/>
      <c r="C5546" s="143"/>
      <c r="D5546" s="143"/>
      <c r="E5546" s="143"/>
      <c r="F5546" s="84"/>
      <c r="G5546" s="146"/>
      <c r="H5546" s="221"/>
    </row>
    <row r="5547" spans="1:9" s="212" customFormat="1">
      <c r="A5547" s="123"/>
      <c r="B5547" s="95"/>
      <c r="C5547" s="95"/>
      <c r="D5547" s="95"/>
      <c r="E5547" s="95"/>
      <c r="G5547" s="213"/>
      <c r="H5547" s="73"/>
    </row>
    <row r="5548" spans="1:9" s="212" customFormat="1">
      <c r="A5548" s="123"/>
      <c r="B5548" s="95"/>
      <c r="C5548" s="95"/>
      <c r="D5548" s="95"/>
      <c r="E5548" s="95"/>
      <c r="G5548" s="73"/>
      <c r="H5548" s="225"/>
    </row>
    <row r="5549" spans="1:9" s="212" customFormat="1">
      <c r="B5549" s="97"/>
      <c r="C5549" s="98"/>
      <c r="D5549" s="98"/>
      <c r="E5549" s="98"/>
      <c r="G5549" s="220"/>
    </row>
    <row r="5550" spans="1:9" s="212" customFormat="1">
      <c r="B5550" s="97"/>
      <c r="C5550" s="98"/>
      <c r="D5550" s="98"/>
      <c r="E5550" s="98"/>
      <c r="F5550" s="220"/>
      <c r="G5550" s="225"/>
      <c r="H5550" s="226"/>
    </row>
    <row r="5551" spans="1:9" s="212" customFormat="1">
      <c r="A5551" s="633"/>
      <c r="B5551" s="633"/>
      <c r="C5551" s="633"/>
      <c r="D5551" s="633"/>
      <c r="E5551" s="633"/>
      <c r="F5551" s="633"/>
      <c r="G5551" s="633"/>
    </row>
    <row r="5552" spans="1:9" s="212" customFormat="1">
      <c r="H5552" s="227"/>
      <c r="I5552" s="228"/>
    </row>
    <row r="5553" spans="1:9" s="212" customFormat="1">
      <c r="A5553" s="658"/>
      <c r="B5553" s="227"/>
      <c r="C5553" s="227"/>
      <c r="D5553" s="227"/>
      <c r="E5553" s="227"/>
      <c r="F5553" s="227"/>
      <c r="G5553" s="227"/>
      <c r="H5553" s="227"/>
      <c r="I5553" s="229"/>
    </row>
    <row r="5554" spans="1:9" s="212" customFormat="1">
      <c r="A5554" s="658"/>
      <c r="B5554" s="227"/>
      <c r="C5554" s="227"/>
      <c r="D5554" s="227"/>
      <c r="E5554" s="227"/>
      <c r="F5554" s="227"/>
      <c r="G5554" s="227"/>
    </row>
    <row r="5555" spans="1:9" s="212" customFormat="1">
      <c r="A5555" s="69"/>
      <c r="B5555" s="69"/>
      <c r="C5555" s="69"/>
      <c r="D5555" s="69"/>
      <c r="E5555" s="69"/>
    </row>
    <row r="5556" spans="1:9" s="212" customFormat="1">
      <c r="A5556" s="120"/>
      <c r="B5556" s="73"/>
      <c r="C5556" s="73"/>
      <c r="D5556" s="73"/>
      <c r="E5556" s="73"/>
      <c r="F5556" s="73"/>
      <c r="G5556" s="73"/>
      <c r="H5556" s="73"/>
    </row>
    <row r="5557" spans="1:9" s="212" customFormat="1">
      <c r="A5557" s="220"/>
      <c r="B5557" s="141"/>
      <c r="C5557" s="141"/>
      <c r="D5557" s="141"/>
      <c r="E5557" s="141"/>
      <c r="F5557" s="141"/>
      <c r="G5557" s="141"/>
      <c r="H5557" s="73"/>
    </row>
    <row r="5558" spans="1:9" s="212" customFormat="1">
      <c r="A5558" s="142"/>
      <c r="B5558" s="143"/>
      <c r="C5558" s="143"/>
      <c r="D5558" s="143"/>
      <c r="E5558" s="143"/>
      <c r="F5558" s="84"/>
      <c r="G5558" s="146"/>
      <c r="H5558" s="221"/>
    </row>
    <row r="5559" spans="1:9" s="212" customFormat="1">
      <c r="A5559" s="84"/>
      <c r="B5559" s="83"/>
      <c r="C5559" s="84"/>
      <c r="D5559" s="84"/>
      <c r="E5559" s="84"/>
      <c r="G5559" s="213"/>
      <c r="H5559" s="222"/>
    </row>
    <row r="5560" spans="1:9" s="212" customFormat="1">
      <c r="A5560" s="120"/>
      <c r="B5560" s="73"/>
      <c r="C5560" s="73"/>
      <c r="D5560" s="73"/>
      <c r="E5560" s="73"/>
      <c r="G5560" s="73"/>
      <c r="H5560" s="222"/>
    </row>
    <row r="5561" spans="1:9" s="212" customFormat="1">
      <c r="A5561" s="220"/>
      <c r="B5561" s="141"/>
      <c r="C5561" s="141"/>
      <c r="D5561" s="141"/>
      <c r="E5561" s="141"/>
      <c r="F5561" s="141"/>
      <c r="G5561" s="141"/>
      <c r="H5561" s="222"/>
    </row>
    <row r="5562" spans="1:9" s="212" customFormat="1">
      <c r="A5562" s="150"/>
      <c r="B5562" s="83"/>
      <c r="C5562" s="148"/>
      <c r="D5562" s="160"/>
      <c r="E5562" s="84"/>
      <c r="F5562" s="84"/>
      <c r="G5562" s="146"/>
      <c r="H5562" s="221"/>
    </row>
    <row r="5563" spans="1:9" s="212" customFormat="1">
      <c r="A5563" s="91"/>
      <c r="B5563" s="91"/>
      <c r="C5563" s="91"/>
      <c r="D5563" s="91"/>
      <c r="E5563" s="91"/>
      <c r="G5563" s="213"/>
      <c r="H5563" s="222"/>
    </row>
    <row r="5564" spans="1:9" s="212" customFormat="1">
      <c r="A5564" s="120"/>
      <c r="B5564" s="73"/>
      <c r="C5564" s="73"/>
      <c r="D5564" s="73"/>
      <c r="E5564" s="73"/>
      <c r="G5564" s="73"/>
      <c r="H5564" s="222"/>
    </row>
    <row r="5565" spans="1:9" s="212" customFormat="1">
      <c r="A5565" s="220"/>
      <c r="B5565" s="141"/>
      <c r="C5565" s="141"/>
      <c r="D5565" s="141"/>
      <c r="E5565" s="141"/>
      <c r="F5565" s="141"/>
      <c r="G5565" s="141"/>
      <c r="H5565" s="222"/>
    </row>
    <row r="5566" spans="1:9" s="212" customFormat="1">
      <c r="A5566" s="142"/>
      <c r="B5566" s="143"/>
      <c r="C5566" s="143"/>
      <c r="D5566" s="143"/>
      <c r="E5566" s="143"/>
      <c r="F5566" s="84"/>
      <c r="G5566" s="146"/>
      <c r="H5566" s="221"/>
    </row>
    <row r="5567" spans="1:9" s="212" customFormat="1">
      <c r="A5567" s="91"/>
      <c r="B5567" s="91"/>
      <c r="C5567" s="91"/>
      <c r="D5567" s="91"/>
      <c r="E5567" s="91"/>
      <c r="G5567" s="213"/>
      <c r="H5567" s="222"/>
    </row>
    <row r="5568" spans="1:9" s="212" customFormat="1">
      <c r="A5568" s="120"/>
      <c r="B5568" s="73"/>
      <c r="C5568" s="73"/>
      <c r="D5568" s="73"/>
      <c r="E5568" s="73"/>
      <c r="G5568" s="73"/>
      <c r="H5568" s="222"/>
    </row>
    <row r="5569" spans="1:9" s="212" customFormat="1">
      <c r="A5569" s="220"/>
      <c r="B5569" s="141"/>
      <c r="C5569" s="141"/>
      <c r="D5569" s="141"/>
      <c r="E5569" s="141"/>
      <c r="F5569" s="141"/>
      <c r="G5569" s="141"/>
      <c r="H5569" s="222"/>
    </row>
    <row r="5570" spans="1:9" s="212" customFormat="1">
      <c r="A5570" s="142"/>
      <c r="B5570" s="143"/>
      <c r="C5570" s="143"/>
      <c r="D5570" s="143"/>
      <c r="E5570" s="143"/>
      <c r="F5570" s="84"/>
      <c r="G5570" s="146"/>
      <c r="H5570" s="221"/>
    </row>
    <row r="5571" spans="1:9" s="212" customFormat="1">
      <c r="A5571" s="123"/>
      <c r="B5571" s="95"/>
      <c r="C5571" s="95"/>
      <c r="D5571" s="95"/>
      <c r="E5571" s="95"/>
      <c r="G5571" s="213"/>
      <c r="H5571" s="73"/>
    </row>
    <row r="5572" spans="1:9" s="212" customFormat="1">
      <c r="A5572" s="123"/>
      <c r="B5572" s="95"/>
      <c r="C5572" s="95"/>
      <c r="D5572" s="95"/>
      <c r="E5572" s="95"/>
      <c r="G5572" s="73"/>
      <c r="H5572" s="225"/>
    </row>
    <row r="5573" spans="1:9" s="212" customFormat="1">
      <c r="B5573" s="97"/>
      <c r="C5573" s="98"/>
      <c r="D5573" s="98"/>
      <c r="E5573" s="98"/>
      <c r="G5573" s="220"/>
    </row>
    <row r="5574" spans="1:9" s="212" customFormat="1">
      <c r="B5574" s="97"/>
      <c r="C5574" s="98"/>
      <c r="D5574" s="98"/>
      <c r="E5574" s="98"/>
      <c r="F5574" s="220"/>
      <c r="G5574" s="225"/>
      <c r="H5574" s="226"/>
    </row>
    <row r="5575" spans="1:9" s="212" customFormat="1">
      <c r="A5575" s="633"/>
      <c r="B5575" s="633"/>
      <c r="C5575" s="633"/>
      <c r="D5575" s="633"/>
      <c r="E5575" s="633"/>
      <c r="F5575" s="633"/>
      <c r="G5575" s="633"/>
    </row>
    <row r="5576" spans="1:9" s="212" customFormat="1">
      <c r="H5576" s="227"/>
      <c r="I5576" s="228"/>
    </row>
    <row r="5577" spans="1:9" s="212" customFormat="1">
      <c r="A5577" s="658"/>
      <c r="B5577" s="227"/>
      <c r="C5577" s="227"/>
      <c r="D5577" s="227"/>
      <c r="E5577" s="227"/>
      <c r="F5577" s="227"/>
      <c r="G5577" s="227"/>
      <c r="H5577" s="227"/>
      <c r="I5577" s="229"/>
    </row>
    <row r="5578" spans="1:9" s="212" customFormat="1">
      <c r="A5578" s="658"/>
      <c r="B5578" s="227"/>
      <c r="C5578" s="227"/>
      <c r="D5578" s="227"/>
      <c r="E5578" s="227"/>
      <c r="F5578" s="227"/>
      <c r="G5578" s="227"/>
    </row>
    <row r="5579" spans="1:9" s="212" customFormat="1">
      <c r="A5579" s="69"/>
      <c r="B5579" s="69"/>
      <c r="C5579" s="69"/>
      <c r="D5579" s="69"/>
      <c r="E5579" s="69"/>
    </row>
    <row r="5580" spans="1:9" s="212" customFormat="1">
      <c r="A5580" s="120"/>
      <c r="B5580" s="73"/>
      <c r="C5580" s="73"/>
      <c r="D5580" s="73"/>
      <c r="E5580" s="73"/>
      <c r="F5580" s="73"/>
      <c r="G5580" s="73"/>
      <c r="H5580" s="73"/>
    </row>
    <row r="5581" spans="1:9" s="212" customFormat="1">
      <c r="A5581" s="220"/>
      <c r="B5581" s="141"/>
      <c r="C5581" s="141"/>
      <c r="D5581" s="141"/>
      <c r="E5581" s="141"/>
      <c r="F5581" s="141"/>
      <c r="G5581" s="141"/>
      <c r="H5581" s="73"/>
    </row>
    <row r="5582" spans="1:9" s="212" customFormat="1">
      <c r="A5582" s="142"/>
      <c r="B5582" s="143"/>
      <c r="C5582" s="143"/>
      <c r="D5582" s="143"/>
      <c r="E5582" s="143"/>
      <c r="F5582" s="84"/>
      <c r="G5582" s="146"/>
      <c r="H5582" s="221"/>
    </row>
    <row r="5583" spans="1:9" s="212" customFormat="1">
      <c r="A5583" s="84"/>
      <c r="B5583" s="83"/>
      <c r="C5583" s="84"/>
      <c r="D5583" s="84"/>
      <c r="E5583" s="84"/>
      <c r="G5583" s="213"/>
      <c r="H5583" s="222"/>
    </row>
    <row r="5584" spans="1:9" s="212" customFormat="1">
      <c r="A5584" s="120"/>
      <c r="B5584" s="73"/>
      <c r="C5584" s="73"/>
      <c r="D5584" s="73"/>
      <c r="E5584" s="73"/>
      <c r="G5584" s="73"/>
      <c r="H5584" s="222"/>
    </row>
    <row r="5585" spans="1:9" s="212" customFormat="1">
      <c r="A5585" s="220"/>
      <c r="B5585" s="141"/>
      <c r="C5585" s="141"/>
      <c r="D5585" s="141"/>
      <c r="E5585" s="141"/>
      <c r="F5585" s="141"/>
      <c r="G5585" s="141"/>
      <c r="H5585" s="222"/>
    </row>
    <row r="5586" spans="1:9" s="212" customFormat="1">
      <c r="A5586" s="150"/>
      <c r="B5586" s="83"/>
      <c r="C5586" s="148"/>
      <c r="D5586" s="160"/>
      <c r="E5586" s="84"/>
      <c r="F5586" s="84"/>
      <c r="G5586" s="146"/>
      <c r="H5586" s="221"/>
    </row>
    <row r="5587" spans="1:9" s="212" customFormat="1">
      <c r="A5587" s="91"/>
      <c r="B5587" s="91"/>
      <c r="C5587" s="91"/>
      <c r="D5587" s="91"/>
      <c r="E5587" s="91"/>
      <c r="G5587" s="213"/>
      <c r="H5587" s="222"/>
    </row>
    <row r="5588" spans="1:9" s="212" customFormat="1">
      <c r="A5588" s="120"/>
      <c r="B5588" s="73"/>
      <c r="C5588" s="73"/>
      <c r="D5588" s="73"/>
      <c r="E5588" s="73"/>
      <c r="G5588" s="73"/>
      <c r="H5588" s="222"/>
    </row>
    <row r="5589" spans="1:9" s="212" customFormat="1">
      <c r="A5589" s="220"/>
      <c r="B5589" s="141"/>
      <c r="C5589" s="141"/>
      <c r="D5589" s="141"/>
      <c r="E5589" s="141"/>
      <c r="F5589" s="141"/>
      <c r="G5589" s="141"/>
      <c r="H5589" s="222"/>
    </row>
    <row r="5590" spans="1:9" s="212" customFormat="1">
      <c r="A5590" s="142"/>
      <c r="B5590" s="143"/>
      <c r="C5590" s="143"/>
      <c r="D5590" s="143"/>
      <c r="E5590" s="143"/>
      <c r="F5590" s="84"/>
      <c r="G5590" s="146"/>
      <c r="H5590" s="221"/>
    </row>
    <row r="5591" spans="1:9" s="212" customFormat="1">
      <c r="A5591" s="91"/>
      <c r="B5591" s="91"/>
      <c r="C5591" s="91"/>
      <c r="D5591" s="91"/>
      <c r="E5591" s="91"/>
      <c r="G5591" s="213"/>
      <c r="H5591" s="222"/>
    </row>
    <row r="5592" spans="1:9" s="212" customFormat="1">
      <c r="A5592" s="120"/>
      <c r="B5592" s="73"/>
      <c r="C5592" s="73"/>
      <c r="D5592" s="73"/>
      <c r="E5592" s="73"/>
      <c r="G5592" s="73"/>
      <c r="H5592" s="222"/>
    </row>
    <row r="5593" spans="1:9" s="212" customFormat="1">
      <c r="A5593" s="220"/>
      <c r="B5593" s="141"/>
      <c r="C5593" s="141"/>
      <c r="D5593" s="141"/>
      <c r="E5593" s="141"/>
      <c r="F5593" s="141"/>
      <c r="G5593" s="141"/>
      <c r="H5593" s="222"/>
    </row>
    <row r="5594" spans="1:9" s="212" customFormat="1">
      <c r="A5594" s="142"/>
      <c r="B5594" s="143"/>
      <c r="C5594" s="143"/>
      <c r="D5594" s="143"/>
      <c r="E5594" s="143"/>
      <c r="F5594" s="84"/>
      <c r="G5594" s="146"/>
      <c r="H5594" s="221"/>
    </row>
    <row r="5595" spans="1:9" s="212" customFormat="1">
      <c r="A5595" s="123"/>
      <c r="B5595" s="95"/>
      <c r="C5595" s="95"/>
      <c r="D5595" s="95"/>
      <c r="E5595" s="95"/>
      <c r="G5595" s="213"/>
      <c r="H5595" s="73"/>
    </row>
    <row r="5596" spans="1:9" s="212" customFormat="1">
      <c r="A5596" s="123"/>
      <c r="B5596" s="95"/>
      <c r="C5596" s="95"/>
      <c r="D5596" s="95"/>
      <c r="E5596" s="95"/>
      <c r="G5596" s="73"/>
      <c r="H5596" s="225"/>
    </row>
    <row r="5597" spans="1:9" s="212" customFormat="1">
      <c r="B5597" s="97"/>
      <c r="C5597" s="98"/>
      <c r="D5597" s="98"/>
      <c r="E5597" s="98"/>
      <c r="G5597" s="220"/>
    </row>
    <row r="5598" spans="1:9" s="212" customFormat="1">
      <c r="B5598" s="97"/>
      <c r="C5598" s="98"/>
      <c r="D5598" s="98"/>
      <c r="E5598" s="98"/>
      <c r="F5598" s="220"/>
      <c r="G5598" s="225"/>
      <c r="H5598" s="226"/>
    </row>
    <row r="5599" spans="1:9" s="212" customFormat="1">
      <c r="A5599" s="633"/>
      <c r="B5599" s="633"/>
      <c r="C5599" s="633"/>
      <c r="D5599" s="633"/>
      <c r="E5599" s="633"/>
      <c r="F5599" s="633"/>
      <c r="G5599" s="633"/>
    </row>
    <row r="5600" spans="1:9" s="212" customFormat="1">
      <c r="H5600" s="227"/>
      <c r="I5600" s="228"/>
    </row>
    <row r="5601" spans="1:9" s="212" customFormat="1">
      <c r="A5601" s="658"/>
      <c r="B5601" s="227"/>
      <c r="C5601" s="227"/>
      <c r="D5601" s="227"/>
      <c r="E5601" s="227"/>
      <c r="F5601" s="227"/>
      <c r="G5601" s="227"/>
      <c r="H5601" s="227"/>
      <c r="I5601" s="229"/>
    </row>
    <row r="5602" spans="1:9" s="212" customFormat="1">
      <c r="A5602" s="658"/>
      <c r="B5602" s="227"/>
      <c r="C5602" s="227"/>
      <c r="D5602" s="227"/>
      <c r="E5602" s="227"/>
      <c r="F5602" s="227"/>
      <c r="G5602" s="227"/>
    </row>
    <row r="5603" spans="1:9" s="212" customFormat="1">
      <c r="A5603" s="69"/>
      <c r="B5603" s="69"/>
      <c r="C5603" s="69"/>
      <c r="D5603" s="69"/>
      <c r="E5603" s="69"/>
    </row>
    <row r="5604" spans="1:9" s="212" customFormat="1">
      <c r="A5604" s="120"/>
      <c r="B5604" s="73"/>
      <c r="C5604" s="73"/>
      <c r="D5604" s="73"/>
      <c r="E5604" s="73"/>
      <c r="F5604" s="73"/>
      <c r="G5604" s="73"/>
      <c r="H5604" s="73"/>
    </row>
    <row r="5605" spans="1:9" s="212" customFormat="1">
      <c r="A5605" s="220"/>
      <c r="B5605" s="141"/>
      <c r="C5605" s="141"/>
      <c r="D5605" s="141"/>
      <c r="E5605" s="141"/>
      <c r="F5605" s="141"/>
      <c r="G5605" s="141"/>
      <c r="H5605" s="73"/>
    </row>
    <row r="5606" spans="1:9" s="212" customFormat="1">
      <c r="A5606" s="142"/>
      <c r="B5606" s="143"/>
      <c r="C5606" s="143"/>
      <c r="D5606" s="143"/>
      <c r="E5606" s="143"/>
      <c r="F5606" s="84"/>
      <c r="G5606" s="146"/>
      <c r="H5606" s="221"/>
    </row>
    <row r="5607" spans="1:9" s="212" customFormat="1">
      <c r="A5607" s="84"/>
      <c r="B5607" s="83"/>
      <c r="C5607" s="84"/>
      <c r="D5607" s="84"/>
      <c r="E5607" s="84"/>
      <c r="G5607" s="213"/>
      <c r="H5607" s="222"/>
    </row>
    <row r="5608" spans="1:9" s="212" customFormat="1">
      <c r="A5608" s="120"/>
      <c r="B5608" s="73"/>
      <c r="C5608" s="73"/>
      <c r="D5608" s="73"/>
      <c r="E5608" s="73"/>
      <c r="G5608" s="73"/>
      <c r="H5608" s="222"/>
    </row>
    <row r="5609" spans="1:9" s="212" customFormat="1">
      <c r="A5609" s="220"/>
      <c r="B5609" s="141"/>
      <c r="C5609" s="141"/>
      <c r="D5609" s="141"/>
      <c r="E5609" s="141"/>
      <c r="F5609" s="141"/>
      <c r="G5609" s="141"/>
      <c r="H5609" s="222"/>
    </row>
    <row r="5610" spans="1:9" s="212" customFormat="1">
      <c r="A5610" s="150"/>
      <c r="B5610" s="83"/>
      <c r="C5610" s="148"/>
      <c r="D5610" s="160"/>
      <c r="E5610" s="84"/>
      <c r="F5610" s="84"/>
      <c r="G5610" s="146"/>
      <c r="H5610" s="221"/>
    </row>
    <row r="5611" spans="1:9" s="212" customFormat="1">
      <c r="A5611" s="91"/>
      <c r="B5611" s="91"/>
      <c r="C5611" s="91"/>
      <c r="D5611" s="91"/>
      <c r="E5611" s="91"/>
      <c r="G5611" s="213"/>
      <c r="H5611" s="222"/>
    </row>
    <row r="5612" spans="1:9" s="212" customFormat="1">
      <c r="A5612" s="120"/>
      <c r="B5612" s="73"/>
      <c r="C5612" s="73"/>
      <c r="D5612" s="73"/>
      <c r="E5612" s="73"/>
      <c r="G5612" s="73"/>
      <c r="H5612" s="222"/>
    </row>
    <row r="5613" spans="1:9" s="212" customFormat="1">
      <c r="A5613" s="220"/>
      <c r="B5613" s="141"/>
      <c r="C5613" s="141"/>
      <c r="D5613" s="141"/>
      <c r="E5613" s="141"/>
      <c r="F5613" s="141"/>
      <c r="G5613" s="141"/>
      <c r="H5613" s="222"/>
    </row>
    <row r="5614" spans="1:9" s="212" customFormat="1">
      <c r="A5614" s="142"/>
      <c r="B5614" s="143"/>
      <c r="C5614" s="143"/>
      <c r="D5614" s="143"/>
      <c r="E5614" s="143"/>
      <c r="F5614" s="84"/>
      <c r="G5614" s="146"/>
      <c r="H5614" s="221"/>
    </row>
    <row r="5615" spans="1:9" s="212" customFormat="1">
      <c r="A5615" s="91"/>
      <c r="B5615" s="91"/>
      <c r="C5615" s="91"/>
      <c r="D5615" s="91"/>
      <c r="E5615" s="91"/>
      <c r="G5615" s="213"/>
      <c r="H5615" s="222"/>
    </row>
    <row r="5616" spans="1:9" s="212" customFormat="1">
      <c r="A5616" s="120"/>
      <c r="B5616" s="73"/>
      <c r="C5616" s="73"/>
      <c r="D5616" s="73"/>
      <c r="E5616" s="73"/>
      <c r="G5616" s="73"/>
      <c r="H5616" s="222"/>
    </row>
    <row r="5617" spans="1:9" s="212" customFormat="1">
      <c r="A5617" s="220"/>
      <c r="B5617" s="141"/>
      <c r="C5617" s="141"/>
      <c r="D5617" s="141"/>
      <c r="E5617" s="141"/>
      <c r="F5617" s="141"/>
      <c r="G5617" s="141"/>
      <c r="H5617" s="222"/>
    </row>
    <row r="5618" spans="1:9" s="212" customFormat="1">
      <c r="A5618" s="142"/>
      <c r="B5618" s="143"/>
      <c r="C5618" s="143"/>
      <c r="D5618" s="143"/>
      <c r="E5618" s="143"/>
      <c r="F5618" s="84"/>
      <c r="G5618" s="146"/>
      <c r="H5618" s="221"/>
    </row>
    <row r="5619" spans="1:9" s="212" customFormat="1">
      <c r="A5619" s="123"/>
      <c r="B5619" s="95"/>
      <c r="C5619" s="95"/>
      <c r="D5619" s="95"/>
      <c r="E5619" s="95"/>
      <c r="G5619" s="213"/>
      <c r="H5619" s="73"/>
    </row>
    <row r="5620" spans="1:9" s="212" customFormat="1">
      <c r="A5620" s="123"/>
      <c r="B5620" s="95"/>
      <c r="C5620" s="95"/>
      <c r="D5620" s="95"/>
      <c r="E5620" s="95"/>
      <c r="G5620" s="73"/>
      <c r="H5620" s="225"/>
    </row>
    <row r="5621" spans="1:9" s="212" customFormat="1">
      <c r="B5621" s="97"/>
      <c r="C5621" s="98"/>
      <c r="D5621" s="98"/>
      <c r="E5621" s="98"/>
      <c r="G5621" s="220"/>
    </row>
    <row r="5622" spans="1:9" s="212" customFormat="1">
      <c r="B5622" s="97"/>
      <c r="C5622" s="98"/>
      <c r="D5622" s="98"/>
      <c r="E5622" s="98"/>
      <c r="F5622" s="220"/>
      <c r="G5622" s="225"/>
      <c r="H5622" s="226"/>
    </row>
    <row r="5623" spans="1:9" s="212" customFormat="1">
      <c r="A5623" s="633"/>
      <c r="B5623" s="633"/>
      <c r="C5623" s="633"/>
      <c r="D5623" s="633"/>
      <c r="E5623" s="633"/>
      <c r="F5623" s="633"/>
      <c r="G5623" s="633"/>
    </row>
    <row r="5624" spans="1:9" s="212" customFormat="1">
      <c r="H5624" s="227"/>
      <c r="I5624" s="228"/>
    </row>
    <row r="5625" spans="1:9" s="212" customFormat="1">
      <c r="A5625" s="658"/>
      <c r="B5625" s="227"/>
      <c r="C5625" s="227"/>
      <c r="D5625" s="227"/>
      <c r="E5625" s="227"/>
      <c r="F5625" s="227"/>
      <c r="G5625" s="227"/>
      <c r="H5625" s="227"/>
      <c r="I5625" s="229"/>
    </row>
    <row r="5626" spans="1:9" s="212" customFormat="1">
      <c r="A5626" s="658"/>
      <c r="B5626" s="227"/>
      <c r="C5626" s="227"/>
      <c r="D5626" s="227"/>
      <c r="E5626" s="227"/>
      <c r="F5626" s="227"/>
      <c r="G5626" s="227"/>
    </row>
    <row r="5627" spans="1:9" s="212" customFormat="1">
      <c r="A5627" s="69"/>
      <c r="B5627" s="69"/>
      <c r="C5627" s="69"/>
      <c r="D5627" s="69"/>
      <c r="E5627" s="69"/>
    </row>
    <row r="5628" spans="1:9" s="212" customFormat="1">
      <c r="A5628" s="120"/>
      <c r="B5628" s="73"/>
      <c r="C5628" s="73"/>
      <c r="D5628" s="73"/>
      <c r="E5628" s="73"/>
      <c r="F5628" s="73"/>
      <c r="G5628" s="73"/>
      <c r="H5628" s="73"/>
    </row>
    <row r="5629" spans="1:9" s="212" customFormat="1">
      <c r="A5629" s="220"/>
      <c r="B5629" s="141"/>
      <c r="C5629" s="141"/>
      <c r="D5629" s="141"/>
      <c r="E5629" s="141"/>
      <c r="F5629" s="141"/>
      <c r="G5629" s="141"/>
      <c r="H5629" s="73"/>
    </row>
    <row r="5630" spans="1:9" s="212" customFormat="1">
      <c r="A5630" s="142"/>
      <c r="B5630" s="143"/>
      <c r="C5630" s="143"/>
      <c r="D5630" s="143"/>
      <c r="E5630" s="143"/>
      <c r="F5630" s="84"/>
      <c r="G5630" s="146"/>
      <c r="H5630" s="221"/>
    </row>
    <row r="5631" spans="1:9" s="212" customFormat="1">
      <c r="A5631" s="84"/>
      <c r="B5631" s="83"/>
      <c r="C5631" s="84"/>
      <c r="D5631" s="84"/>
      <c r="E5631" s="84"/>
      <c r="G5631" s="213"/>
      <c r="H5631" s="222"/>
    </row>
    <row r="5632" spans="1:9" s="212" customFormat="1">
      <c r="A5632" s="120"/>
      <c r="B5632" s="73"/>
      <c r="C5632" s="73"/>
      <c r="D5632" s="73"/>
      <c r="E5632" s="73"/>
      <c r="G5632" s="73"/>
      <c r="H5632" s="222"/>
    </row>
    <row r="5633" spans="1:9" s="212" customFormat="1">
      <c r="A5633" s="220"/>
      <c r="B5633" s="141"/>
      <c r="C5633" s="141"/>
      <c r="D5633" s="141"/>
      <c r="E5633" s="141"/>
      <c r="F5633" s="141"/>
      <c r="G5633" s="141"/>
      <c r="H5633" s="222"/>
    </row>
    <row r="5634" spans="1:9" s="212" customFormat="1">
      <c r="A5634" s="150"/>
      <c r="B5634" s="83"/>
      <c r="C5634" s="148"/>
      <c r="D5634" s="160"/>
      <c r="E5634" s="84"/>
      <c r="F5634" s="84"/>
      <c r="G5634" s="146"/>
      <c r="H5634" s="221"/>
    </row>
    <row r="5635" spans="1:9" s="212" customFormat="1">
      <c r="A5635" s="91"/>
      <c r="B5635" s="91"/>
      <c r="C5635" s="91"/>
      <c r="D5635" s="91"/>
      <c r="E5635" s="91"/>
      <c r="G5635" s="213"/>
      <c r="H5635" s="222"/>
    </row>
    <row r="5636" spans="1:9" s="212" customFormat="1">
      <c r="A5636" s="120"/>
      <c r="B5636" s="73"/>
      <c r="C5636" s="73"/>
      <c r="D5636" s="73"/>
      <c r="E5636" s="73"/>
      <c r="G5636" s="73"/>
      <c r="H5636" s="222"/>
    </row>
    <row r="5637" spans="1:9" s="212" customFormat="1">
      <c r="A5637" s="220"/>
      <c r="B5637" s="141"/>
      <c r="C5637" s="141"/>
      <c r="D5637" s="141"/>
      <c r="E5637" s="141"/>
      <c r="F5637" s="141"/>
      <c r="G5637" s="141"/>
      <c r="H5637" s="222"/>
    </row>
    <row r="5638" spans="1:9" s="212" customFormat="1">
      <c r="A5638" s="142"/>
      <c r="B5638" s="143"/>
      <c r="C5638" s="143"/>
      <c r="D5638" s="143"/>
      <c r="E5638" s="143"/>
      <c r="F5638" s="84"/>
      <c r="G5638" s="146"/>
      <c r="H5638" s="221"/>
    </row>
    <row r="5639" spans="1:9" s="212" customFormat="1">
      <c r="A5639" s="91"/>
      <c r="B5639" s="91"/>
      <c r="C5639" s="91"/>
      <c r="D5639" s="91"/>
      <c r="E5639" s="91"/>
      <c r="G5639" s="213"/>
      <c r="H5639" s="222"/>
    </row>
    <row r="5640" spans="1:9" s="212" customFormat="1">
      <c r="A5640" s="120"/>
      <c r="B5640" s="73"/>
      <c r="C5640" s="73"/>
      <c r="D5640" s="73"/>
      <c r="E5640" s="73"/>
      <c r="G5640" s="73"/>
      <c r="H5640" s="222"/>
    </row>
    <row r="5641" spans="1:9" s="212" customFormat="1">
      <c r="A5641" s="220"/>
      <c r="B5641" s="141"/>
      <c r="C5641" s="141"/>
      <c r="D5641" s="141"/>
      <c r="E5641" s="141"/>
      <c r="F5641" s="141"/>
      <c r="G5641" s="141"/>
      <c r="H5641" s="222"/>
    </row>
    <row r="5642" spans="1:9" s="212" customFormat="1">
      <c r="A5642" s="142"/>
      <c r="B5642" s="143"/>
      <c r="C5642" s="143"/>
      <c r="D5642" s="143"/>
      <c r="E5642" s="143"/>
      <c r="F5642" s="84"/>
      <c r="G5642" s="146"/>
      <c r="H5642" s="221"/>
    </row>
    <row r="5643" spans="1:9" s="212" customFormat="1">
      <c r="A5643" s="123"/>
      <c r="B5643" s="95"/>
      <c r="C5643" s="95"/>
      <c r="D5643" s="95"/>
      <c r="E5643" s="95"/>
      <c r="G5643" s="213"/>
      <c r="H5643" s="73"/>
    </row>
    <row r="5644" spans="1:9" s="212" customFormat="1">
      <c r="A5644" s="123"/>
      <c r="B5644" s="95"/>
      <c r="C5644" s="95"/>
      <c r="D5644" s="95"/>
      <c r="E5644" s="95"/>
      <c r="G5644" s="73"/>
      <c r="H5644" s="225"/>
    </row>
    <row r="5645" spans="1:9" s="212" customFormat="1">
      <c r="B5645" s="97"/>
      <c r="C5645" s="98"/>
      <c r="D5645" s="98"/>
      <c r="E5645" s="98"/>
      <c r="G5645" s="220"/>
    </row>
    <row r="5646" spans="1:9" s="212" customFormat="1">
      <c r="B5646" s="97"/>
      <c r="C5646" s="98"/>
      <c r="D5646" s="98"/>
      <c r="E5646" s="98"/>
      <c r="F5646" s="220"/>
      <c r="G5646" s="225"/>
      <c r="H5646" s="226"/>
    </row>
    <row r="5647" spans="1:9" s="212" customFormat="1">
      <c r="A5647" s="633"/>
      <c r="B5647" s="633"/>
      <c r="C5647" s="633"/>
      <c r="D5647" s="633"/>
      <c r="E5647" s="633"/>
      <c r="F5647" s="633"/>
      <c r="G5647" s="633"/>
    </row>
    <row r="5648" spans="1:9" s="212" customFormat="1">
      <c r="H5648" s="227"/>
      <c r="I5648" s="228"/>
    </row>
    <row r="5649" spans="1:9" s="212" customFormat="1">
      <c r="A5649" s="658"/>
      <c r="B5649" s="227"/>
      <c r="C5649" s="227"/>
      <c r="D5649" s="227"/>
      <c r="E5649" s="227"/>
      <c r="F5649" s="227"/>
      <c r="G5649" s="227"/>
      <c r="H5649" s="227"/>
      <c r="I5649" s="229"/>
    </row>
    <row r="5650" spans="1:9" s="212" customFormat="1">
      <c r="A5650" s="658"/>
      <c r="B5650" s="227"/>
      <c r="C5650" s="227"/>
      <c r="D5650" s="227"/>
      <c r="E5650" s="227"/>
      <c r="F5650" s="227"/>
      <c r="G5650" s="227"/>
    </row>
    <row r="5651" spans="1:9" s="212" customFormat="1">
      <c r="A5651" s="69"/>
      <c r="B5651" s="69"/>
      <c r="C5651" s="69"/>
      <c r="D5651" s="69"/>
      <c r="E5651" s="69"/>
    </row>
    <row r="5652" spans="1:9" s="212" customFormat="1">
      <c r="A5652" s="120"/>
      <c r="B5652" s="73"/>
      <c r="C5652" s="73"/>
      <c r="D5652" s="73"/>
      <c r="E5652" s="73"/>
      <c r="F5652" s="73"/>
      <c r="G5652" s="73"/>
      <c r="H5652" s="73"/>
    </row>
    <row r="5653" spans="1:9" s="212" customFormat="1">
      <c r="A5653" s="220"/>
      <c r="B5653" s="141"/>
      <c r="C5653" s="141"/>
      <c r="D5653" s="141"/>
      <c r="E5653" s="141"/>
      <c r="F5653" s="141"/>
      <c r="G5653" s="141"/>
      <c r="H5653" s="73"/>
    </row>
    <row r="5654" spans="1:9" s="212" customFormat="1">
      <c r="A5654" s="142"/>
      <c r="B5654" s="143"/>
      <c r="C5654" s="143"/>
      <c r="D5654" s="143"/>
      <c r="E5654" s="143"/>
      <c r="F5654" s="84"/>
      <c r="G5654" s="146"/>
      <c r="H5654" s="221"/>
    </row>
    <row r="5655" spans="1:9" s="212" customFormat="1">
      <c r="A5655" s="84"/>
      <c r="B5655" s="83"/>
      <c r="C5655" s="84"/>
      <c r="D5655" s="84"/>
      <c r="E5655" s="84"/>
      <c r="G5655" s="213"/>
      <c r="H5655" s="222"/>
    </row>
    <row r="5656" spans="1:9" s="212" customFormat="1">
      <c r="A5656" s="120"/>
      <c r="B5656" s="73"/>
      <c r="C5656" s="73"/>
      <c r="D5656" s="73"/>
      <c r="E5656" s="73"/>
      <c r="G5656" s="73"/>
      <c r="H5656" s="222"/>
    </row>
    <row r="5657" spans="1:9" s="212" customFormat="1">
      <c r="A5657" s="220"/>
      <c r="B5657" s="141"/>
      <c r="C5657" s="141"/>
      <c r="D5657" s="141"/>
      <c r="E5657" s="141"/>
      <c r="F5657" s="141"/>
      <c r="G5657" s="141"/>
      <c r="H5657" s="222"/>
    </row>
    <row r="5658" spans="1:9" s="212" customFormat="1">
      <c r="A5658" s="150"/>
      <c r="B5658" s="83"/>
      <c r="C5658" s="148"/>
      <c r="D5658" s="160"/>
      <c r="E5658" s="84"/>
      <c r="F5658" s="84"/>
      <c r="G5658" s="146"/>
      <c r="H5658" s="221"/>
    </row>
    <row r="5659" spans="1:9" s="212" customFormat="1">
      <c r="A5659" s="91"/>
      <c r="B5659" s="91"/>
      <c r="C5659" s="91"/>
      <c r="D5659" s="91"/>
      <c r="E5659" s="91"/>
      <c r="G5659" s="213"/>
      <c r="H5659" s="222"/>
    </row>
    <row r="5660" spans="1:9" s="212" customFormat="1">
      <c r="A5660" s="120"/>
      <c r="B5660" s="73"/>
      <c r="C5660" s="73"/>
      <c r="D5660" s="73"/>
      <c r="E5660" s="73"/>
      <c r="G5660" s="73"/>
      <c r="H5660" s="222"/>
    </row>
    <row r="5661" spans="1:9" s="212" customFormat="1">
      <c r="A5661" s="220"/>
      <c r="B5661" s="141"/>
      <c r="C5661" s="141"/>
      <c r="D5661" s="141"/>
      <c r="E5661" s="141"/>
      <c r="F5661" s="141"/>
      <c r="G5661" s="141"/>
      <c r="H5661" s="222"/>
    </row>
    <row r="5662" spans="1:9" s="212" customFormat="1">
      <c r="A5662" s="142"/>
      <c r="B5662" s="143"/>
      <c r="C5662" s="143"/>
      <c r="D5662" s="143"/>
      <c r="E5662" s="143"/>
      <c r="F5662" s="84"/>
      <c r="G5662" s="146"/>
      <c r="H5662" s="221"/>
    </row>
    <row r="5663" spans="1:9" s="212" customFormat="1">
      <c r="A5663" s="91"/>
      <c r="B5663" s="91"/>
      <c r="C5663" s="91"/>
      <c r="D5663" s="91"/>
      <c r="E5663" s="91"/>
      <c r="G5663" s="213"/>
      <c r="H5663" s="222"/>
    </row>
    <row r="5664" spans="1:9" s="212" customFormat="1">
      <c r="A5664" s="120"/>
      <c r="B5664" s="73"/>
      <c r="C5664" s="73"/>
      <c r="D5664" s="73"/>
      <c r="E5664" s="73"/>
      <c r="G5664" s="73"/>
      <c r="H5664" s="222"/>
    </row>
    <row r="5665" spans="1:9" s="212" customFormat="1">
      <c r="A5665" s="220"/>
      <c r="B5665" s="141"/>
      <c r="C5665" s="141"/>
      <c r="D5665" s="141"/>
      <c r="E5665" s="141"/>
      <c r="F5665" s="141"/>
      <c r="G5665" s="141"/>
      <c r="H5665" s="222"/>
    </row>
    <row r="5666" spans="1:9" s="212" customFormat="1">
      <c r="A5666" s="142"/>
      <c r="B5666" s="143"/>
      <c r="C5666" s="143"/>
      <c r="D5666" s="143"/>
      <c r="E5666" s="143"/>
      <c r="F5666" s="84"/>
      <c r="G5666" s="146"/>
      <c r="H5666" s="221"/>
    </row>
    <row r="5667" spans="1:9" s="212" customFormat="1">
      <c r="A5667" s="123"/>
      <c r="B5667" s="95"/>
      <c r="C5667" s="95"/>
      <c r="D5667" s="95"/>
      <c r="E5667" s="95"/>
      <c r="G5667" s="213"/>
      <c r="H5667" s="73"/>
    </row>
    <row r="5668" spans="1:9" s="212" customFormat="1">
      <c r="A5668" s="123"/>
      <c r="B5668" s="95"/>
      <c r="C5668" s="95"/>
      <c r="D5668" s="95"/>
      <c r="E5668" s="95"/>
      <c r="G5668" s="73"/>
      <c r="H5668" s="225"/>
    </row>
    <row r="5669" spans="1:9" s="212" customFormat="1">
      <c r="B5669" s="97"/>
      <c r="C5669" s="98"/>
      <c r="D5669" s="98"/>
      <c r="E5669" s="98"/>
      <c r="G5669" s="220"/>
    </row>
    <row r="5670" spans="1:9" s="212" customFormat="1">
      <c r="B5670" s="97"/>
      <c r="C5670" s="98"/>
      <c r="D5670" s="98"/>
      <c r="E5670" s="98"/>
      <c r="F5670" s="220"/>
      <c r="G5670" s="225"/>
      <c r="H5670" s="226"/>
    </row>
    <row r="5671" spans="1:9" s="212" customFormat="1">
      <c r="A5671" s="633"/>
      <c r="B5671" s="633"/>
      <c r="C5671" s="633"/>
      <c r="D5671" s="633"/>
      <c r="E5671" s="633"/>
      <c r="F5671" s="633"/>
      <c r="G5671" s="633"/>
    </row>
    <row r="5672" spans="1:9" s="212" customFormat="1">
      <c r="H5672" s="227"/>
      <c r="I5672" s="228"/>
    </row>
    <row r="5673" spans="1:9" s="212" customFormat="1">
      <c r="A5673" s="658"/>
      <c r="B5673" s="227"/>
      <c r="C5673" s="227"/>
      <c r="D5673" s="227"/>
      <c r="E5673" s="227"/>
      <c r="F5673" s="227"/>
      <c r="G5673" s="227"/>
      <c r="H5673" s="227"/>
      <c r="I5673" s="229"/>
    </row>
    <row r="5674" spans="1:9" s="212" customFormat="1">
      <c r="A5674" s="658"/>
      <c r="B5674" s="227"/>
      <c r="C5674" s="227"/>
      <c r="D5674" s="227"/>
      <c r="E5674" s="227"/>
      <c r="F5674" s="227"/>
      <c r="G5674" s="227"/>
    </row>
    <row r="5675" spans="1:9" s="212" customFormat="1">
      <c r="A5675" s="69"/>
      <c r="B5675" s="69"/>
      <c r="C5675" s="69"/>
      <c r="D5675" s="69"/>
      <c r="E5675" s="69"/>
    </row>
    <row r="5676" spans="1:9" s="212" customFormat="1">
      <c r="A5676" s="120"/>
      <c r="B5676" s="73"/>
      <c r="C5676" s="73"/>
      <c r="D5676" s="73"/>
      <c r="E5676" s="73"/>
      <c r="F5676" s="73"/>
      <c r="G5676" s="73"/>
      <c r="H5676" s="73"/>
    </row>
    <row r="5677" spans="1:9" s="212" customFormat="1">
      <c r="A5677" s="220"/>
      <c r="B5677" s="141"/>
      <c r="C5677" s="141"/>
      <c r="D5677" s="141"/>
      <c r="E5677" s="141"/>
      <c r="F5677" s="141"/>
      <c r="G5677" s="141"/>
      <c r="H5677" s="73"/>
    </row>
    <row r="5678" spans="1:9" s="212" customFormat="1">
      <c r="A5678" s="142"/>
      <c r="B5678" s="143"/>
      <c r="C5678" s="143"/>
      <c r="D5678" s="143"/>
      <c r="E5678" s="143"/>
      <c r="F5678" s="84"/>
      <c r="G5678" s="146"/>
      <c r="H5678" s="221"/>
    </row>
    <row r="5679" spans="1:9" s="212" customFormat="1">
      <c r="A5679" s="84"/>
      <c r="B5679" s="83"/>
      <c r="C5679" s="84"/>
      <c r="D5679" s="84"/>
      <c r="E5679" s="84"/>
      <c r="G5679" s="213"/>
      <c r="H5679" s="222"/>
    </row>
    <row r="5680" spans="1:9" s="212" customFormat="1">
      <c r="A5680" s="120"/>
      <c r="B5680" s="73"/>
      <c r="C5680" s="73"/>
      <c r="D5680" s="73"/>
      <c r="E5680" s="73"/>
      <c r="G5680" s="73"/>
      <c r="H5680" s="222"/>
    </row>
    <row r="5681" spans="1:9" s="212" customFormat="1">
      <c r="A5681" s="220"/>
      <c r="B5681" s="141"/>
      <c r="C5681" s="141"/>
      <c r="D5681" s="141"/>
      <c r="E5681" s="141"/>
      <c r="F5681" s="141"/>
      <c r="G5681" s="141"/>
      <c r="H5681" s="222"/>
    </row>
    <row r="5682" spans="1:9" s="212" customFormat="1">
      <c r="A5682" s="150"/>
      <c r="B5682" s="83"/>
      <c r="C5682" s="148"/>
      <c r="D5682" s="160"/>
      <c r="E5682" s="84"/>
      <c r="F5682" s="84"/>
      <c r="G5682" s="146"/>
      <c r="H5682" s="221"/>
    </row>
    <row r="5683" spans="1:9" s="212" customFormat="1">
      <c r="A5683" s="91"/>
      <c r="B5683" s="91"/>
      <c r="C5683" s="91"/>
      <c r="D5683" s="91"/>
      <c r="E5683" s="91"/>
      <c r="G5683" s="213"/>
      <c r="H5683" s="222"/>
    </row>
    <row r="5684" spans="1:9" s="212" customFormat="1">
      <c r="A5684" s="120"/>
      <c r="B5684" s="73"/>
      <c r="C5684" s="73"/>
      <c r="D5684" s="73"/>
      <c r="E5684" s="73"/>
      <c r="G5684" s="73"/>
      <c r="H5684" s="222"/>
    </row>
    <row r="5685" spans="1:9" s="212" customFormat="1">
      <c r="A5685" s="220"/>
      <c r="B5685" s="141"/>
      <c r="C5685" s="141"/>
      <c r="D5685" s="141"/>
      <c r="E5685" s="141"/>
      <c r="F5685" s="141"/>
      <c r="G5685" s="141"/>
      <c r="H5685" s="222"/>
    </row>
    <row r="5686" spans="1:9" s="212" customFormat="1">
      <c r="A5686" s="142"/>
      <c r="B5686" s="143"/>
      <c r="C5686" s="143"/>
      <c r="D5686" s="143"/>
      <c r="E5686" s="143"/>
      <c r="F5686" s="84"/>
      <c r="G5686" s="146"/>
      <c r="H5686" s="221"/>
    </row>
    <row r="5687" spans="1:9" s="212" customFormat="1">
      <c r="A5687" s="91"/>
      <c r="B5687" s="91"/>
      <c r="C5687" s="91"/>
      <c r="D5687" s="91"/>
      <c r="E5687" s="91"/>
      <c r="G5687" s="213"/>
      <c r="H5687" s="222"/>
    </row>
    <row r="5688" spans="1:9" s="212" customFormat="1">
      <c r="A5688" s="120"/>
      <c r="B5688" s="73"/>
      <c r="C5688" s="73"/>
      <c r="D5688" s="73"/>
      <c r="E5688" s="73"/>
      <c r="G5688" s="73"/>
      <c r="H5688" s="222"/>
    </row>
    <row r="5689" spans="1:9" s="212" customFormat="1">
      <c r="A5689" s="220"/>
      <c r="B5689" s="141"/>
      <c r="C5689" s="141"/>
      <c r="D5689" s="141"/>
      <c r="E5689" s="141"/>
      <c r="F5689" s="141"/>
      <c r="G5689" s="141"/>
      <c r="H5689" s="222"/>
    </row>
    <row r="5690" spans="1:9" s="212" customFormat="1">
      <c r="A5690" s="142"/>
      <c r="B5690" s="143"/>
      <c r="C5690" s="143"/>
      <c r="D5690" s="143"/>
      <c r="E5690" s="143"/>
      <c r="F5690" s="84"/>
      <c r="G5690" s="146"/>
      <c r="H5690" s="221"/>
    </row>
    <row r="5691" spans="1:9" s="212" customFormat="1">
      <c r="A5691" s="123"/>
      <c r="B5691" s="95"/>
      <c r="C5691" s="95"/>
      <c r="D5691" s="95"/>
      <c r="E5691" s="95"/>
      <c r="G5691" s="213"/>
      <c r="H5691" s="73"/>
    </row>
    <row r="5692" spans="1:9" s="212" customFormat="1">
      <c r="A5692" s="123"/>
      <c r="B5692" s="95"/>
      <c r="C5692" s="95"/>
      <c r="D5692" s="95"/>
      <c r="E5692" s="95"/>
      <c r="G5692" s="73"/>
      <c r="H5692" s="225"/>
    </row>
    <row r="5693" spans="1:9" s="212" customFormat="1">
      <c r="B5693" s="97"/>
      <c r="C5693" s="98"/>
      <c r="D5693" s="98"/>
      <c r="E5693" s="98"/>
      <c r="G5693" s="220"/>
    </row>
    <row r="5694" spans="1:9" s="212" customFormat="1">
      <c r="B5694" s="97"/>
      <c r="C5694" s="98"/>
      <c r="D5694" s="98"/>
      <c r="E5694" s="98"/>
      <c r="F5694" s="220"/>
      <c r="G5694" s="225"/>
      <c r="H5694" s="226"/>
    </row>
    <row r="5695" spans="1:9" s="212" customFormat="1">
      <c r="A5695" s="633"/>
      <c r="B5695" s="633"/>
      <c r="C5695" s="633"/>
      <c r="D5695" s="633"/>
      <c r="E5695" s="633"/>
      <c r="F5695" s="633"/>
      <c r="G5695" s="633"/>
    </row>
    <row r="5696" spans="1:9" s="212" customFormat="1">
      <c r="H5696" s="227"/>
      <c r="I5696" s="228"/>
    </row>
    <row r="5697" spans="1:9" s="212" customFormat="1">
      <c r="A5697" s="658"/>
      <c r="B5697" s="227"/>
      <c r="C5697" s="227"/>
      <c r="D5697" s="227"/>
      <c r="E5697" s="227"/>
      <c r="F5697" s="227"/>
      <c r="G5697" s="227"/>
      <c r="H5697" s="227"/>
      <c r="I5697" s="229"/>
    </row>
    <row r="5698" spans="1:9" s="212" customFormat="1">
      <c r="A5698" s="658"/>
      <c r="B5698" s="227"/>
      <c r="C5698" s="227"/>
      <c r="D5698" s="227"/>
      <c r="E5698" s="227"/>
      <c r="F5698" s="227"/>
      <c r="G5698" s="227"/>
    </row>
    <row r="5699" spans="1:9" s="212" customFormat="1">
      <c r="A5699" s="69"/>
      <c r="B5699" s="69"/>
      <c r="C5699" s="69"/>
      <c r="D5699" s="69"/>
      <c r="E5699" s="69"/>
    </row>
    <row r="5700" spans="1:9" s="212" customFormat="1">
      <c r="A5700" s="120"/>
      <c r="B5700" s="73"/>
      <c r="C5700" s="73"/>
      <c r="D5700" s="73"/>
      <c r="E5700" s="73"/>
      <c r="F5700" s="73"/>
      <c r="G5700" s="73"/>
      <c r="H5700" s="73"/>
    </row>
    <row r="5701" spans="1:9" s="212" customFormat="1">
      <c r="A5701" s="220"/>
      <c r="B5701" s="141"/>
      <c r="C5701" s="141"/>
      <c r="D5701" s="141"/>
      <c r="E5701" s="141"/>
      <c r="F5701" s="141"/>
      <c r="G5701" s="141"/>
      <c r="H5701" s="73"/>
    </row>
    <row r="5702" spans="1:9" s="212" customFormat="1">
      <c r="A5702" s="142"/>
      <c r="B5702" s="143"/>
      <c r="C5702" s="143"/>
      <c r="D5702" s="143"/>
      <c r="E5702" s="143"/>
      <c r="F5702" s="84"/>
      <c r="G5702" s="146"/>
      <c r="H5702" s="221"/>
    </row>
    <row r="5703" spans="1:9" s="212" customFormat="1">
      <c r="A5703" s="84"/>
      <c r="B5703" s="83"/>
      <c r="C5703" s="84"/>
      <c r="D5703" s="84"/>
      <c r="E5703" s="84"/>
      <c r="G5703" s="213"/>
      <c r="H5703" s="222"/>
    </row>
    <row r="5704" spans="1:9" s="212" customFormat="1">
      <c r="A5704" s="120"/>
      <c r="B5704" s="73"/>
      <c r="C5704" s="73"/>
      <c r="D5704" s="73"/>
      <c r="E5704" s="73"/>
      <c r="G5704" s="73"/>
      <c r="H5704" s="222"/>
    </row>
    <row r="5705" spans="1:9" s="212" customFormat="1">
      <c r="A5705" s="220"/>
      <c r="B5705" s="141"/>
      <c r="C5705" s="141"/>
      <c r="D5705" s="141"/>
      <c r="E5705" s="141"/>
      <c r="F5705" s="141"/>
      <c r="G5705" s="141"/>
      <c r="H5705" s="222"/>
    </row>
    <row r="5706" spans="1:9" s="212" customFormat="1">
      <c r="A5706" s="150"/>
      <c r="B5706" s="83"/>
      <c r="C5706" s="148"/>
      <c r="D5706" s="160"/>
      <c r="E5706" s="84"/>
      <c r="F5706" s="84"/>
      <c r="G5706" s="146"/>
      <c r="H5706" s="221"/>
    </row>
    <row r="5707" spans="1:9" s="212" customFormat="1">
      <c r="A5707" s="91"/>
      <c r="B5707" s="91"/>
      <c r="C5707" s="91"/>
      <c r="D5707" s="91"/>
      <c r="E5707" s="91"/>
      <c r="G5707" s="213"/>
      <c r="H5707" s="222"/>
    </row>
    <row r="5708" spans="1:9" s="212" customFormat="1">
      <c r="A5708" s="120"/>
      <c r="B5708" s="73"/>
      <c r="C5708" s="73"/>
      <c r="D5708" s="73"/>
      <c r="E5708" s="73"/>
      <c r="G5708" s="73"/>
      <c r="H5708" s="222"/>
    </row>
    <row r="5709" spans="1:9" s="212" customFormat="1">
      <c r="A5709" s="220"/>
      <c r="B5709" s="141"/>
      <c r="C5709" s="141"/>
      <c r="D5709" s="141"/>
      <c r="E5709" s="141"/>
      <c r="F5709" s="141"/>
      <c r="G5709" s="141"/>
      <c r="H5709" s="222"/>
    </row>
    <row r="5710" spans="1:9" s="212" customFormat="1">
      <c r="A5710" s="142"/>
      <c r="B5710" s="143"/>
      <c r="C5710" s="143"/>
      <c r="D5710" s="143"/>
      <c r="E5710" s="143"/>
      <c r="F5710" s="84"/>
      <c r="G5710" s="146"/>
      <c r="H5710" s="221"/>
    </row>
    <row r="5711" spans="1:9" s="212" customFormat="1">
      <c r="A5711" s="91"/>
      <c r="B5711" s="91"/>
      <c r="C5711" s="91"/>
      <c r="D5711" s="91"/>
      <c r="E5711" s="91"/>
      <c r="G5711" s="213"/>
      <c r="H5711" s="222"/>
    </row>
    <row r="5712" spans="1:9" s="212" customFormat="1">
      <c r="A5712" s="120"/>
      <c r="B5712" s="73"/>
      <c r="C5712" s="73"/>
      <c r="D5712" s="73"/>
      <c r="E5712" s="73"/>
      <c r="G5712" s="73"/>
      <c r="H5712" s="222"/>
    </row>
    <row r="5713" spans="1:9" s="212" customFormat="1">
      <c r="A5713" s="220"/>
      <c r="B5713" s="141"/>
      <c r="C5713" s="141"/>
      <c r="D5713" s="141"/>
      <c r="E5713" s="141"/>
      <c r="F5713" s="141"/>
      <c r="G5713" s="141"/>
      <c r="H5713" s="222"/>
    </row>
    <row r="5714" spans="1:9" s="212" customFormat="1">
      <c r="A5714" s="142"/>
      <c r="B5714" s="143"/>
      <c r="C5714" s="143"/>
      <c r="D5714" s="143"/>
      <c r="E5714" s="143"/>
      <c r="F5714" s="84"/>
      <c r="G5714" s="146"/>
      <c r="H5714" s="221"/>
    </row>
    <row r="5715" spans="1:9" s="212" customFormat="1">
      <c r="A5715" s="123"/>
      <c r="B5715" s="95"/>
      <c r="C5715" s="95"/>
      <c r="D5715" s="95"/>
      <c r="E5715" s="95"/>
      <c r="G5715" s="213"/>
      <c r="H5715" s="73"/>
    </row>
    <row r="5716" spans="1:9" s="212" customFormat="1">
      <c r="A5716" s="123"/>
      <c r="B5716" s="95"/>
      <c r="C5716" s="95"/>
      <c r="D5716" s="95"/>
      <c r="E5716" s="95"/>
      <c r="G5716" s="73"/>
      <c r="H5716" s="225"/>
    </row>
    <row r="5717" spans="1:9" s="212" customFormat="1">
      <c r="B5717" s="97"/>
      <c r="C5717" s="98"/>
      <c r="D5717" s="98"/>
      <c r="E5717" s="98"/>
      <c r="G5717" s="220"/>
    </row>
    <row r="5718" spans="1:9" s="212" customFormat="1">
      <c r="B5718" s="97"/>
      <c r="C5718" s="98"/>
      <c r="D5718" s="98"/>
      <c r="E5718" s="98"/>
      <c r="F5718" s="220"/>
      <c r="G5718" s="225"/>
      <c r="H5718" s="226"/>
    </row>
    <row r="5719" spans="1:9" s="212" customFormat="1">
      <c r="A5719" s="633"/>
      <c r="B5719" s="633"/>
      <c r="C5719" s="633"/>
      <c r="D5719" s="633"/>
      <c r="E5719" s="633"/>
      <c r="F5719" s="633"/>
      <c r="G5719" s="633"/>
    </row>
    <row r="5720" spans="1:9" s="212" customFormat="1">
      <c r="H5720" s="227"/>
      <c r="I5720" s="228"/>
    </row>
    <row r="5721" spans="1:9" s="212" customFormat="1">
      <c r="A5721" s="658"/>
      <c r="B5721" s="227"/>
      <c r="C5721" s="227"/>
      <c r="D5721" s="227"/>
      <c r="E5721" s="227"/>
      <c r="F5721" s="227"/>
      <c r="G5721" s="227"/>
      <c r="H5721" s="227"/>
      <c r="I5721" s="229"/>
    </row>
    <row r="5722" spans="1:9" s="212" customFormat="1">
      <c r="A5722" s="658"/>
      <c r="B5722" s="227"/>
      <c r="C5722" s="227"/>
      <c r="D5722" s="227"/>
      <c r="E5722" s="227"/>
      <c r="F5722" s="227"/>
      <c r="G5722" s="227"/>
    </row>
    <row r="5723" spans="1:9" s="212" customFormat="1">
      <c r="A5723" s="69"/>
      <c r="B5723" s="69"/>
      <c r="C5723" s="69"/>
      <c r="D5723" s="69"/>
      <c r="E5723" s="69"/>
    </row>
    <row r="5724" spans="1:9" s="212" customFormat="1">
      <c r="A5724" s="120"/>
      <c r="B5724" s="73"/>
      <c r="C5724" s="73"/>
      <c r="D5724" s="73"/>
      <c r="E5724" s="73"/>
      <c r="F5724" s="73"/>
      <c r="G5724" s="73"/>
      <c r="H5724" s="73"/>
    </row>
    <row r="5725" spans="1:9" s="212" customFormat="1">
      <c r="A5725" s="220"/>
      <c r="B5725" s="141"/>
      <c r="C5725" s="141"/>
      <c r="D5725" s="141"/>
      <c r="E5725" s="141"/>
      <c r="F5725" s="141"/>
      <c r="G5725" s="141"/>
      <c r="H5725" s="73"/>
    </row>
    <row r="5726" spans="1:9" s="212" customFormat="1">
      <c r="A5726" s="142"/>
      <c r="B5726" s="143"/>
      <c r="C5726" s="143"/>
      <c r="D5726" s="143"/>
      <c r="E5726" s="143"/>
      <c r="F5726" s="84"/>
      <c r="G5726" s="146"/>
      <c r="H5726" s="221"/>
    </row>
    <row r="5727" spans="1:9" s="212" customFormat="1">
      <c r="A5727" s="84"/>
      <c r="B5727" s="83"/>
      <c r="C5727" s="84"/>
      <c r="D5727" s="84"/>
      <c r="E5727" s="84"/>
      <c r="G5727" s="213"/>
      <c r="H5727" s="222"/>
    </row>
    <row r="5728" spans="1:9" s="212" customFormat="1">
      <c r="A5728" s="120"/>
      <c r="B5728" s="73"/>
      <c r="C5728" s="73"/>
      <c r="D5728" s="73"/>
      <c r="E5728" s="73"/>
      <c r="G5728" s="73"/>
      <c r="H5728" s="222"/>
    </row>
    <row r="5729" spans="1:9" s="212" customFormat="1">
      <c r="A5729" s="220"/>
      <c r="B5729" s="141"/>
      <c r="C5729" s="141"/>
      <c r="D5729" s="141"/>
      <c r="E5729" s="141"/>
      <c r="F5729" s="141"/>
      <c r="G5729" s="141"/>
      <c r="H5729" s="222"/>
    </row>
    <row r="5730" spans="1:9" s="212" customFormat="1">
      <c r="A5730" s="150"/>
      <c r="B5730" s="83"/>
      <c r="C5730" s="148"/>
      <c r="D5730" s="160"/>
      <c r="E5730" s="84"/>
      <c r="F5730" s="84"/>
      <c r="G5730" s="146"/>
      <c r="H5730" s="221"/>
    </row>
    <row r="5731" spans="1:9" s="212" customFormat="1">
      <c r="A5731" s="91"/>
      <c r="B5731" s="91"/>
      <c r="C5731" s="91"/>
      <c r="D5731" s="91"/>
      <c r="E5731" s="91"/>
      <c r="G5731" s="213"/>
      <c r="H5731" s="222"/>
    </row>
    <row r="5732" spans="1:9" s="212" customFormat="1">
      <c r="A5732" s="120"/>
      <c r="B5732" s="73"/>
      <c r="C5732" s="73"/>
      <c r="D5732" s="73"/>
      <c r="E5732" s="73"/>
      <c r="G5732" s="73"/>
      <c r="H5732" s="222"/>
    </row>
    <row r="5733" spans="1:9" s="212" customFormat="1">
      <c r="A5733" s="220"/>
      <c r="B5733" s="141"/>
      <c r="C5733" s="141"/>
      <c r="D5733" s="141"/>
      <c r="E5733" s="141"/>
      <c r="F5733" s="141"/>
      <c r="G5733" s="141"/>
      <c r="H5733" s="222"/>
    </row>
    <row r="5734" spans="1:9" s="212" customFormat="1">
      <c r="A5734" s="142"/>
      <c r="B5734" s="143"/>
      <c r="C5734" s="143"/>
      <c r="D5734" s="143"/>
      <c r="E5734" s="143"/>
      <c r="F5734" s="84"/>
      <c r="G5734" s="146"/>
      <c r="H5734" s="221"/>
    </row>
    <row r="5735" spans="1:9" s="212" customFormat="1">
      <c r="A5735" s="91"/>
      <c r="B5735" s="91"/>
      <c r="C5735" s="91"/>
      <c r="D5735" s="91"/>
      <c r="E5735" s="91"/>
      <c r="G5735" s="213"/>
      <c r="H5735" s="222"/>
    </row>
    <row r="5736" spans="1:9" s="212" customFormat="1">
      <c r="A5736" s="120"/>
      <c r="B5736" s="73"/>
      <c r="C5736" s="73"/>
      <c r="D5736" s="73"/>
      <c r="E5736" s="73"/>
      <c r="G5736" s="73"/>
      <c r="H5736" s="222"/>
    </row>
    <row r="5737" spans="1:9" s="212" customFormat="1">
      <c r="A5737" s="220"/>
      <c r="B5737" s="141"/>
      <c r="C5737" s="141"/>
      <c r="D5737" s="141"/>
      <c r="E5737" s="141"/>
      <c r="F5737" s="141"/>
      <c r="G5737" s="141"/>
      <c r="H5737" s="222"/>
    </row>
    <row r="5738" spans="1:9" s="212" customFormat="1">
      <c r="A5738" s="142"/>
      <c r="B5738" s="143"/>
      <c r="C5738" s="143"/>
      <c r="D5738" s="143"/>
      <c r="E5738" s="143"/>
      <c r="F5738" s="84"/>
      <c r="G5738" s="146"/>
      <c r="H5738" s="221"/>
    </row>
    <row r="5739" spans="1:9" s="212" customFormat="1">
      <c r="A5739" s="123"/>
      <c r="B5739" s="95"/>
      <c r="C5739" s="95"/>
      <c r="D5739" s="95"/>
      <c r="E5739" s="95"/>
      <c r="G5739" s="213"/>
      <c r="H5739" s="73"/>
    </row>
    <row r="5740" spans="1:9" s="212" customFormat="1">
      <c r="A5740" s="123"/>
      <c r="B5740" s="95"/>
      <c r="C5740" s="95"/>
      <c r="D5740" s="95"/>
      <c r="E5740" s="95"/>
      <c r="G5740" s="73"/>
      <c r="H5740" s="225"/>
    </row>
    <row r="5741" spans="1:9" s="212" customFormat="1">
      <c r="B5741" s="97"/>
      <c r="C5741" s="98"/>
      <c r="D5741" s="98"/>
      <c r="E5741" s="98"/>
      <c r="G5741" s="220"/>
    </row>
    <row r="5742" spans="1:9" s="212" customFormat="1">
      <c r="B5742" s="97"/>
      <c r="C5742" s="98"/>
      <c r="D5742" s="98"/>
      <c r="E5742" s="98"/>
      <c r="F5742" s="220"/>
      <c r="G5742" s="225"/>
      <c r="H5742" s="226"/>
    </row>
    <row r="5743" spans="1:9" s="212" customFormat="1">
      <c r="A5743" s="633"/>
      <c r="B5743" s="633"/>
      <c r="C5743" s="633"/>
      <c r="D5743" s="633"/>
      <c r="E5743" s="633"/>
      <c r="F5743" s="633"/>
      <c r="G5743" s="633"/>
    </row>
    <row r="5744" spans="1:9" s="212" customFormat="1">
      <c r="H5744" s="227"/>
      <c r="I5744" s="228"/>
    </row>
    <row r="5745" spans="1:9" s="212" customFormat="1">
      <c r="A5745" s="658"/>
      <c r="B5745" s="227"/>
      <c r="C5745" s="227"/>
      <c r="D5745" s="227"/>
      <c r="E5745" s="227"/>
      <c r="F5745" s="227"/>
      <c r="G5745" s="227"/>
      <c r="H5745" s="227"/>
      <c r="I5745" s="229"/>
    </row>
    <row r="5746" spans="1:9" s="212" customFormat="1">
      <c r="A5746" s="658"/>
      <c r="B5746" s="227"/>
      <c r="C5746" s="227"/>
      <c r="D5746" s="227"/>
      <c r="E5746" s="227"/>
      <c r="F5746" s="227"/>
      <c r="G5746" s="227"/>
    </row>
    <row r="5747" spans="1:9" s="212" customFormat="1">
      <c r="A5747" s="69"/>
      <c r="B5747" s="69"/>
      <c r="C5747" s="69"/>
      <c r="D5747" s="69"/>
      <c r="E5747" s="69"/>
    </row>
    <row r="5748" spans="1:9" s="212" customFormat="1">
      <c r="A5748" s="120"/>
      <c r="B5748" s="73"/>
      <c r="C5748" s="73"/>
      <c r="D5748" s="73"/>
      <c r="E5748" s="73"/>
      <c r="F5748" s="73"/>
      <c r="G5748" s="73"/>
      <c r="H5748" s="73"/>
    </row>
    <row r="5749" spans="1:9" s="212" customFormat="1">
      <c r="A5749" s="220"/>
      <c r="B5749" s="141"/>
      <c r="C5749" s="141"/>
      <c r="D5749" s="141"/>
      <c r="E5749" s="141"/>
      <c r="F5749" s="141"/>
      <c r="G5749" s="141"/>
      <c r="H5749" s="73"/>
    </row>
    <row r="5750" spans="1:9" s="212" customFormat="1">
      <c r="A5750" s="142"/>
      <c r="B5750" s="143"/>
      <c r="C5750" s="143"/>
      <c r="D5750" s="143"/>
      <c r="E5750" s="143"/>
      <c r="F5750" s="84"/>
      <c r="G5750" s="146"/>
      <c r="H5750" s="221"/>
    </row>
    <row r="5751" spans="1:9" s="212" customFormat="1">
      <c r="A5751" s="84"/>
      <c r="B5751" s="83"/>
      <c r="C5751" s="84"/>
      <c r="D5751" s="84"/>
      <c r="E5751" s="84"/>
      <c r="G5751" s="213"/>
      <c r="H5751" s="222"/>
    </row>
    <row r="5752" spans="1:9" s="212" customFormat="1">
      <c r="A5752" s="120"/>
      <c r="B5752" s="73"/>
      <c r="C5752" s="73"/>
      <c r="D5752" s="73"/>
      <c r="E5752" s="73"/>
      <c r="G5752" s="73"/>
      <c r="H5752" s="222"/>
    </row>
    <row r="5753" spans="1:9" s="212" customFormat="1">
      <c r="A5753" s="220"/>
      <c r="B5753" s="141"/>
      <c r="C5753" s="141"/>
      <c r="D5753" s="141"/>
      <c r="E5753" s="141"/>
      <c r="F5753" s="141"/>
      <c r="G5753" s="141"/>
      <c r="H5753" s="222"/>
    </row>
    <row r="5754" spans="1:9" s="212" customFormat="1">
      <c r="A5754" s="150"/>
      <c r="B5754" s="83"/>
      <c r="C5754" s="148"/>
      <c r="D5754" s="160"/>
      <c r="E5754" s="84"/>
      <c r="F5754" s="84"/>
      <c r="G5754" s="146"/>
      <c r="H5754" s="221"/>
    </row>
    <row r="5755" spans="1:9" s="212" customFormat="1">
      <c r="A5755" s="91"/>
      <c r="B5755" s="91"/>
      <c r="C5755" s="91"/>
      <c r="D5755" s="91"/>
      <c r="E5755" s="91"/>
      <c r="G5755" s="213"/>
      <c r="H5755" s="222"/>
    </row>
    <row r="5756" spans="1:9" s="212" customFormat="1">
      <c r="A5756" s="120"/>
      <c r="B5756" s="73"/>
      <c r="C5756" s="73"/>
      <c r="D5756" s="73"/>
      <c r="E5756" s="73"/>
      <c r="G5756" s="73"/>
      <c r="H5756" s="222"/>
    </row>
    <row r="5757" spans="1:9" s="212" customFormat="1">
      <c r="A5757" s="220"/>
      <c r="B5757" s="141"/>
      <c r="C5757" s="141"/>
      <c r="D5757" s="141"/>
      <c r="E5757" s="141"/>
      <c r="F5757" s="141"/>
      <c r="G5757" s="141"/>
      <c r="H5757" s="222"/>
    </row>
    <row r="5758" spans="1:9" s="212" customFormat="1">
      <c r="A5758" s="142"/>
      <c r="B5758" s="143"/>
      <c r="C5758" s="143"/>
      <c r="D5758" s="143"/>
      <c r="E5758" s="143"/>
      <c r="F5758" s="84"/>
      <c r="G5758" s="146"/>
      <c r="H5758" s="221"/>
    </row>
    <row r="5759" spans="1:9" s="212" customFormat="1">
      <c r="A5759" s="91"/>
      <c r="B5759" s="91"/>
      <c r="C5759" s="91"/>
      <c r="D5759" s="91"/>
      <c r="E5759" s="91"/>
      <c r="G5759" s="213"/>
      <c r="H5759" s="222"/>
    </row>
    <row r="5760" spans="1:9" s="212" customFormat="1">
      <c r="A5760" s="120"/>
      <c r="B5760" s="73"/>
      <c r="C5760" s="73"/>
      <c r="D5760" s="73"/>
      <c r="E5760" s="73"/>
      <c r="G5760" s="73"/>
      <c r="H5760" s="222"/>
    </row>
    <row r="5761" spans="1:9" s="212" customFormat="1">
      <c r="A5761" s="220"/>
      <c r="B5761" s="141"/>
      <c r="C5761" s="141"/>
      <c r="D5761" s="141"/>
      <c r="E5761" s="141"/>
      <c r="F5761" s="141"/>
      <c r="G5761" s="141"/>
      <c r="H5761" s="222"/>
    </row>
    <row r="5762" spans="1:9" s="212" customFormat="1">
      <c r="A5762" s="142"/>
      <c r="B5762" s="143"/>
      <c r="C5762" s="143"/>
      <c r="D5762" s="143"/>
      <c r="E5762" s="143"/>
      <c r="F5762" s="84"/>
      <c r="G5762" s="146"/>
      <c r="H5762" s="221"/>
    </row>
    <row r="5763" spans="1:9" s="212" customFormat="1">
      <c r="A5763" s="123"/>
      <c r="B5763" s="95"/>
      <c r="C5763" s="95"/>
      <c r="D5763" s="95"/>
      <c r="E5763" s="95"/>
      <c r="G5763" s="213"/>
      <c r="H5763" s="73"/>
    </row>
    <row r="5764" spans="1:9" s="212" customFormat="1">
      <c r="A5764" s="123"/>
      <c r="B5764" s="95"/>
      <c r="C5764" s="95"/>
      <c r="D5764" s="95"/>
      <c r="E5764" s="95"/>
      <c r="G5764" s="73"/>
      <c r="H5764" s="225"/>
    </row>
    <row r="5765" spans="1:9" s="212" customFormat="1">
      <c r="B5765" s="97"/>
      <c r="C5765" s="98"/>
      <c r="D5765" s="98"/>
      <c r="E5765" s="98"/>
      <c r="G5765" s="220"/>
    </row>
    <row r="5766" spans="1:9" s="212" customFormat="1">
      <c r="B5766" s="97"/>
      <c r="C5766" s="98"/>
      <c r="D5766" s="98"/>
      <c r="E5766" s="98"/>
      <c r="F5766" s="220"/>
      <c r="G5766" s="225"/>
      <c r="H5766" s="226"/>
    </row>
    <row r="5767" spans="1:9" s="212" customFormat="1">
      <c r="A5767" s="633"/>
      <c r="B5767" s="633"/>
      <c r="C5767" s="633"/>
      <c r="D5767" s="633"/>
      <c r="E5767" s="633"/>
      <c r="F5767" s="633"/>
      <c r="G5767" s="633"/>
    </row>
    <row r="5768" spans="1:9" s="212" customFormat="1">
      <c r="H5768" s="227"/>
      <c r="I5768" s="228"/>
    </row>
    <row r="5769" spans="1:9" s="212" customFormat="1">
      <c r="A5769" s="658"/>
      <c r="B5769" s="227"/>
      <c r="C5769" s="227"/>
      <c r="D5769" s="227"/>
      <c r="E5769" s="227"/>
      <c r="F5769" s="227"/>
      <c r="G5769" s="227"/>
      <c r="H5769" s="227"/>
      <c r="I5769" s="229"/>
    </row>
    <row r="5770" spans="1:9" s="212" customFormat="1">
      <c r="A5770" s="658"/>
      <c r="B5770" s="227"/>
      <c r="C5770" s="227"/>
      <c r="D5770" s="227"/>
      <c r="E5770" s="227"/>
      <c r="F5770" s="227"/>
      <c r="G5770" s="227"/>
    </row>
    <row r="5771" spans="1:9" s="212" customFormat="1">
      <c r="A5771" s="69"/>
      <c r="B5771" s="69"/>
      <c r="C5771" s="69"/>
      <c r="D5771" s="69"/>
      <c r="E5771" s="69"/>
    </row>
    <row r="5772" spans="1:9" s="212" customFormat="1">
      <c r="A5772" s="120"/>
      <c r="B5772" s="73"/>
      <c r="C5772" s="73"/>
      <c r="D5772" s="73"/>
      <c r="E5772" s="73"/>
      <c r="F5772" s="73"/>
      <c r="G5772" s="73"/>
      <c r="H5772" s="73"/>
    </row>
    <row r="5773" spans="1:9" s="212" customFormat="1">
      <c r="A5773" s="220"/>
      <c r="B5773" s="141"/>
      <c r="C5773" s="141"/>
      <c r="D5773" s="141"/>
      <c r="E5773" s="141"/>
      <c r="F5773" s="141"/>
      <c r="G5773" s="141"/>
      <c r="H5773" s="73"/>
    </row>
    <row r="5774" spans="1:9" s="212" customFormat="1">
      <c r="A5774" s="142"/>
      <c r="B5774" s="143"/>
      <c r="C5774" s="143"/>
      <c r="D5774" s="143"/>
      <c r="E5774" s="143"/>
      <c r="F5774" s="84"/>
      <c r="G5774" s="146"/>
      <c r="H5774" s="221"/>
    </row>
    <row r="5775" spans="1:9" s="212" customFormat="1">
      <c r="A5775" s="84"/>
      <c r="B5775" s="83"/>
      <c r="C5775" s="84"/>
      <c r="D5775" s="84"/>
      <c r="E5775" s="84"/>
      <c r="G5775" s="213"/>
      <c r="H5775" s="222"/>
    </row>
    <row r="5776" spans="1:9" s="212" customFormat="1">
      <c r="A5776" s="120"/>
      <c r="B5776" s="73"/>
      <c r="C5776" s="73"/>
      <c r="D5776" s="73"/>
      <c r="E5776" s="73"/>
      <c r="G5776" s="73"/>
      <c r="H5776" s="222"/>
    </row>
    <row r="5777" spans="1:9" s="212" customFormat="1">
      <c r="A5777" s="220"/>
      <c r="B5777" s="141"/>
      <c r="C5777" s="141"/>
      <c r="D5777" s="141"/>
      <c r="E5777" s="141"/>
      <c r="F5777" s="141"/>
      <c r="G5777" s="141"/>
      <c r="H5777" s="222"/>
    </row>
    <row r="5778" spans="1:9" s="212" customFormat="1">
      <c r="A5778" s="150"/>
      <c r="B5778" s="83"/>
      <c r="C5778" s="148"/>
      <c r="D5778" s="160"/>
      <c r="E5778" s="84"/>
      <c r="F5778" s="84"/>
      <c r="G5778" s="146"/>
      <c r="H5778" s="221"/>
    </row>
    <row r="5779" spans="1:9" s="212" customFormat="1">
      <c r="A5779" s="91"/>
      <c r="B5779" s="91"/>
      <c r="C5779" s="91"/>
      <c r="D5779" s="91"/>
      <c r="E5779" s="91"/>
      <c r="G5779" s="213"/>
      <c r="H5779" s="222"/>
    </row>
    <row r="5780" spans="1:9" s="212" customFormat="1">
      <c r="A5780" s="120"/>
      <c r="B5780" s="73"/>
      <c r="C5780" s="73"/>
      <c r="D5780" s="73"/>
      <c r="E5780" s="73"/>
      <c r="G5780" s="73"/>
      <c r="H5780" s="222"/>
    </row>
    <row r="5781" spans="1:9" s="212" customFormat="1">
      <c r="A5781" s="220"/>
      <c r="B5781" s="141"/>
      <c r="C5781" s="141"/>
      <c r="D5781" s="141"/>
      <c r="E5781" s="141"/>
      <c r="F5781" s="141"/>
      <c r="G5781" s="141"/>
      <c r="H5781" s="222"/>
    </row>
    <row r="5782" spans="1:9" s="212" customFormat="1">
      <c r="A5782" s="142"/>
      <c r="B5782" s="143"/>
      <c r="C5782" s="143"/>
      <c r="D5782" s="143"/>
      <c r="E5782" s="143"/>
      <c r="F5782" s="84"/>
      <c r="G5782" s="146"/>
      <c r="H5782" s="221"/>
    </row>
    <row r="5783" spans="1:9" s="212" customFormat="1">
      <c r="A5783" s="91"/>
      <c r="B5783" s="91"/>
      <c r="C5783" s="91"/>
      <c r="D5783" s="91"/>
      <c r="E5783" s="91"/>
      <c r="G5783" s="213"/>
      <c r="H5783" s="222"/>
    </row>
    <row r="5784" spans="1:9" s="212" customFormat="1">
      <c r="A5784" s="120"/>
      <c r="B5784" s="73"/>
      <c r="C5784" s="73"/>
      <c r="D5784" s="73"/>
      <c r="E5784" s="73"/>
      <c r="G5784" s="73"/>
      <c r="H5784" s="222"/>
    </row>
    <row r="5785" spans="1:9" s="212" customFormat="1">
      <c r="A5785" s="220"/>
      <c r="B5785" s="141"/>
      <c r="C5785" s="141"/>
      <c r="D5785" s="141"/>
      <c r="E5785" s="141"/>
      <c r="F5785" s="141"/>
      <c r="G5785" s="141"/>
      <c r="H5785" s="222"/>
    </row>
    <row r="5786" spans="1:9" s="212" customFormat="1">
      <c r="A5786" s="142"/>
      <c r="B5786" s="143"/>
      <c r="C5786" s="143"/>
      <c r="D5786" s="143"/>
      <c r="E5786" s="143"/>
      <c r="F5786" s="84"/>
      <c r="G5786" s="146"/>
      <c r="H5786" s="221"/>
    </row>
    <row r="5787" spans="1:9" s="212" customFormat="1">
      <c r="A5787" s="123"/>
      <c r="B5787" s="95"/>
      <c r="C5787" s="95"/>
      <c r="D5787" s="95"/>
      <c r="E5787" s="95"/>
      <c r="G5787" s="213"/>
      <c r="H5787" s="73"/>
    </row>
    <row r="5788" spans="1:9" s="212" customFormat="1">
      <c r="A5788" s="123"/>
      <c r="B5788" s="95"/>
      <c r="C5788" s="95"/>
      <c r="D5788" s="95"/>
      <c r="E5788" s="95"/>
      <c r="G5788" s="73"/>
      <c r="H5788" s="225"/>
    </row>
    <row r="5789" spans="1:9" s="212" customFormat="1">
      <c r="B5789" s="97"/>
      <c r="C5789" s="98"/>
      <c r="D5789" s="98"/>
      <c r="E5789" s="98"/>
      <c r="G5789" s="220"/>
    </row>
    <row r="5790" spans="1:9" s="212" customFormat="1">
      <c r="B5790" s="97"/>
      <c r="C5790" s="98"/>
      <c r="D5790" s="98"/>
      <c r="E5790" s="98"/>
      <c r="F5790" s="220"/>
      <c r="G5790" s="225"/>
      <c r="H5790" s="226"/>
    </row>
    <row r="5791" spans="1:9" s="212" customFormat="1">
      <c r="A5791" s="633"/>
      <c r="B5791" s="633"/>
      <c r="C5791" s="633"/>
      <c r="D5791" s="633"/>
      <c r="E5791" s="633"/>
      <c r="F5791" s="633"/>
      <c r="G5791" s="633"/>
    </row>
    <row r="5792" spans="1:9" s="212" customFormat="1">
      <c r="H5792" s="227"/>
      <c r="I5792" s="228"/>
    </row>
    <row r="5793" spans="1:9" s="212" customFormat="1">
      <c r="A5793" s="658"/>
      <c r="B5793" s="227"/>
      <c r="C5793" s="227"/>
      <c r="D5793" s="227"/>
      <c r="E5793" s="227"/>
      <c r="F5793" s="227"/>
      <c r="G5793" s="227"/>
      <c r="H5793" s="227"/>
      <c r="I5793" s="229"/>
    </row>
    <row r="5794" spans="1:9" s="212" customFormat="1">
      <c r="A5794" s="658"/>
      <c r="B5794" s="227"/>
      <c r="C5794" s="227"/>
      <c r="D5794" s="227"/>
      <c r="E5794" s="227"/>
      <c r="F5794" s="227"/>
      <c r="G5794" s="227"/>
    </row>
    <row r="5795" spans="1:9" s="212" customFormat="1">
      <c r="A5795" s="69"/>
      <c r="B5795" s="69"/>
      <c r="C5795" s="69"/>
      <c r="D5795" s="69"/>
      <c r="E5795" s="69"/>
    </row>
    <row r="5796" spans="1:9" s="212" customFormat="1">
      <c r="A5796" s="120"/>
      <c r="B5796" s="73"/>
      <c r="C5796" s="73"/>
      <c r="D5796" s="73"/>
      <c r="E5796" s="73"/>
      <c r="F5796" s="73"/>
      <c r="G5796" s="73"/>
      <c r="H5796" s="73"/>
    </row>
    <row r="5797" spans="1:9" s="212" customFormat="1">
      <c r="A5797" s="220"/>
      <c r="B5797" s="141"/>
      <c r="C5797" s="141"/>
      <c r="D5797" s="141"/>
      <c r="E5797" s="141"/>
      <c r="F5797" s="141"/>
      <c r="G5797" s="141"/>
      <c r="H5797" s="73"/>
    </row>
    <row r="5798" spans="1:9" s="212" customFormat="1">
      <c r="A5798" s="142"/>
      <c r="B5798" s="143"/>
      <c r="C5798" s="143"/>
      <c r="D5798" s="143"/>
      <c r="E5798" s="143"/>
      <c r="F5798" s="84"/>
      <c r="G5798" s="146"/>
      <c r="H5798" s="221"/>
    </row>
    <row r="5799" spans="1:9" s="212" customFormat="1">
      <c r="A5799" s="84"/>
      <c r="B5799" s="83"/>
      <c r="C5799" s="84"/>
      <c r="D5799" s="84"/>
      <c r="E5799" s="84"/>
      <c r="G5799" s="213"/>
      <c r="H5799" s="222"/>
    </row>
    <row r="5800" spans="1:9" s="212" customFormat="1">
      <c r="A5800" s="120"/>
      <c r="B5800" s="73"/>
      <c r="C5800" s="73"/>
      <c r="D5800" s="73"/>
      <c r="E5800" s="73"/>
      <c r="G5800" s="73"/>
      <c r="H5800" s="222"/>
    </row>
    <row r="5801" spans="1:9" s="212" customFormat="1">
      <c r="A5801" s="220"/>
      <c r="B5801" s="141"/>
      <c r="C5801" s="141"/>
      <c r="D5801" s="141"/>
      <c r="E5801" s="141"/>
      <c r="F5801" s="141"/>
      <c r="G5801" s="141"/>
      <c r="H5801" s="222"/>
    </row>
    <row r="5802" spans="1:9" s="212" customFormat="1">
      <c r="A5802" s="150"/>
      <c r="B5802" s="83"/>
      <c r="C5802" s="148"/>
      <c r="D5802" s="160"/>
      <c r="E5802" s="84"/>
      <c r="F5802" s="84"/>
      <c r="G5802" s="146"/>
      <c r="H5802" s="221"/>
    </row>
    <row r="5803" spans="1:9" s="212" customFormat="1">
      <c r="A5803" s="91"/>
      <c r="B5803" s="91"/>
      <c r="C5803" s="91"/>
      <c r="D5803" s="91"/>
      <c r="E5803" s="91"/>
      <c r="G5803" s="213"/>
      <c r="H5803" s="222"/>
    </row>
    <row r="5804" spans="1:9" s="212" customFormat="1">
      <c r="A5804" s="120"/>
      <c r="B5804" s="73"/>
      <c r="C5804" s="73"/>
      <c r="D5804" s="73"/>
      <c r="E5804" s="73"/>
      <c r="G5804" s="73"/>
      <c r="H5804" s="222"/>
    </row>
    <row r="5805" spans="1:9" s="212" customFormat="1">
      <c r="A5805" s="220"/>
      <c r="B5805" s="141"/>
      <c r="C5805" s="141"/>
      <c r="D5805" s="141"/>
      <c r="E5805" s="141"/>
      <c r="F5805" s="141"/>
      <c r="G5805" s="141"/>
      <c r="H5805" s="222"/>
    </row>
    <row r="5806" spans="1:9" s="212" customFormat="1">
      <c r="A5806" s="142"/>
      <c r="B5806" s="143"/>
      <c r="C5806" s="143"/>
      <c r="D5806" s="143"/>
      <c r="E5806" s="143"/>
      <c r="F5806" s="84"/>
      <c r="G5806" s="146"/>
      <c r="H5806" s="221"/>
    </row>
    <row r="5807" spans="1:9" s="212" customFormat="1">
      <c r="A5807" s="91"/>
      <c r="B5807" s="91"/>
      <c r="C5807" s="91"/>
      <c r="D5807" s="91"/>
      <c r="E5807" s="91"/>
      <c r="G5807" s="213"/>
      <c r="H5807" s="222"/>
    </row>
    <row r="5808" spans="1:9" s="212" customFormat="1">
      <c r="A5808" s="120"/>
      <c r="B5808" s="73"/>
      <c r="C5808" s="73"/>
      <c r="D5808" s="73"/>
      <c r="E5808" s="73"/>
      <c r="G5808" s="73"/>
      <c r="H5808" s="222"/>
    </row>
    <row r="5809" spans="1:9" s="212" customFormat="1">
      <c r="A5809" s="220"/>
      <c r="B5809" s="141"/>
      <c r="C5809" s="141"/>
      <c r="D5809" s="141"/>
      <c r="E5809" s="141"/>
      <c r="F5809" s="141"/>
      <c r="G5809" s="141"/>
      <c r="H5809" s="222"/>
    </row>
    <row r="5810" spans="1:9" s="212" customFormat="1">
      <c r="A5810" s="142"/>
      <c r="B5810" s="143"/>
      <c r="C5810" s="143"/>
      <c r="D5810" s="143"/>
      <c r="E5810" s="143"/>
      <c r="F5810" s="84"/>
      <c r="G5810" s="146"/>
      <c r="H5810" s="221"/>
    </row>
    <row r="5811" spans="1:9" s="212" customFormat="1">
      <c r="A5811" s="123"/>
      <c r="B5811" s="95"/>
      <c r="C5811" s="95"/>
      <c r="D5811" s="95"/>
      <c r="E5811" s="95"/>
      <c r="G5811" s="213"/>
      <c r="H5811" s="73"/>
    </row>
    <row r="5812" spans="1:9" s="212" customFormat="1">
      <c r="A5812" s="123"/>
      <c r="B5812" s="95"/>
      <c r="C5812" s="95"/>
      <c r="D5812" s="95"/>
      <c r="E5812" s="95"/>
      <c r="G5812" s="73"/>
      <c r="H5812" s="225"/>
    </row>
    <row r="5813" spans="1:9" s="212" customFormat="1">
      <c r="B5813" s="97"/>
      <c r="C5813" s="98"/>
      <c r="D5813" s="98"/>
      <c r="E5813" s="98"/>
      <c r="G5813" s="220"/>
    </row>
    <row r="5814" spans="1:9" s="212" customFormat="1">
      <c r="B5814" s="97"/>
      <c r="C5814" s="98"/>
      <c r="D5814" s="98"/>
      <c r="E5814" s="98"/>
      <c r="F5814" s="220"/>
      <c r="G5814" s="225"/>
      <c r="H5814" s="226"/>
    </row>
    <row r="5815" spans="1:9" s="212" customFormat="1">
      <c r="A5815" s="633"/>
      <c r="B5815" s="633"/>
      <c r="C5815" s="633"/>
      <c r="D5815" s="633"/>
      <c r="E5815" s="633"/>
      <c r="F5815" s="633"/>
      <c r="G5815" s="633"/>
    </row>
    <row r="5816" spans="1:9" s="212" customFormat="1">
      <c r="H5816" s="227"/>
      <c r="I5816" s="228"/>
    </row>
    <row r="5817" spans="1:9" s="212" customFormat="1">
      <c r="A5817" s="658"/>
      <c r="B5817" s="227"/>
      <c r="C5817" s="227"/>
      <c r="D5817" s="227"/>
      <c r="E5817" s="227"/>
      <c r="F5817" s="227"/>
      <c r="G5817" s="227"/>
      <c r="H5817" s="227"/>
      <c r="I5817" s="229"/>
    </row>
    <row r="5818" spans="1:9" s="212" customFormat="1">
      <c r="A5818" s="658"/>
      <c r="B5818" s="227"/>
      <c r="C5818" s="227"/>
      <c r="D5818" s="227"/>
      <c r="E5818" s="227"/>
      <c r="F5818" s="227"/>
      <c r="G5818" s="227"/>
    </row>
    <row r="5819" spans="1:9" s="212" customFormat="1">
      <c r="A5819" s="69"/>
      <c r="B5819" s="69"/>
      <c r="C5819" s="69"/>
      <c r="D5819" s="69"/>
      <c r="E5819" s="69"/>
    </row>
    <row r="5820" spans="1:9" s="212" customFormat="1">
      <c r="A5820" s="120"/>
      <c r="B5820" s="73"/>
      <c r="C5820" s="73"/>
      <c r="D5820" s="73"/>
      <c r="E5820" s="73"/>
      <c r="F5820" s="73"/>
      <c r="G5820" s="73"/>
      <c r="H5820" s="73"/>
    </row>
    <row r="5821" spans="1:9" s="212" customFormat="1">
      <c r="A5821" s="220"/>
      <c r="B5821" s="141"/>
      <c r="C5821" s="141"/>
      <c r="D5821" s="141"/>
      <c r="E5821" s="141"/>
      <c r="F5821" s="141"/>
      <c r="G5821" s="141"/>
      <c r="H5821" s="73"/>
    </row>
    <row r="5822" spans="1:9" s="212" customFormat="1">
      <c r="A5822" s="142"/>
      <c r="B5822" s="143"/>
      <c r="C5822" s="143"/>
      <c r="D5822" s="143"/>
      <c r="E5822" s="143"/>
      <c r="F5822" s="84"/>
      <c r="G5822" s="146"/>
      <c r="H5822" s="221"/>
    </row>
    <row r="5823" spans="1:9" s="212" customFormat="1">
      <c r="A5823" s="84"/>
      <c r="B5823" s="83"/>
      <c r="C5823" s="84"/>
      <c r="D5823" s="84"/>
      <c r="E5823" s="84"/>
      <c r="G5823" s="213"/>
      <c r="H5823" s="222"/>
    </row>
    <row r="5824" spans="1:9" s="212" customFormat="1">
      <c r="A5824" s="120"/>
      <c r="B5824" s="73"/>
      <c r="C5824" s="73"/>
      <c r="D5824" s="73"/>
      <c r="E5824" s="73"/>
      <c r="G5824" s="73"/>
      <c r="H5824" s="222"/>
    </row>
    <row r="5825" spans="1:9" s="212" customFormat="1">
      <c r="A5825" s="220"/>
      <c r="B5825" s="141"/>
      <c r="C5825" s="141"/>
      <c r="D5825" s="141"/>
      <c r="E5825" s="141"/>
      <c r="F5825" s="141"/>
      <c r="G5825" s="141"/>
      <c r="H5825" s="222"/>
    </row>
    <row r="5826" spans="1:9" s="212" customFormat="1">
      <c r="A5826" s="150"/>
      <c r="B5826" s="83"/>
      <c r="C5826" s="148"/>
      <c r="D5826" s="160"/>
      <c r="E5826" s="84"/>
      <c r="F5826" s="84"/>
      <c r="G5826" s="146"/>
      <c r="H5826" s="221"/>
    </row>
    <row r="5827" spans="1:9" s="212" customFormat="1">
      <c r="A5827" s="91"/>
      <c r="B5827" s="91"/>
      <c r="C5827" s="91"/>
      <c r="D5827" s="91"/>
      <c r="E5827" s="91"/>
      <c r="G5827" s="213"/>
      <c r="H5827" s="222"/>
    </row>
    <row r="5828" spans="1:9" s="212" customFormat="1">
      <c r="A5828" s="120"/>
      <c r="B5828" s="73"/>
      <c r="C5828" s="73"/>
      <c r="D5828" s="73"/>
      <c r="E5828" s="73"/>
      <c r="G5828" s="73"/>
      <c r="H5828" s="222"/>
    </row>
    <row r="5829" spans="1:9" s="212" customFormat="1">
      <c r="A5829" s="220"/>
      <c r="B5829" s="141"/>
      <c r="C5829" s="141"/>
      <c r="D5829" s="141"/>
      <c r="E5829" s="141"/>
      <c r="F5829" s="141"/>
      <c r="G5829" s="141"/>
      <c r="H5829" s="222"/>
    </row>
    <row r="5830" spans="1:9" s="212" customFormat="1">
      <c r="A5830" s="142"/>
      <c r="B5830" s="143"/>
      <c r="C5830" s="143"/>
      <c r="D5830" s="143"/>
      <c r="E5830" s="143"/>
      <c r="F5830" s="84"/>
      <c r="G5830" s="146"/>
      <c r="H5830" s="221"/>
    </row>
    <row r="5831" spans="1:9" s="212" customFormat="1">
      <c r="A5831" s="91"/>
      <c r="B5831" s="91"/>
      <c r="C5831" s="91"/>
      <c r="D5831" s="91"/>
      <c r="E5831" s="91"/>
      <c r="G5831" s="213"/>
      <c r="H5831" s="222"/>
    </row>
    <row r="5832" spans="1:9" s="212" customFormat="1">
      <c r="A5832" s="120"/>
      <c r="B5832" s="73"/>
      <c r="C5832" s="73"/>
      <c r="D5832" s="73"/>
      <c r="E5832" s="73"/>
      <c r="G5832" s="73"/>
      <c r="H5832" s="222"/>
    </row>
    <row r="5833" spans="1:9" s="212" customFormat="1">
      <c r="A5833" s="220"/>
      <c r="B5833" s="141"/>
      <c r="C5833" s="141"/>
      <c r="D5833" s="141"/>
      <c r="E5833" s="141"/>
      <c r="F5833" s="141"/>
      <c r="G5833" s="141"/>
      <c r="H5833" s="222"/>
    </row>
    <row r="5834" spans="1:9" s="212" customFormat="1">
      <c r="A5834" s="142"/>
      <c r="B5834" s="143"/>
      <c r="C5834" s="143"/>
      <c r="D5834" s="143"/>
      <c r="E5834" s="143"/>
      <c r="F5834" s="84"/>
      <c r="G5834" s="146"/>
      <c r="H5834" s="221"/>
    </row>
    <row r="5835" spans="1:9" s="212" customFormat="1">
      <c r="A5835" s="123"/>
      <c r="B5835" s="95"/>
      <c r="C5835" s="95"/>
      <c r="D5835" s="95"/>
      <c r="E5835" s="95"/>
      <c r="G5835" s="213"/>
      <c r="H5835" s="73"/>
    </row>
    <row r="5836" spans="1:9" s="212" customFormat="1">
      <c r="A5836" s="123"/>
      <c r="B5836" s="95"/>
      <c r="C5836" s="95"/>
      <c r="D5836" s="95"/>
      <c r="E5836" s="95"/>
      <c r="G5836" s="73"/>
      <c r="H5836" s="225"/>
    </row>
    <row r="5837" spans="1:9" s="212" customFormat="1">
      <c r="B5837" s="97"/>
      <c r="C5837" s="98"/>
      <c r="D5837" s="98"/>
      <c r="E5837" s="98"/>
      <c r="G5837" s="220"/>
    </row>
    <row r="5838" spans="1:9" s="212" customFormat="1">
      <c r="B5838" s="97"/>
      <c r="C5838" s="98"/>
      <c r="D5838" s="98"/>
      <c r="E5838" s="98"/>
      <c r="F5838" s="220"/>
      <c r="G5838" s="225"/>
      <c r="H5838" s="226"/>
    </row>
    <row r="5839" spans="1:9" s="212" customFormat="1">
      <c r="A5839" s="633"/>
      <c r="B5839" s="633"/>
      <c r="C5839" s="633"/>
      <c r="D5839" s="633"/>
      <c r="E5839" s="633"/>
      <c r="F5839" s="633"/>
      <c r="G5839" s="633"/>
    </row>
    <row r="5840" spans="1:9" s="212" customFormat="1">
      <c r="H5840" s="227"/>
      <c r="I5840" s="228"/>
    </row>
    <row r="5841" spans="1:9" s="212" customFormat="1">
      <c r="A5841" s="658"/>
      <c r="B5841" s="227"/>
      <c r="C5841" s="227"/>
      <c r="D5841" s="227"/>
      <c r="E5841" s="227"/>
      <c r="F5841" s="227"/>
      <c r="G5841" s="227"/>
      <c r="H5841" s="227"/>
      <c r="I5841" s="229"/>
    </row>
    <row r="5842" spans="1:9" s="212" customFormat="1">
      <c r="A5842" s="658"/>
      <c r="B5842" s="227"/>
      <c r="C5842" s="227"/>
      <c r="D5842" s="227"/>
      <c r="E5842" s="227"/>
      <c r="F5842" s="227"/>
      <c r="G5842" s="227"/>
    </row>
    <row r="5843" spans="1:9" s="212" customFormat="1">
      <c r="A5843" s="69"/>
      <c r="B5843" s="69"/>
      <c r="C5843" s="69"/>
      <c r="D5843" s="69"/>
      <c r="E5843" s="69"/>
    </row>
    <row r="5844" spans="1:9" s="212" customFormat="1">
      <c r="A5844" s="120"/>
      <c r="B5844" s="73"/>
      <c r="C5844" s="73"/>
      <c r="D5844" s="73"/>
      <c r="E5844" s="73"/>
      <c r="F5844" s="73"/>
      <c r="G5844" s="73"/>
      <c r="H5844" s="73"/>
    </row>
    <row r="5845" spans="1:9" s="212" customFormat="1">
      <c r="A5845" s="220"/>
      <c r="B5845" s="141"/>
      <c r="C5845" s="141"/>
      <c r="D5845" s="141"/>
      <c r="E5845" s="141"/>
      <c r="F5845" s="141"/>
      <c r="G5845" s="141"/>
      <c r="H5845" s="73"/>
    </row>
    <row r="5846" spans="1:9" s="212" customFormat="1">
      <c r="A5846" s="142"/>
      <c r="B5846" s="143"/>
      <c r="C5846" s="143"/>
      <c r="D5846" s="143"/>
      <c r="E5846" s="143"/>
      <c r="F5846" s="84"/>
      <c r="G5846" s="146"/>
      <c r="H5846" s="221"/>
    </row>
    <row r="5847" spans="1:9" s="212" customFormat="1">
      <c r="A5847" s="84"/>
      <c r="B5847" s="83"/>
      <c r="C5847" s="84"/>
      <c r="D5847" s="84"/>
      <c r="E5847" s="84"/>
      <c r="G5847" s="213"/>
      <c r="H5847" s="222"/>
    </row>
    <row r="5848" spans="1:9" s="212" customFormat="1">
      <c r="A5848" s="120"/>
      <c r="B5848" s="73"/>
      <c r="C5848" s="73"/>
      <c r="D5848" s="73"/>
      <c r="E5848" s="73"/>
      <c r="G5848" s="73"/>
      <c r="H5848" s="222"/>
    </row>
    <row r="5849" spans="1:9" s="212" customFormat="1">
      <c r="A5849" s="220"/>
      <c r="B5849" s="141"/>
      <c r="C5849" s="141"/>
      <c r="D5849" s="141"/>
      <c r="E5849" s="141"/>
      <c r="F5849" s="141"/>
      <c r="G5849" s="141"/>
      <c r="H5849" s="222"/>
    </row>
    <row r="5850" spans="1:9" s="212" customFormat="1">
      <c r="A5850" s="150"/>
      <c r="B5850" s="83"/>
      <c r="C5850" s="148"/>
      <c r="D5850" s="160"/>
      <c r="E5850" s="84"/>
      <c r="F5850" s="84"/>
      <c r="G5850" s="146"/>
      <c r="H5850" s="221"/>
    </row>
    <row r="5851" spans="1:9" s="212" customFormat="1">
      <c r="A5851" s="91"/>
      <c r="B5851" s="91"/>
      <c r="C5851" s="91"/>
      <c r="D5851" s="91"/>
      <c r="E5851" s="91"/>
      <c r="G5851" s="213"/>
      <c r="H5851" s="222"/>
    </row>
    <row r="5852" spans="1:9" s="212" customFormat="1">
      <c r="A5852" s="120"/>
      <c r="B5852" s="73"/>
      <c r="C5852" s="73"/>
      <c r="D5852" s="73"/>
      <c r="E5852" s="73"/>
      <c r="G5852" s="73"/>
      <c r="H5852" s="222"/>
    </row>
    <row r="5853" spans="1:9" s="212" customFormat="1">
      <c r="A5853" s="220"/>
      <c r="B5853" s="141"/>
      <c r="C5853" s="141"/>
      <c r="D5853" s="141"/>
      <c r="E5853" s="141"/>
      <c r="F5853" s="141"/>
      <c r="G5853" s="141"/>
      <c r="H5853" s="222"/>
    </row>
    <row r="5854" spans="1:9" s="212" customFormat="1">
      <c r="A5854" s="142"/>
      <c r="B5854" s="143"/>
      <c r="C5854" s="143"/>
      <c r="D5854" s="143"/>
      <c r="E5854" s="143"/>
      <c r="F5854" s="84"/>
      <c r="G5854" s="146"/>
      <c r="H5854" s="221"/>
    </row>
    <row r="5855" spans="1:9" s="212" customFormat="1">
      <c r="A5855" s="91"/>
      <c r="B5855" s="91"/>
      <c r="C5855" s="91"/>
      <c r="D5855" s="91"/>
      <c r="E5855" s="91"/>
      <c r="G5855" s="213"/>
      <c r="H5855" s="222"/>
    </row>
    <row r="5856" spans="1:9" s="212" customFormat="1">
      <c r="A5856" s="120"/>
      <c r="B5856" s="73"/>
      <c r="C5856" s="73"/>
      <c r="D5856" s="73"/>
      <c r="E5856" s="73"/>
      <c r="G5856" s="73"/>
      <c r="H5856" s="222"/>
    </row>
    <row r="5857" spans="1:9" s="212" customFormat="1">
      <c r="A5857" s="220"/>
      <c r="B5857" s="141"/>
      <c r="C5857" s="141"/>
      <c r="D5857" s="141"/>
      <c r="E5857" s="141"/>
      <c r="F5857" s="141"/>
      <c r="G5857" s="141"/>
      <c r="H5857" s="222"/>
    </row>
    <row r="5858" spans="1:9" s="212" customFormat="1">
      <c r="A5858" s="142"/>
      <c r="B5858" s="143"/>
      <c r="C5858" s="143"/>
      <c r="D5858" s="143"/>
      <c r="E5858" s="143"/>
      <c r="F5858" s="84"/>
      <c r="G5858" s="146"/>
      <c r="H5858" s="221"/>
    </row>
    <row r="5859" spans="1:9" s="212" customFormat="1">
      <c r="A5859" s="123"/>
      <c r="B5859" s="95"/>
      <c r="C5859" s="95"/>
      <c r="D5859" s="95"/>
      <c r="E5859" s="95"/>
      <c r="G5859" s="213"/>
      <c r="H5859" s="73"/>
    </row>
    <row r="5860" spans="1:9" s="212" customFormat="1">
      <c r="A5860" s="123"/>
      <c r="B5860" s="95"/>
      <c r="C5860" s="95"/>
      <c r="D5860" s="95"/>
      <c r="E5860" s="95"/>
      <c r="G5860" s="73"/>
      <c r="H5860" s="225"/>
    </row>
    <row r="5861" spans="1:9" s="212" customFormat="1">
      <c r="B5861" s="97"/>
      <c r="C5861" s="98"/>
      <c r="D5861" s="98"/>
      <c r="E5861" s="98"/>
      <c r="G5861" s="220"/>
    </row>
    <row r="5862" spans="1:9" s="212" customFormat="1">
      <c r="B5862" s="97"/>
      <c r="C5862" s="98"/>
      <c r="D5862" s="98"/>
      <c r="E5862" s="98"/>
      <c r="F5862" s="220"/>
      <c r="G5862" s="225"/>
      <c r="H5862" s="226"/>
    </row>
    <row r="5863" spans="1:9" s="212" customFormat="1">
      <c r="A5863" s="633"/>
      <c r="B5863" s="633"/>
      <c r="C5863" s="633"/>
      <c r="D5863" s="633"/>
      <c r="E5863" s="633"/>
      <c r="F5863" s="633"/>
      <c r="G5863" s="633"/>
    </row>
    <row r="5864" spans="1:9" s="212" customFormat="1">
      <c r="H5864" s="227"/>
      <c r="I5864" s="228"/>
    </row>
    <row r="5865" spans="1:9" s="212" customFormat="1">
      <c r="A5865" s="658"/>
      <c r="B5865" s="227"/>
      <c r="C5865" s="227"/>
      <c r="D5865" s="227"/>
      <c r="E5865" s="227"/>
      <c r="F5865" s="227"/>
      <c r="G5865" s="227"/>
      <c r="H5865" s="227"/>
      <c r="I5865" s="229"/>
    </row>
    <row r="5866" spans="1:9" s="212" customFormat="1">
      <c r="A5866" s="658"/>
      <c r="B5866" s="227"/>
      <c r="C5866" s="227"/>
      <c r="D5866" s="227"/>
      <c r="E5866" s="227"/>
      <c r="F5866" s="227"/>
      <c r="G5866" s="227"/>
    </row>
    <row r="5867" spans="1:9" s="212" customFormat="1">
      <c r="A5867" s="69"/>
      <c r="B5867" s="69"/>
      <c r="C5867" s="69"/>
      <c r="D5867" s="69"/>
      <c r="E5867" s="69"/>
    </row>
    <row r="5868" spans="1:9" s="212" customFormat="1">
      <c r="A5868" s="120"/>
      <c r="B5868" s="73"/>
      <c r="C5868" s="73"/>
      <c r="D5868" s="73"/>
      <c r="E5868" s="73"/>
      <c r="F5868" s="73"/>
      <c r="G5868" s="73"/>
      <c r="H5868" s="73"/>
    </row>
    <row r="5869" spans="1:9" s="212" customFormat="1">
      <c r="A5869" s="220"/>
      <c r="B5869" s="141"/>
      <c r="C5869" s="141"/>
      <c r="D5869" s="141"/>
      <c r="E5869" s="141"/>
      <c r="F5869" s="141"/>
      <c r="G5869" s="141"/>
      <c r="H5869" s="73"/>
    </row>
    <row r="5870" spans="1:9" s="212" customFormat="1">
      <c r="A5870" s="142"/>
      <c r="B5870" s="143"/>
      <c r="C5870" s="143"/>
      <c r="D5870" s="143"/>
      <c r="E5870" s="143"/>
      <c r="F5870" s="84"/>
      <c r="G5870" s="146"/>
      <c r="H5870" s="221"/>
    </row>
    <row r="5871" spans="1:9" s="212" customFormat="1">
      <c r="A5871" s="84"/>
      <c r="B5871" s="83"/>
      <c r="C5871" s="84"/>
      <c r="D5871" s="84"/>
      <c r="E5871" s="84"/>
      <c r="G5871" s="213"/>
      <c r="H5871" s="222"/>
    </row>
    <row r="5872" spans="1:9" s="212" customFormat="1">
      <c r="A5872" s="120"/>
      <c r="B5872" s="73"/>
      <c r="C5872" s="73"/>
      <c r="D5872" s="73"/>
      <c r="E5872" s="73"/>
      <c r="G5872" s="73"/>
      <c r="H5872" s="222"/>
    </row>
    <row r="5873" spans="1:9" s="212" customFormat="1">
      <c r="A5873" s="220"/>
      <c r="B5873" s="141"/>
      <c r="C5873" s="141"/>
      <c r="D5873" s="141"/>
      <c r="E5873" s="141"/>
      <c r="F5873" s="141"/>
      <c r="G5873" s="141"/>
      <c r="H5873" s="222"/>
    </row>
    <row r="5874" spans="1:9" s="212" customFormat="1">
      <c r="A5874" s="150"/>
      <c r="B5874" s="83"/>
      <c r="C5874" s="148"/>
      <c r="D5874" s="160"/>
      <c r="E5874" s="84"/>
      <c r="F5874" s="84"/>
      <c r="G5874" s="146"/>
      <c r="H5874" s="221"/>
    </row>
    <row r="5875" spans="1:9" s="212" customFormat="1">
      <c r="A5875" s="91"/>
      <c r="B5875" s="91"/>
      <c r="C5875" s="91"/>
      <c r="D5875" s="91"/>
      <c r="E5875" s="91"/>
      <c r="G5875" s="213"/>
      <c r="H5875" s="222"/>
    </row>
    <row r="5876" spans="1:9" s="212" customFormat="1">
      <c r="A5876" s="120"/>
      <c r="B5876" s="73"/>
      <c r="C5876" s="73"/>
      <c r="D5876" s="73"/>
      <c r="E5876" s="73"/>
      <c r="G5876" s="73"/>
      <c r="H5876" s="222"/>
    </row>
    <row r="5877" spans="1:9" s="212" customFormat="1">
      <c r="A5877" s="220"/>
      <c r="B5877" s="141"/>
      <c r="C5877" s="141"/>
      <c r="D5877" s="141"/>
      <c r="E5877" s="141"/>
      <c r="F5877" s="141"/>
      <c r="G5877" s="141"/>
      <c r="H5877" s="222"/>
    </row>
    <row r="5878" spans="1:9" s="212" customFormat="1">
      <c r="A5878" s="142"/>
      <c r="B5878" s="143"/>
      <c r="C5878" s="143"/>
      <c r="D5878" s="143"/>
      <c r="E5878" s="143"/>
      <c r="F5878" s="84"/>
      <c r="G5878" s="146"/>
      <c r="H5878" s="221"/>
    </row>
    <row r="5879" spans="1:9" s="212" customFormat="1">
      <c r="A5879" s="91"/>
      <c r="B5879" s="91"/>
      <c r="C5879" s="91"/>
      <c r="D5879" s="91"/>
      <c r="E5879" s="91"/>
      <c r="G5879" s="213"/>
      <c r="H5879" s="222"/>
    </row>
    <row r="5880" spans="1:9" s="212" customFormat="1">
      <c r="A5880" s="120"/>
      <c r="B5880" s="73"/>
      <c r="C5880" s="73"/>
      <c r="D5880" s="73"/>
      <c r="E5880" s="73"/>
      <c r="G5880" s="73"/>
      <c r="H5880" s="222"/>
    </row>
    <row r="5881" spans="1:9" s="212" customFormat="1">
      <c r="A5881" s="220"/>
      <c r="B5881" s="141"/>
      <c r="C5881" s="141"/>
      <c r="D5881" s="141"/>
      <c r="E5881" s="141"/>
      <c r="F5881" s="141"/>
      <c r="G5881" s="141"/>
      <c r="H5881" s="222"/>
    </row>
    <row r="5882" spans="1:9" s="212" customFormat="1">
      <c r="A5882" s="142"/>
      <c r="B5882" s="143"/>
      <c r="C5882" s="143"/>
      <c r="D5882" s="143"/>
      <c r="E5882" s="143"/>
      <c r="F5882" s="84"/>
      <c r="G5882" s="146"/>
      <c r="H5882" s="221"/>
    </row>
    <row r="5883" spans="1:9" s="212" customFormat="1">
      <c r="A5883" s="123"/>
      <c r="B5883" s="95"/>
      <c r="C5883" s="95"/>
      <c r="D5883" s="95"/>
      <c r="E5883" s="95"/>
      <c r="G5883" s="213"/>
      <c r="H5883" s="73"/>
    </row>
    <row r="5884" spans="1:9" s="212" customFormat="1">
      <c r="A5884" s="123"/>
      <c r="B5884" s="95"/>
      <c r="C5884" s="95"/>
      <c r="D5884" s="95"/>
      <c r="E5884" s="95"/>
      <c r="G5884" s="73"/>
      <c r="H5884" s="225"/>
    </row>
    <row r="5885" spans="1:9" s="212" customFormat="1">
      <c r="B5885" s="97"/>
      <c r="C5885" s="98"/>
      <c r="D5885" s="98"/>
      <c r="E5885" s="98"/>
      <c r="G5885" s="220"/>
    </row>
    <row r="5886" spans="1:9" s="212" customFormat="1">
      <c r="B5886" s="97"/>
      <c r="C5886" s="98"/>
      <c r="D5886" s="98"/>
      <c r="E5886" s="98"/>
      <c r="F5886" s="220"/>
      <c r="G5886" s="225"/>
      <c r="H5886" s="226"/>
    </row>
    <row r="5887" spans="1:9" s="212" customFormat="1">
      <c r="A5887" s="633"/>
      <c r="B5887" s="633"/>
      <c r="C5887" s="633"/>
      <c r="D5887" s="633"/>
      <c r="E5887" s="633"/>
      <c r="F5887" s="633"/>
      <c r="G5887" s="633"/>
    </row>
    <row r="5888" spans="1:9" s="212" customFormat="1">
      <c r="H5888" s="227"/>
      <c r="I5888" s="228"/>
    </row>
    <row r="5889" spans="1:9" s="212" customFormat="1">
      <c r="A5889" s="658"/>
      <c r="B5889" s="227"/>
      <c r="C5889" s="227"/>
      <c r="D5889" s="227"/>
      <c r="E5889" s="227"/>
      <c r="F5889" s="227"/>
      <c r="G5889" s="227"/>
      <c r="H5889" s="227"/>
      <c r="I5889" s="229"/>
    </row>
    <row r="5890" spans="1:9" s="212" customFormat="1">
      <c r="A5890" s="658"/>
      <c r="B5890" s="227"/>
      <c r="C5890" s="227"/>
      <c r="D5890" s="227"/>
      <c r="E5890" s="227"/>
      <c r="F5890" s="227"/>
      <c r="G5890" s="227"/>
    </row>
    <row r="5891" spans="1:9" s="212" customFormat="1">
      <c r="A5891" s="69"/>
      <c r="B5891" s="69"/>
      <c r="C5891" s="69"/>
      <c r="D5891" s="69"/>
      <c r="E5891" s="69"/>
    </row>
    <row r="5892" spans="1:9" s="212" customFormat="1">
      <c r="A5892" s="120"/>
      <c r="B5892" s="73"/>
      <c r="C5892" s="73"/>
      <c r="D5892" s="73"/>
      <c r="E5892" s="73"/>
      <c r="F5892" s="73"/>
      <c r="G5892" s="73"/>
      <c r="H5892" s="73"/>
    </row>
    <row r="5893" spans="1:9" s="212" customFormat="1">
      <c r="A5893" s="220"/>
      <c r="B5893" s="141"/>
      <c r="C5893" s="141"/>
      <c r="D5893" s="141"/>
      <c r="E5893" s="141"/>
      <c r="F5893" s="141"/>
      <c r="G5893" s="141"/>
      <c r="H5893" s="73"/>
    </row>
    <row r="5894" spans="1:9" s="212" customFormat="1">
      <c r="A5894" s="142"/>
      <c r="B5894" s="143"/>
      <c r="C5894" s="143"/>
      <c r="D5894" s="143"/>
      <c r="E5894" s="143"/>
      <c r="F5894" s="84"/>
      <c r="G5894" s="146"/>
      <c r="H5894" s="221"/>
    </row>
    <row r="5895" spans="1:9" s="212" customFormat="1">
      <c r="A5895" s="84"/>
      <c r="B5895" s="83"/>
      <c r="C5895" s="84"/>
      <c r="D5895" s="84"/>
      <c r="E5895" s="84"/>
      <c r="G5895" s="213"/>
      <c r="H5895" s="222"/>
    </row>
    <row r="5896" spans="1:9" s="212" customFormat="1">
      <c r="A5896" s="120"/>
      <c r="B5896" s="73"/>
      <c r="C5896" s="73"/>
      <c r="D5896" s="73"/>
      <c r="E5896" s="73"/>
      <c r="G5896" s="73"/>
      <c r="H5896" s="222"/>
    </row>
    <row r="5897" spans="1:9" s="212" customFormat="1">
      <c r="A5897" s="220"/>
      <c r="B5897" s="141"/>
      <c r="C5897" s="141"/>
      <c r="D5897" s="141"/>
      <c r="E5897" s="141"/>
      <c r="F5897" s="141"/>
      <c r="G5897" s="141"/>
      <c r="H5897" s="222"/>
    </row>
    <row r="5898" spans="1:9" s="212" customFormat="1">
      <c r="A5898" s="150"/>
      <c r="B5898" s="83"/>
      <c r="C5898" s="148"/>
      <c r="D5898" s="160"/>
      <c r="E5898" s="84"/>
      <c r="F5898" s="84"/>
      <c r="G5898" s="146"/>
      <c r="H5898" s="221"/>
    </row>
    <row r="5899" spans="1:9" s="212" customFormat="1">
      <c r="A5899" s="91"/>
      <c r="B5899" s="91"/>
      <c r="C5899" s="91"/>
      <c r="D5899" s="91"/>
      <c r="E5899" s="91"/>
      <c r="G5899" s="213"/>
      <c r="H5899" s="222"/>
    </row>
    <row r="5900" spans="1:9" s="212" customFormat="1">
      <c r="A5900" s="120"/>
      <c r="B5900" s="73"/>
      <c r="C5900" s="73"/>
      <c r="D5900" s="73"/>
      <c r="E5900" s="73"/>
      <c r="G5900" s="73"/>
      <c r="H5900" s="222"/>
    </row>
    <row r="5901" spans="1:9" s="212" customFormat="1">
      <c r="A5901" s="220"/>
      <c r="B5901" s="141"/>
      <c r="C5901" s="141"/>
      <c r="D5901" s="141"/>
      <c r="E5901" s="141"/>
      <c r="F5901" s="141"/>
      <c r="G5901" s="141"/>
      <c r="H5901" s="222"/>
    </row>
    <row r="5902" spans="1:9" s="212" customFormat="1">
      <c r="A5902" s="142"/>
      <c r="B5902" s="143"/>
      <c r="C5902" s="143"/>
      <c r="D5902" s="143"/>
      <c r="E5902" s="143"/>
      <c r="F5902" s="84"/>
      <c r="G5902" s="146"/>
      <c r="H5902" s="221"/>
    </row>
    <row r="5903" spans="1:9" s="212" customFormat="1">
      <c r="A5903" s="91"/>
      <c r="B5903" s="91"/>
      <c r="C5903" s="91"/>
      <c r="D5903" s="91"/>
      <c r="E5903" s="91"/>
      <c r="G5903" s="213"/>
      <c r="H5903" s="222"/>
    </row>
    <row r="5904" spans="1:9" s="212" customFormat="1">
      <c r="A5904" s="120"/>
      <c r="B5904" s="73"/>
      <c r="C5904" s="73"/>
      <c r="D5904" s="73"/>
      <c r="E5904" s="73"/>
      <c r="G5904" s="73"/>
      <c r="H5904" s="222"/>
    </row>
    <row r="5905" spans="1:9" s="212" customFormat="1">
      <c r="A5905" s="220"/>
      <c r="B5905" s="141"/>
      <c r="C5905" s="141"/>
      <c r="D5905" s="141"/>
      <c r="E5905" s="141"/>
      <c r="F5905" s="141"/>
      <c r="G5905" s="141"/>
      <c r="H5905" s="222"/>
    </row>
    <row r="5906" spans="1:9" s="212" customFormat="1">
      <c r="A5906" s="142"/>
      <c r="B5906" s="143"/>
      <c r="C5906" s="143"/>
      <c r="D5906" s="143"/>
      <c r="E5906" s="143"/>
      <c r="F5906" s="84"/>
      <c r="G5906" s="146"/>
      <c r="H5906" s="221"/>
    </row>
    <row r="5907" spans="1:9" s="212" customFormat="1">
      <c r="A5907" s="123"/>
      <c r="B5907" s="95"/>
      <c r="C5907" s="95"/>
      <c r="D5907" s="95"/>
      <c r="E5907" s="95"/>
      <c r="G5907" s="213"/>
      <c r="H5907" s="73"/>
    </row>
    <row r="5908" spans="1:9" s="212" customFormat="1">
      <c r="A5908" s="123"/>
      <c r="B5908" s="95"/>
      <c r="C5908" s="95"/>
      <c r="D5908" s="95"/>
      <c r="E5908" s="95"/>
      <c r="G5908" s="73"/>
      <c r="H5908" s="225"/>
    </row>
    <row r="5909" spans="1:9" s="212" customFormat="1">
      <c r="B5909" s="97"/>
      <c r="C5909" s="98"/>
      <c r="D5909" s="98"/>
      <c r="E5909" s="98"/>
      <c r="G5909" s="220"/>
    </row>
    <row r="5910" spans="1:9" s="212" customFormat="1">
      <c r="B5910" s="97"/>
      <c r="C5910" s="98"/>
      <c r="D5910" s="98"/>
      <c r="E5910" s="98"/>
      <c r="F5910" s="220"/>
      <c r="G5910" s="225"/>
      <c r="H5910" s="226"/>
    </row>
    <row r="5911" spans="1:9" s="212" customFormat="1">
      <c r="A5911" s="633"/>
      <c r="B5911" s="633"/>
      <c r="C5911" s="633"/>
      <c r="D5911" s="633"/>
      <c r="E5911" s="633"/>
      <c r="F5911" s="633"/>
      <c r="G5911" s="633"/>
    </row>
    <row r="5912" spans="1:9" s="212" customFormat="1">
      <c r="H5912" s="227"/>
      <c r="I5912" s="228"/>
    </row>
    <row r="5913" spans="1:9" s="212" customFormat="1">
      <c r="A5913" s="658"/>
      <c r="B5913" s="227"/>
      <c r="C5913" s="227"/>
      <c r="D5913" s="227"/>
      <c r="E5913" s="227"/>
      <c r="F5913" s="227"/>
      <c r="G5913" s="227"/>
      <c r="H5913" s="227"/>
      <c r="I5913" s="229"/>
    </row>
    <row r="5914" spans="1:9" s="212" customFormat="1">
      <c r="A5914" s="658"/>
      <c r="B5914" s="227"/>
      <c r="C5914" s="227"/>
      <c r="D5914" s="227"/>
      <c r="E5914" s="227"/>
      <c r="F5914" s="227"/>
      <c r="G5914" s="227"/>
    </row>
    <row r="5915" spans="1:9" s="212" customFormat="1">
      <c r="A5915" s="69"/>
      <c r="B5915" s="69"/>
      <c r="C5915" s="69"/>
      <c r="D5915" s="69"/>
      <c r="E5915" s="69"/>
    </row>
    <row r="5916" spans="1:9" s="212" customFormat="1">
      <c r="A5916" s="120"/>
      <c r="B5916" s="73"/>
      <c r="C5916" s="73"/>
      <c r="D5916" s="73"/>
      <c r="E5916" s="73"/>
      <c r="F5916" s="73"/>
      <c r="G5916" s="73"/>
      <c r="H5916" s="73"/>
    </row>
    <row r="5917" spans="1:9" s="212" customFormat="1">
      <c r="A5917" s="220"/>
      <c r="B5917" s="141"/>
      <c r="C5917" s="141"/>
      <c r="D5917" s="141"/>
      <c r="E5917" s="141"/>
      <c r="F5917" s="141"/>
      <c r="G5917" s="141"/>
      <c r="H5917" s="73"/>
    </row>
    <row r="5918" spans="1:9" s="212" customFormat="1">
      <c r="A5918" s="142"/>
      <c r="B5918" s="143"/>
      <c r="C5918" s="143"/>
      <c r="D5918" s="143"/>
      <c r="E5918" s="143"/>
      <c r="F5918" s="84"/>
      <c r="G5918" s="146"/>
      <c r="H5918" s="221"/>
    </row>
    <row r="5919" spans="1:9" s="212" customFormat="1">
      <c r="A5919" s="84"/>
      <c r="B5919" s="83"/>
      <c r="C5919" s="84"/>
      <c r="D5919" s="84"/>
      <c r="E5919" s="84"/>
      <c r="G5919" s="213"/>
      <c r="H5919" s="222"/>
    </row>
    <row r="5920" spans="1:9" s="212" customFormat="1">
      <c r="A5920" s="120"/>
      <c r="B5920" s="73"/>
      <c r="C5920" s="73"/>
      <c r="D5920" s="73"/>
      <c r="E5920" s="73"/>
      <c r="G5920" s="73"/>
      <c r="H5920" s="222"/>
    </row>
    <row r="5921" spans="1:9" s="212" customFormat="1">
      <c r="A5921" s="220"/>
      <c r="B5921" s="141"/>
      <c r="C5921" s="141"/>
      <c r="D5921" s="141"/>
      <c r="E5921" s="141"/>
      <c r="F5921" s="141"/>
      <c r="G5921" s="141"/>
      <c r="H5921" s="222"/>
    </row>
    <row r="5922" spans="1:9" s="212" customFormat="1">
      <c r="A5922" s="150"/>
      <c r="B5922" s="83"/>
      <c r="C5922" s="148"/>
      <c r="D5922" s="160"/>
      <c r="E5922" s="84"/>
      <c r="F5922" s="84"/>
      <c r="G5922" s="146"/>
      <c r="H5922" s="221"/>
    </row>
    <row r="5923" spans="1:9" s="212" customFormat="1">
      <c r="A5923" s="91"/>
      <c r="B5923" s="91"/>
      <c r="C5923" s="91"/>
      <c r="D5923" s="91"/>
      <c r="E5923" s="91"/>
      <c r="G5923" s="213"/>
      <c r="H5923" s="222"/>
    </row>
    <row r="5924" spans="1:9" s="212" customFormat="1">
      <c r="A5924" s="120"/>
      <c r="B5924" s="73"/>
      <c r="C5924" s="73"/>
      <c r="D5924" s="73"/>
      <c r="E5924" s="73"/>
      <c r="G5924" s="73"/>
      <c r="H5924" s="222"/>
    </row>
    <row r="5925" spans="1:9" s="212" customFormat="1">
      <c r="A5925" s="220"/>
      <c r="B5925" s="141"/>
      <c r="C5925" s="141"/>
      <c r="D5925" s="141"/>
      <c r="E5925" s="141"/>
      <c r="F5925" s="141"/>
      <c r="G5925" s="141"/>
      <c r="H5925" s="222"/>
    </row>
    <row r="5926" spans="1:9" s="212" customFormat="1">
      <c r="A5926" s="142"/>
      <c r="B5926" s="143"/>
      <c r="C5926" s="143"/>
      <c r="D5926" s="143"/>
      <c r="E5926" s="143"/>
      <c r="F5926" s="84"/>
      <c r="G5926" s="146"/>
      <c r="H5926" s="221"/>
    </row>
    <row r="5927" spans="1:9" s="212" customFormat="1">
      <c r="A5927" s="91"/>
      <c r="B5927" s="91"/>
      <c r="C5927" s="91"/>
      <c r="D5927" s="91"/>
      <c r="E5927" s="91"/>
      <c r="G5927" s="213"/>
      <c r="H5927" s="222"/>
    </row>
    <row r="5928" spans="1:9" s="212" customFormat="1">
      <c r="A5928" s="120"/>
      <c r="B5928" s="73"/>
      <c r="C5928" s="73"/>
      <c r="D5928" s="73"/>
      <c r="E5928" s="73"/>
      <c r="G5928" s="73"/>
      <c r="H5928" s="222"/>
    </row>
    <row r="5929" spans="1:9" s="212" customFormat="1">
      <c r="A5929" s="220"/>
      <c r="B5929" s="141"/>
      <c r="C5929" s="141"/>
      <c r="D5929" s="141"/>
      <c r="E5929" s="141"/>
      <c r="F5929" s="141"/>
      <c r="G5929" s="141"/>
      <c r="H5929" s="222"/>
    </row>
    <row r="5930" spans="1:9" s="212" customFormat="1">
      <c r="A5930" s="142"/>
      <c r="B5930" s="143"/>
      <c r="C5930" s="143"/>
      <c r="D5930" s="143"/>
      <c r="E5930" s="143"/>
      <c r="F5930" s="84"/>
      <c r="G5930" s="146"/>
      <c r="H5930" s="221"/>
    </row>
    <row r="5931" spans="1:9" s="212" customFormat="1">
      <c r="A5931" s="123"/>
      <c r="B5931" s="95"/>
      <c r="C5931" s="95"/>
      <c r="D5931" s="95"/>
      <c r="E5931" s="95"/>
      <c r="G5931" s="213"/>
      <c r="H5931" s="73"/>
    </row>
    <row r="5932" spans="1:9" s="212" customFormat="1">
      <c r="A5932" s="123"/>
      <c r="B5932" s="95"/>
      <c r="C5932" s="95"/>
      <c r="D5932" s="95"/>
      <c r="E5932" s="95"/>
      <c r="G5932" s="73"/>
      <c r="H5932" s="225"/>
    </row>
    <row r="5933" spans="1:9" s="212" customFormat="1">
      <c r="B5933" s="97"/>
      <c r="C5933" s="98"/>
      <c r="D5933" s="98"/>
      <c r="E5933" s="98"/>
      <c r="G5933" s="220"/>
    </row>
    <row r="5934" spans="1:9" s="212" customFormat="1">
      <c r="B5934" s="97"/>
      <c r="C5934" s="98"/>
      <c r="D5934" s="98"/>
      <c r="E5934" s="98"/>
      <c r="F5934" s="220"/>
      <c r="G5934" s="225"/>
      <c r="H5934" s="226"/>
    </row>
    <row r="5935" spans="1:9" s="212" customFormat="1">
      <c r="A5935" s="633"/>
      <c r="B5935" s="633"/>
      <c r="C5935" s="633"/>
      <c r="D5935" s="633"/>
      <c r="E5935" s="633"/>
      <c r="F5935" s="633"/>
      <c r="G5935" s="633"/>
    </row>
    <row r="5936" spans="1:9" s="212" customFormat="1">
      <c r="H5936" s="227"/>
      <c r="I5936" s="228"/>
    </row>
    <row r="5937" spans="1:9" s="212" customFormat="1">
      <c r="A5937" s="658"/>
      <c r="B5937" s="227"/>
      <c r="C5937" s="227"/>
      <c r="D5937" s="227"/>
      <c r="E5937" s="227"/>
      <c r="F5937" s="227"/>
      <c r="G5937" s="227"/>
      <c r="H5937" s="227"/>
      <c r="I5937" s="229"/>
    </row>
    <row r="5938" spans="1:9" s="212" customFormat="1">
      <c r="A5938" s="658"/>
      <c r="B5938" s="227"/>
      <c r="C5938" s="227"/>
      <c r="D5938" s="227"/>
      <c r="E5938" s="227"/>
      <c r="F5938" s="227"/>
      <c r="G5938" s="227"/>
    </row>
    <row r="5939" spans="1:9" s="212" customFormat="1">
      <c r="A5939" s="69"/>
      <c r="B5939" s="69"/>
      <c r="C5939" s="69"/>
      <c r="D5939" s="69"/>
      <c r="E5939" s="69"/>
    </row>
    <row r="5940" spans="1:9" s="212" customFormat="1">
      <c r="A5940" s="120"/>
      <c r="B5940" s="73"/>
      <c r="C5940" s="73"/>
      <c r="D5940" s="73"/>
      <c r="E5940" s="73"/>
      <c r="F5940" s="73"/>
      <c r="G5940" s="73"/>
      <c r="H5940" s="73"/>
    </row>
    <row r="5941" spans="1:9" s="212" customFormat="1">
      <c r="A5941" s="220"/>
      <c r="B5941" s="141"/>
      <c r="C5941" s="141"/>
      <c r="D5941" s="141"/>
      <c r="E5941" s="141"/>
      <c r="F5941" s="141"/>
      <c r="G5941" s="141"/>
      <c r="H5941" s="73"/>
    </row>
    <row r="5942" spans="1:9" s="212" customFormat="1">
      <c r="A5942" s="142"/>
      <c r="B5942" s="143"/>
      <c r="C5942" s="143"/>
      <c r="D5942" s="143"/>
      <c r="E5942" s="143"/>
      <c r="F5942" s="84"/>
      <c r="G5942" s="146"/>
      <c r="H5942" s="221"/>
    </row>
    <row r="5943" spans="1:9" s="212" customFormat="1">
      <c r="A5943" s="84"/>
      <c r="B5943" s="83"/>
      <c r="C5943" s="84"/>
      <c r="D5943" s="84"/>
      <c r="E5943" s="84"/>
      <c r="G5943" s="213"/>
      <c r="H5943" s="222"/>
    </row>
    <row r="5944" spans="1:9" s="212" customFormat="1">
      <c r="A5944" s="120"/>
      <c r="B5944" s="73"/>
      <c r="C5944" s="73"/>
      <c r="D5944" s="73"/>
      <c r="E5944" s="73"/>
      <c r="G5944" s="73"/>
      <c r="H5944" s="222"/>
    </row>
    <row r="5945" spans="1:9" s="212" customFormat="1">
      <c r="A5945" s="220"/>
      <c r="B5945" s="141"/>
      <c r="C5945" s="141"/>
      <c r="D5945" s="141"/>
      <c r="E5945" s="141"/>
      <c r="F5945" s="141"/>
      <c r="G5945" s="141"/>
      <c r="H5945" s="222"/>
    </row>
    <row r="5946" spans="1:9" s="212" customFormat="1">
      <c r="A5946" s="150"/>
      <c r="B5946" s="83"/>
      <c r="C5946" s="148"/>
      <c r="D5946" s="160"/>
      <c r="E5946" s="84"/>
      <c r="F5946" s="84"/>
      <c r="G5946" s="146"/>
      <c r="H5946" s="221"/>
    </row>
    <row r="5947" spans="1:9" s="212" customFormat="1">
      <c r="A5947" s="91"/>
      <c r="B5947" s="91"/>
      <c r="C5947" s="91"/>
      <c r="D5947" s="91"/>
      <c r="E5947" s="91"/>
      <c r="G5947" s="213"/>
      <c r="H5947" s="222"/>
    </row>
    <row r="5948" spans="1:9" s="212" customFormat="1">
      <c r="A5948" s="120"/>
      <c r="B5948" s="73"/>
      <c r="C5948" s="73"/>
      <c r="D5948" s="73"/>
      <c r="E5948" s="73"/>
      <c r="G5948" s="73"/>
      <c r="H5948" s="222"/>
    </row>
    <row r="5949" spans="1:9" s="212" customFormat="1">
      <c r="A5949" s="220"/>
      <c r="B5949" s="141"/>
      <c r="C5949" s="141"/>
      <c r="D5949" s="141"/>
      <c r="E5949" s="141"/>
      <c r="F5949" s="141"/>
      <c r="G5949" s="141"/>
      <c r="H5949" s="222"/>
    </row>
    <row r="5950" spans="1:9" s="212" customFormat="1">
      <c r="A5950" s="142"/>
      <c r="B5950" s="143"/>
      <c r="C5950" s="143"/>
      <c r="D5950" s="143"/>
      <c r="E5950" s="143"/>
      <c r="F5950" s="84"/>
      <c r="G5950" s="146"/>
      <c r="H5950" s="221"/>
    </row>
    <row r="5951" spans="1:9" s="212" customFormat="1">
      <c r="A5951" s="91"/>
      <c r="B5951" s="91"/>
      <c r="C5951" s="91"/>
      <c r="D5951" s="91"/>
      <c r="E5951" s="91"/>
      <c r="G5951" s="213"/>
      <c r="H5951" s="222"/>
    </row>
    <row r="5952" spans="1:9" s="212" customFormat="1">
      <c r="A5952" s="120"/>
      <c r="B5952" s="73"/>
      <c r="C5952" s="73"/>
      <c r="D5952" s="73"/>
      <c r="E5952" s="73"/>
      <c r="G5952" s="73"/>
      <c r="H5952" s="222"/>
    </row>
    <row r="5953" spans="1:9" s="212" customFormat="1">
      <c r="A5953" s="220"/>
      <c r="B5953" s="141"/>
      <c r="C5953" s="141"/>
      <c r="D5953" s="141"/>
      <c r="E5953" s="141"/>
      <c r="F5953" s="141"/>
      <c r="G5953" s="141"/>
      <c r="H5953" s="222"/>
    </row>
    <row r="5954" spans="1:9" s="212" customFormat="1">
      <c r="A5954" s="142"/>
      <c r="B5954" s="143"/>
      <c r="C5954" s="143"/>
      <c r="D5954" s="143"/>
      <c r="E5954" s="143"/>
      <c r="F5954" s="84"/>
      <c r="G5954" s="146"/>
      <c r="H5954" s="221"/>
    </row>
    <row r="5955" spans="1:9" s="212" customFormat="1">
      <c r="A5955" s="123"/>
      <c r="B5955" s="95"/>
      <c r="C5955" s="95"/>
      <c r="D5955" s="95"/>
      <c r="E5955" s="95"/>
      <c r="G5955" s="213"/>
      <c r="H5955" s="73"/>
    </row>
    <row r="5956" spans="1:9" s="212" customFormat="1">
      <c r="A5956" s="123"/>
      <c r="B5956" s="95"/>
      <c r="C5956" s="95"/>
      <c r="D5956" s="95"/>
      <c r="E5956" s="95"/>
      <c r="G5956" s="73"/>
      <c r="H5956" s="225"/>
    </row>
    <row r="5957" spans="1:9" s="212" customFormat="1">
      <c r="B5957" s="97"/>
      <c r="C5957" s="98"/>
      <c r="D5957" s="98"/>
      <c r="E5957" s="98"/>
      <c r="G5957" s="220"/>
    </row>
    <row r="5958" spans="1:9" s="212" customFormat="1">
      <c r="B5958" s="97"/>
      <c r="C5958" s="98"/>
      <c r="D5958" s="98"/>
      <c r="E5958" s="98"/>
      <c r="F5958" s="220"/>
      <c r="G5958" s="225"/>
      <c r="H5958" s="226"/>
    </row>
    <row r="5959" spans="1:9" s="212" customFormat="1">
      <c r="A5959" s="633"/>
      <c r="B5959" s="633"/>
      <c r="C5959" s="633"/>
      <c r="D5959" s="633"/>
      <c r="E5959" s="633"/>
      <c r="F5959" s="633"/>
      <c r="G5959" s="633"/>
    </row>
    <row r="5960" spans="1:9" s="212" customFormat="1">
      <c r="H5960" s="227"/>
      <c r="I5960" s="228"/>
    </row>
    <row r="5961" spans="1:9" s="212" customFormat="1">
      <c r="A5961" s="658"/>
      <c r="B5961" s="227"/>
      <c r="C5961" s="227"/>
      <c r="D5961" s="227"/>
      <c r="E5961" s="227"/>
      <c r="F5961" s="227"/>
      <c r="G5961" s="227"/>
      <c r="H5961" s="227"/>
      <c r="I5961" s="229"/>
    </row>
    <row r="5962" spans="1:9" s="212" customFormat="1">
      <c r="A5962" s="658"/>
      <c r="B5962" s="227"/>
      <c r="C5962" s="227"/>
      <c r="D5962" s="227"/>
      <c r="E5962" s="227"/>
      <c r="F5962" s="227"/>
      <c r="G5962" s="227"/>
    </row>
    <row r="5963" spans="1:9" s="212" customFormat="1">
      <c r="A5963" s="69"/>
      <c r="B5963" s="69"/>
      <c r="C5963" s="69"/>
      <c r="D5963" s="69"/>
      <c r="E5963" s="69"/>
    </row>
    <row r="5964" spans="1:9" s="212" customFormat="1">
      <c r="A5964" s="120"/>
      <c r="B5964" s="73"/>
      <c r="C5964" s="73"/>
      <c r="D5964" s="73"/>
      <c r="E5964" s="73"/>
      <c r="F5964" s="73"/>
      <c r="G5964" s="73"/>
      <c r="H5964" s="73"/>
    </row>
    <row r="5965" spans="1:9" s="212" customFormat="1">
      <c r="A5965" s="220"/>
      <c r="B5965" s="141"/>
      <c r="C5965" s="141"/>
      <c r="D5965" s="141"/>
      <c r="E5965" s="141"/>
      <c r="F5965" s="141"/>
      <c r="G5965" s="141"/>
      <c r="H5965" s="73"/>
    </row>
    <row r="5966" spans="1:9" s="212" customFormat="1">
      <c r="A5966" s="142"/>
      <c r="B5966" s="143"/>
      <c r="C5966" s="143"/>
      <c r="D5966" s="143"/>
      <c r="E5966" s="143"/>
      <c r="F5966" s="84"/>
      <c r="G5966" s="146"/>
      <c r="H5966" s="221"/>
    </row>
    <row r="5967" spans="1:9" s="212" customFormat="1">
      <c r="A5967" s="84"/>
      <c r="B5967" s="83"/>
      <c r="C5967" s="84"/>
      <c r="D5967" s="84"/>
      <c r="E5967" s="84"/>
      <c r="G5967" s="213"/>
      <c r="H5967" s="222"/>
    </row>
    <row r="5968" spans="1:9" s="212" customFormat="1">
      <c r="A5968" s="120"/>
      <c r="B5968" s="73"/>
      <c r="C5968" s="73"/>
      <c r="D5968" s="73"/>
      <c r="E5968" s="73"/>
      <c r="G5968" s="73"/>
      <c r="H5968" s="222"/>
    </row>
    <row r="5969" spans="1:9" s="212" customFormat="1">
      <c r="A5969" s="220"/>
      <c r="B5969" s="141"/>
      <c r="C5969" s="141"/>
      <c r="D5969" s="141"/>
      <c r="E5969" s="141"/>
      <c r="F5969" s="141"/>
      <c r="G5969" s="141"/>
      <c r="H5969" s="222"/>
    </row>
    <row r="5970" spans="1:9" s="212" customFormat="1">
      <c r="A5970" s="150"/>
      <c r="B5970" s="83"/>
      <c r="C5970" s="148"/>
      <c r="D5970" s="160"/>
      <c r="E5970" s="84"/>
      <c r="F5970" s="84"/>
      <c r="G5970" s="146"/>
      <c r="H5970" s="221"/>
    </row>
    <row r="5971" spans="1:9" s="212" customFormat="1">
      <c r="A5971" s="91"/>
      <c r="B5971" s="91"/>
      <c r="C5971" s="91"/>
      <c r="D5971" s="91"/>
      <c r="E5971" s="91"/>
      <c r="G5971" s="213"/>
      <c r="H5971" s="222"/>
    </row>
    <row r="5972" spans="1:9" s="212" customFormat="1">
      <c r="A5972" s="120"/>
      <c r="B5972" s="73"/>
      <c r="C5972" s="73"/>
      <c r="D5972" s="73"/>
      <c r="E5972" s="73"/>
      <c r="G5972" s="73"/>
      <c r="H5972" s="222"/>
    </row>
    <row r="5973" spans="1:9" s="212" customFormat="1">
      <c r="A5973" s="220"/>
      <c r="B5973" s="141"/>
      <c r="C5973" s="141"/>
      <c r="D5973" s="141"/>
      <c r="E5973" s="141"/>
      <c r="F5973" s="141"/>
      <c r="G5973" s="141"/>
      <c r="H5973" s="222"/>
    </row>
    <row r="5974" spans="1:9" s="212" customFormat="1">
      <c r="A5974" s="142"/>
      <c r="B5974" s="143"/>
      <c r="C5974" s="143"/>
      <c r="D5974" s="143"/>
      <c r="E5974" s="143"/>
      <c r="F5974" s="84"/>
      <c r="G5974" s="146"/>
      <c r="H5974" s="221"/>
    </row>
    <row r="5975" spans="1:9" s="212" customFormat="1">
      <c r="A5975" s="91"/>
      <c r="B5975" s="91"/>
      <c r="C5975" s="91"/>
      <c r="D5975" s="91"/>
      <c r="E5975" s="91"/>
      <c r="G5975" s="213"/>
      <c r="H5975" s="222"/>
    </row>
    <row r="5976" spans="1:9" s="212" customFormat="1">
      <c r="A5976" s="120"/>
      <c r="B5976" s="73"/>
      <c r="C5976" s="73"/>
      <c r="D5976" s="73"/>
      <c r="E5976" s="73"/>
      <c r="G5976" s="73"/>
      <c r="H5976" s="222"/>
    </row>
    <row r="5977" spans="1:9" s="212" customFormat="1">
      <c r="A5977" s="220"/>
      <c r="B5977" s="141"/>
      <c r="C5977" s="141"/>
      <c r="D5977" s="141"/>
      <c r="E5977" s="141"/>
      <c r="F5977" s="141"/>
      <c r="G5977" s="141"/>
      <c r="H5977" s="222"/>
    </row>
    <row r="5978" spans="1:9" s="212" customFormat="1">
      <c r="A5978" s="142"/>
      <c r="B5978" s="143"/>
      <c r="C5978" s="143"/>
      <c r="D5978" s="143"/>
      <c r="E5978" s="143"/>
      <c r="F5978" s="84"/>
      <c r="G5978" s="146"/>
      <c r="H5978" s="221"/>
    </row>
    <row r="5979" spans="1:9" s="212" customFormat="1">
      <c r="A5979" s="123"/>
      <c r="B5979" s="95"/>
      <c r="C5979" s="95"/>
      <c r="D5979" s="95"/>
      <c r="E5979" s="95"/>
      <c r="G5979" s="213"/>
      <c r="H5979" s="73"/>
    </row>
    <row r="5980" spans="1:9" s="212" customFormat="1">
      <c r="A5980" s="123"/>
      <c r="B5980" s="95"/>
      <c r="C5980" s="95"/>
      <c r="D5980" s="95"/>
      <c r="E5980" s="95"/>
      <c r="G5980" s="73"/>
      <c r="H5980" s="225"/>
    </row>
    <row r="5981" spans="1:9" s="212" customFormat="1">
      <c r="B5981" s="97"/>
      <c r="C5981" s="98"/>
      <c r="D5981" s="98"/>
      <c r="E5981" s="98"/>
      <c r="G5981" s="220"/>
    </row>
    <row r="5982" spans="1:9" s="212" customFormat="1">
      <c r="B5982" s="97"/>
      <c r="C5982" s="98"/>
      <c r="D5982" s="98"/>
      <c r="E5982" s="98"/>
      <c r="F5982" s="220"/>
      <c r="G5982" s="225"/>
      <c r="H5982" s="226"/>
    </row>
    <row r="5983" spans="1:9" s="212" customFormat="1">
      <c r="A5983" s="633"/>
      <c r="B5983" s="633"/>
      <c r="C5983" s="633"/>
      <c r="D5983" s="633"/>
      <c r="E5983" s="633"/>
      <c r="F5983" s="633"/>
      <c r="G5983" s="633"/>
    </row>
    <row r="5984" spans="1:9" s="212" customFormat="1">
      <c r="H5984" s="227"/>
      <c r="I5984" s="228"/>
    </row>
    <row r="5985" spans="1:9" s="212" customFormat="1">
      <c r="A5985" s="658"/>
      <c r="B5985" s="227"/>
      <c r="C5985" s="227"/>
      <c r="D5985" s="227"/>
      <c r="E5985" s="227"/>
      <c r="F5985" s="227"/>
      <c r="G5985" s="227"/>
      <c r="H5985" s="227"/>
      <c r="I5985" s="229"/>
    </row>
    <row r="5986" spans="1:9" s="212" customFormat="1">
      <c r="A5986" s="658"/>
      <c r="B5986" s="227"/>
      <c r="C5986" s="227"/>
      <c r="D5986" s="227"/>
      <c r="E5986" s="227"/>
      <c r="F5986" s="227"/>
      <c r="G5986" s="227"/>
    </row>
    <row r="5987" spans="1:9" s="212" customFormat="1">
      <c r="A5987" s="69"/>
      <c r="B5987" s="69"/>
      <c r="C5987" s="69"/>
      <c r="D5987" s="69"/>
      <c r="E5987" s="69"/>
    </row>
    <row r="5988" spans="1:9" s="212" customFormat="1">
      <c r="A5988" s="120"/>
      <c r="B5988" s="73"/>
      <c r="C5988" s="73"/>
      <c r="D5988" s="73"/>
      <c r="E5988" s="73"/>
      <c r="F5988" s="73"/>
      <c r="G5988" s="73"/>
      <c r="H5988" s="73"/>
    </row>
    <row r="5989" spans="1:9" s="212" customFormat="1">
      <c r="A5989" s="220"/>
      <c r="B5989" s="141"/>
      <c r="C5989" s="141"/>
      <c r="D5989" s="141"/>
      <c r="E5989" s="141"/>
      <c r="F5989" s="141"/>
      <c r="G5989" s="141"/>
      <c r="H5989" s="73"/>
    </row>
    <row r="5990" spans="1:9" s="212" customFormat="1">
      <c r="A5990" s="142"/>
      <c r="B5990" s="143"/>
      <c r="C5990" s="143"/>
      <c r="D5990" s="143"/>
      <c r="E5990" s="143"/>
      <c r="F5990" s="84"/>
      <c r="G5990" s="146"/>
      <c r="H5990" s="221"/>
    </row>
    <row r="5991" spans="1:9" s="212" customFormat="1">
      <c r="A5991" s="84"/>
      <c r="B5991" s="83"/>
      <c r="C5991" s="84"/>
      <c r="D5991" s="84"/>
      <c r="E5991" s="84"/>
      <c r="G5991" s="213"/>
      <c r="H5991" s="222"/>
    </row>
    <row r="5992" spans="1:9" s="212" customFormat="1">
      <c r="A5992" s="120"/>
      <c r="B5992" s="73"/>
      <c r="C5992" s="73"/>
      <c r="D5992" s="73"/>
      <c r="E5992" s="73"/>
      <c r="G5992" s="73"/>
      <c r="H5992" s="222"/>
    </row>
    <row r="5993" spans="1:9" s="212" customFormat="1">
      <c r="A5993" s="220"/>
      <c r="B5993" s="141"/>
      <c r="C5993" s="141"/>
      <c r="D5993" s="141"/>
      <c r="E5993" s="141"/>
      <c r="F5993" s="141"/>
      <c r="G5993" s="141"/>
      <c r="H5993" s="222"/>
    </row>
    <row r="5994" spans="1:9" s="212" customFormat="1">
      <c r="A5994" s="150"/>
      <c r="B5994" s="83"/>
      <c r="C5994" s="148"/>
      <c r="D5994" s="160"/>
      <c r="E5994" s="84"/>
      <c r="F5994" s="84"/>
      <c r="G5994" s="146"/>
      <c r="H5994" s="221"/>
    </row>
    <row r="5995" spans="1:9" s="212" customFormat="1">
      <c r="A5995" s="91"/>
      <c r="B5995" s="91"/>
      <c r="C5995" s="91"/>
      <c r="D5995" s="91"/>
      <c r="E5995" s="91"/>
      <c r="G5995" s="213"/>
      <c r="H5995" s="222"/>
    </row>
    <row r="5996" spans="1:9" s="212" customFormat="1">
      <c r="A5996" s="120"/>
      <c r="B5996" s="73"/>
      <c r="C5996" s="73"/>
      <c r="D5996" s="73"/>
      <c r="E5996" s="73"/>
      <c r="G5996" s="73"/>
      <c r="H5996" s="222"/>
    </row>
    <row r="5997" spans="1:9" s="212" customFormat="1">
      <c r="A5997" s="220"/>
      <c r="B5997" s="141"/>
      <c r="C5997" s="141"/>
      <c r="D5997" s="141"/>
      <c r="E5997" s="141"/>
      <c r="F5997" s="141"/>
      <c r="G5997" s="141"/>
      <c r="H5997" s="222"/>
    </row>
    <row r="5998" spans="1:9" s="212" customFormat="1">
      <c r="A5998" s="142"/>
      <c r="B5998" s="143"/>
      <c r="C5998" s="143"/>
      <c r="D5998" s="143"/>
      <c r="E5998" s="143"/>
      <c r="F5998" s="84"/>
      <c r="G5998" s="146"/>
      <c r="H5998" s="221"/>
    </row>
    <row r="5999" spans="1:9" s="212" customFormat="1">
      <c r="A5999" s="91"/>
      <c r="B5999" s="91"/>
      <c r="C5999" s="91"/>
      <c r="D5999" s="91"/>
      <c r="E5999" s="91"/>
      <c r="G5999" s="213"/>
      <c r="H5999" s="222"/>
    </row>
    <row r="6000" spans="1:9" s="212" customFormat="1">
      <c r="A6000" s="120"/>
      <c r="B6000" s="73"/>
      <c r="C6000" s="73"/>
      <c r="D6000" s="73"/>
      <c r="E6000" s="73"/>
      <c r="G6000" s="73"/>
      <c r="H6000" s="222"/>
    </row>
    <row r="6001" spans="1:9" s="212" customFormat="1">
      <c r="A6001" s="220"/>
      <c r="B6001" s="141"/>
      <c r="C6001" s="141"/>
      <c r="D6001" s="141"/>
      <c r="E6001" s="141"/>
      <c r="F6001" s="141"/>
      <c r="G6001" s="141"/>
      <c r="H6001" s="222"/>
    </row>
    <row r="6002" spans="1:9" s="212" customFormat="1">
      <c r="A6002" s="142"/>
      <c r="B6002" s="143"/>
      <c r="C6002" s="143"/>
      <c r="D6002" s="143"/>
      <c r="E6002" s="143"/>
      <c r="F6002" s="84"/>
      <c r="G6002" s="146"/>
      <c r="H6002" s="221"/>
    </row>
    <row r="6003" spans="1:9" s="212" customFormat="1">
      <c r="A6003" s="123"/>
      <c r="B6003" s="95"/>
      <c r="C6003" s="95"/>
      <c r="D6003" s="95"/>
      <c r="E6003" s="95"/>
      <c r="G6003" s="213"/>
      <c r="H6003" s="73"/>
    </row>
    <row r="6004" spans="1:9" s="212" customFormat="1">
      <c r="A6004" s="123"/>
      <c r="B6004" s="95"/>
      <c r="C6004" s="95"/>
      <c r="D6004" s="95"/>
      <c r="E6004" s="95"/>
      <c r="G6004" s="73"/>
      <c r="H6004" s="225"/>
    </row>
    <row r="6005" spans="1:9" s="212" customFormat="1">
      <c r="B6005" s="97"/>
      <c r="C6005" s="98"/>
      <c r="D6005" s="98"/>
      <c r="E6005" s="98"/>
      <c r="G6005" s="220"/>
    </row>
    <row r="6006" spans="1:9" s="212" customFormat="1">
      <c r="B6006" s="97"/>
      <c r="C6006" s="98"/>
      <c r="D6006" s="98"/>
      <c r="E6006" s="98"/>
      <c r="F6006" s="220"/>
      <c r="G6006" s="225"/>
      <c r="H6006" s="226"/>
    </row>
    <row r="6007" spans="1:9" s="212" customFormat="1">
      <c r="A6007" s="633"/>
      <c r="B6007" s="633"/>
      <c r="C6007" s="633"/>
      <c r="D6007" s="633"/>
      <c r="E6007" s="633"/>
      <c r="F6007" s="633"/>
      <c r="G6007" s="633"/>
    </row>
    <row r="6008" spans="1:9" s="212" customFormat="1">
      <c r="H6008" s="227"/>
      <c r="I6008" s="228"/>
    </row>
    <row r="6009" spans="1:9" s="212" customFormat="1">
      <c r="A6009" s="658"/>
      <c r="B6009" s="227"/>
      <c r="C6009" s="227"/>
      <c r="D6009" s="227"/>
      <c r="E6009" s="227"/>
      <c r="F6009" s="227"/>
      <c r="G6009" s="227"/>
      <c r="H6009" s="227"/>
      <c r="I6009" s="229"/>
    </row>
    <row r="6010" spans="1:9" s="212" customFormat="1">
      <c r="A6010" s="658"/>
      <c r="B6010" s="227"/>
      <c r="C6010" s="227"/>
      <c r="D6010" s="227"/>
      <c r="E6010" s="227"/>
      <c r="F6010" s="227"/>
      <c r="G6010" s="227"/>
    </row>
    <row r="6011" spans="1:9" s="212" customFormat="1">
      <c r="A6011" s="69"/>
      <c r="B6011" s="69"/>
      <c r="C6011" s="69"/>
      <c r="D6011" s="69"/>
      <c r="E6011" s="69"/>
    </row>
    <row r="6012" spans="1:9" s="212" customFormat="1">
      <c r="A6012" s="120"/>
      <c r="B6012" s="73"/>
      <c r="C6012" s="73"/>
      <c r="D6012" s="73"/>
      <c r="E6012" s="73"/>
      <c r="F6012" s="73"/>
      <c r="G6012" s="73"/>
      <c r="H6012" s="73"/>
    </row>
    <row r="6013" spans="1:9" s="212" customFormat="1">
      <c r="A6013" s="220"/>
      <c r="B6013" s="141"/>
      <c r="C6013" s="141"/>
      <c r="D6013" s="141"/>
      <c r="E6013" s="141"/>
      <c r="F6013" s="141"/>
      <c r="G6013" s="141"/>
      <c r="H6013" s="73"/>
    </row>
    <row r="6014" spans="1:9" s="212" customFormat="1">
      <c r="A6014" s="142"/>
      <c r="B6014" s="143"/>
      <c r="C6014" s="143"/>
      <c r="D6014" s="143"/>
      <c r="E6014" s="143"/>
      <c r="F6014" s="84"/>
      <c r="G6014" s="146"/>
      <c r="H6014" s="221"/>
    </row>
    <row r="6015" spans="1:9" s="212" customFormat="1">
      <c r="A6015" s="84"/>
      <c r="B6015" s="83"/>
      <c r="C6015" s="84"/>
      <c r="D6015" s="84"/>
      <c r="E6015" s="84"/>
      <c r="G6015" s="213"/>
      <c r="H6015" s="222"/>
    </row>
    <row r="6016" spans="1:9" s="212" customFormat="1">
      <c r="A6016" s="120"/>
      <c r="B6016" s="73"/>
      <c r="C6016" s="73"/>
      <c r="D6016" s="73"/>
      <c r="E6016" s="73"/>
      <c r="G6016" s="73"/>
      <c r="H6016" s="222"/>
    </row>
    <row r="6017" spans="1:9" s="212" customFormat="1">
      <c r="A6017" s="220"/>
      <c r="B6017" s="141"/>
      <c r="C6017" s="141"/>
      <c r="D6017" s="141"/>
      <c r="E6017" s="141"/>
      <c r="F6017" s="141"/>
      <c r="G6017" s="141"/>
      <c r="H6017" s="222"/>
    </row>
    <row r="6018" spans="1:9" s="212" customFormat="1">
      <c r="A6018" s="150"/>
      <c r="B6018" s="83"/>
      <c r="C6018" s="148"/>
      <c r="D6018" s="160"/>
      <c r="E6018" s="84"/>
      <c r="F6018" s="84"/>
      <c r="G6018" s="146"/>
      <c r="H6018" s="221"/>
    </row>
    <row r="6019" spans="1:9" s="212" customFormat="1">
      <c r="A6019" s="91"/>
      <c r="B6019" s="91"/>
      <c r="C6019" s="91"/>
      <c r="D6019" s="91"/>
      <c r="E6019" s="91"/>
      <c r="G6019" s="213"/>
      <c r="H6019" s="222"/>
    </row>
    <row r="6020" spans="1:9" s="212" customFormat="1">
      <c r="A6020" s="120"/>
      <c r="B6020" s="73"/>
      <c r="C6020" s="73"/>
      <c r="D6020" s="73"/>
      <c r="E6020" s="73"/>
      <c r="G6020" s="73"/>
      <c r="H6020" s="222"/>
    </row>
    <row r="6021" spans="1:9" s="212" customFormat="1">
      <c r="A6021" s="220"/>
      <c r="B6021" s="141"/>
      <c r="C6021" s="141"/>
      <c r="D6021" s="141"/>
      <c r="E6021" s="141"/>
      <c r="F6021" s="141"/>
      <c r="G6021" s="141"/>
      <c r="H6021" s="222"/>
    </row>
    <row r="6022" spans="1:9" s="212" customFormat="1">
      <c r="A6022" s="142"/>
      <c r="B6022" s="143"/>
      <c r="C6022" s="143"/>
      <c r="D6022" s="143"/>
      <c r="E6022" s="143"/>
      <c r="F6022" s="84"/>
      <c r="G6022" s="146"/>
      <c r="H6022" s="221"/>
    </row>
    <row r="6023" spans="1:9" s="212" customFormat="1">
      <c r="A6023" s="91"/>
      <c r="B6023" s="91"/>
      <c r="C6023" s="91"/>
      <c r="D6023" s="91"/>
      <c r="E6023" s="91"/>
      <c r="G6023" s="213"/>
      <c r="H6023" s="222"/>
    </row>
    <row r="6024" spans="1:9" s="212" customFormat="1">
      <c r="A6024" s="120"/>
      <c r="B6024" s="73"/>
      <c r="C6024" s="73"/>
      <c r="D6024" s="73"/>
      <c r="E6024" s="73"/>
      <c r="G6024" s="73"/>
      <c r="H6024" s="222"/>
    </row>
    <row r="6025" spans="1:9" s="212" customFormat="1">
      <c r="A6025" s="220"/>
      <c r="B6025" s="141"/>
      <c r="C6025" s="141"/>
      <c r="D6025" s="141"/>
      <c r="E6025" s="141"/>
      <c r="F6025" s="141"/>
      <c r="G6025" s="141"/>
      <c r="H6025" s="222"/>
    </row>
    <row r="6026" spans="1:9" s="212" customFormat="1">
      <c r="A6026" s="142"/>
      <c r="B6026" s="143"/>
      <c r="C6026" s="143"/>
      <c r="D6026" s="143"/>
      <c r="E6026" s="143"/>
      <c r="F6026" s="84"/>
      <c r="G6026" s="146"/>
      <c r="H6026" s="221"/>
    </row>
    <row r="6027" spans="1:9" s="212" customFormat="1">
      <c r="A6027" s="123"/>
      <c r="B6027" s="95"/>
      <c r="C6027" s="95"/>
      <c r="D6027" s="95"/>
      <c r="E6027" s="95"/>
      <c r="G6027" s="213"/>
      <c r="H6027" s="73"/>
    </row>
    <row r="6028" spans="1:9" s="212" customFormat="1">
      <c r="A6028" s="123"/>
      <c r="B6028" s="95"/>
      <c r="C6028" s="95"/>
      <c r="D6028" s="95"/>
      <c r="E6028" s="95"/>
      <c r="G6028" s="73"/>
      <c r="H6028" s="225"/>
    </row>
    <row r="6029" spans="1:9" s="212" customFormat="1">
      <c r="B6029" s="97"/>
      <c r="C6029" s="98"/>
      <c r="D6029" s="98"/>
      <c r="E6029" s="98"/>
      <c r="G6029" s="220"/>
    </row>
    <row r="6030" spans="1:9" s="212" customFormat="1">
      <c r="B6030" s="97"/>
      <c r="C6030" s="98"/>
      <c r="D6030" s="98"/>
      <c r="E6030" s="98"/>
      <c r="F6030" s="220"/>
      <c r="G6030" s="225"/>
      <c r="H6030" s="226"/>
    </row>
    <row r="6031" spans="1:9" s="212" customFormat="1">
      <c r="A6031" s="633"/>
      <c r="B6031" s="633"/>
      <c r="C6031" s="633"/>
      <c r="D6031" s="633"/>
      <c r="E6031" s="633"/>
      <c r="F6031" s="633"/>
      <c r="G6031" s="633"/>
    </row>
    <row r="6032" spans="1:9" s="212" customFormat="1">
      <c r="H6032" s="227"/>
      <c r="I6032" s="228"/>
    </row>
    <row r="6033" spans="1:9" s="212" customFormat="1">
      <c r="A6033" s="658"/>
      <c r="B6033" s="227"/>
      <c r="C6033" s="227"/>
      <c r="D6033" s="227"/>
      <c r="E6033" s="227"/>
      <c r="F6033" s="227"/>
      <c r="G6033" s="227"/>
      <c r="H6033" s="227"/>
      <c r="I6033" s="229"/>
    </row>
    <row r="6034" spans="1:9" s="212" customFormat="1">
      <c r="A6034" s="658"/>
      <c r="B6034" s="227"/>
      <c r="C6034" s="227"/>
      <c r="D6034" s="227"/>
      <c r="E6034" s="227"/>
      <c r="F6034" s="227"/>
      <c r="G6034" s="227"/>
    </row>
    <row r="6035" spans="1:9" s="212" customFormat="1">
      <c r="A6035" s="69"/>
      <c r="B6035" s="69"/>
      <c r="C6035" s="69"/>
      <c r="D6035" s="69"/>
      <c r="E6035" s="69"/>
    </row>
    <row r="6036" spans="1:9" s="212" customFormat="1">
      <c r="A6036" s="120"/>
      <c r="B6036" s="73"/>
      <c r="C6036" s="73"/>
      <c r="D6036" s="73"/>
      <c r="E6036" s="73"/>
      <c r="F6036" s="73"/>
      <c r="G6036" s="73"/>
      <c r="H6036" s="73"/>
    </row>
    <row r="6037" spans="1:9" s="212" customFormat="1">
      <c r="A6037" s="220"/>
      <c r="B6037" s="141"/>
      <c r="C6037" s="141"/>
      <c r="D6037" s="141"/>
      <c r="E6037" s="141"/>
      <c r="F6037" s="141"/>
      <c r="G6037" s="141"/>
      <c r="H6037" s="73"/>
    </row>
    <row r="6038" spans="1:9" s="212" customFormat="1">
      <c r="A6038" s="142"/>
      <c r="B6038" s="143"/>
      <c r="C6038" s="143"/>
      <c r="D6038" s="143"/>
      <c r="E6038" s="143"/>
      <c r="F6038" s="84"/>
      <c r="G6038" s="146"/>
      <c r="H6038" s="221"/>
    </row>
    <row r="6039" spans="1:9" s="212" customFormat="1">
      <c r="A6039" s="84"/>
      <c r="B6039" s="83"/>
      <c r="C6039" s="84"/>
      <c r="D6039" s="84"/>
      <c r="E6039" s="84"/>
      <c r="G6039" s="213"/>
      <c r="H6039" s="222"/>
    </row>
    <row r="6040" spans="1:9" s="212" customFormat="1">
      <c r="A6040" s="120"/>
      <c r="B6040" s="73"/>
      <c r="C6040" s="73"/>
      <c r="D6040" s="73"/>
      <c r="E6040" s="73"/>
      <c r="G6040" s="73"/>
      <c r="H6040" s="222"/>
    </row>
    <row r="6041" spans="1:9" s="212" customFormat="1">
      <c r="A6041" s="220"/>
      <c r="B6041" s="141"/>
      <c r="C6041" s="141"/>
      <c r="D6041" s="141"/>
      <c r="E6041" s="141"/>
      <c r="F6041" s="141"/>
      <c r="G6041" s="141"/>
      <c r="H6041" s="222"/>
    </row>
    <row r="6042" spans="1:9" s="212" customFormat="1">
      <c r="A6042" s="150"/>
      <c r="B6042" s="83"/>
      <c r="C6042" s="148"/>
      <c r="D6042" s="160"/>
      <c r="E6042" s="84"/>
      <c r="F6042" s="84"/>
      <c r="G6042" s="146"/>
      <c r="H6042" s="221"/>
    </row>
    <row r="6043" spans="1:9" s="212" customFormat="1">
      <c r="A6043" s="91"/>
      <c r="B6043" s="91"/>
      <c r="C6043" s="91"/>
      <c r="D6043" s="91"/>
      <c r="E6043" s="91"/>
      <c r="G6043" s="213"/>
      <c r="H6043" s="222"/>
    </row>
    <row r="6044" spans="1:9" s="212" customFormat="1">
      <c r="A6044" s="120"/>
      <c r="B6044" s="73"/>
      <c r="C6044" s="73"/>
      <c r="D6044" s="73"/>
      <c r="E6044" s="73"/>
      <c r="G6044" s="73"/>
      <c r="H6044" s="222"/>
    </row>
    <row r="6045" spans="1:9" s="212" customFormat="1">
      <c r="A6045" s="220"/>
      <c r="B6045" s="141"/>
      <c r="C6045" s="141"/>
      <c r="D6045" s="141"/>
      <c r="E6045" s="141"/>
      <c r="F6045" s="141"/>
      <c r="G6045" s="141"/>
      <c r="H6045" s="222"/>
    </row>
    <row r="6046" spans="1:9" s="212" customFormat="1">
      <c r="A6046" s="142"/>
      <c r="B6046" s="143"/>
      <c r="C6046" s="143"/>
      <c r="D6046" s="143"/>
      <c r="E6046" s="143"/>
      <c r="F6046" s="84"/>
      <c r="G6046" s="146"/>
      <c r="H6046" s="221"/>
    </row>
    <row r="6047" spans="1:9" s="212" customFormat="1">
      <c r="A6047" s="91"/>
      <c r="B6047" s="91"/>
      <c r="C6047" s="91"/>
      <c r="D6047" s="91"/>
      <c r="E6047" s="91"/>
      <c r="G6047" s="213"/>
      <c r="H6047" s="222"/>
    </row>
    <row r="6048" spans="1:9" s="212" customFormat="1">
      <c r="A6048" s="120"/>
      <c r="B6048" s="73"/>
      <c r="C6048" s="73"/>
      <c r="D6048" s="73"/>
      <c r="E6048" s="73"/>
      <c r="G6048" s="73"/>
      <c r="H6048" s="222"/>
    </row>
    <row r="6049" spans="1:9" s="212" customFormat="1">
      <c r="A6049" s="220"/>
      <c r="B6049" s="141"/>
      <c r="C6049" s="141"/>
      <c r="D6049" s="141"/>
      <c r="E6049" s="141"/>
      <c r="F6049" s="141"/>
      <c r="G6049" s="141"/>
      <c r="H6049" s="222"/>
    </row>
    <row r="6050" spans="1:9" s="212" customFormat="1">
      <c r="A6050" s="142"/>
      <c r="B6050" s="143"/>
      <c r="C6050" s="143"/>
      <c r="D6050" s="143"/>
      <c r="E6050" s="143"/>
      <c r="F6050" s="84"/>
      <c r="G6050" s="146"/>
      <c r="H6050" s="221"/>
    </row>
    <row r="6051" spans="1:9" s="212" customFormat="1">
      <c r="A6051" s="123"/>
      <c r="B6051" s="95"/>
      <c r="C6051" s="95"/>
      <c r="D6051" s="95"/>
      <c r="E6051" s="95"/>
      <c r="G6051" s="213"/>
      <c r="H6051" s="73"/>
    </row>
    <row r="6052" spans="1:9" s="212" customFormat="1">
      <c r="A6052" s="123"/>
      <c r="B6052" s="95"/>
      <c r="C6052" s="95"/>
      <c r="D6052" s="95"/>
      <c r="E6052" s="95"/>
      <c r="G6052" s="73"/>
      <c r="H6052" s="225"/>
    </row>
    <row r="6053" spans="1:9" s="212" customFormat="1">
      <c r="B6053" s="97"/>
      <c r="C6053" s="98"/>
      <c r="D6053" s="98"/>
      <c r="E6053" s="98"/>
      <c r="G6053" s="220"/>
    </row>
    <row r="6054" spans="1:9" s="212" customFormat="1">
      <c r="B6054" s="97"/>
      <c r="C6054" s="98"/>
      <c r="D6054" s="98"/>
      <c r="E6054" s="98"/>
      <c r="F6054" s="220"/>
      <c r="G6054" s="225"/>
      <c r="H6054" s="226"/>
    </row>
    <row r="6055" spans="1:9" s="212" customFormat="1">
      <c r="A6055" s="633"/>
      <c r="B6055" s="633"/>
      <c r="C6055" s="633"/>
      <c r="D6055" s="633"/>
      <c r="E6055" s="633"/>
      <c r="F6055" s="633"/>
      <c r="G6055" s="633"/>
    </row>
    <row r="6056" spans="1:9" s="212" customFormat="1">
      <c r="H6056" s="227"/>
      <c r="I6056" s="228"/>
    </row>
    <row r="6057" spans="1:9" s="212" customFormat="1">
      <c r="A6057" s="658"/>
      <c r="B6057" s="227"/>
      <c r="C6057" s="227"/>
      <c r="D6057" s="227"/>
      <c r="E6057" s="227"/>
      <c r="F6057" s="227"/>
      <c r="G6057" s="227"/>
      <c r="H6057" s="227"/>
      <c r="I6057" s="229"/>
    </row>
    <row r="6058" spans="1:9" s="212" customFormat="1">
      <c r="A6058" s="658"/>
      <c r="B6058" s="227"/>
      <c r="C6058" s="227"/>
      <c r="D6058" s="227"/>
      <c r="E6058" s="227"/>
      <c r="F6058" s="227"/>
      <c r="G6058" s="227"/>
    </row>
    <row r="6059" spans="1:9" s="212" customFormat="1">
      <c r="A6059" s="69"/>
      <c r="B6059" s="69"/>
      <c r="C6059" s="69"/>
      <c r="D6059" s="69"/>
      <c r="E6059" s="69"/>
    </row>
    <row r="6060" spans="1:9" s="212" customFormat="1">
      <c r="A6060" s="120"/>
      <c r="B6060" s="73"/>
      <c r="C6060" s="73"/>
      <c r="D6060" s="73"/>
      <c r="E6060" s="73"/>
      <c r="F6060" s="73"/>
      <c r="G6060" s="73"/>
      <c r="H6060" s="73"/>
    </row>
    <row r="6061" spans="1:9" s="212" customFormat="1">
      <c r="A6061" s="220"/>
      <c r="B6061" s="141"/>
      <c r="C6061" s="141"/>
      <c r="D6061" s="141"/>
      <c r="E6061" s="141"/>
      <c r="F6061" s="141"/>
      <c r="G6061" s="141"/>
      <c r="H6061" s="73"/>
    </row>
    <row r="6062" spans="1:9" s="212" customFormat="1">
      <c r="A6062" s="142"/>
      <c r="B6062" s="143"/>
      <c r="C6062" s="143"/>
      <c r="D6062" s="143"/>
      <c r="E6062" s="143"/>
      <c r="F6062" s="84"/>
      <c r="G6062" s="146"/>
      <c r="H6062" s="221"/>
    </row>
    <row r="6063" spans="1:9" s="212" customFormat="1">
      <c r="A6063" s="84"/>
      <c r="B6063" s="83"/>
      <c r="C6063" s="84"/>
      <c r="D6063" s="84"/>
      <c r="E6063" s="84"/>
      <c r="G6063" s="213"/>
      <c r="H6063" s="222"/>
    </row>
    <row r="6064" spans="1:9" s="212" customFormat="1">
      <c r="A6064" s="120"/>
      <c r="B6064" s="73"/>
      <c r="C6064" s="73"/>
      <c r="D6064" s="73"/>
      <c r="E6064" s="73"/>
      <c r="G6064" s="73"/>
      <c r="H6064" s="222"/>
    </row>
    <row r="6065" spans="1:9" s="212" customFormat="1">
      <c r="A6065" s="220"/>
      <c r="B6065" s="141"/>
      <c r="C6065" s="141"/>
      <c r="D6065" s="141"/>
      <c r="E6065" s="141"/>
      <c r="F6065" s="141"/>
      <c r="G6065" s="141"/>
      <c r="H6065" s="222"/>
    </row>
    <row r="6066" spans="1:9" s="212" customFormat="1">
      <c r="A6066" s="150"/>
      <c r="B6066" s="83"/>
      <c r="C6066" s="148"/>
      <c r="D6066" s="160"/>
      <c r="E6066" s="84"/>
      <c r="F6066" s="84"/>
      <c r="G6066" s="146"/>
      <c r="H6066" s="221"/>
    </row>
    <row r="6067" spans="1:9" s="212" customFormat="1">
      <c r="A6067" s="91"/>
      <c r="B6067" s="91"/>
      <c r="C6067" s="91"/>
      <c r="D6067" s="91"/>
      <c r="E6067" s="91"/>
      <c r="G6067" s="213"/>
      <c r="H6067" s="222"/>
    </row>
    <row r="6068" spans="1:9" s="212" customFormat="1">
      <c r="A6068" s="120"/>
      <c r="B6068" s="73"/>
      <c r="C6068" s="73"/>
      <c r="D6068" s="73"/>
      <c r="E6068" s="73"/>
      <c r="G6068" s="73"/>
      <c r="H6068" s="222"/>
    </row>
    <row r="6069" spans="1:9" s="212" customFormat="1">
      <c r="A6069" s="220"/>
      <c r="B6069" s="141"/>
      <c r="C6069" s="141"/>
      <c r="D6069" s="141"/>
      <c r="E6069" s="141"/>
      <c r="F6069" s="141"/>
      <c r="G6069" s="141"/>
      <c r="H6069" s="222"/>
    </row>
    <row r="6070" spans="1:9" s="212" customFormat="1">
      <c r="A6070" s="142"/>
      <c r="B6070" s="143"/>
      <c r="C6070" s="143"/>
      <c r="D6070" s="143"/>
      <c r="E6070" s="143"/>
      <c r="F6070" s="84"/>
      <c r="G6070" s="146"/>
      <c r="H6070" s="221"/>
    </row>
    <row r="6071" spans="1:9" s="212" customFormat="1">
      <c r="A6071" s="91"/>
      <c r="B6071" s="91"/>
      <c r="C6071" s="91"/>
      <c r="D6071" s="91"/>
      <c r="E6071" s="91"/>
      <c r="G6071" s="213"/>
      <c r="H6071" s="222"/>
    </row>
    <row r="6072" spans="1:9" s="212" customFormat="1">
      <c r="A6072" s="120"/>
      <c r="B6072" s="73"/>
      <c r="C6072" s="73"/>
      <c r="D6072" s="73"/>
      <c r="E6072" s="73"/>
      <c r="G6072" s="73"/>
      <c r="H6072" s="222"/>
    </row>
    <row r="6073" spans="1:9" s="212" customFormat="1">
      <c r="A6073" s="220"/>
      <c r="B6073" s="141"/>
      <c r="C6073" s="141"/>
      <c r="D6073" s="141"/>
      <c r="E6073" s="141"/>
      <c r="F6073" s="141"/>
      <c r="G6073" s="141"/>
      <c r="H6073" s="222"/>
    </row>
    <row r="6074" spans="1:9" s="212" customFormat="1">
      <c r="A6074" s="142"/>
      <c r="B6074" s="143"/>
      <c r="C6074" s="143"/>
      <c r="D6074" s="143"/>
      <c r="E6074" s="143"/>
      <c r="F6074" s="84"/>
      <c r="G6074" s="146"/>
      <c r="H6074" s="221"/>
    </row>
    <row r="6075" spans="1:9" s="212" customFormat="1">
      <c r="A6075" s="123"/>
      <c r="B6075" s="95"/>
      <c r="C6075" s="95"/>
      <c r="D6075" s="95"/>
      <c r="E6075" s="95"/>
      <c r="G6075" s="213"/>
      <c r="H6075" s="73"/>
    </row>
    <row r="6076" spans="1:9" s="212" customFormat="1">
      <c r="A6076" s="123"/>
      <c r="B6076" s="95"/>
      <c r="C6076" s="95"/>
      <c r="D6076" s="95"/>
      <c r="E6076" s="95"/>
      <c r="G6076" s="73"/>
      <c r="H6076" s="225"/>
    </row>
    <row r="6077" spans="1:9" s="212" customFormat="1">
      <c r="B6077" s="97"/>
      <c r="C6077" s="98"/>
      <c r="D6077" s="98"/>
      <c r="E6077" s="98"/>
      <c r="G6077" s="220"/>
    </row>
    <row r="6078" spans="1:9" s="212" customFormat="1">
      <c r="B6078" s="97"/>
      <c r="C6078" s="98"/>
      <c r="D6078" s="98"/>
      <c r="E6078" s="98"/>
      <c r="F6078" s="220"/>
      <c r="G6078" s="225"/>
      <c r="H6078" s="226"/>
    </row>
    <row r="6079" spans="1:9" s="212" customFormat="1">
      <c r="A6079" s="633"/>
      <c r="B6079" s="633"/>
      <c r="C6079" s="633"/>
      <c r="D6079" s="633"/>
      <c r="E6079" s="633"/>
      <c r="F6079" s="633"/>
      <c r="G6079" s="633"/>
    </row>
    <row r="6080" spans="1:9" s="212" customFormat="1">
      <c r="H6080" s="227"/>
      <c r="I6080" s="228"/>
    </row>
    <row r="6081" spans="1:9" s="212" customFormat="1">
      <c r="A6081" s="658"/>
      <c r="B6081" s="227"/>
      <c r="C6081" s="227"/>
      <c r="D6081" s="227"/>
      <c r="E6081" s="227"/>
      <c r="F6081" s="227"/>
      <c r="G6081" s="227"/>
      <c r="H6081" s="227"/>
      <c r="I6081" s="229"/>
    </row>
    <row r="6082" spans="1:9" s="212" customFormat="1">
      <c r="A6082" s="658"/>
      <c r="B6082" s="227"/>
      <c r="C6082" s="227"/>
      <c r="D6082" s="227"/>
      <c r="E6082" s="227"/>
      <c r="F6082" s="227"/>
      <c r="G6082" s="227"/>
    </row>
    <row r="6083" spans="1:9" s="212" customFormat="1">
      <c r="A6083" s="69"/>
      <c r="B6083" s="69"/>
      <c r="C6083" s="69"/>
      <c r="D6083" s="69"/>
      <c r="E6083" s="69"/>
    </row>
    <row r="6084" spans="1:9" s="212" customFormat="1">
      <c r="A6084" s="120"/>
      <c r="B6084" s="73"/>
      <c r="C6084" s="73"/>
      <c r="D6084" s="73"/>
      <c r="E6084" s="73"/>
      <c r="F6084" s="73"/>
      <c r="G6084" s="73"/>
      <c r="H6084" s="73"/>
    </row>
    <row r="6085" spans="1:9" s="212" customFormat="1">
      <c r="A6085" s="220"/>
      <c r="B6085" s="141"/>
      <c r="C6085" s="141"/>
      <c r="D6085" s="141"/>
      <c r="E6085" s="141"/>
      <c r="F6085" s="141"/>
      <c r="G6085" s="141"/>
      <c r="H6085" s="73"/>
    </row>
    <row r="6086" spans="1:9" s="212" customFormat="1">
      <c r="A6086" s="142"/>
      <c r="B6086" s="143"/>
      <c r="C6086" s="143"/>
      <c r="D6086" s="143"/>
      <c r="E6086" s="143"/>
      <c r="F6086" s="84"/>
      <c r="G6086" s="146"/>
      <c r="H6086" s="221"/>
    </row>
    <row r="6087" spans="1:9" s="212" customFormat="1">
      <c r="A6087" s="84"/>
      <c r="B6087" s="83"/>
      <c r="C6087" s="84"/>
      <c r="D6087" s="84"/>
      <c r="E6087" s="84"/>
      <c r="G6087" s="213"/>
      <c r="H6087" s="222"/>
    </row>
    <row r="6088" spans="1:9" s="212" customFormat="1">
      <c r="A6088" s="120"/>
      <c r="B6088" s="73"/>
      <c r="C6088" s="73"/>
      <c r="D6088" s="73"/>
      <c r="E6088" s="73"/>
      <c r="G6088" s="73"/>
      <c r="H6088" s="222"/>
    </row>
    <row r="6089" spans="1:9" s="212" customFormat="1">
      <c r="A6089" s="220"/>
      <c r="B6089" s="141"/>
      <c r="C6089" s="141"/>
      <c r="D6089" s="141"/>
      <c r="E6089" s="141"/>
      <c r="F6089" s="141"/>
      <c r="G6089" s="141"/>
      <c r="H6089" s="222"/>
    </row>
    <row r="6090" spans="1:9" s="212" customFormat="1">
      <c r="A6090" s="150"/>
      <c r="B6090" s="83"/>
      <c r="C6090" s="148"/>
      <c r="D6090" s="160"/>
      <c r="E6090" s="84"/>
      <c r="F6090" s="84"/>
      <c r="G6090" s="146"/>
      <c r="H6090" s="221"/>
    </row>
    <row r="6091" spans="1:9" s="212" customFormat="1">
      <c r="A6091" s="91"/>
      <c r="B6091" s="91"/>
      <c r="C6091" s="91"/>
      <c r="D6091" s="91"/>
      <c r="E6091" s="91"/>
      <c r="G6091" s="213"/>
      <c r="H6091" s="222"/>
    </row>
    <row r="6092" spans="1:9" s="212" customFormat="1">
      <c r="A6092" s="120"/>
      <c r="B6092" s="73"/>
      <c r="C6092" s="73"/>
      <c r="D6092" s="73"/>
      <c r="E6092" s="73"/>
      <c r="G6092" s="73"/>
      <c r="H6092" s="222"/>
    </row>
    <row r="6093" spans="1:9" s="212" customFormat="1">
      <c r="A6093" s="220"/>
      <c r="B6093" s="141"/>
      <c r="C6093" s="141"/>
      <c r="D6093" s="141"/>
      <c r="E6093" s="141"/>
      <c r="F6093" s="141"/>
      <c r="G6093" s="141"/>
      <c r="H6093" s="222"/>
    </row>
    <row r="6094" spans="1:9" s="212" customFormat="1">
      <c r="A6094" s="142"/>
      <c r="B6094" s="143"/>
      <c r="C6094" s="143"/>
      <c r="D6094" s="143"/>
      <c r="E6094" s="143"/>
      <c r="F6094" s="84"/>
      <c r="G6094" s="146"/>
      <c r="H6094" s="221"/>
    </row>
    <row r="6095" spans="1:9" s="212" customFormat="1">
      <c r="A6095" s="91"/>
      <c r="B6095" s="91"/>
      <c r="C6095" s="91"/>
      <c r="D6095" s="91"/>
      <c r="E6095" s="91"/>
      <c r="G6095" s="213"/>
      <c r="H6095" s="222"/>
    </row>
    <row r="6096" spans="1:9" s="212" customFormat="1">
      <c r="A6096" s="120"/>
      <c r="B6096" s="73"/>
      <c r="C6096" s="73"/>
      <c r="D6096" s="73"/>
      <c r="E6096" s="73"/>
      <c r="G6096" s="73"/>
      <c r="H6096" s="222"/>
    </row>
    <row r="6097" spans="1:9" s="212" customFormat="1">
      <c r="A6097" s="220"/>
      <c r="B6097" s="141"/>
      <c r="C6097" s="141"/>
      <c r="D6097" s="141"/>
      <c r="E6097" s="141"/>
      <c r="F6097" s="141"/>
      <c r="G6097" s="141"/>
      <c r="H6097" s="222"/>
    </row>
    <row r="6098" spans="1:9" s="212" customFormat="1">
      <c r="A6098" s="142"/>
      <c r="B6098" s="143"/>
      <c r="C6098" s="143"/>
      <c r="D6098" s="143"/>
      <c r="E6098" s="143"/>
      <c r="F6098" s="84"/>
      <c r="G6098" s="146"/>
      <c r="H6098" s="221"/>
    </row>
    <row r="6099" spans="1:9" s="212" customFormat="1">
      <c r="A6099" s="123"/>
      <c r="B6099" s="95"/>
      <c r="C6099" s="95"/>
      <c r="D6099" s="95"/>
      <c r="E6099" s="95"/>
      <c r="G6099" s="213"/>
      <c r="H6099" s="73"/>
    </row>
    <row r="6100" spans="1:9" s="212" customFormat="1">
      <c r="A6100" s="123"/>
      <c r="B6100" s="95"/>
      <c r="C6100" s="95"/>
      <c r="D6100" s="95"/>
      <c r="E6100" s="95"/>
      <c r="G6100" s="73"/>
      <c r="H6100" s="225"/>
    </row>
    <row r="6101" spans="1:9" s="212" customFormat="1">
      <c r="B6101" s="97"/>
      <c r="C6101" s="98"/>
      <c r="D6101" s="98"/>
      <c r="E6101" s="98"/>
      <c r="G6101" s="220"/>
    </row>
    <row r="6102" spans="1:9" s="212" customFormat="1">
      <c r="B6102" s="97"/>
      <c r="C6102" s="98"/>
      <c r="D6102" s="98"/>
      <c r="E6102" s="98"/>
      <c r="F6102" s="220"/>
      <c r="G6102" s="225"/>
      <c r="H6102" s="226"/>
    </row>
    <row r="6103" spans="1:9" s="212" customFormat="1">
      <c r="A6103" s="633"/>
      <c r="B6103" s="633"/>
      <c r="C6103" s="633"/>
      <c r="D6103" s="633"/>
      <c r="E6103" s="633"/>
      <c r="F6103" s="633"/>
      <c r="G6103" s="633"/>
    </row>
    <row r="6104" spans="1:9" s="212" customFormat="1">
      <c r="H6104" s="227"/>
      <c r="I6104" s="228"/>
    </row>
    <row r="6105" spans="1:9" s="212" customFormat="1">
      <c r="A6105" s="658"/>
      <c r="B6105" s="227"/>
      <c r="C6105" s="227"/>
      <c r="D6105" s="227"/>
      <c r="E6105" s="227"/>
      <c r="F6105" s="227"/>
      <c r="G6105" s="227"/>
      <c r="H6105" s="227"/>
      <c r="I6105" s="229"/>
    </row>
    <row r="6106" spans="1:9" s="212" customFormat="1">
      <c r="A6106" s="658"/>
      <c r="B6106" s="227"/>
      <c r="C6106" s="227"/>
      <c r="D6106" s="227"/>
      <c r="E6106" s="227"/>
      <c r="F6106" s="227"/>
      <c r="G6106" s="227"/>
    </row>
    <row r="6107" spans="1:9" s="212" customFormat="1">
      <c r="A6107" s="69"/>
      <c r="B6107" s="69"/>
      <c r="C6107" s="69"/>
      <c r="D6107" s="69"/>
      <c r="E6107" s="69"/>
    </row>
    <row r="6108" spans="1:9" s="212" customFormat="1">
      <c r="A6108" s="120"/>
      <c r="B6108" s="73"/>
      <c r="C6108" s="73"/>
      <c r="D6108" s="73"/>
      <c r="E6108" s="73"/>
      <c r="F6108" s="73"/>
      <c r="G6108" s="73"/>
      <c r="H6108" s="73"/>
    </row>
    <row r="6109" spans="1:9" s="212" customFormat="1">
      <c r="A6109" s="220"/>
      <c r="B6109" s="141"/>
      <c r="C6109" s="141"/>
      <c r="D6109" s="141"/>
      <c r="E6109" s="141"/>
      <c r="F6109" s="141"/>
      <c r="G6109" s="141"/>
      <c r="H6109" s="73"/>
    </row>
    <row r="6110" spans="1:9" s="212" customFormat="1">
      <c r="A6110" s="142"/>
      <c r="B6110" s="143"/>
      <c r="C6110" s="143"/>
      <c r="D6110" s="143"/>
      <c r="E6110" s="143"/>
      <c r="F6110" s="84"/>
      <c r="G6110" s="146"/>
      <c r="H6110" s="221"/>
    </row>
    <row r="6111" spans="1:9" s="212" customFormat="1">
      <c r="A6111" s="84"/>
      <c r="B6111" s="83"/>
      <c r="C6111" s="84"/>
      <c r="D6111" s="84"/>
      <c r="E6111" s="84"/>
      <c r="G6111" s="213"/>
      <c r="H6111" s="222"/>
    </row>
    <row r="6112" spans="1:9" s="212" customFormat="1">
      <c r="A6112" s="120"/>
      <c r="B6112" s="73"/>
      <c r="C6112" s="73"/>
      <c r="D6112" s="73"/>
      <c r="E6112" s="73"/>
      <c r="G6112" s="73"/>
      <c r="H6112" s="222"/>
    </row>
    <row r="6113" spans="1:9" s="212" customFormat="1">
      <c r="A6113" s="220"/>
      <c r="B6113" s="141"/>
      <c r="C6113" s="141"/>
      <c r="D6113" s="141"/>
      <c r="E6113" s="141"/>
      <c r="F6113" s="141"/>
      <c r="G6113" s="141"/>
      <c r="H6113" s="222"/>
    </row>
    <row r="6114" spans="1:9" s="212" customFormat="1">
      <c r="A6114" s="150"/>
      <c r="B6114" s="83"/>
      <c r="C6114" s="148"/>
      <c r="D6114" s="160"/>
      <c r="E6114" s="84"/>
      <c r="F6114" s="84"/>
      <c r="G6114" s="146"/>
      <c r="H6114" s="221"/>
    </row>
    <row r="6115" spans="1:9" s="212" customFormat="1">
      <c r="A6115" s="91"/>
      <c r="B6115" s="91"/>
      <c r="C6115" s="91"/>
      <c r="D6115" s="91"/>
      <c r="E6115" s="91"/>
      <c r="G6115" s="213"/>
      <c r="H6115" s="222"/>
    </row>
    <row r="6116" spans="1:9" s="212" customFormat="1">
      <c r="A6116" s="120"/>
      <c r="B6116" s="73"/>
      <c r="C6116" s="73"/>
      <c r="D6116" s="73"/>
      <c r="E6116" s="73"/>
      <c r="G6116" s="73"/>
      <c r="H6116" s="222"/>
    </row>
    <row r="6117" spans="1:9" s="212" customFormat="1">
      <c r="A6117" s="220"/>
      <c r="B6117" s="141"/>
      <c r="C6117" s="141"/>
      <c r="D6117" s="141"/>
      <c r="E6117" s="141"/>
      <c r="F6117" s="141"/>
      <c r="G6117" s="141"/>
      <c r="H6117" s="222"/>
    </row>
    <row r="6118" spans="1:9" s="212" customFormat="1">
      <c r="A6118" s="142"/>
      <c r="B6118" s="143"/>
      <c r="C6118" s="143"/>
      <c r="D6118" s="143"/>
      <c r="E6118" s="143"/>
      <c r="F6118" s="84"/>
      <c r="G6118" s="146"/>
      <c r="H6118" s="221"/>
    </row>
    <row r="6119" spans="1:9" s="212" customFormat="1">
      <c r="A6119" s="91"/>
      <c r="B6119" s="91"/>
      <c r="C6119" s="91"/>
      <c r="D6119" s="91"/>
      <c r="E6119" s="91"/>
      <c r="G6119" s="213"/>
      <c r="H6119" s="222"/>
    </row>
    <row r="6120" spans="1:9" s="212" customFormat="1">
      <c r="A6120" s="120"/>
      <c r="B6120" s="73"/>
      <c r="C6120" s="73"/>
      <c r="D6120" s="73"/>
      <c r="E6120" s="73"/>
      <c r="G6120" s="73"/>
      <c r="H6120" s="222"/>
    </row>
    <row r="6121" spans="1:9" s="212" customFormat="1">
      <c r="A6121" s="220"/>
      <c r="B6121" s="141"/>
      <c r="C6121" s="141"/>
      <c r="D6121" s="141"/>
      <c r="E6121" s="141"/>
      <c r="F6121" s="141"/>
      <c r="G6121" s="141"/>
      <c r="H6121" s="222"/>
    </row>
    <row r="6122" spans="1:9" s="212" customFormat="1">
      <c r="A6122" s="142"/>
      <c r="B6122" s="143"/>
      <c r="C6122" s="143"/>
      <c r="D6122" s="143"/>
      <c r="E6122" s="143"/>
      <c r="F6122" s="84"/>
      <c r="G6122" s="146"/>
      <c r="H6122" s="221"/>
    </row>
    <row r="6123" spans="1:9" s="212" customFormat="1">
      <c r="A6123" s="123"/>
      <c r="B6123" s="95"/>
      <c r="C6123" s="95"/>
      <c r="D6123" s="95"/>
      <c r="E6123" s="95"/>
      <c r="G6123" s="213"/>
      <c r="H6123" s="73"/>
    </row>
    <row r="6124" spans="1:9" s="212" customFormat="1">
      <c r="A6124" s="123"/>
      <c r="B6124" s="95"/>
      <c r="C6124" s="95"/>
      <c r="D6124" s="95"/>
      <c r="E6124" s="95"/>
      <c r="G6124" s="73"/>
      <c r="H6124" s="225"/>
    </row>
    <row r="6125" spans="1:9" s="212" customFormat="1">
      <c r="B6125" s="97"/>
      <c r="C6125" s="98"/>
      <c r="D6125" s="98"/>
      <c r="E6125" s="98"/>
      <c r="G6125" s="220"/>
    </row>
    <row r="6126" spans="1:9" s="212" customFormat="1">
      <c r="B6126" s="97"/>
      <c r="C6126" s="98"/>
      <c r="D6126" s="98"/>
      <c r="E6126" s="98"/>
      <c r="F6126" s="220"/>
      <c r="G6126" s="225"/>
      <c r="H6126" s="226"/>
    </row>
    <row r="6127" spans="1:9" s="212" customFormat="1">
      <c r="A6127" s="633"/>
      <c r="B6127" s="633"/>
      <c r="C6127" s="633"/>
      <c r="D6127" s="633"/>
      <c r="E6127" s="633"/>
      <c r="F6127" s="633"/>
      <c r="G6127" s="633"/>
    </row>
    <row r="6128" spans="1:9" s="212" customFormat="1">
      <c r="H6128" s="227"/>
      <c r="I6128" s="228"/>
    </row>
    <row r="6129" spans="1:9" s="212" customFormat="1">
      <c r="A6129" s="658"/>
      <c r="B6129" s="227"/>
      <c r="C6129" s="227"/>
      <c r="D6129" s="227"/>
      <c r="E6129" s="227"/>
      <c r="F6129" s="227"/>
      <c r="G6129" s="227"/>
      <c r="H6129" s="227"/>
      <c r="I6129" s="229"/>
    </row>
    <row r="6130" spans="1:9" s="212" customFormat="1">
      <c r="A6130" s="658"/>
      <c r="B6130" s="227"/>
      <c r="C6130" s="227"/>
      <c r="D6130" s="227"/>
      <c r="E6130" s="227"/>
      <c r="F6130" s="227"/>
      <c r="G6130" s="227"/>
    </row>
    <row r="6131" spans="1:9" s="212" customFormat="1">
      <c r="A6131" s="69"/>
      <c r="B6131" s="69"/>
      <c r="C6131" s="69"/>
      <c r="D6131" s="69"/>
      <c r="E6131" s="69"/>
    </row>
    <row r="6132" spans="1:9" s="212" customFormat="1">
      <c r="A6132" s="120"/>
      <c r="B6132" s="73"/>
      <c r="C6132" s="73"/>
      <c r="D6132" s="73"/>
      <c r="E6132" s="73"/>
      <c r="F6132" s="73"/>
      <c r="G6132" s="73"/>
      <c r="H6132" s="73"/>
    </row>
    <row r="6133" spans="1:9" s="212" customFormat="1">
      <c r="A6133" s="220"/>
      <c r="B6133" s="141"/>
      <c r="C6133" s="141"/>
      <c r="D6133" s="141"/>
      <c r="E6133" s="141"/>
      <c r="F6133" s="141"/>
      <c r="G6133" s="141"/>
      <c r="H6133" s="73"/>
    </row>
    <row r="6134" spans="1:9" s="212" customFormat="1">
      <c r="A6134" s="142"/>
      <c r="B6134" s="143"/>
      <c r="C6134" s="143"/>
      <c r="D6134" s="143"/>
      <c r="E6134" s="143"/>
      <c r="F6134" s="84"/>
      <c r="G6134" s="146"/>
      <c r="H6134" s="221"/>
    </row>
    <row r="6135" spans="1:9" s="212" customFormat="1">
      <c r="A6135" s="84"/>
      <c r="B6135" s="83"/>
      <c r="C6135" s="84"/>
      <c r="D6135" s="84"/>
      <c r="E6135" s="84"/>
      <c r="G6135" s="213"/>
      <c r="H6135" s="222"/>
    </row>
    <row r="6136" spans="1:9" s="212" customFormat="1">
      <c r="A6136" s="120"/>
      <c r="B6136" s="73"/>
      <c r="C6136" s="73"/>
      <c r="D6136" s="73"/>
      <c r="E6136" s="73"/>
      <c r="G6136" s="73"/>
      <c r="H6136" s="222"/>
    </row>
    <row r="6137" spans="1:9" s="212" customFormat="1">
      <c r="A6137" s="220"/>
      <c r="B6137" s="141"/>
      <c r="C6137" s="141"/>
      <c r="D6137" s="141"/>
      <c r="E6137" s="141"/>
      <c r="F6137" s="141"/>
      <c r="G6137" s="141"/>
      <c r="H6137" s="222"/>
    </row>
    <row r="6138" spans="1:9" s="212" customFormat="1">
      <c r="A6138" s="150"/>
      <c r="B6138" s="83"/>
      <c r="C6138" s="148"/>
      <c r="D6138" s="160"/>
      <c r="E6138" s="84"/>
      <c r="F6138" s="84"/>
      <c r="G6138" s="146"/>
      <c r="H6138" s="221"/>
    </row>
    <row r="6139" spans="1:9" s="212" customFormat="1">
      <c r="A6139" s="91"/>
      <c r="B6139" s="91"/>
      <c r="C6139" s="91"/>
      <c r="D6139" s="91"/>
      <c r="E6139" s="91"/>
      <c r="G6139" s="213"/>
      <c r="H6139" s="222"/>
    </row>
    <row r="6140" spans="1:9" s="212" customFormat="1">
      <c r="A6140" s="120"/>
      <c r="B6140" s="73"/>
      <c r="C6140" s="73"/>
      <c r="D6140" s="73"/>
      <c r="E6140" s="73"/>
      <c r="G6140" s="73"/>
      <c r="H6140" s="222"/>
    </row>
    <row r="6141" spans="1:9" s="212" customFormat="1">
      <c r="A6141" s="220"/>
      <c r="B6141" s="141"/>
      <c r="C6141" s="141"/>
      <c r="D6141" s="141"/>
      <c r="E6141" s="141"/>
      <c r="F6141" s="141"/>
      <c r="G6141" s="141"/>
      <c r="H6141" s="222"/>
    </row>
    <row r="6142" spans="1:9" s="212" customFormat="1">
      <c r="A6142" s="142"/>
      <c r="B6142" s="143"/>
      <c r="C6142" s="143"/>
      <c r="D6142" s="143"/>
      <c r="E6142" s="143"/>
      <c r="F6142" s="84"/>
      <c r="G6142" s="146"/>
      <c r="H6142" s="221"/>
    </row>
    <row r="6143" spans="1:9" s="212" customFormat="1">
      <c r="A6143" s="91"/>
      <c r="B6143" s="91"/>
      <c r="C6143" s="91"/>
      <c r="D6143" s="91"/>
      <c r="E6143" s="91"/>
      <c r="G6143" s="213"/>
      <c r="H6143" s="222"/>
    </row>
    <row r="6144" spans="1:9" s="212" customFormat="1">
      <c r="A6144" s="120"/>
      <c r="B6144" s="73"/>
      <c r="C6144" s="73"/>
      <c r="D6144" s="73"/>
      <c r="E6144" s="73"/>
      <c r="G6144" s="73"/>
      <c r="H6144" s="222"/>
    </row>
    <row r="6145" spans="1:9" s="212" customFormat="1">
      <c r="A6145" s="220"/>
      <c r="B6145" s="141"/>
      <c r="C6145" s="141"/>
      <c r="D6145" s="141"/>
      <c r="E6145" s="141"/>
      <c r="F6145" s="141"/>
      <c r="G6145" s="141"/>
      <c r="H6145" s="222"/>
    </row>
    <row r="6146" spans="1:9" s="212" customFormat="1">
      <c r="A6146" s="142"/>
      <c r="B6146" s="143"/>
      <c r="C6146" s="143"/>
      <c r="D6146" s="143"/>
      <c r="E6146" s="143"/>
      <c r="F6146" s="84"/>
      <c r="G6146" s="146"/>
      <c r="H6146" s="221"/>
    </row>
    <row r="6147" spans="1:9" s="212" customFormat="1">
      <c r="A6147" s="123"/>
      <c r="B6147" s="95"/>
      <c r="C6147" s="95"/>
      <c r="D6147" s="95"/>
      <c r="E6147" s="95"/>
      <c r="G6147" s="213"/>
      <c r="H6147" s="73"/>
    </row>
    <row r="6148" spans="1:9" s="212" customFormat="1">
      <c r="A6148" s="123"/>
      <c r="B6148" s="95"/>
      <c r="C6148" s="95"/>
      <c r="D6148" s="95"/>
      <c r="E6148" s="95"/>
      <c r="G6148" s="73"/>
      <c r="H6148" s="225"/>
    </row>
    <row r="6149" spans="1:9" s="212" customFormat="1">
      <c r="B6149" s="97"/>
      <c r="C6149" s="98"/>
      <c r="D6149" s="98"/>
      <c r="E6149" s="98"/>
      <c r="G6149" s="220"/>
    </row>
    <row r="6150" spans="1:9" s="212" customFormat="1">
      <c r="B6150" s="97"/>
      <c r="C6150" s="98"/>
      <c r="D6150" s="98"/>
      <c r="E6150" s="98"/>
      <c r="F6150" s="220"/>
      <c r="G6150" s="225"/>
      <c r="H6150" s="226"/>
    </row>
    <row r="6151" spans="1:9" s="212" customFormat="1">
      <c r="A6151" s="633"/>
      <c r="B6151" s="633"/>
      <c r="C6151" s="633"/>
      <c r="D6151" s="633"/>
      <c r="E6151" s="633"/>
      <c r="F6151" s="633"/>
      <c r="G6151" s="633"/>
    </row>
    <row r="6152" spans="1:9" s="212" customFormat="1">
      <c r="H6152" s="227"/>
      <c r="I6152" s="228"/>
    </row>
    <row r="6153" spans="1:9" s="212" customFormat="1">
      <c r="A6153" s="658"/>
      <c r="B6153" s="227"/>
      <c r="C6153" s="227"/>
      <c r="D6153" s="227"/>
      <c r="E6153" s="227"/>
      <c r="F6153" s="227"/>
      <c r="G6153" s="227"/>
      <c r="H6153" s="227"/>
      <c r="I6153" s="229"/>
    </row>
    <row r="6154" spans="1:9" s="212" customFormat="1">
      <c r="A6154" s="658"/>
      <c r="B6154" s="227"/>
      <c r="C6154" s="227"/>
      <c r="D6154" s="227"/>
      <c r="E6154" s="227"/>
      <c r="F6154" s="227"/>
      <c r="G6154" s="227"/>
    </row>
    <row r="6155" spans="1:9" s="212" customFormat="1">
      <c r="A6155" s="69"/>
      <c r="B6155" s="69"/>
      <c r="C6155" s="69"/>
      <c r="D6155" s="69"/>
      <c r="E6155" s="69"/>
    </row>
    <row r="6156" spans="1:9" s="212" customFormat="1">
      <c r="A6156" s="120"/>
      <c r="B6156" s="73"/>
      <c r="C6156" s="73"/>
      <c r="D6156" s="73"/>
      <c r="E6156" s="73"/>
      <c r="F6156" s="73"/>
      <c r="G6156" s="73"/>
      <c r="H6156" s="73"/>
    </row>
    <row r="6157" spans="1:9" s="212" customFormat="1">
      <c r="A6157" s="220"/>
      <c r="B6157" s="141"/>
      <c r="C6157" s="141"/>
      <c r="D6157" s="141"/>
      <c r="E6157" s="141"/>
      <c r="F6157" s="141"/>
      <c r="G6157" s="141"/>
      <c r="H6157" s="73"/>
    </row>
    <row r="6158" spans="1:9" s="212" customFormat="1">
      <c r="A6158" s="142"/>
      <c r="B6158" s="143"/>
      <c r="C6158" s="143"/>
      <c r="D6158" s="143"/>
      <c r="E6158" s="143"/>
      <c r="F6158" s="84"/>
      <c r="G6158" s="146"/>
      <c r="H6158" s="221"/>
    </row>
    <row r="6159" spans="1:9" s="212" customFormat="1">
      <c r="A6159" s="84"/>
      <c r="B6159" s="83"/>
      <c r="C6159" s="84"/>
      <c r="D6159" s="84"/>
      <c r="E6159" s="84"/>
      <c r="G6159" s="213"/>
      <c r="H6159" s="222"/>
    </row>
    <row r="6160" spans="1:9" s="212" customFormat="1">
      <c r="A6160" s="120"/>
      <c r="B6160" s="73"/>
      <c r="C6160" s="73"/>
      <c r="D6160" s="73"/>
      <c r="E6160" s="73"/>
      <c r="G6160" s="73"/>
      <c r="H6160" s="222"/>
    </row>
    <row r="6161" spans="1:9" s="212" customFormat="1">
      <c r="A6161" s="220"/>
      <c r="B6161" s="141"/>
      <c r="C6161" s="141"/>
      <c r="D6161" s="141"/>
      <c r="E6161" s="141"/>
      <c r="F6161" s="141"/>
      <c r="G6161" s="141"/>
      <c r="H6161" s="222"/>
    </row>
    <row r="6162" spans="1:9" s="212" customFormat="1">
      <c r="A6162" s="150"/>
      <c r="B6162" s="83"/>
      <c r="C6162" s="148"/>
      <c r="D6162" s="160"/>
      <c r="E6162" s="84"/>
      <c r="F6162" s="84"/>
      <c r="G6162" s="146"/>
      <c r="H6162" s="221"/>
    </row>
    <row r="6163" spans="1:9" s="212" customFormat="1">
      <c r="A6163" s="91"/>
      <c r="B6163" s="91"/>
      <c r="C6163" s="91"/>
      <c r="D6163" s="91"/>
      <c r="E6163" s="91"/>
      <c r="G6163" s="213"/>
      <c r="H6163" s="222"/>
    </row>
    <row r="6164" spans="1:9" s="212" customFormat="1">
      <c r="A6164" s="120"/>
      <c r="B6164" s="73"/>
      <c r="C6164" s="73"/>
      <c r="D6164" s="73"/>
      <c r="E6164" s="73"/>
      <c r="G6164" s="73"/>
      <c r="H6164" s="222"/>
    </row>
    <row r="6165" spans="1:9" s="212" customFormat="1">
      <c r="A6165" s="220"/>
      <c r="B6165" s="141"/>
      <c r="C6165" s="141"/>
      <c r="D6165" s="141"/>
      <c r="E6165" s="141"/>
      <c r="F6165" s="141"/>
      <c r="G6165" s="141"/>
      <c r="H6165" s="222"/>
    </row>
    <row r="6166" spans="1:9" s="212" customFormat="1">
      <c r="A6166" s="142"/>
      <c r="B6166" s="143"/>
      <c r="C6166" s="143"/>
      <c r="D6166" s="143"/>
      <c r="E6166" s="143"/>
      <c r="F6166" s="84"/>
      <c r="G6166" s="146"/>
      <c r="H6166" s="221"/>
    </row>
    <row r="6167" spans="1:9" s="212" customFormat="1">
      <c r="A6167" s="91"/>
      <c r="B6167" s="91"/>
      <c r="C6167" s="91"/>
      <c r="D6167" s="91"/>
      <c r="E6167" s="91"/>
      <c r="G6167" s="213"/>
      <c r="H6167" s="222"/>
    </row>
    <row r="6168" spans="1:9" s="212" customFormat="1">
      <c r="A6168" s="120"/>
      <c r="B6168" s="73"/>
      <c r="C6168" s="73"/>
      <c r="D6168" s="73"/>
      <c r="E6168" s="73"/>
      <c r="G6168" s="73"/>
      <c r="H6168" s="222"/>
    </row>
    <row r="6169" spans="1:9" s="212" customFormat="1">
      <c r="A6169" s="220"/>
      <c r="B6169" s="141"/>
      <c r="C6169" s="141"/>
      <c r="D6169" s="141"/>
      <c r="E6169" s="141"/>
      <c r="F6169" s="141"/>
      <c r="G6169" s="141"/>
      <c r="H6169" s="222"/>
    </row>
    <row r="6170" spans="1:9" s="212" customFormat="1">
      <c r="A6170" s="142"/>
      <c r="B6170" s="143"/>
      <c r="C6170" s="143"/>
      <c r="D6170" s="143"/>
      <c r="E6170" s="143"/>
      <c r="F6170" s="84"/>
      <c r="G6170" s="146"/>
      <c r="H6170" s="221"/>
    </row>
    <row r="6171" spans="1:9" s="212" customFormat="1">
      <c r="A6171" s="123"/>
      <c r="B6171" s="95"/>
      <c r="C6171" s="95"/>
      <c r="D6171" s="95"/>
      <c r="E6171" s="95"/>
      <c r="G6171" s="213"/>
      <c r="H6171" s="73"/>
    </row>
    <row r="6172" spans="1:9" s="212" customFormat="1">
      <c r="A6172" s="123"/>
      <c r="B6172" s="95"/>
      <c r="C6172" s="95"/>
      <c r="D6172" s="95"/>
      <c r="E6172" s="95"/>
      <c r="G6172" s="73"/>
      <c r="H6172" s="225"/>
    </row>
    <row r="6173" spans="1:9" s="212" customFormat="1">
      <c r="B6173" s="97"/>
      <c r="C6173" s="98"/>
      <c r="D6173" s="98"/>
      <c r="E6173" s="98"/>
      <c r="G6173" s="220"/>
    </row>
    <row r="6174" spans="1:9" s="212" customFormat="1">
      <c r="B6174" s="97"/>
      <c r="C6174" s="98"/>
      <c r="D6174" s="98"/>
      <c r="E6174" s="98"/>
      <c r="F6174" s="220"/>
      <c r="G6174" s="225"/>
      <c r="H6174" s="226"/>
    </row>
    <row r="6175" spans="1:9" s="212" customFormat="1">
      <c r="A6175" s="633"/>
      <c r="B6175" s="633"/>
      <c r="C6175" s="633"/>
      <c r="D6175" s="633"/>
      <c r="E6175" s="633"/>
      <c r="F6175" s="633"/>
      <c r="G6175" s="633"/>
    </row>
    <row r="6176" spans="1:9" s="212" customFormat="1">
      <c r="H6176" s="227"/>
      <c r="I6176" s="228"/>
    </row>
    <row r="6177" spans="1:9" s="212" customFormat="1">
      <c r="A6177" s="658"/>
      <c r="B6177" s="227"/>
      <c r="C6177" s="227"/>
      <c r="D6177" s="227"/>
      <c r="E6177" s="227"/>
      <c r="F6177" s="227"/>
      <c r="G6177" s="227"/>
      <c r="H6177" s="227"/>
      <c r="I6177" s="229"/>
    </row>
    <row r="6178" spans="1:9" s="212" customFormat="1">
      <c r="A6178" s="658"/>
      <c r="B6178" s="227"/>
      <c r="C6178" s="227"/>
      <c r="D6178" s="227"/>
      <c r="E6178" s="227"/>
      <c r="F6178" s="227"/>
      <c r="G6178" s="227"/>
    </row>
    <row r="6179" spans="1:9" s="212" customFormat="1">
      <c r="A6179" s="69"/>
      <c r="B6179" s="69"/>
      <c r="C6179" s="69"/>
      <c r="D6179" s="69"/>
      <c r="E6179" s="69"/>
    </row>
    <row r="6180" spans="1:9" s="212" customFormat="1">
      <c r="A6180" s="120"/>
      <c r="B6180" s="73"/>
      <c r="C6180" s="73"/>
      <c r="D6180" s="73"/>
      <c r="E6180" s="73"/>
      <c r="F6180" s="73"/>
      <c r="G6180" s="73"/>
      <c r="H6180" s="73"/>
    </row>
    <row r="6181" spans="1:9" s="212" customFormat="1">
      <c r="A6181" s="220"/>
      <c r="B6181" s="141"/>
      <c r="C6181" s="141"/>
      <c r="D6181" s="141"/>
      <c r="E6181" s="141"/>
      <c r="F6181" s="141"/>
      <c r="G6181" s="141"/>
      <c r="H6181" s="73"/>
    </row>
    <row r="6182" spans="1:9" s="212" customFormat="1">
      <c r="A6182" s="142"/>
      <c r="B6182" s="143"/>
      <c r="C6182" s="143"/>
      <c r="D6182" s="143"/>
      <c r="E6182" s="143"/>
      <c r="F6182" s="84"/>
      <c r="G6182" s="146"/>
      <c r="H6182" s="221"/>
    </row>
    <row r="6183" spans="1:9" s="212" customFormat="1">
      <c r="A6183" s="84"/>
      <c r="B6183" s="83"/>
      <c r="C6183" s="84"/>
      <c r="D6183" s="84"/>
      <c r="E6183" s="84"/>
      <c r="G6183" s="213"/>
      <c r="H6183" s="222"/>
    </row>
    <row r="6184" spans="1:9" s="212" customFormat="1">
      <c r="A6184" s="120"/>
      <c r="B6184" s="73"/>
      <c r="C6184" s="73"/>
      <c r="D6184" s="73"/>
      <c r="E6184" s="73"/>
      <c r="G6184" s="73"/>
      <c r="H6184" s="222"/>
    </row>
    <row r="6185" spans="1:9" s="212" customFormat="1">
      <c r="A6185" s="220"/>
      <c r="B6185" s="141"/>
      <c r="C6185" s="141"/>
      <c r="D6185" s="141"/>
      <c r="E6185" s="141"/>
      <c r="F6185" s="141"/>
      <c r="G6185" s="141"/>
      <c r="H6185" s="222"/>
    </row>
    <row r="6186" spans="1:9" s="212" customFormat="1">
      <c r="A6186" s="150"/>
      <c r="B6186" s="83"/>
      <c r="C6186" s="148"/>
      <c r="D6186" s="160"/>
      <c r="E6186" s="84"/>
      <c r="F6186" s="84"/>
      <c r="G6186" s="146"/>
      <c r="H6186" s="221"/>
    </row>
    <row r="6187" spans="1:9" s="212" customFormat="1">
      <c r="A6187" s="91"/>
      <c r="B6187" s="91"/>
      <c r="C6187" s="91"/>
      <c r="D6187" s="91"/>
      <c r="E6187" s="91"/>
      <c r="G6187" s="213"/>
      <c r="H6187" s="222"/>
    </row>
    <row r="6188" spans="1:9" s="212" customFormat="1">
      <c r="A6188" s="120"/>
      <c r="B6188" s="73"/>
      <c r="C6188" s="73"/>
      <c r="D6188" s="73"/>
      <c r="E6188" s="73"/>
      <c r="G6188" s="73"/>
      <c r="H6188" s="222"/>
    </row>
    <row r="6189" spans="1:9" s="212" customFormat="1">
      <c r="A6189" s="220"/>
      <c r="B6189" s="141"/>
      <c r="C6189" s="141"/>
      <c r="D6189" s="141"/>
      <c r="E6189" s="141"/>
      <c r="F6189" s="141"/>
      <c r="G6189" s="141"/>
      <c r="H6189" s="222"/>
    </row>
    <row r="6190" spans="1:9" s="212" customFormat="1">
      <c r="A6190" s="142"/>
      <c r="B6190" s="143"/>
      <c r="C6190" s="143"/>
      <c r="D6190" s="143"/>
      <c r="E6190" s="143"/>
      <c r="F6190" s="84"/>
      <c r="G6190" s="146"/>
      <c r="H6190" s="221"/>
    </row>
    <row r="6191" spans="1:9" s="212" customFormat="1">
      <c r="A6191" s="91"/>
      <c r="B6191" s="91"/>
      <c r="C6191" s="91"/>
      <c r="D6191" s="91"/>
      <c r="E6191" s="91"/>
      <c r="G6191" s="213"/>
      <c r="H6191" s="222"/>
    </row>
    <row r="6192" spans="1:9" s="212" customFormat="1">
      <c r="A6192" s="120"/>
      <c r="B6192" s="73"/>
      <c r="C6192" s="73"/>
      <c r="D6192" s="73"/>
      <c r="E6192" s="73"/>
      <c r="G6192" s="73"/>
      <c r="H6192" s="222"/>
    </row>
    <row r="6193" spans="1:9" s="212" customFormat="1">
      <c r="A6193" s="220"/>
      <c r="B6193" s="141"/>
      <c r="C6193" s="141"/>
      <c r="D6193" s="141"/>
      <c r="E6193" s="141"/>
      <c r="F6193" s="141"/>
      <c r="G6193" s="141"/>
      <c r="H6193" s="222"/>
    </row>
    <row r="6194" spans="1:9" s="212" customFormat="1">
      <c r="A6194" s="142"/>
      <c r="B6194" s="143"/>
      <c r="C6194" s="143"/>
      <c r="D6194" s="143"/>
      <c r="E6194" s="143"/>
      <c r="F6194" s="84"/>
      <c r="G6194" s="146"/>
      <c r="H6194" s="221"/>
    </row>
    <row r="6195" spans="1:9" s="212" customFormat="1">
      <c r="A6195" s="123"/>
      <c r="B6195" s="95"/>
      <c r="C6195" s="95"/>
      <c r="D6195" s="95"/>
      <c r="E6195" s="95"/>
      <c r="G6195" s="213"/>
      <c r="H6195" s="73"/>
    </row>
    <row r="6196" spans="1:9" s="212" customFormat="1">
      <c r="A6196" s="123"/>
      <c r="B6196" s="95"/>
      <c r="C6196" s="95"/>
      <c r="D6196" s="95"/>
      <c r="E6196" s="95"/>
      <c r="G6196" s="73"/>
      <c r="H6196" s="225"/>
    </row>
    <row r="6197" spans="1:9" s="212" customFormat="1">
      <c r="B6197" s="97"/>
      <c r="C6197" s="98"/>
      <c r="D6197" s="98"/>
      <c r="E6197" s="98"/>
      <c r="G6197" s="220"/>
    </row>
    <row r="6198" spans="1:9" s="212" customFormat="1">
      <c r="B6198" s="97"/>
      <c r="C6198" s="98"/>
      <c r="D6198" s="98"/>
      <c r="E6198" s="98"/>
      <c r="F6198" s="220"/>
      <c r="G6198" s="225"/>
      <c r="H6198" s="226"/>
    </row>
    <row r="6199" spans="1:9" s="212" customFormat="1">
      <c r="A6199" s="633"/>
      <c r="B6199" s="633"/>
      <c r="C6199" s="633"/>
      <c r="D6199" s="633"/>
      <c r="E6199" s="633"/>
      <c r="F6199" s="633"/>
      <c r="G6199" s="633"/>
    </row>
    <row r="6200" spans="1:9" s="212" customFormat="1">
      <c r="H6200" s="227"/>
      <c r="I6200" s="228"/>
    </row>
    <row r="6201" spans="1:9" s="212" customFormat="1">
      <c r="A6201" s="658"/>
      <c r="B6201" s="227"/>
      <c r="C6201" s="227"/>
      <c r="D6201" s="227"/>
      <c r="E6201" s="227"/>
      <c r="F6201" s="227"/>
      <c r="G6201" s="227"/>
      <c r="H6201" s="227"/>
      <c r="I6201" s="229"/>
    </row>
    <row r="6202" spans="1:9" s="212" customFormat="1">
      <c r="A6202" s="658"/>
      <c r="B6202" s="227"/>
      <c r="C6202" s="227"/>
      <c r="D6202" s="227"/>
      <c r="E6202" s="227"/>
      <c r="F6202" s="227"/>
      <c r="G6202" s="227"/>
    </row>
    <row r="6203" spans="1:9" s="212" customFormat="1">
      <c r="A6203" s="69"/>
      <c r="B6203" s="69"/>
      <c r="C6203" s="69"/>
      <c r="D6203" s="69"/>
      <c r="E6203" s="69"/>
    </row>
    <row r="6204" spans="1:9" s="212" customFormat="1">
      <c r="A6204" s="120"/>
      <c r="B6204" s="73"/>
      <c r="C6204" s="73"/>
      <c r="D6204" s="73"/>
      <c r="E6204" s="73"/>
      <c r="F6204" s="73"/>
      <c r="G6204" s="73"/>
      <c r="H6204" s="73"/>
    </row>
    <row r="6205" spans="1:9" s="212" customFormat="1">
      <c r="A6205" s="220"/>
      <c r="B6205" s="141"/>
      <c r="C6205" s="141"/>
      <c r="D6205" s="141"/>
      <c r="E6205" s="141"/>
      <c r="F6205" s="141"/>
      <c r="G6205" s="141"/>
      <c r="H6205" s="73"/>
    </row>
    <row r="6206" spans="1:9" s="212" customFormat="1">
      <c r="A6206" s="142"/>
      <c r="B6206" s="143"/>
      <c r="C6206" s="143"/>
      <c r="D6206" s="143"/>
      <c r="E6206" s="143"/>
      <c r="F6206" s="84"/>
      <c r="G6206" s="146"/>
      <c r="H6206" s="221"/>
    </row>
    <row r="6207" spans="1:9" s="212" customFormat="1">
      <c r="A6207" s="84"/>
      <c r="B6207" s="83"/>
      <c r="C6207" s="84"/>
      <c r="D6207" s="84"/>
      <c r="E6207" s="84"/>
      <c r="G6207" s="213"/>
      <c r="H6207" s="222"/>
    </row>
    <row r="6208" spans="1:9" s="212" customFormat="1">
      <c r="A6208" s="120"/>
      <c r="B6208" s="73"/>
      <c r="C6208" s="73"/>
      <c r="D6208" s="73"/>
      <c r="E6208" s="73"/>
      <c r="G6208" s="73"/>
      <c r="H6208" s="222"/>
    </row>
    <row r="6209" spans="1:9" s="212" customFormat="1">
      <c r="A6209" s="220"/>
      <c r="B6209" s="141"/>
      <c r="C6209" s="141"/>
      <c r="D6209" s="141"/>
      <c r="E6209" s="141"/>
      <c r="F6209" s="141"/>
      <c r="G6209" s="141"/>
      <c r="H6209" s="222"/>
    </row>
    <row r="6210" spans="1:9" s="212" customFormat="1">
      <c r="A6210" s="150"/>
      <c r="B6210" s="83"/>
      <c r="C6210" s="148"/>
      <c r="D6210" s="160"/>
      <c r="E6210" s="84"/>
      <c r="F6210" s="84"/>
      <c r="G6210" s="146"/>
      <c r="H6210" s="221"/>
    </row>
    <row r="6211" spans="1:9" s="212" customFormat="1">
      <c r="A6211" s="91"/>
      <c r="B6211" s="91"/>
      <c r="C6211" s="91"/>
      <c r="D6211" s="91"/>
      <c r="E6211" s="91"/>
      <c r="G6211" s="213"/>
      <c r="H6211" s="222"/>
    </row>
    <row r="6212" spans="1:9" s="212" customFormat="1">
      <c r="A6212" s="120"/>
      <c r="B6212" s="73"/>
      <c r="C6212" s="73"/>
      <c r="D6212" s="73"/>
      <c r="E6212" s="73"/>
      <c r="G6212" s="73"/>
      <c r="H6212" s="222"/>
    </row>
    <row r="6213" spans="1:9" s="212" customFormat="1">
      <c r="A6213" s="220"/>
      <c r="B6213" s="141"/>
      <c r="C6213" s="141"/>
      <c r="D6213" s="141"/>
      <c r="E6213" s="141"/>
      <c r="F6213" s="141"/>
      <c r="G6213" s="141"/>
      <c r="H6213" s="222"/>
    </row>
    <row r="6214" spans="1:9" s="212" customFormat="1">
      <c r="A6214" s="142"/>
      <c r="B6214" s="143"/>
      <c r="C6214" s="143"/>
      <c r="D6214" s="143"/>
      <c r="E6214" s="143"/>
      <c r="F6214" s="84"/>
      <c r="G6214" s="146"/>
      <c r="H6214" s="221"/>
    </row>
    <row r="6215" spans="1:9" s="212" customFormat="1">
      <c r="A6215" s="91"/>
      <c r="B6215" s="91"/>
      <c r="C6215" s="91"/>
      <c r="D6215" s="91"/>
      <c r="E6215" s="91"/>
      <c r="G6215" s="213"/>
      <c r="H6215" s="222"/>
    </row>
    <row r="6216" spans="1:9" s="212" customFormat="1">
      <c r="A6216" s="120"/>
      <c r="B6216" s="73"/>
      <c r="C6216" s="73"/>
      <c r="D6216" s="73"/>
      <c r="E6216" s="73"/>
      <c r="G6216" s="73"/>
      <c r="H6216" s="222"/>
    </row>
    <row r="6217" spans="1:9" s="212" customFormat="1">
      <c r="A6217" s="220"/>
      <c r="B6217" s="141"/>
      <c r="C6217" s="141"/>
      <c r="D6217" s="141"/>
      <c r="E6217" s="141"/>
      <c r="F6217" s="141"/>
      <c r="G6217" s="141"/>
      <c r="H6217" s="222"/>
    </row>
    <row r="6218" spans="1:9" s="212" customFormat="1">
      <c r="A6218" s="142"/>
      <c r="B6218" s="143"/>
      <c r="C6218" s="143"/>
      <c r="D6218" s="143"/>
      <c r="E6218" s="143"/>
      <c r="F6218" s="84"/>
      <c r="G6218" s="146"/>
      <c r="H6218" s="221"/>
    </row>
    <row r="6219" spans="1:9" s="212" customFormat="1">
      <c r="A6219" s="123"/>
      <c r="B6219" s="95"/>
      <c r="C6219" s="95"/>
      <c r="D6219" s="95"/>
      <c r="E6219" s="95"/>
      <c r="G6219" s="213"/>
      <c r="H6219" s="73"/>
    </row>
    <row r="6220" spans="1:9" s="212" customFormat="1">
      <c r="A6220" s="123"/>
      <c r="B6220" s="95"/>
      <c r="C6220" s="95"/>
      <c r="D6220" s="95"/>
      <c r="E6220" s="95"/>
      <c r="G6220" s="73"/>
      <c r="H6220" s="225"/>
    </row>
    <row r="6221" spans="1:9" s="212" customFormat="1">
      <c r="B6221" s="97"/>
      <c r="C6221" s="98"/>
      <c r="D6221" s="98"/>
      <c r="E6221" s="98"/>
      <c r="G6221" s="220"/>
    </row>
    <row r="6222" spans="1:9" s="212" customFormat="1">
      <c r="B6222" s="97"/>
      <c r="C6222" s="98"/>
      <c r="D6222" s="98"/>
      <c r="E6222" s="98"/>
      <c r="F6222" s="220"/>
      <c r="G6222" s="225"/>
      <c r="H6222" s="226"/>
    </row>
    <row r="6223" spans="1:9" s="212" customFormat="1">
      <c r="A6223" s="633"/>
      <c r="B6223" s="633"/>
      <c r="C6223" s="633"/>
      <c r="D6223" s="633"/>
      <c r="E6223" s="633"/>
      <c r="F6223" s="633"/>
      <c r="G6223" s="633"/>
    </row>
    <row r="6224" spans="1:9" s="212" customFormat="1">
      <c r="H6224" s="227"/>
      <c r="I6224" s="228"/>
    </row>
    <row r="6225" spans="1:9" s="212" customFormat="1">
      <c r="A6225" s="658"/>
      <c r="B6225" s="227"/>
      <c r="C6225" s="227"/>
      <c r="D6225" s="227"/>
      <c r="E6225" s="227"/>
      <c r="F6225" s="227"/>
      <c r="G6225" s="227"/>
      <c r="H6225" s="227"/>
      <c r="I6225" s="229"/>
    </row>
    <row r="6226" spans="1:9" s="212" customFormat="1">
      <c r="A6226" s="658"/>
      <c r="B6226" s="227"/>
      <c r="C6226" s="227"/>
      <c r="D6226" s="227"/>
      <c r="E6226" s="227"/>
      <c r="F6226" s="227"/>
      <c r="G6226" s="227"/>
    </row>
    <row r="6227" spans="1:9" s="212" customFormat="1">
      <c r="A6227" s="69"/>
      <c r="B6227" s="69"/>
      <c r="C6227" s="69"/>
      <c r="D6227" s="69"/>
      <c r="E6227" s="69"/>
    </row>
    <row r="6228" spans="1:9" s="212" customFormat="1">
      <c r="A6228" s="120"/>
      <c r="B6228" s="73"/>
      <c r="C6228" s="73"/>
      <c r="D6228" s="73"/>
      <c r="E6228" s="73"/>
      <c r="F6228" s="73"/>
      <c r="G6228" s="73"/>
      <c r="H6228" s="73"/>
    </row>
    <row r="6229" spans="1:9" s="212" customFormat="1">
      <c r="A6229" s="220"/>
      <c r="B6229" s="141"/>
      <c r="C6229" s="141"/>
      <c r="D6229" s="141"/>
      <c r="E6229" s="141"/>
      <c r="F6229" s="141"/>
      <c r="G6229" s="141"/>
      <c r="H6229" s="73"/>
    </row>
    <row r="6230" spans="1:9" s="212" customFormat="1">
      <c r="A6230" s="142"/>
      <c r="B6230" s="143"/>
      <c r="C6230" s="143"/>
      <c r="D6230" s="143"/>
      <c r="E6230" s="143"/>
      <c r="F6230" s="84"/>
      <c r="G6230" s="146"/>
      <c r="H6230" s="221"/>
    </row>
    <row r="6231" spans="1:9" s="212" customFormat="1">
      <c r="A6231" s="84"/>
      <c r="B6231" s="83"/>
      <c r="C6231" s="84"/>
      <c r="D6231" s="84"/>
      <c r="E6231" s="84"/>
      <c r="G6231" s="213"/>
      <c r="H6231" s="222"/>
    </row>
    <row r="6232" spans="1:9" s="212" customFormat="1">
      <c r="A6232" s="120"/>
      <c r="B6232" s="73"/>
      <c r="C6232" s="73"/>
      <c r="D6232" s="73"/>
      <c r="E6232" s="73"/>
      <c r="G6232" s="73"/>
      <c r="H6232" s="222"/>
    </row>
    <row r="6233" spans="1:9" s="212" customFormat="1">
      <c r="A6233" s="220"/>
      <c r="B6233" s="141"/>
      <c r="C6233" s="141"/>
      <c r="D6233" s="141"/>
      <c r="E6233" s="141"/>
      <c r="F6233" s="141"/>
      <c r="G6233" s="141"/>
      <c r="H6233" s="222"/>
    </row>
    <row r="6234" spans="1:9" s="212" customFormat="1">
      <c r="A6234" s="150"/>
      <c r="B6234" s="83"/>
      <c r="C6234" s="148"/>
      <c r="D6234" s="160"/>
      <c r="E6234" s="84"/>
      <c r="F6234" s="84"/>
      <c r="G6234" s="146"/>
      <c r="H6234" s="221"/>
    </row>
    <row r="6235" spans="1:9" s="212" customFormat="1">
      <c r="A6235" s="91"/>
      <c r="B6235" s="91"/>
      <c r="C6235" s="91"/>
      <c r="D6235" s="91"/>
      <c r="E6235" s="91"/>
      <c r="G6235" s="213"/>
      <c r="H6235" s="222"/>
    </row>
    <row r="6236" spans="1:9" s="212" customFormat="1">
      <c r="A6236" s="120"/>
      <c r="B6236" s="73"/>
      <c r="C6236" s="73"/>
      <c r="D6236" s="73"/>
      <c r="E6236" s="73"/>
      <c r="G6236" s="73"/>
      <c r="H6236" s="222"/>
    </row>
    <row r="6237" spans="1:9" s="212" customFormat="1">
      <c r="A6237" s="220"/>
      <c r="B6237" s="141"/>
      <c r="C6237" s="141"/>
      <c r="D6237" s="141"/>
      <c r="E6237" s="141"/>
      <c r="F6237" s="141"/>
      <c r="G6237" s="141"/>
      <c r="H6237" s="222"/>
    </row>
    <row r="6238" spans="1:9" s="212" customFormat="1">
      <c r="A6238" s="142"/>
      <c r="B6238" s="143"/>
      <c r="C6238" s="143"/>
      <c r="D6238" s="143"/>
      <c r="E6238" s="143"/>
      <c r="F6238" s="84"/>
      <c r="G6238" s="146"/>
      <c r="H6238" s="221"/>
    </row>
    <row r="6239" spans="1:9" s="212" customFormat="1">
      <c r="A6239" s="91"/>
      <c r="B6239" s="91"/>
      <c r="C6239" s="91"/>
      <c r="D6239" s="91"/>
      <c r="E6239" s="91"/>
      <c r="G6239" s="213"/>
      <c r="H6239" s="222"/>
    </row>
    <row r="6240" spans="1:9" s="212" customFormat="1">
      <c r="A6240" s="120"/>
      <c r="B6240" s="73"/>
      <c r="C6240" s="73"/>
      <c r="D6240" s="73"/>
      <c r="E6240" s="73"/>
      <c r="G6240" s="73"/>
      <c r="H6240" s="222"/>
    </row>
    <row r="6241" spans="1:9" s="212" customFormat="1">
      <c r="A6241" s="220"/>
      <c r="B6241" s="141"/>
      <c r="C6241" s="141"/>
      <c r="D6241" s="141"/>
      <c r="E6241" s="141"/>
      <c r="F6241" s="141"/>
      <c r="G6241" s="141"/>
      <c r="H6241" s="222"/>
    </row>
    <row r="6242" spans="1:9" s="212" customFormat="1">
      <c r="A6242" s="142"/>
      <c r="B6242" s="143"/>
      <c r="C6242" s="143"/>
      <c r="D6242" s="143"/>
      <c r="E6242" s="143"/>
      <c r="F6242" s="84"/>
      <c r="G6242" s="146"/>
      <c r="H6242" s="221"/>
    </row>
    <row r="6243" spans="1:9" s="212" customFormat="1">
      <c r="A6243" s="123"/>
      <c r="B6243" s="95"/>
      <c r="C6243" s="95"/>
      <c r="D6243" s="95"/>
      <c r="E6243" s="95"/>
      <c r="G6243" s="213"/>
      <c r="H6243" s="73"/>
    </row>
    <row r="6244" spans="1:9" s="212" customFormat="1">
      <c r="A6244" s="123"/>
      <c r="B6244" s="95"/>
      <c r="C6244" s="95"/>
      <c r="D6244" s="95"/>
      <c r="E6244" s="95"/>
      <c r="G6244" s="73"/>
      <c r="H6244" s="225"/>
    </row>
    <row r="6245" spans="1:9" s="212" customFormat="1">
      <c r="B6245" s="97"/>
      <c r="C6245" s="98"/>
      <c r="D6245" s="98"/>
      <c r="E6245" s="98"/>
      <c r="G6245" s="220"/>
    </row>
    <row r="6246" spans="1:9" s="212" customFormat="1">
      <c r="B6246" s="97"/>
      <c r="C6246" s="98"/>
      <c r="D6246" s="98"/>
      <c r="E6246" s="98"/>
      <c r="F6246" s="220"/>
      <c r="G6246" s="225"/>
      <c r="H6246" s="226"/>
    </row>
    <row r="6247" spans="1:9" s="212" customFormat="1">
      <c r="A6247" s="633"/>
      <c r="B6247" s="633"/>
      <c r="C6247" s="633"/>
      <c r="D6247" s="633"/>
      <c r="E6247" s="633"/>
      <c r="F6247" s="633"/>
      <c r="G6247" s="633"/>
    </row>
    <row r="6248" spans="1:9" s="212" customFormat="1">
      <c r="H6248" s="227"/>
      <c r="I6248" s="228"/>
    </row>
    <row r="6249" spans="1:9" s="212" customFormat="1">
      <c r="A6249" s="658"/>
      <c r="B6249" s="227"/>
      <c r="C6249" s="227"/>
      <c r="D6249" s="227"/>
      <c r="E6249" s="227"/>
      <c r="F6249" s="227"/>
      <c r="G6249" s="227"/>
      <c r="H6249" s="227"/>
      <c r="I6249" s="229"/>
    </row>
    <row r="6250" spans="1:9" s="212" customFormat="1">
      <c r="A6250" s="658"/>
      <c r="B6250" s="227"/>
      <c r="C6250" s="227"/>
      <c r="D6250" s="227"/>
      <c r="E6250" s="227"/>
      <c r="F6250" s="227"/>
      <c r="G6250" s="227"/>
    </row>
    <row r="6251" spans="1:9" s="212" customFormat="1">
      <c r="A6251" s="69"/>
      <c r="B6251" s="69"/>
      <c r="C6251" s="69"/>
      <c r="D6251" s="69"/>
      <c r="E6251" s="69"/>
    </row>
    <row r="6252" spans="1:9" s="212" customFormat="1">
      <c r="A6252" s="120"/>
      <c r="B6252" s="73"/>
      <c r="C6252" s="73"/>
      <c r="D6252" s="73"/>
      <c r="E6252" s="73"/>
      <c r="F6252" s="73"/>
      <c r="G6252" s="73"/>
      <c r="H6252" s="73"/>
    </row>
    <row r="6253" spans="1:9" s="212" customFormat="1">
      <c r="A6253" s="220"/>
      <c r="B6253" s="141"/>
      <c r="C6253" s="141"/>
      <c r="D6253" s="141"/>
      <c r="E6253" s="141"/>
      <c r="F6253" s="141"/>
      <c r="G6253" s="141"/>
      <c r="H6253" s="73"/>
    </row>
    <row r="6254" spans="1:9" s="212" customFormat="1">
      <c r="A6254" s="142"/>
      <c r="B6254" s="143"/>
      <c r="C6254" s="143"/>
      <c r="D6254" s="143"/>
      <c r="E6254" s="143"/>
      <c r="F6254" s="84"/>
      <c r="G6254" s="146"/>
      <c r="H6254" s="221"/>
    </row>
    <row r="6255" spans="1:9" s="212" customFormat="1">
      <c r="A6255" s="84"/>
      <c r="B6255" s="83"/>
      <c r="C6255" s="84"/>
      <c r="D6255" s="84"/>
      <c r="E6255" s="84"/>
      <c r="G6255" s="213"/>
      <c r="H6255" s="222"/>
    </row>
    <row r="6256" spans="1:9" s="212" customFormat="1">
      <c r="A6256" s="120"/>
      <c r="B6256" s="73"/>
      <c r="C6256" s="73"/>
      <c r="D6256" s="73"/>
      <c r="E6256" s="73"/>
      <c r="G6256" s="73"/>
      <c r="H6256" s="222"/>
    </row>
    <row r="6257" spans="1:9" s="212" customFormat="1">
      <c r="A6257" s="220"/>
      <c r="B6257" s="141"/>
      <c r="C6257" s="141"/>
      <c r="D6257" s="141"/>
      <c r="E6257" s="141"/>
      <c r="F6257" s="141"/>
      <c r="G6257" s="141"/>
      <c r="H6257" s="222"/>
    </row>
    <row r="6258" spans="1:9" s="212" customFormat="1">
      <c r="A6258" s="150"/>
      <c r="B6258" s="83"/>
      <c r="C6258" s="148"/>
      <c r="D6258" s="160"/>
      <c r="E6258" s="84"/>
      <c r="F6258" s="84"/>
      <c r="G6258" s="146"/>
      <c r="H6258" s="221"/>
    </row>
    <row r="6259" spans="1:9" s="212" customFormat="1">
      <c r="A6259" s="91"/>
      <c r="B6259" s="91"/>
      <c r="C6259" s="91"/>
      <c r="D6259" s="91"/>
      <c r="E6259" s="91"/>
      <c r="G6259" s="213"/>
      <c r="H6259" s="222"/>
    </row>
    <row r="6260" spans="1:9" s="212" customFormat="1">
      <c r="A6260" s="120"/>
      <c r="B6260" s="73"/>
      <c r="C6260" s="73"/>
      <c r="D6260" s="73"/>
      <c r="E6260" s="73"/>
      <c r="G6260" s="73"/>
      <c r="H6260" s="222"/>
    </row>
    <row r="6261" spans="1:9" s="212" customFormat="1">
      <c r="A6261" s="220"/>
      <c r="B6261" s="141"/>
      <c r="C6261" s="141"/>
      <c r="D6261" s="141"/>
      <c r="E6261" s="141"/>
      <c r="F6261" s="141"/>
      <c r="G6261" s="141"/>
      <c r="H6261" s="222"/>
    </row>
    <row r="6262" spans="1:9" s="212" customFormat="1">
      <c r="A6262" s="142"/>
      <c r="B6262" s="143"/>
      <c r="C6262" s="143"/>
      <c r="D6262" s="143"/>
      <c r="E6262" s="143"/>
      <c r="F6262" s="84"/>
      <c r="G6262" s="146"/>
      <c r="H6262" s="221"/>
    </row>
    <row r="6263" spans="1:9" s="212" customFormat="1">
      <c r="A6263" s="91"/>
      <c r="B6263" s="91"/>
      <c r="C6263" s="91"/>
      <c r="D6263" s="91"/>
      <c r="E6263" s="91"/>
      <c r="G6263" s="213"/>
      <c r="H6263" s="222"/>
    </row>
    <row r="6264" spans="1:9" s="212" customFormat="1">
      <c r="A6264" s="120"/>
      <c r="B6264" s="73"/>
      <c r="C6264" s="73"/>
      <c r="D6264" s="73"/>
      <c r="E6264" s="73"/>
      <c r="G6264" s="73"/>
      <c r="H6264" s="222"/>
    </row>
    <row r="6265" spans="1:9" s="212" customFormat="1">
      <c r="A6265" s="220"/>
      <c r="B6265" s="141"/>
      <c r="C6265" s="141"/>
      <c r="D6265" s="141"/>
      <c r="E6265" s="141"/>
      <c r="F6265" s="141"/>
      <c r="G6265" s="141"/>
      <c r="H6265" s="222"/>
    </row>
    <row r="6266" spans="1:9" s="212" customFormat="1">
      <c r="A6266" s="142"/>
      <c r="B6266" s="143"/>
      <c r="C6266" s="143"/>
      <c r="D6266" s="143"/>
      <c r="E6266" s="143"/>
      <c r="F6266" s="84"/>
      <c r="G6266" s="146"/>
      <c r="H6266" s="221"/>
    </row>
    <row r="6267" spans="1:9" s="212" customFormat="1">
      <c r="A6267" s="123"/>
      <c r="B6267" s="95"/>
      <c r="C6267" s="95"/>
      <c r="D6267" s="95"/>
      <c r="E6267" s="95"/>
      <c r="G6267" s="213"/>
      <c r="H6267" s="73"/>
    </row>
    <row r="6268" spans="1:9" s="212" customFormat="1">
      <c r="A6268" s="123"/>
      <c r="B6268" s="95"/>
      <c r="C6268" s="95"/>
      <c r="D6268" s="95"/>
      <c r="E6268" s="95"/>
      <c r="G6268" s="73"/>
      <c r="H6268" s="225"/>
    </row>
    <row r="6269" spans="1:9" s="212" customFormat="1">
      <c r="B6269" s="97"/>
      <c r="C6269" s="98"/>
      <c r="D6269" s="98"/>
      <c r="E6269" s="98"/>
      <c r="G6269" s="220"/>
    </row>
    <row r="6270" spans="1:9" s="212" customFormat="1">
      <c r="B6270" s="97"/>
      <c r="C6270" s="98"/>
      <c r="D6270" s="98"/>
      <c r="E6270" s="98"/>
      <c r="F6270" s="220"/>
      <c r="G6270" s="225"/>
      <c r="H6270" s="226"/>
    </row>
    <row r="6271" spans="1:9" s="212" customFormat="1">
      <c r="A6271" s="633"/>
      <c r="B6271" s="633"/>
      <c r="C6271" s="633"/>
      <c r="D6271" s="633"/>
      <c r="E6271" s="633"/>
      <c r="F6271" s="633"/>
      <c r="G6271" s="633"/>
    </row>
    <row r="6272" spans="1:9" s="212" customFormat="1">
      <c r="H6272" s="227"/>
      <c r="I6272" s="228"/>
    </row>
    <row r="6273" spans="1:9" s="212" customFormat="1">
      <c r="A6273" s="658"/>
      <c r="B6273" s="227"/>
      <c r="C6273" s="227"/>
      <c r="D6273" s="227"/>
      <c r="E6273" s="227"/>
      <c r="F6273" s="227"/>
      <c r="G6273" s="227"/>
      <c r="H6273" s="227"/>
      <c r="I6273" s="229"/>
    </row>
    <row r="6274" spans="1:9" s="212" customFormat="1">
      <c r="A6274" s="658"/>
      <c r="B6274" s="227"/>
      <c r="C6274" s="227"/>
      <c r="D6274" s="227"/>
      <c r="E6274" s="227"/>
      <c r="F6274" s="227"/>
      <c r="G6274" s="227"/>
    </row>
    <row r="6275" spans="1:9" s="212" customFormat="1">
      <c r="A6275" s="69"/>
      <c r="B6275" s="69"/>
      <c r="C6275" s="69"/>
      <c r="D6275" s="69"/>
      <c r="E6275" s="69"/>
    </row>
    <row r="6276" spans="1:9" s="212" customFormat="1">
      <c r="A6276" s="120"/>
      <c r="B6276" s="73"/>
      <c r="C6276" s="73"/>
      <c r="D6276" s="73"/>
      <c r="E6276" s="73"/>
      <c r="F6276" s="73"/>
      <c r="G6276" s="73"/>
      <c r="H6276" s="73"/>
    </row>
    <row r="6277" spans="1:9" s="212" customFormat="1">
      <c r="A6277" s="220"/>
      <c r="B6277" s="141"/>
      <c r="C6277" s="141"/>
      <c r="D6277" s="141"/>
      <c r="E6277" s="141"/>
      <c r="F6277" s="141"/>
      <c r="G6277" s="141"/>
      <c r="H6277" s="73"/>
    </row>
    <row r="6278" spans="1:9" s="212" customFormat="1">
      <c r="A6278" s="142"/>
      <c r="B6278" s="143"/>
      <c r="C6278" s="143"/>
      <c r="D6278" s="143"/>
      <c r="E6278" s="143"/>
      <c r="F6278" s="84"/>
      <c r="G6278" s="146"/>
      <c r="H6278" s="221"/>
    </row>
    <row r="6279" spans="1:9" s="212" customFormat="1">
      <c r="A6279" s="84"/>
      <c r="B6279" s="83"/>
      <c r="C6279" s="84"/>
      <c r="D6279" s="84"/>
      <c r="E6279" s="84"/>
      <c r="G6279" s="213"/>
      <c r="H6279" s="222"/>
    </row>
    <row r="6280" spans="1:9" s="212" customFormat="1">
      <c r="A6280" s="120"/>
      <c r="B6280" s="73"/>
      <c r="C6280" s="73"/>
      <c r="D6280" s="73"/>
      <c r="E6280" s="73"/>
      <c r="G6280" s="73"/>
      <c r="H6280" s="222"/>
    </row>
    <row r="6281" spans="1:9" s="212" customFormat="1">
      <c r="A6281" s="220"/>
      <c r="B6281" s="141"/>
      <c r="C6281" s="141"/>
      <c r="D6281" s="141"/>
      <c r="E6281" s="141"/>
      <c r="F6281" s="141"/>
      <c r="G6281" s="141"/>
      <c r="H6281" s="222"/>
    </row>
    <row r="6282" spans="1:9" s="212" customFormat="1">
      <c r="A6282" s="150"/>
      <c r="B6282" s="83"/>
      <c r="C6282" s="148"/>
      <c r="D6282" s="160"/>
      <c r="E6282" s="84"/>
      <c r="F6282" s="84"/>
      <c r="G6282" s="146"/>
      <c r="H6282" s="221"/>
    </row>
    <row r="6283" spans="1:9" s="212" customFormat="1">
      <c r="A6283" s="91"/>
      <c r="B6283" s="91"/>
      <c r="C6283" s="91"/>
      <c r="D6283" s="91"/>
      <c r="E6283" s="91"/>
      <c r="G6283" s="213"/>
      <c r="H6283" s="222"/>
    </row>
    <row r="6284" spans="1:9" s="212" customFormat="1">
      <c r="A6284" s="120"/>
      <c r="B6284" s="73"/>
      <c r="C6284" s="73"/>
      <c r="D6284" s="73"/>
      <c r="E6284" s="73"/>
      <c r="G6284" s="73"/>
      <c r="H6284" s="222"/>
    </row>
    <row r="6285" spans="1:9" s="212" customFormat="1">
      <c r="A6285" s="220"/>
      <c r="B6285" s="141"/>
      <c r="C6285" s="141"/>
      <c r="D6285" s="141"/>
      <c r="E6285" s="141"/>
      <c r="F6285" s="141"/>
      <c r="G6285" s="141"/>
      <c r="H6285" s="222"/>
    </row>
    <row r="6286" spans="1:9" s="212" customFormat="1">
      <c r="A6286" s="142"/>
      <c r="B6286" s="143"/>
      <c r="C6286" s="143"/>
      <c r="D6286" s="143"/>
      <c r="E6286" s="143"/>
      <c r="F6286" s="84"/>
      <c r="G6286" s="146"/>
      <c r="H6286" s="221"/>
    </row>
    <row r="6287" spans="1:9" s="212" customFormat="1">
      <c r="A6287" s="91"/>
      <c r="B6287" s="91"/>
      <c r="C6287" s="91"/>
      <c r="D6287" s="91"/>
      <c r="E6287" s="91"/>
      <c r="G6287" s="213"/>
      <c r="H6287" s="222"/>
    </row>
    <row r="6288" spans="1:9" s="212" customFormat="1">
      <c r="A6288" s="120"/>
      <c r="B6288" s="73"/>
      <c r="C6288" s="73"/>
      <c r="D6288" s="73"/>
      <c r="E6288" s="73"/>
      <c r="G6288" s="73"/>
      <c r="H6288" s="222"/>
    </row>
    <row r="6289" spans="1:9" s="212" customFormat="1">
      <c r="A6289" s="220"/>
      <c r="B6289" s="141"/>
      <c r="C6289" s="141"/>
      <c r="D6289" s="141"/>
      <c r="E6289" s="141"/>
      <c r="F6289" s="141"/>
      <c r="G6289" s="141"/>
      <c r="H6289" s="222"/>
    </row>
    <row r="6290" spans="1:9" s="212" customFormat="1">
      <c r="A6290" s="142"/>
      <c r="B6290" s="143"/>
      <c r="C6290" s="143"/>
      <c r="D6290" s="143"/>
      <c r="E6290" s="143"/>
      <c r="F6290" s="84"/>
      <c r="G6290" s="146"/>
      <c r="H6290" s="221"/>
    </row>
    <row r="6291" spans="1:9" s="212" customFormat="1">
      <c r="A6291" s="123"/>
      <c r="B6291" s="95"/>
      <c r="C6291" s="95"/>
      <c r="D6291" s="95"/>
      <c r="E6291" s="95"/>
      <c r="G6291" s="213"/>
      <c r="H6291" s="73"/>
    </row>
    <row r="6292" spans="1:9" s="212" customFormat="1">
      <c r="A6292" s="123"/>
      <c r="B6292" s="95"/>
      <c r="C6292" s="95"/>
      <c r="D6292" s="95"/>
      <c r="E6292" s="95"/>
      <c r="G6292" s="73"/>
      <c r="H6292" s="225"/>
    </row>
    <row r="6293" spans="1:9" s="212" customFormat="1">
      <c r="B6293" s="97"/>
      <c r="C6293" s="98"/>
      <c r="D6293" s="98"/>
      <c r="E6293" s="98"/>
      <c r="G6293" s="220"/>
    </row>
    <row r="6294" spans="1:9" s="212" customFormat="1">
      <c r="B6294" s="97"/>
      <c r="C6294" s="98"/>
      <c r="D6294" s="98"/>
      <c r="E6294" s="98"/>
      <c r="F6294" s="220"/>
      <c r="G6294" s="225"/>
      <c r="H6294" s="226"/>
    </row>
    <row r="6295" spans="1:9" s="212" customFormat="1">
      <c r="A6295" s="633"/>
      <c r="B6295" s="633"/>
      <c r="C6295" s="633"/>
      <c r="D6295" s="633"/>
      <c r="E6295" s="633"/>
      <c r="F6295" s="633"/>
      <c r="G6295" s="633"/>
    </row>
    <row r="6296" spans="1:9" s="212" customFormat="1">
      <c r="H6296" s="227"/>
      <c r="I6296" s="228"/>
    </row>
    <row r="6297" spans="1:9" s="212" customFormat="1">
      <c r="A6297" s="658"/>
      <c r="B6297" s="227"/>
      <c r="C6297" s="227"/>
      <c r="D6297" s="227"/>
      <c r="E6297" s="227"/>
      <c r="F6297" s="227"/>
      <c r="G6297" s="227"/>
      <c r="H6297" s="227"/>
      <c r="I6297" s="229"/>
    </row>
    <row r="6298" spans="1:9" s="212" customFormat="1">
      <c r="A6298" s="658"/>
      <c r="B6298" s="227"/>
      <c r="C6298" s="227"/>
      <c r="D6298" s="227"/>
      <c r="E6298" s="227"/>
      <c r="F6298" s="227"/>
      <c r="G6298" s="227"/>
    </row>
    <row r="6299" spans="1:9" s="212" customFormat="1">
      <c r="A6299" s="69"/>
      <c r="B6299" s="69"/>
      <c r="C6299" s="69"/>
      <c r="D6299" s="69"/>
      <c r="E6299" s="69"/>
    </row>
    <row r="6300" spans="1:9" s="212" customFormat="1">
      <c r="A6300" s="120"/>
      <c r="B6300" s="73"/>
      <c r="C6300" s="73"/>
      <c r="D6300" s="73"/>
      <c r="E6300" s="73"/>
      <c r="F6300" s="73"/>
      <c r="G6300" s="73"/>
      <c r="H6300" s="73"/>
    </row>
    <row r="6301" spans="1:9" s="212" customFormat="1">
      <c r="A6301" s="220"/>
      <c r="B6301" s="141"/>
      <c r="C6301" s="141"/>
      <c r="D6301" s="141"/>
      <c r="E6301" s="141"/>
      <c r="F6301" s="141"/>
      <c r="G6301" s="141"/>
      <c r="H6301" s="73"/>
    </row>
    <row r="6302" spans="1:9" s="212" customFormat="1">
      <c r="A6302" s="142"/>
      <c r="B6302" s="143"/>
      <c r="C6302" s="143"/>
      <c r="D6302" s="143"/>
      <c r="E6302" s="143"/>
      <c r="F6302" s="84"/>
      <c r="G6302" s="146"/>
      <c r="H6302" s="221"/>
    </row>
    <row r="6303" spans="1:9" s="212" customFormat="1">
      <c r="A6303" s="84"/>
      <c r="B6303" s="83"/>
      <c r="C6303" s="84"/>
      <c r="D6303" s="84"/>
      <c r="E6303" s="84"/>
      <c r="G6303" s="213"/>
      <c r="H6303" s="222"/>
    </row>
    <row r="6304" spans="1:9" s="212" customFormat="1">
      <c r="A6304" s="120"/>
      <c r="B6304" s="73"/>
      <c r="C6304" s="73"/>
      <c r="D6304" s="73"/>
      <c r="E6304" s="73"/>
      <c r="G6304" s="73"/>
      <c r="H6304" s="222"/>
    </row>
    <row r="6305" spans="1:9" s="212" customFormat="1">
      <c r="A6305" s="220"/>
      <c r="B6305" s="141"/>
      <c r="C6305" s="141"/>
      <c r="D6305" s="141"/>
      <c r="E6305" s="141"/>
      <c r="F6305" s="141"/>
      <c r="G6305" s="141"/>
      <c r="H6305" s="222"/>
    </row>
    <row r="6306" spans="1:9" s="212" customFormat="1">
      <c r="A6306" s="150"/>
      <c r="B6306" s="83"/>
      <c r="C6306" s="148"/>
      <c r="D6306" s="160"/>
      <c r="E6306" s="84"/>
      <c r="F6306" s="84"/>
      <c r="G6306" s="146"/>
      <c r="H6306" s="221"/>
    </row>
    <row r="6307" spans="1:9" s="212" customFormat="1">
      <c r="A6307" s="91"/>
      <c r="B6307" s="91"/>
      <c r="C6307" s="91"/>
      <c r="D6307" s="91"/>
      <c r="E6307" s="91"/>
      <c r="G6307" s="213"/>
      <c r="H6307" s="222"/>
    </row>
    <row r="6308" spans="1:9" s="212" customFormat="1">
      <c r="A6308" s="120"/>
      <c r="B6308" s="73"/>
      <c r="C6308" s="73"/>
      <c r="D6308" s="73"/>
      <c r="E6308" s="73"/>
      <c r="G6308" s="73"/>
      <c r="H6308" s="222"/>
    </row>
    <row r="6309" spans="1:9" s="212" customFormat="1">
      <c r="A6309" s="220"/>
      <c r="B6309" s="141"/>
      <c r="C6309" s="141"/>
      <c r="D6309" s="141"/>
      <c r="E6309" s="141"/>
      <c r="F6309" s="141"/>
      <c r="G6309" s="141"/>
      <c r="H6309" s="222"/>
    </row>
    <row r="6310" spans="1:9" s="212" customFormat="1">
      <c r="A6310" s="142"/>
      <c r="B6310" s="143"/>
      <c r="C6310" s="143"/>
      <c r="D6310" s="143"/>
      <c r="E6310" s="143"/>
      <c r="F6310" s="84"/>
      <c r="G6310" s="146"/>
      <c r="H6310" s="221"/>
    </row>
    <row r="6311" spans="1:9" s="212" customFormat="1">
      <c r="A6311" s="91"/>
      <c r="B6311" s="91"/>
      <c r="C6311" s="91"/>
      <c r="D6311" s="91"/>
      <c r="E6311" s="91"/>
      <c r="G6311" s="213"/>
      <c r="H6311" s="222"/>
    </row>
    <row r="6312" spans="1:9" s="212" customFormat="1">
      <c r="A6312" s="120"/>
      <c r="B6312" s="73"/>
      <c r="C6312" s="73"/>
      <c r="D6312" s="73"/>
      <c r="E6312" s="73"/>
      <c r="G6312" s="73"/>
      <c r="H6312" s="222"/>
    </row>
    <row r="6313" spans="1:9" s="212" customFormat="1">
      <c r="A6313" s="220"/>
      <c r="B6313" s="141"/>
      <c r="C6313" s="141"/>
      <c r="D6313" s="141"/>
      <c r="E6313" s="141"/>
      <c r="F6313" s="141"/>
      <c r="G6313" s="141"/>
      <c r="H6313" s="222"/>
    </row>
    <row r="6314" spans="1:9" s="212" customFormat="1">
      <c r="A6314" s="142"/>
      <c r="B6314" s="143"/>
      <c r="C6314" s="143"/>
      <c r="D6314" s="143"/>
      <c r="E6314" s="143"/>
      <c r="F6314" s="84"/>
      <c r="G6314" s="146"/>
      <c r="H6314" s="221"/>
    </row>
    <row r="6315" spans="1:9" s="212" customFormat="1">
      <c r="A6315" s="123"/>
      <c r="B6315" s="95"/>
      <c r="C6315" s="95"/>
      <c r="D6315" s="95"/>
      <c r="E6315" s="95"/>
      <c r="G6315" s="213"/>
      <c r="H6315" s="73"/>
    </row>
    <row r="6316" spans="1:9" s="212" customFormat="1">
      <c r="A6316" s="123"/>
      <c r="B6316" s="95"/>
      <c r="C6316" s="95"/>
      <c r="D6316" s="95"/>
      <c r="E6316" s="95"/>
      <c r="G6316" s="73"/>
      <c r="H6316" s="225"/>
    </row>
    <row r="6317" spans="1:9" s="212" customFormat="1">
      <c r="B6317" s="97"/>
      <c r="C6317" s="98"/>
      <c r="D6317" s="98"/>
      <c r="E6317" s="98"/>
      <c r="G6317" s="220"/>
    </row>
    <row r="6318" spans="1:9" s="212" customFormat="1">
      <c r="B6318" s="97"/>
      <c r="C6318" s="98"/>
      <c r="D6318" s="98"/>
      <c r="E6318" s="98"/>
      <c r="F6318" s="220"/>
      <c r="G6318" s="225"/>
      <c r="H6318" s="226"/>
    </row>
    <row r="6319" spans="1:9" s="212" customFormat="1">
      <c r="A6319" s="633"/>
      <c r="B6319" s="633"/>
      <c r="C6319" s="633"/>
      <c r="D6319" s="633"/>
      <c r="E6319" s="633"/>
      <c r="F6319" s="633"/>
      <c r="G6319" s="633"/>
    </row>
    <row r="6320" spans="1:9" s="212" customFormat="1">
      <c r="H6320" s="227"/>
      <c r="I6320" s="228"/>
    </row>
    <row r="6321" spans="1:9" s="212" customFormat="1">
      <c r="A6321" s="658"/>
      <c r="B6321" s="227"/>
      <c r="C6321" s="227"/>
      <c r="D6321" s="227"/>
      <c r="E6321" s="227"/>
      <c r="F6321" s="227"/>
      <c r="G6321" s="227"/>
      <c r="H6321" s="227"/>
      <c r="I6321" s="229"/>
    </row>
    <row r="6322" spans="1:9" s="212" customFormat="1">
      <c r="A6322" s="658"/>
      <c r="B6322" s="227"/>
      <c r="C6322" s="227"/>
      <c r="D6322" s="227"/>
      <c r="E6322" s="227"/>
      <c r="F6322" s="227"/>
      <c r="G6322" s="227"/>
    </row>
    <row r="6323" spans="1:9" s="212" customFormat="1">
      <c r="A6323" s="69"/>
      <c r="B6323" s="69"/>
      <c r="C6323" s="69"/>
      <c r="D6323" s="69"/>
      <c r="E6323" s="69"/>
    </row>
    <row r="6324" spans="1:9" s="212" customFormat="1">
      <c r="A6324" s="120"/>
      <c r="B6324" s="73"/>
      <c r="C6324" s="73"/>
      <c r="D6324" s="73"/>
      <c r="E6324" s="73"/>
      <c r="F6324" s="73"/>
      <c r="G6324" s="73"/>
      <c r="H6324" s="73"/>
    </row>
    <row r="6325" spans="1:9" s="212" customFormat="1">
      <c r="A6325" s="220"/>
      <c r="B6325" s="141"/>
      <c r="C6325" s="141"/>
      <c r="D6325" s="141"/>
      <c r="E6325" s="141"/>
      <c r="F6325" s="141"/>
      <c r="G6325" s="141"/>
      <c r="H6325" s="73"/>
    </row>
    <row r="6326" spans="1:9" s="212" customFormat="1">
      <c r="A6326" s="142"/>
      <c r="B6326" s="143"/>
      <c r="C6326" s="143"/>
      <c r="D6326" s="143"/>
      <c r="E6326" s="143"/>
      <c r="F6326" s="84"/>
      <c r="G6326" s="146"/>
      <c r="H6326" s="221"/>
    </row>
    <row r="6327" spans="1:9" s="212" customFormat="1">
      <c r="A6327" s="84"/>
      <c r="B6327" s="83"/>
      <c r="C6327" s="84"/>
      <c r="D6327" s="84"/>
      <c r="E6327" s="84"/>
      <c r="G6327" s="213"/>
      <c r="H6327" s="222"/>
    </row>
    <row r="6328" spans="1:9" s="212" customFormat="1">
      <c r="A6328" s="120"/>
      <c r="B6328" s="73"/>
      <c r="C6328" s="73"/>
      <c r="D6328" s="73"/>
      <c r="E6328" s="73"/>
      <c r="G6328" s="73"/>
      <c r="H6328" s="222"/>
    </row>
    <row r="6329" spans="1:9" s="212" customFormat="1">
      <c r="A6329" s="220"/>
      <c r="B6329" s="141"/>
      <c r="C6329" s="141"/>
      <c r="D6329" s="141"/>
      <c r="E6329" s="141"/>
      <c r="F6329" s="141"/>
      <c r="G6329" s="141"/>
      <c r="H6329" s="222"/>
    </row>
    <row r="6330" spans="1:9" s="212" customFormat="1">
      <c r="A6330" s="150"/>
      <c r="B6330" s="83"/>
      <c r="C6330" s="148"/>
      <c r="D6330" s="160"/>
      <c r="E6330" s="84"/>
      <c r="F6330" s="84"/>
      <c r="G6330" s="146"/>
      <c r="H6330" s="221"/>
    </row>
    <row r="6331" spans="1:9" s="212" customFormat="1">
      <c r="A6331" s="91"/>
      <c r="B6331" s="91"/>
      <c r="C6331" s="91"/>
      <c r="D6331" s="91"/>
      <c r="E6331" s="91"/>
      <c r="G6331" s="213"/>
      <c r="H6331" s="222"/>
    </row>
    <row r="6332" spans="1:9" s="212" customFormat="1">
      <c r="A6332" s="120"/>
      <c r="B6332" s="73"/>
      <c r="C6332" s="73"/>
      <c r="D6332" s="73"/>
      <c r="E6332" s="73"/>
      <c r="G6332" s="73"/>
      <c r="H6332" s="222"/>
    </row>
    <row r="6333" spans="1:9" s="212" customFormat="1">
      <c r="A6333" s="220"/>
      <c r="B6333" s="141"/>
      <c r="C6333" s="141"/>
      <c r="D6333" s="141"/>
      <c r="E6333" s="141"/>
      <c r="F6333" s="141"/>
      <c r="G6333" s="141"/>
      <c r="H6333" s="222"/>
    </row>
    <row r="6334" spans="1:9" s="212" customFormat="1">
      <c r="A6334" s="142"/>
      <c r="B6334" s="143"/>
      <c r="C6334" s="143"/>
      <c r="D6334" s="143"/>
      <c r="E6334" s="143"/>
      <c r="F6334" s="84"/>
      <c r="G6334" s="146"/>
      <c r="H6334" s="221"/>
    </row>
    <row r="6335" spans="1:9" s="212" customFormat="1">
      <c r="A6335" s="91"/>
      <c r="B6335" s="91"/>
      <c r="C6335" s="91"/>
      <c r="D6335" s="91"/>
      <c r="E6335" s="91"/>
      <c r="G6335" s="213"/>
      <c r="H6335" s="222"/>
    </row>
    <row r="6336" spans="1:9" s="212" customFormat="1">
      <c r="A6336" s="120"/>
      <c r="B6336" s="73"/>
      <c r="C6336" s="73"/>
      <c r="D6336" s="73"/>
      <c r="E6336" s="73"/>
      <c r="G6336" s="73"/>
      <c r="H6336" s="222"/>
    </row>
    <row r="6337" spans="1:9" s="212" customFormat="1">
      <c r="A6337" s="220"/>
      <c r="B6337" s="141"/>
      <c r="C6337" s="141"/>
      <c r="D6337" s="141"/>
      <c r="E6337" s="141"/>
      <c r="F6337" s="141"/>
      <c r="G6337" s="141"/>
      <c r="H6337" s="222"/>
    </row>
    <row r="6338" spans="1:9" s="212" customFormat="1">
      <c r="A6338" s="142"/>
      <c r="B6338" s="143"/>
      <c r="C6338" s="143"/>
      <c r="D6338" s="143"/>
      <c r="E6338" s="143"/>
      <c r="F6338" s="84"/>
      <c r="G6338" s="146"/>
      <c r="H6338" s="221"/>
    </row>
    <row r="6339" spans="1:9" s="212" customFormat="1">
      <c r="A6339" s="123"/>
      <c r="B6339" s="95"/>
      <c r="C6339" s="95"/>
      <c r="D6339" s="95"/>
      <c r="E6339" s="95"/>
      <c r="G6339" s="213"/>
      <c r="H6339" s="73"/>
    </row>
    <row r="6340" spans="1:9" s="212" customFormat="1">
      <c r="A6340" s="123"/>
      <c r="B6340" s="95"/>
      <c r="C6340" s="95"/>
      <c r="D6340" s="95"/>
      <c r="E6340" s="95"/>
      <c r="G6340" s="73"/>
      <c r="H6340" s="225"/>
    </row>
    <row r="6341" spans="1:9" s="212" customFormat="1">
      <c r="B6341" s="97"/>
      <c r="C6341" s="98"/>
      <c r="D6341" s="98"/>
      <c r="E6341" s="98"/>
      <c r="G6341" s="220"/>
    </row>
    <row r="6342" spans="1:9" s="212" customFormat="1">
      <c r="B6342" s="97"/>
      <c r="C6342" s="98"/>
      <c r="D6342" s="98"/>
      <c r="E6342" s="98"/>
      <c r="F6342" s="220"/>
      <c r="G6342" s="225"/>
      <c r="H6342" s="226"/>
    </row>
    <row r="6343" spans="1:9" s="212" customFormat="1">
      <c r="A6343" s="633"/>
      <c r="B6343" s="633"/>
      <c r="C6343" s="633"/>
      <c r="D6343" s="633"/>
      <c r="E6343" s="633"/>
      <c r="F6343" s="633"/>
      <c r="G6343" s="633"/>
    </row>
    <row r="6344" spans="1:9" s="212" customFormat="1">
      <c r="H6344" s="227"/>
      <c r="I6344" s="228"/>
    </row>
    <row r="6345" spans="1:9" s="212" customFormat="1">
      <c r="A6345" s="658"/>
      <c r="B6345" s="227"/>
      <c r="C6345" s="227"/>
      <c r="D6345" s="227"/>
      <c r="E6345" s="227"/>
      <c r="F6345" s="227"/>
      <c r="G6345" s="227"/>
      <c r="H6345" s="227"/>
      <c r="I6345" s="229"/>
    </row>
    <row r="6346" spans="1:9" s="212" customFormat="1">
      <c r="A6346" s="658"/>
      <c r="B6346" s="227"/>
      <c r="C6346" s="227"/>
      <c r="D6346" s="227"/>
      <c r="E6346" s="227"/>
      <c r="F6346" s="227"/>
      <c r="G6346" s="227"/>
    </row>
    <row r="6347" spans="1:9" s="212" customFormat="1">
      <c r="A6347" s="69"/>
      <c r="B6347" s="69"/>
      <c r="C6347" s="69"/>
      <c r="D6347" s="69"/>
      <c r="E6347" s="69"/>
    </row>
    <row r="6348" spans="1:9" s="212" customFormat="1">
      <c r="A6348" s="120"/>
      <c r="B6348" s="73"/>
      <c r="C6348" s="73"/>
      <c r="D6348" s="73"/>
      <c r="E6348" s="73"/>
      <c r="F6348" s="73"/>
      <c r="G6348" s="73"/>
      <c r="H6348" s="73"/>
    </row>
    <row r="6349" spans="1:9" s="212" customFormat="1">
      <c r="A6349" s="220"/>
      <c r="B6349" s="141"/>
      <c r="C6349" s="141"/>
      <c r="D6349" s="141"/>
      <c r="E6349" s="141"/>
      <c r="F6349" s="141"/>
      <c r="G6349" s="141"/>
      <c r="H6349" s="73"/>
    </row>
    <row r="6350" spans="1:9" s="212" customFormat="1">
      <c r="A6350" s="142"/>
      <c r="B6350" s="143"/>
      <c r="C6350" s="143"/>
      <c r="D6350" s="143"/>
      <c r="E6350" s="143"/>
      <c r="F6350" s="84"/>
      <c r="G6350" s="146"/>
      <c r="H6350" s="221"/>
    </row>
    <row r="6351" spans="1:9" s="212" customFormat="1">
      <c r="A6351" s="84"/>
      <c r="B6351" s="83"/>
      <c r="C6351" s="84"/>
      <c r="D6351" s="84"/>
      <c r="E6351" s="84"/>
      <c r="G6351" s="213"/>
      <c r="H6351" s="222"/>
    </row>
    <row r="6352" spans="1:9" s="212" customFormat="1">
      <c r="A6352" s="120"/>
      <c r="B6352" s="73"/>
      <c r="C6352" s="73"/>
      <c r="D6352" s="73"/>
      <c r="E6352" s="73"/>
      <c r="G6352" s="73"/>
      <c r="H6352" s="222"/>
    </row>
    <row r="6353" spans="1:9" s="212" customFormat="1">
      <c r="A6353" s="220"/>
      <c r="B6353" s="141"/>
      <c r="C6353" s="141"/>
      <c r="D6353" s="141"/>
      <c r="E6353" s="141"/>
      <c r="F6353" s="141"/>
      <c r="G6353" s="141"/>
      <c r="H6353" s="222"/>
    </row>
    <row r="6354" spans="1:9" s="212" customFormat="1">
      <c r="A6354" s="150"/>
      <c r="B6354" s="83"/>
      <c r="C6354" s="148"/>
      <c r="D6354" s="160"/>
      <c r="E6354" s="84"/>
      <c r="F6354" s="84"/>
      <c r="G6354" s="146"/>
      <c r="H6354" s="221"/>
    </row>
    <row r="6355" spans="1:9" s="212" customFormat="1">
      <c r="A6355" s="91"/>
      <c r="B6355" s="91"/>
      <c r="C6355" s="91"/>
      <c r="D6355" s="91"/>
      <c r="E6355" s="91"/>
      <c r="G6355" s="213"/>
      <c r="H6355" s="222"/>
    </row>
    <row r="6356" spans="1:9" s="212" customFormat="1">
      <c r="A6356" s="120"/>
      <c r="B6356" s="73"/>
      <c r="C6356" s="73"/>
      <c r="D6356" s="73"/>
      <c r="E6356" s="73"/>
      <c r="G6356" s="73"/>
      <c r="H6356" s="222"/>
    </row>
    <row r="6357" spans="1:9" s="212" customFormat="1">
      <c r="A6357" s="220"/>
      <c r="B6357" s="141"/>
      <c r="C6357" s="141"/>
      <c r="D6357" s="141"/>
      <c r="E6357" s="141"/>
      <c r="F6357" s="141"/>
      <c r="G6357" s="141"/>
      <c r="H6357" s="222"/>
    </row>
    <row r="6358" spans="1:9" s="212" customFormat="1">
      <c r="A6358" s="142"/>
      <c r="B6358" s="143"/>
      <c r="C6358" s="143"/>
      <c r="D6358" s="143"/>
      <c r="E6358" s="143"/>
      <c r="F6358" s="84"/>
      <c r="G6358" s="146"/>
      <c r="H6358" s="221"/>
    </row>
    <row r="6359" spans="1:9" s="212" customFormat="1">
      <c r="A6359" s="91"/>
      <c r="B6359" s="91"/>
      <c r="C6359" s="91"/>
      <c r="D6359" s="91"/>
      <c r="E6359" s="91"/>
      <c r="G6359" s="213"/>
      <c r="H6359" s="222"/>
    </row>
    <row r="6360" spans="1:9" s="212" customFormat="1">
      <c r="A6360" s="120"/>
      <c r="B6360" s="73"/>
      <c r="C6360" s="73"/>
      <c r="D6360" s="73"/>
      <c r="E6360" s="73"/>
      <c r="G6360" s="73"/>
      <c r="H6360" s="222"/>
    </row>
    <row r="6361" spans="1:9" s="212" customFormat="1">
      <c r="A6361" s="220"/>
      <c r="B6361" s="141"/>
      <c r="C6361" s="141"/>
      <c r="D6361" s="141"/>
      <c r="E6361" s="141"/>
      <c r="F6361" s="141"/>
      <c r="G6361" s="141"/>
      <c r="H6361" s="222"/>
    </row>
    <row r="6362" spans="1:9" s="212" customFormat="1">
      <c r="A6362" s="142"/>
      <c r="B6362" s="143"/>
      <c r="C6362" s="143"/>
      <c r="D6362" s="143"/>
      <c r="E6362" s="143"/>
      <c r="F6362" s="84"/>
      <c r="G6362" s="146"/>
      <c r="H6362" s="221"/>
    </row>
    <row r="6363" spans="1:9" s="212" customFormat="1">
      <c r="A6363" s="123"/>
      <c r="B6363" s="95"/>
      <c r="C6363" s="95"/>
      <c r="D6363" s="95"/>
      <c r="E6363" s="95"/>
      <c r="G6363" s="213"/>
      <c r="H6363" s="73"/>
    </row>
    <row r="6364" spans="1:9" s="212" customFormat="1">
      <c r="A6364" s="123"/>
      <c r="B6364" s="95"/>
      <c r="C6364" s="95"/>
      <c r="D6364" s="95"/>
      <c r="E6364" s="95"/>
      <c r="G6364" s="73"/>
      <c r="H6364" s="225"/>
    </row>
    <row r="6365" spans="1:9" s="212" customFormat="1">
      <c r="B6365" s="97"/>
      <c r="C6365" s="98"/>
      <c r="D6365" s="98"/>
      <c r="E6365" s="98"/>
      <c r="G6365" s="220"/>
    </row>
    <row r="6366" spans="1:9" s="212" customFormat="1">
      <c r="B6366" s="97"/>
      <c r="C6366" s="98"/>
      <c r="D6366" s="98"/>
      <c r="E6366" s="98"/>
      <c r="F6366" s="220"/>
      <c r="G6366" s="225"/>
      <c r="H6366" s="226"/>
    </row>
    <row r="6367" spans="1:9" s="212" customFormat="1">
      <c r="A6367" s="633"/>
      <c r="B6367" s="633"/>
      <c r="C6367" s="633"/>
      <c r="D6367" s="633"/>
      <c r="E6367" s="633"/>
      <c r="F6367" s="633"/>
      <c r="G6367" s="633"/>
    </row>
    <row r="6368" spans="1:9" s="212" customFormat="1">
      <c r="H6368" s="227"/>
      <c r="I6368" s="228"/>
    </row>
    <row r="6369" spans="1:9" s="212" customFormat="1">
      <c r="A6369" s="658"/>
      <c r="B6369" s="227"/>
      <c r="C6369" s="227"/>
      <c r="D6369" s="227"/>
      <c r="E6369" s="227"/>
      <c r="F6369" s="227"/>
      <c r="G6369" s="227"/>
      <c r="H6369" s="227"/>
      <c r="I6369" s="229"/>
    </row>
    <row r="6370" spans="1:9" s="212" customFormat="1">
      <c r="A6370" s="658"/>
      <c r="B6370" s="227"/>
      <c r="C6370" s="227"/>
      <c r="D6370" s="227"/>
      <c r="E6370" s="227"/>
      <c r="F6370" s="227"/>
      <c r="G6370" s="227"/>
    </row>
    <row r="6371" spans="1:9" s="212" customFormat="1">
      <c r="A6371" s="69"/>
      <c r="B6371" s="69"/>
      <c r="C6371" s="69"/>
      <c r="D6371" s="69"/>
      <c r="E6371" s="69"/>
    </row>
    <row r="6372" spans="1:9" s="212" customFormat="1">
      <c r="A6372" s="120"/>
      <c r="B6372" s="73"/>
      <c r="C6372" s="73"/>
      <c r="D6372" s="73"/>
      <c r="E6372" s="73"/>
      <c r="F6372" s="73"/>
      <c r="G6372" s="73"/>
      <c r="H6372" s="73"/>
    </row>
    <row r="6373" spans="1:9" s="212" customFormat="1">
      <c r="A6373" s="220"/>
      <c r="B6373" s="141"/>
      <c r="C6373" s="141"/>
      <c r="D6373" s="141"/>
      <c r="E6373" s="141"/>
      <c r="F6373" s="141"/>
      <c r="G6373" s="141"/>
      <c r="H6373" s="73"/>
    </row>
    <row r="6374" spans="1:9" s="212" customFormat="1">
      <c r="A6374" s="142"/>
      <c r="B6374" s="143"/>
      <c r="C6374" s="143"/>
      <c r="D6374" s="143"/>
      <c r="E6374" s="143"/>
      <c r="F6374" s="84"/>
      <c r="G6374" s="146"/>
      <c r="H6374" s="221"/>
    </row>
    <row r="6375" spans="1:9" s="212" customFormat="1">
      <c r="A6375" s="84"/>
      <c r="B6375" s="83"/>
      <c r="C6375" s="84"/>
      <c r="D6375" s="84"/>
      <c r="E6375" s="84"/>
      <c r="G6375" s="213"/>
      <c r="H6375" s="222"/>
    </row>
    <row r="6376" spans="1:9" s="212" customFormat="1">
      <c r="A6376" s="120"/>
      <c r="B6376" s="73"/>
      <c r="C6376" s="73"/>
      <c r="D6376" s="73"/>
      <c r="E6376" s="73"/>
      <c r="G6376" s="73"/>
      <c r="H6376" s="222"/>
    </row>
    <row r="6377" spans="1:9" s="212" customFormat="1">
      <c r="A6377" s="220"/>
      <c r="B6377" s="141"/>
      <c r="C6377" s="141"/>
      <c r="D6377" s="141"/>
      <c r="E6377" s="141"/>
      <c r="F6377" s="141"/>
      <c r="G6377" s="141"/>
      <c r="H6377" s="222"/>
    </row>
    <row r="6378" spans="1:9" s="212" customFormat="1">
      <c r="A6378" s="150"/>
      <c r="B6378" s="83"/>
      <c r="C6378" s="148"/>
      <c r="D6378" s="160"/>
      <c r="E6378" s="84"/>
      <c r="F6378" s="84"/>
      <c r="G6378" s="146"/>
      <c r="H6378" s="221"/>
    </row>
    <row r="6379" spans="1:9" s="212" customFormat="1">
      <c r="A6379" s="91"/>
      <c r="B6379" s="91"/>
      <c r="C6379" s="91"/>
      <c r="D6379" s="91"/>
      <c r="E6379" s="91"/>
      <c r="G6379" s="213"/>
      <c r="H6379" s="222"/>
    </row>
    <row r="6380" spans="1:9" s="212" customFormat="1">
      <c r="A6380" s="120"/>
      <c r="B6380" s="73"/>
      <c r="C6380" s="73"/>
      <c r="D6380" s="73"/>
      <c r="E6380" s="73"/>
      <c r="G6380" s="73"/>
      <c r="H6380" s="222"/>
    </row>
    <row r="6381" spans="1:9" s="212" customFormat="1">
      <c r="A6381" s="220"/>
      <c r="B6381" s="141"/>
      <c r="C6381" s="141"/>
      <c r="D6381" s="141"/>
      <c r="E6381" s="141"/>
      <c r="F6381" s="141"/>
      <c r="G6381" s="141"/>
      <c r="H6381" s="222"/>
    </row>
    <row r="6382" spans="1:9" s="212" customFormat="1">
      <c r="A6382" s="142"/>
      <c r="B6382" s="143"/>
      <c r="C6382" s="143"/>
      <c r="D6382" s="143"/>
      <c r="E6382" s="143"/>
      <c r="F6382" s="84"/>
      <c r="G6382" s="146"/>
      <c r="H6382" s="221"/>
    </row>
    <row r="6383" spans="1:9" s="212" customFormat="1">
      <c r="A6383" s="91"/>
      <c r="B6383" s="91"/>
      <c r="C6383" s="91"/>
      <c r="D6383" s="91"/>
      <c r="E6383" s="91"/>
      <c r="G6383" s="213"/>
      <c r="H6383" s="222"/>
    </row>
    <row r="6384" spans="1:9" s="212" customFormat="1">
      <c r="A6384" s="120"/>
      <c r="B6384" s="73"/>
      <c r="C6384" s="73"/>
      <c r="D6384" s="73"/>
      <c r="E6384" s="73"/>
      <c r="G6384" s="73"/>
      <c r="H6384" s="222"/>
    </row>
    <row r="6385" spans="1:9" s="212" customFormat="1">
      <c r="A6385" s="220"/>
      <c r="B6385" s="141"/>
      <c r="C6385" s="141"/>
      <c r="D6385" s="141"/>
      <c r="E6385" s="141"/>
      <c r="F6385" s="141"/>
      <c r="G6385" s="141"/>
      <c r="H6385" s="222"/>
    </row>
    <row r="6386" spans="1:9" s="212" customFormat="1">
      <c r="A6386" s="142"/>
      <c r="B6386" s="143"/>
      <c r="C6386" s="143"/>
      <c r="D6386" s="143"/>
      <c r="E6386" s="143"/>
      <c r="F6386" s="84"/>
      <c r="G6386" s="146"/>
      <c r="H6386" s="221"/>
    </row>
    <row r="6387" spans="1:9" s="212" customFormat="1">
      <c r="A6387" s="123"/>
      <c r="B6387" s="95"/>
      <c r="C6387" s="95"/>
      <c r="D6387" s="95"/>
      <c r="E6387" s="95"/>
      <c r="G6387" s="213"/>
      <c r="H6387" s="73"/>
    </row>
    <row r="6388" spans="1:9" s="212" customFormat="1">
      <c r="A6388" s="123"/>
      <c r="B6388" s="95"/>
      <c r="C6388" s="95"/>
      <c r="D6388" s="95"/>
      <c r="E6388" s="95"/>
      <c r="G6388" s="73"/>
      <c r="H6388" s="225"/>
    </row>
    <row r="6389" spans="1:9" s="212" customFormat="1">
      <c r="B6389" s="97"/>
      <c r="C6389" s="98"/>
      <c r="D6389" s="98"/>
      <c r="E6389" s="98"/>
      <c r="G6389" s="220"/>
    </row>
    <row r="6390" spans="1:9" s="212" customFormat="1">
      <c r="B6390" s="97"/>
      <c r="C6390" s="98"/>
      <c r="D6390" s="98"/>
      <c r="E6390" s="98"/>
      <c r="F6390" s="220"/>
      <c r="G6390" s="225"/>
      <c r="H6390" s="226"/>
    </row>
    <row r="6391" spans="1:9" s="212" customFormat="1">
      <c r="A6391" s="633"/>
      <c r="B6391" s="633"/>
      <c r="C6391" s="633"/>
      <c r="D6391" s="633"/>
      <c r="E6391" s="633"/>
      <c r="F6391" s="633"/>
      <c r="G6391" s="633"/>
    </row>
    <row r="6392" spans="1:9" s="212" customFormat="1">
      <c r="H6392" s="227"/>
      <c r="I6392" s="228"/>
    </row>
    <row r="6393" spans="1:9" s="212" customFormat="1">
      <c r="A6393" s="658"/>
      <c r="B6393" s="227"/>
      <c r="C6393" s="227"/>
      <c r="D6393" s="227"/>
      <c r="E6393" s="227"/>
      <c r="F6393" s="227"/>
      <c r="G6393" s="227"/>
      <c r="H6393" s="227"/>
      <c r="I6393" s="229"/>
    </row>
    <row r="6394" spans="1:9" s="212" customFormat="1">
      <c r="A6394" s="658"/>
      <c r="B6394" s="227"/>
      <c r="C6394" s="227"/>
      <c r="D6394" s="227"/>
      <c r="E6394" s="227"/>
      <c r="F6394" s="227"/>
      <c r="G6394" s="227"/>
    </row>
    <row r="6395" spans="1:9" s="212" customFormat="1">
      <c r="A6395" s="69"/>
      <c r="B6395" s="69"/>
      <c r="C6395" s="69"/>
      <c r="D6395" s="69"/>
      <c r="E6395" s="69"/>
    </row>
    <row r="6396" spans="1:9" s="212" customFormat="1">
      <c r="A6396" s="120"/>
      <c r="B6396" s="73"/>
      <c r="C6396" s="73"/>
      <c r="D6396" s="73"/>
      <c r="E6396" s="73"/>
      <c r="F6396" s="73"/>
      <c r="G6396" s="73"/>
      <c r="H6396" s="73"/>
    </row>
    <row r="6397" spans="1:9" s="212" customFormat="1">
      <c r="A6397" s="220"/>
      <c r="B6397" s="141"/>
      <c r="C6397" s="141"/>
      <c r="D6397" s="141"/>
      <c r="E6397" s="141"/>
      <c r="F6397" s="141"/>
      <c r="G6397" s="141"/>
      <c r="H6397" s="73"/>
    </row>
    <row r="6398" spans="1:9" s="212" customFormat="1">
      <c r="A6398" s="142"/>
      <c r="B6398" s="143"/>
      <c r="C6398" s="143"/>
      <c r="D6398" s="143"/>
      <c r="E6398" s="143"/>
      <c r="F6398" s="84"/>
      <c r="G6398" s="146"/>
      <c r="H6398" s="221"/>
    </row>
    <row r="6399" spans="1:9" s="212" customFormat="1">
      <c r="A6399" s="84"/>
      <c r="B6399" s="83"/>
      <c r="C6399" s="84"/>
      <c r="D6399" s="84"/>
      <c r="E6399" s="84"/>
      <c r="G6399" s="213"/>
      <c r="H6399" s="222"/>
    </row>
    <row r="6400" spans="1:9" s="212" customFormat="1">
      <c r="A6400" s="120"/>
      <c r="B6400" s="73"/>
      <c r="C6400" s="73"/>
      <c r="D6400" s="73"/>
      <c r="E6400" s="73"/>
      <c r="G6400" s="73"/>
      <c r="H6400" s="222"/>
    </row>
    <row r="6401" spans="1:9" s="212" customFormat="1">
      <c r="A6401" s="220"/>
      <c r="B6401" s="141"/>
      <c r="C6401" s="141"/>
      <c r="D6401" s="141"/>
      <c r="E6401" s="141"/>
      <c r="F6401" s="141"/>
      <c r="G6401" s="141"/>
      <c r="H6401" s="222"/>
    </row>
    <row r="6402" spans="1:9" s="212" customFormat="1">
      <c r="A6402" s="150"/>
      <c r="B6402" s="83"/>
      <c r="C6402" s="148"/>
      <c r="D6402" s="160"/>
      <c r="E6402" s="84"/>
      <c r="F6402" s="84"/>
      <c r="G6402" s="146"/>
      <c r="H6402" s="221"/>
    </row>
    <row r="6403" spans="1:9" s="212" customFormat="1">
      <c r="A6403" s="91"/>
      <c r="B6403" s="91"/>
      <c r="C6403" s="91"/>
      <c r="D6403" s="91"/>
      <c r="E6403" s="91"/>
      <c r="G6403" s="213"/>
      <c r="H6403" s="222"/>
    </row>
    <row r="6404" spans="1:9" s="212" customFormat="1">
      <c r="A6404" s="120"/>
      <c r="B6404" s="73"/>
      <c r="C6404" s="73"/>
      <c r="D6404" s="73"/>
      <c r="E6404" s="73"/>
      <c r="G6404" s="73"/>
      <c r="H6404" s="222"/>
    </row>
    <row r="6405" spans="1:9" s="212" customFormat="1">
      <c r="A6405" s="220"/>
      <c r="B6405" s="141"/>
      <c r="C6405" s="141"/>
      <c r="D6405" s="141"/>
      <c r="E6405" s="141"/>
      <c r="F6405" s="141"/>
      <c r="G6405" s="141"/>
      <c r="H6405" s="222"/>
    </row>
    <row r="6406" spans="1:9" s="212" customFormat="1">
      <c r="A6406" s="142"/>
      <c r="B6406" s="143"/>
      <c r="C6406" s="143"/>
      <c r="D6406" s="143"/>
      <c r="E6406" s="143"/>
      <c r="F6406" s="84"/>
      <c r="G6406" s="146"/>
      <c r="H6406" s="221"/>
    </row>
    <row r="6407" spans="1:9" s="212" customFormat="1">
      <c r="A6407" s="91"/>
      <c r="B6407" s="91"/>
      <c r="C6407" s="91"/>
      <c r="D6407" s="91"/>
      <c r="E6407" s="91"/>
      <c r="G6407" s="213"/>
      <c r="H6407" s="222"/>
    </row>
    <row r="6408" spans="1:9" s="212" customFormat="1">
      <c r="A6408" s="120"/>
      <c r="B6408" s="73"/>
      <c r="C6408" s="73"/>
      <c r="D6408" s="73"/>
      <c r="E6408" s="73"/>
      <c r="G6408" s="73"/>
      <c r="H6408" s="222"/>
    </row>
    <row r="6409" spans="1:9" s="212" customFormat="1">
      <c r="A6409" s="220"/>
      <c r="B6409" s="141"/>
      <c r="C6409" s="141"/>
      <c r="D6409" s="141"/>
      <c r="E6409" s="141"/>
      <c r="F6409" s="141"/>
      <c r="G6409" s="141"/>
      <c r="H6409" s="222"/>
    </row>
    <row r="6410" spans="1:9" s="212" customFormat="1">
      <c r="A6410" s="142"/>
      <c r="B6410" s="143"/>
      <c r="C6410" s="143"/>
      <c r="D6410" s="143"/>
      <c r="E6410" s="143"/>
      <c r="F6410" s="84"/>
      <c r="G6410" s="146"/>
      <c r="H6410" s="221"/>
    </row>
    <row r="6411" spans="1:9" s="212" customFormat="1">
      <c r="A6411" s="123"/>
      <c r="B6411" s="95"/>
      <c r="C6411" s="95"/>
      <c r="D6411" s="95"/>
      <c r="E6411" s="95"/>
      <c r="G6411" s="213"/>
      <c r="H6411" s="73"/>
    </row>
    <row r="6412" spans="1:9" s="212" customFormat="1">
      <c r="A6412" s="123"/>
      <c r="B6412" s="95"/>
      <c r="C6412" s="95"/>
      <c r="D6412" s="95"/>
      <c r="E6412" s="95"/>
      <c r="G6412" s="73"/>
      <c r="H6412" s="225"/>
    </row>
    <row r="6413" spans="1:9" s="212" customFormat="1">
      <c r="B6413" s="97"/>
      <c r="C6413" s="98"/>
      <c r="D6413" s="98"/>
      <c r="E6413" s="98"/>
      <c r="G6413" s="220"/>
    </row>
    <row r="6414" spans="1:9" s="212" customFormat="1">
      <c r="B6414" s="97"/>
      <c r="C6414" s="98"/>
      <c r="D6414" s="98"/>
      <c r="E6414" s="98"/>
      <c r="F6414" s="220"/>
      <c r="G6414" s="225"/>
      <c r="H6414" s="226"/>
    </row>
    <row r="6415" spans="1:9" s="212" customFormat="1">
      <c r="A6415" s="633"/>
      <c r="B6415" s="633"/>
      <c r="C6415" s="633"/>
      <c r="D6415" s="633"/>
      <c r="E6415" s="633"/>
      <c r="F6415" s="633"/>
      <c r="G6415" s="633"/>
    </row>
    <row r="6416" spans="1:9" s="212" customFormat="1">
      <c r="H6416" s="227"/>
      <c r="I6416" s="228"/>
    </row>
    <row r="6417" spans="1:9" s="212" customFormat="1">
      <c r="A6417" s="658"/>
      <c r="B6417" s="227"/>
      <c r="C6417" s="227"/>
      <c r="D6417" s="227"/>
      <c r="E6417" s="227"/>
      <c r="F6417" s="227"/>
      <c r="G6417" s="227"/>
      <c r="H6417" s="227"/>
      <c r="I6417" s="229"/>
    </row>
    <row r="6418" spans="1:9" s="212" customFormat="1">
      <c r="A6418" s="658"/>
      <c r="B6418" s="227"/>
      <c r="C6418" s="227"/>
      <c r="D6418" s="227"/>
      <c r="E6418" s="227"/>
      <c r="F6418" s="227"/>
      <c r="G6418" s="227"/>
    </row>
    <row r="6419" spans="1:9" s="212" customFormat="1">
      <c r="A6419" s="69"/>
      <c r="B6419" s="69"/>
      <c r="C6419" s="69"/>
      <c r="D6419" s="69"/>
      <c r="E6419" s="69"/>
    </row>
    <row r="6420" spans="1:9" s="212" customFormat="1">
      <c r="A6420" s="120"/>
      <c r="B6420" s="73"/>
      <c r="C6420" s="73"/>
      <c r="D6420" s="73"/>
      <c r="E6420" s="73"/>
      <c r="F6420" s="73"/>
      <c r="G6420" s="73"/>
      <c r="H6420" s="73"/>
    </row>
    <row r="6421" spans="1:9" s="212" customFormat="1">
      <c r="A6421" s="220"/>
      <c r="B6421" s="141"/>
      <c r="C6421" s="141"/>
      <c r="D6421" s="141"/>
      <c r="E6421" s="141"/>
      <c r="F6421" s="141"/>
      <c r="G6421" s="141"/>
      <c r="H6421" s="73"/>
    </row>
    <row r="6422" spans="1:9" s="212" customFormat="1">
      <c r="A6422" s="142"/>
      <c r="B6422" s="143"/>
      <c r="C6422" s="143"/>
      <c r="D6422" s="143"/>
      <c r="E6422" s="143"/>
      <c r="F6422" s="84"/>
      <c r="G6422" s="146"/>
      <c r="H6422" s="221"/>
    </row>
    <row r="6423" spans="1:9" s="212" customFormat="1">
      <c r="A6423" s="84"/>
      <c r="B6423" s="83"/>
      <c r="C6423" s="84"/>
      <c r="D6423" s="84"/>
      <c r="E6423" s="84"/>
      <c r="G6423" s="213"/>
      <c r="H6423" s="222"/>
    </row>
    <row r="6424" spans="1:9" s="212" customFormat="1">
      <c r="A6424" s="120"/>
      <c r="B6424" s="73"/>
      <c r="C6424" s="73"/>
      <c r="D6424" s="73"/>
      <c r="E6424" s="73"/>
      <c r="G6424" s="73"/>
      <c r="H6424" s="222"/>
    </row>
    <row r="6425" spans="1:9" s="212" customFormat="1">
      <c r="A6425" s="220"/>
      <c r="B6425" s="141"/>
      <c r="C6425" s="141"/>
      <c r="D6425" s="141"/>
      <c r="E6425" s="141"/>
      <c r="F6425" s="141"/>
      <c r="G6425" s="141"/>
      <c r="H6425" s="222"/>
    </row>
    <row r="6426" spans="1:9" s="212" customFormat="1">
      <c r="A6426" s="150"/>
      <c r="B6426" s="83"/>
      <c r="C6426" s="148"/>
      <c r="D6426" s="160"/>
      <c r="E6426" s="84"/>
      <c r="F6426" s="84"/>
      <c r="G6426" s="146"/>
      <c r="H6426" s="221"/>
    </row>
    <row r="6427" spans="1:9" s="212" customFormat="1">
      <c r="A6427" s="91"/>
      <c r="B6427" s="91"/>
      <c r="C6427" s="91"/>
      <c r="D6427" s="91"/>
      <c r="E6427" s="91"/>
      <c r="G6427" s="213"/>
      <c r="H6427" s="222"/>
    </row>
    <row r="6428" spans="1:9" s="212" customFormat="1">
      <c r="A6428" s="120"/>
      <c r="B6428" s="73"/>
      <c r="C6428" s="73"/>
      <c r="D6428" s="73"/>
      <c r="E6428" s="73"/>
      <c r="G6428" s="73"/>
      <c r="H6428" s="222"/>
    </row>
    <row r="6429" spans="1:9" s="212" customFormat="1">
      <c r="A6429" s="220"/>
      <c r="B6429" s="141"/>
      <c r="C6429" s="141"/>
      <c r="D6429" s="141"/>
      <c r="E6429" s="141"/>
      <c r="F6429" s="141"/>
      <c r="G6429" s="141"/>
      <c r="H6429" s="222"/>
    </row>
    <row r="6430" spans="1:9" s="212" customFormat="1">
      <c r="A6430" s="142"/>
      <c r="B6430" s="143"/>
      <c r="C6430" s="143"/>
      <c r="D6430" s="143"/>
      <c r="E6430" s="143"/>
      <c r="F6430" s="84"/>
      <c r="G6430" s="146"/>
      <c r="H6430" s="221"/>
    </row>
    <row r="6431" spans="1:9" s="212" customFormat="1">
      <c r="A6431" s="91"/>
      <c r="B6431" s="91"/>
      <c r="C6431" s="91"/>
      <c r="D6431" s="91"/>
      <c r="E6431" s="91"/>
      <c r="G6431" s="213"/>
      <c r="H6431" s="222"/>
    </row>
    <row r="6432" spans="1:9" s="212" customFormat="1">
      <c r="A6432" s="120"/>
      <c r="B6432" s="73"/>
      <c r="C6432" s="73"/>
      <c r="D6432" s="73"/>
      <c r="E6432" s="73"/>
      <c r="G6432" s="73"/>
      <c r="H6432" s="222"/>
    </row>
    <row r="6433" spans="1:9" s="212" customFormat="1">
      <c r="A6433" s="220"/>
      <c r="B6433" s="141"/>
      <c r="C6433" s="141"/>
      <c r="D6433" s="141"/>
      <c r="E6433" s="141"/>
      <c r="F6433" s="141"/>
      <c r="G6433" s="141"/>
      <c r="H6433" s="222"/>
    </row>
    <row r="6434" spans="1:9" s="212" customFormat="1">
      <c r="A6434" s="142"/>
      <c r="B6434" s="143"/>
      <c r="C6434" s="143"/>
      <c r="D6434" s="143"/>
      <c r="E6434" s="143"/>
      <c r="F6434" s="84"/>
      <c r="G6434" s="146"/>
      <c r="H6434" s="221"/>
    </row>
    <row r="6435" spans="1:9" s="212" customFormat="1">
      <c r="A6435" s="123"/>
      <c r="B6435" s="95"/>
      <c r="C6435" s="95"/>
      <c r="D6435" s="95"/>
      <c r="E6435" s="95"/>
      <c r="G6435" s="213"/>
      <c r="H6435" s="73"/>
    </row>
    <row r="6436" spans="1:9" s="212" customFormat="1">
      <c r="A6436" s="123"/>
      <c r="B6436" s="95"/>
      <c r="C6436" s="95"/>
      <c r="D6436" s="95"/>
      <c r="E6436" s="95"/>
      <c r="G6436" s="73"/>
      <c r="H6436" s="225"/>
    </row>
    <row r="6437" spans="1:9" s="212" customFormat="1">
      <c r="B6437" s="97"/>
      <c r="C6437" s="98"/>
      <c r="D6437" s="98"/>
      <c r="E6437" s="98"/>
      <c r="G6437" s="220"/>
    </row>
    <row r="6438" spans="1:9" s="212" customFormat="1">
      <c r="B6438" s="97"/>
      <c r="C6438" s="98"/>
      <c r="D6438" s="98"/>
      <c r="E6438" s="98"/>
      <c r="F6438" s="220"/>
      <c r="G6438" s="225"/>
      <c r="H6438" s="226"/>
    </row>
    <row r="6439" spans="1:9" s="212" customFormat="1">
      <c r="A6439" s="633"/>
      <c r="B6439" s="633"/>
      <c r="C6439" s="633"/>
      <c r="D6439" s="633"/>
      <c r="E6439" s="633"/>
      <c r="F6439" s="633"/>
      <c r="G6439" s="633"/>
    </row>
    <row r="6440" spans="1:9" s="212" customFormat="1">
      <c r="H6440" s="227"/>
      <c r="I6440" s="228"/>
    </row>
    <row r="6441" spans="1:9" s="212" customFormat="1">
      <c r="A6441" s="658"/>
      <c r="B6441" s="227"/>
      <c r="C6441" s="227"/>
      <c r="D6441" s="227"/>
      <c r="E6441" s="227"/>
      <c r="F6441" s="227"/>
      <c r="G6441" s="227"/>
      <c r="H6441" s="227"/>
      <c r="I6441" s="229"/>
    </row>
    <row r="6442" spans="1:9" s="212" customFormat="1">
      <c r="A6442" s="658"/>
      <c r="B6442" s="227"/>
      <c r="C6442" s="227"/>
      <c r="D6442" s="227"/>
      <c r="E6442" s="227"/>
      <c r="F6442" s="227"/>
      <c r="G6442" s="227"/>
    </row>
    <row r="6443" spans="1:9" s="212" customFormat="1">
      <c r="A6443" s="69"/>
      <c r="B6443" s="69"/>
      <c r="C6443" s="69"/>
      <c r="D6443" s="69"/>
      <c r="E6443" s="69"/>
    </row>
    <row r="6444" spans="1:9" s="212" customFormat="1">
      <c r="A6444" s="120"/>
      <c r="B6444" s="73"/>
      <c r="C6444" s="73"/>
      <c r="D6444" s="73"/>
      <c r="E6444" s="73"/>
      <c r="F6444" s="73"/>
      <c r="G6444" s="73"/>
      <c r="H6444" s="73"/>
    </row>
    <row r="6445" spans="1:9" s="212" customFormat="1">
      <c r="A6445" s="220"/>
      <c r="B6445" s="141"/>
      <c r="C6445" s="141"/>
      <c r="D6445" s="141"/>
      <c r="E6445" s="141"/>
      <c r="F6445" s="141"/>
      <c r="G6445" s="141"/>
      <c r="H6445" s="73"/>
    </row>
    <row r="6446" spans="1:9" s="212" customFormat="1">
      <c r="A6446" s="142"/>
      <c r="B6446" s="143"/>
      <c r="C6446" s="143"/>
      <c r="D6446" s="143"/>
      <c r="E6446" s="143"/>
      <c r="F6446" s="84"/>
      <c r="G6446" s="146"/>
      <c r="H6446" s="221"/>
    </row>
    <row r="6447" spans="1:9" s="212" customFormat="1">
      <c r="A6447" s="84"/>
      <c r="B6447" s="83"/>
      <c r="C6447" s="84"/>
      <c r="D6447" s="84"/>
      <c r="E6447" s="84"/>
      <c r="G6447" s="213"/>
      <c r="H6447" s="222"/>
    </row>
    <row r="6448" spans="1:9" s="212" customFormat="1">
      <c r="A6448" s="120"/>
      <c r="B6448" s="73"/>
      <c r="C6448" s="73"/>
      <c r="D6448" s="73"/>
      <c r="E6448" s="73"/>
      <c r="G6448" s="73"/>
      <c r="H6448" s="222"/>
    </row>
    <row r="6449" spans="1:9" s="212" customFormat="1">
      <c r="A6449" s="220"/>
      <c r="B6449" s="141"/>
      <c r="C6449" s="141"/>
      <c r="D6449" s="141"/>
      <c r="E6449" s="141"/>
      <c r="F6449" s="141"/>
      <c r="G6449" s="141"/>
      <c r="H6449" s="222"/>
    </row>
    <row r="6450" spans="1:9" s="212" customFormat="1">
      <c r="A6450" s="150"/>
      <c r="B6450" s="83"/>
      <c r="C6450" s="148"/>
      <c r="D6450" s="160"/>
      <c r="E6450" s="84"/>
      <c r="F6450" s="84"/>
      <c r="G6450" s="146"/>
      <c r="H6450" s="221"/>
    </row>
    <row r="6451" spans="1:9" s="212" customFormat="1">
      <c r="A6451" s="91"/>
      <c r="B6451" s="91"/>
      <c r="C6451" s="91"/>
      <c r="D6451" s="91"/>
      <c r="E6451" s="91"/>
      <c r="G6451" s="213"/>
      <c r="H6451" s="222"/>
    </row>
    <row r="6452" spans="1:9" s="212" customFormat="1">
      <c r="A6452" s="120"/>
      <c r="B6452" s="73"/>
      <c r="C6452" s="73"/>
      <c r="D6452" s="73"/>
      <c r="E6452" s="73"/>
      <c r="G6452" s="73"/>
      <c r="H6452" s="222"/>
    </row>
    <row r="6453" spans="1:9" s="212" customFormat="1">
      <c r="A6453" s="220"/>
      <c r="B6453" s="141"/>
      <c r="C6453" s="141"/>
      <c r="D6453" s="141"/>
      <c r="E6453" s="141"/>
      <c r="F6453" s="141"/>
      <c r="G6453" s="141"/>
      <c r="H6453" s="222"/>
    </row>
    <row r="6454" spans="1:9" s="212" customFormat="1">
      <c r="A6454" s="142"/>
      <c r="B6454" s="143"/>
      <c r="C6454" s="143"/>
      <c r="D6454" s="143"/>
      <c r="E6454" s="143"/>
      <c r="F6454" s="84"/>
      <c r="G6454" s="146"/>
      <c r="H6454" s="221"/>
    </row>
    <row r="6455" spans="1:9" s="212" customFormat="1">
      <c r="A6455" s="91"/>
      <c r="B6455" s="91"/>
      <c r="C6455" s="91"/>
      <c r="D6455" s="91"/>
      <c r="E6455" s="91"/>
      <c r="G6455" s="213"/>
      <c r="H6455" s="222"/>
    </row>
    <row r="6456" spans="1:9" s="212" customFormat="1">
      <c r="A6456" s="120"/>
      <c r="B6456" s="73"/>
      <c r="C6456" s="73"/>
      <c r="D6456" s="73"/>
      <c r="E6456" s="73"/>
      <c r="G6456" s="73"/>
      <c r="H6456" s="222"/>
    </row>
    <row r="6457" spans="1:9" s="212" customFormat="1">
      <c r="A6457" s="220"/>
      <c r="B6457" s="141"/>
      <c r="C6457" s="141"/>
      <c r="D6457" s="141"/>
      <c r="E6457" s="141"/>
      <c r="F6457" s="141"/>
      <c r="G6457" s="141"/>
      <c r="H6457" s="222"/>
    </row>
    <row r="6458" spans="1:9" s="212" customFormat="1">
      <c r="A6458" s="142"/>
      <c r="B6458" s="143"/>
      <c r="C6458" s="143"/>
      <c r="D6458" s="143"/>
      <c r="E6458" s="143"/>
      <c r="F6458" s="84"/>
      <c r="G6458" s="146"/>
      <c r="H6458" s="221"/>
    </row>
    <row r="6459" spans="1:9" s="212" customFormat="1">
      <c r="A6459" s="123"/>
      <c r="B6459" s="95"/>
      <c r="C6459" s="95"/>
      <c r="D6459" s="95"/>
      <c r="E6459" s="95"/>
      <c r="G6459" s="213"/>
      <c r="H6459" s="73"/>
    </row>
    <row r="6460" spans="1:9" s="212" customFormat="1">
      <c r="A6460" s="123"/>
      <c r="B6460" s="95"/>
      <c r="C6460" s="95"/>
      <c r="D6460" s="95"/>
      <c r="E6460" s="95"/>
      <c r="G6460" s="73"/>
      <c r="H6460" s="225"/>
    </row>
    <row r="6461" spans="1:9" s="212" customFormat="1">
      <c r="B6461" s="97"/>
      <c r="C6461" s="98"/>
      <c r="D6461" s="98"/>
      <c r="E6461" s="98"/>
      <c r="G6461" s="220"/>
    </row>
    <row r="6462" spans="1:9" s="212" customFormat="1">
      <c r="B6462" s="97"/>
      <c r="C6462" s="98"/>
      <c r="D6462" s="98"/>
      <c r="E6462" s="98"/>
      <c r="F6462" s="220"/>
      <c r="G6462" s="225"/>
      <c r="H6462" s="226"/>
    </row>
    <row r="6463" spans="1:9" s="212" customFormat="1">
      <c r="A6463" s="633"/>
      <c r="B6463" s="633"/>
      <c r="C6463" s="633"/>
      <c r="D6463" s="633"/>
      <c r="E6463" s="633"/>
      <c r="F6463" s="633"/>
      <c r="G6463" s="633"/>
    </row>
    <row r="6464" spans="1:9" s="212" customFormat="1">
      <c r="H6464" s="227"/>
      <c r="I6464" s="228"/>
    </row>
    <row r="6465" spans="1:9" s="212" customFormat="1">
      <c r="A6465" s="658"/>
      <c r="B6465" s="227"/>
      <c r="C6465" s="227"/>
      <c r="D6465" s="227"/>
      <c r="E6465" s="227"/>
      <c r="F6465" s="227"/>
      <c r="G6465" s="227"/>
      <c r="H6465" s="227"/>
      <c r="I6465" s="229"/>
    </row>
    <row r="6466" spans="1:9" s="212" customFormat="1">
      <c r="A6466" s="658"/>
      <c r="B6466" s="227"/>
      <c r="C6466" s="227"/>
      <c r="D6466" s="227"/>
      <c r="E6466" s="227"/>
      <c r="F6466" s="227"/>
      <c r="G6466" s="227"/>
    </row>
    <row r="6467" spans="1:9" s="212" customFormat="1">
      <c r="A6467" s="69"/>
      <c r="B6467" s="69"/>
      <c r="C6467" s="69"/>
      <c r="D6467" s="69"/>
      <c r="E6467" s="69"/>
    </row>
    <row r="6468" spans="1:9" s="212" customFormat="1">
      <c r="A6468" s="120"/>
      <c r="B6468" s="73"/>
      <c r="C6468" s="73"/>
      <c r="D6468" s="73"/>
      <c r="E6468" s="73"/>
      <c r="F6468" s="73"/>
      <c r="G6468" s="73"/>
      <c r="H6468" s="73"/>
    </row>
    <row r="6469" spans="1:9" s="212" customFormat="1">
      <c r="A6469" s="220"/>
      <c r="B6469" s="141"/>
      <c r="C6469" s="141"/>
      <c r="D6469" s="141"/>
      <c r="E6469" s="141"/>
      <c r="F6469" s="141"/>
      <c r="G6469" s="141"/>
      <c r="H6469" s="73"/>
    </row>
    <row r="6470" spans="1:9" s="212" customFormat="1">
      <c r="A6470" s="142"/>
      <c r="B6470" s="143"/>
      <c r="C6470" s="143"/>
      <c r="D6470" s="143"/>
      <c r="E6470" s="143"/>
      <c r="F6470" s="84"/>
      <c r="G6470" s="146"/>
      <c r="H6470" s="221"/>
    </row>
    <row r="6471" spans="1:9" s="212" customFormat="1">
      <c r="A6471" s="84"/>
      <c r="B6471" s="83"/>
      <c r="C6471" s="84"/>
      <c r="D6471" s="84"/>
      <c r="E6471" s="84"/>
      <c r="G6471" s="213"/>
      <c r="H6471" s="222"/>
    </row>
    <row r="6472" spans="1:9" s="212" customFormat="1">
      <c r="A6472" s="120"/>
      <c r="B6472" s="73"/>
      <c r="C6472" s="73"/>
      <c r="D6472" s="73"/>
      <c r="E6472" s="73"/>
      <c r="G6472" s="73"/>
      <c r="H6472" s="222"/>
    </row>
    <row r="6473" spans="1:9" s="212" customFormat="1">
      <c r="A6473" s="220"/>
      <c r="B6473" s="141"/>
      <c r="C6473" s="141"/>
      <c r="D6473" s="141"/>
      <c r="E6473" s="141"/>
      <c r="F6473" s="141"/>
      <c r="G6473" s="141"/>
      <c r="H6473" s="222"/>
    </row>
    <row r="6474" spans="1:9" s="212" customFormat="1">
      <c r="A6474" s="150"/>
      <c r="B6474" s="83"/>
      <c r="C6474" s="148"/>
      <c r="D6474" s="160"/>
      <c r="E6474" s="84"/>
      <c r="F6474" s="84"/>
      <c r="G6474" s="146"/>
      <c r="H6474" s="221"/>
    </row>
    <row r="6475" spans="1:9" s="212" customFormat="1">
      <c r="A6475" s="91"/>
      <c r="B6475" s="91"/>
      <c r="C6475" s="91"/>
      <c r="D6475" s="91"/>
      <c r="E6475" s="91"/>
      <c r="G6475" s="213"/>
      <c r="H6475" s="222"/>
    </row>
    <row r="6476" spans="1:9" s="212" customFormat="1">
      <c r="A6476" s="120"/>
      <c r="B6476" s="73"/>
      <c r="C6476" s="73"/>
      <c r="D6476" s="73"/>
      <c r="E6476" s="73"/>
      <c r="G6476" s="73"/>
      <c r="H6476" s="222"/>
    </row>
    <row r="6477" spans="1:9" s="212" customFormat="1">
      <c r="A6477" s="220"/>
      <c r="B6477" s="141"/>
      <c r="C6477" s="141"/>
      <c r="D6477" s="141"/>
      <c r="E6477" s="141"/>
      <c r="F6477" s="141"/>
      <c r="G6477" s="141"/>
      <c r="H6477" s="222"/>
    </row>
    <row r="6478" spans="1:9" s="212" customFormat="1">
      <c r="A6478" s="142"/>
      <c r="B6478" s="143"/>
      <c r="C6478" s="143"/>
      <c r="D6478" s="143"/>
      <c r="E6478" s="143"/>
      <c r="F6478" s="84"/>
      <c r="G6478" s="146"/>
      <c r="H6478" s="221"/>
    </row>
    <row r="6479" spans="1:9" s="212" customFormat="1">
      <c r="A6479" s="91"/>
      <c r="B6479" s="91"/>
      <c r="C6479" s="91"/>
      <c r="D6479" s="91"/>
      <c r="E6479" s="91"/>
      <c r="G6479" s="213"/>
      <c r="H6479" s="222"/>
    </row>
    <row r="6480" spans="1:9" s="212" customFormat="1">
      <c r="A6480" s="120"/>
      <c r="B6480" s="73"/>
      <c r="C6480" s="73"/>
      <c r="D6480" s="73"/>
      <c r="E6480" s="73"/>
      <c r="G6480" s="73"/>
      <c r="H6480" s="222"/>
    </row>
    <row r="6481" spans="1:9" s="212" customFormat="1">
      <c r="A6481" s="220"/>
      <c r="B6481" s="141"/>
      <c r="C6481" s="141"/>
      <c r="D6481" s="141"/>
      <c r="E6481" s="141"/>
      <c r="F6481" s="141"/>
      <c r="G6481" s="141"/>
      <c r="H6481" s="222"/>
    </row>
    <row r="6482" spans="1:9" s="212" customFormat="1">
      <c r="A6482" s="142"/>
      <c r="B6482" s="143"/>
      <c r="C6482" s="143"/>
      <c r="D6482" s="143"/>
      <c r="E6482" s="143"/>
      <c r="F6482" s="84"/>
      <c r="G6482" s="146"/>
      <c r="H6482" s="221"/>
    </row>
    <row r="6483" spans="1:9" s="212" customFormat="1">
      <c r="A6483" s="123"/>
      <c r="B6483" s="95"/>
      <c r="C6483" s="95"/>
      <c r="D6483" s="95"/>
      <c r="E6483" s="95"/>
      <c r="G6483" s="213"/>
      <c r="H6483" s="73"/>
    </row>
    <row r="6484" spans="1:9" s="212" customFormat="1">
      <c r="A6484" s="123"/>
      <c r="B6484" s="95"/>
      <c r="C6484" s="95"/>
      <c r="D6484" s="95"/>
      <c r="E6484" s="95"/>
      <c r="G6484" s="73"/>
      <c r="H6484" s="225"/>
    </row>
    <row r="6485" spans="1:9" s="212" customFormat="1">
      <c r="B6485" s="97"/>
      <c r="C6485" s="98"/>
      <c r="D6485" s="98"/>
      <c r="E6485" s="98"/>
      <c r="G6485" s="220"/>
    </row>
    <row r="6486" spans="1:9" s="212" customFormat="1">
      <c r="B6486" s="97"/>
      <c r="C6486" s="98"/>
      <c r="D6486" s="98"/>
      <c r="E6486" s="98"/>
      <c r="F6486" s="220"/>
      <c r="G6486" s="225"/>
      <c r="H6486" s="226"/>
    </row>
    <row r="6487" spans="1:9" s="212" customFormat="1">
      <c r="A6487" s="633"/>
      <c r="B6487" s="633"/>
      <c r="C6487" s="633"/>
      <c r="D6487" s="633"/>
      <c r="E6487" s="633"/>
      <c r="F6487" s="633"/>
      <c r="G6487" s="633"/>
    </row>
    <row r="6488" spans="1:9" s="212" customFormat="1">
      <c r="H6488" s="227"/>
      <c r="I6488" s="228"/>
    </row>
    <row r="6489" spans="1:9" s="212" customFormat="1">
      <c r="A6489" s="658"/>
      <c r="B6489" s="227"/>
      <c r="C6489" s="227"/>
      <c r="D6489" s="227"/>
      <c r="E6489" s="227"/>
      <c r="F6489" s="227"/>
      <c r="G6489" s="227"/>
      <c r="H6489" s="227"/>
      <c r="I6489" s="229"/>
    </row>
    <row r="6490" spans="1:9" s="212" customFormat="1">
      <c r="A6490" s="658"/>
      <c r="B6490" s="227"/>
      <c r="C6490" s="227"/>
      <c r="D6490" s="227"/>
      <c r="E6490" s="227"/>
      <c r="F6490" s="227"/>
      <c r="G6490" s="227"/>
    </row>
    <row r="6491" spans="1:9" s="212" customFormat="1">
      <c r="A6491" s="69"/>
      <c r="B6491" s="69"/>
      <c r="C6491" s="69"/>
      <c r="D6491" s="69"/>
      <c r="E6491" s="69"/>
    </row>
    <row r="6492" spans="1:9" s="212" customFormat="1">
      <c r="A6492" s="120"/>
      <c r="B6492" s="73"/>
      <c r="C6492" s="73"/>
      <c r="D6492" s="73"/>
      <c r="E6492" s="73"/>
      <c r="F6492" s="73"/>
      <c r="G6492" s="73"/>
      <c r="H6492" s="73"/>
    </row>
    <row r="6493" spans="1:9" s="212" customFormat="1">
      <c r="A6493" s="220"/>
      <c r="B6493" s="141"/>
      <c r="C6493" s="141"/>
      <c r="D6493" s="141"/>
      <c r="E6493" s="141"/>
      <c r="F6493" s="141"/>
      <c r="G6493" s="141"/>
      <c r="H6493" s="73"/>
    </row>
    <row r="6494" spans="1:9" s="212" customFormat="1">
      <c r="A6494" s="142"/>
      <c r="B6494" s="143"/>
      <c r="C6494" s="143"/>
      <c r="D6494" s="143"/>
      <c r="E6494" s="143"/>
      <c r="F6494" s="84"/>
      <c r="G6494" s="146"/>
      <c r="H6494" s="221"/>
    </row>
    <row r="6495" spans="1:9" s="212" customFormat="1">
      <c r="A6495" s="84"/>
      <c r="B6495" s="83"/>
      <c r="C6495" s="84"/>
      <c r="D6495" s="84"/>
      <c r="E6495" s="84"/>
      <c r="G6495" s="213"/>
      <c r="H6495" s="222"/>
    </row>
    <row r="6496" spans="1:9" s="212" customFormat="1">
      <c r="A6496" s="120"/>
      <c r="B6496" s="73"/>
      <c r="C6496" s="73"/>
      <c r="D6496" s="73"/>
      <c r="E6496" s="73"/>
      <c r="G6496" s="73"/>
      <c r="H6496" s="222"/>
    </row>
    <row r="6497" spans="1:9" s="212" customFormat="1">
      <c r="A6497" s="220"/>
      <c r="B6497" s="141"/>
      <c r="C6497" s="141"/>
      <c r="D6497" s="141"/>
      <c r="E6497" s="141"/>
      <c r="F6497" s="141"/>
      <c r="G6497" s="141"/>
      <c r="H6497" s="222"/>
    </row>
    <row r="6498" spans="1:9" s="212" customFormat="1">
      <c r="A6498" s="150"/>
      <c r="B6498" s="83"/>
      <c r="C6498" s="148"/>
      <c r="D6498" s="160"/>
      <c r="E6498" s="84"/>
      <c r="F6498" s="84"/>
      <c r="G6498" s="146"/>
      <c r="H6498" s="221"/>
    </row>
    <row r="6499" spans="1:9" s="212" customFormat="1">
      <c r="A6499" s="91"/>
      <c r="B6499" s="91"/>
      <c r="C6499" s="91"/>
      <c r="D6499" s="91"/>
      <c r="E6499" s="91"/>
      <c r="G6499" s="213"/>
      <c r="H6499" s="222"/>
    </row>
    <row r="6500" spans="1:9" s="212" customFormat="1">
      <c r="A6500" s="120"/>
      <c r="B6500" s="73"/>
      <c r="C6500" s="73"/>
      <c r="D6500" s="73"/>
      <c r="E6500" s="73"/>
      <c r="G6500" s="73"/>
      <c r="H6500" s="222"/>
    </row>
    <row r="6501" spans="1:9" s="212" customFormat="1">
      <c r="A6501" s="220"/>
      <c r="B6501" s="141"/>
      <c r="C6501" s="141"/>
      <c r="D6501" s="141"/>
      <c r="E6501" s="141"/>
      <c r="F6501" s="141"/>
      <c r="G6501" s="141"/>
      <c r="H6501" s="222"/>
    </row>
    <row r="6502" spans="1:9" s="212" customFormat="1">
      <c r="A6502" s="142"/>
      <c r="B6502" s="143"/>
      <c r="C6502" s="143"/>
      <c r="D6502" s="143"/>
      <c r="E6502" s="143"/>
      <c r="F6502" s="84"/>
      <c r="G6502" s="146"/>
      <c r="H6502" s="221"/>
    </row>
    <row r="6503" spans="1:9" s="212" customFormat="1">
      <c r="A6503" s="91"/>
      <c r="B6503" s="91"/>
      <c r="C6503" s="91"/>
      <c r="D6503" s="91"/>
      <c r="E6503" s="91"/>
      <c r="G6503" s="213"/>
      <c r="H6503" s="222"/>
    </row>
    <row r="6504" spans="1:9" s="212" customFormat="1">
      <c r="A6504" s="120"/>
      <c r="B6504" s="73"/>
      <c r="C6504" s="73"/>
      <c r="D6504" s="73"/>
      <c r="E6504" s="73"/>
      <c r="G6504" s="73"/>
      <c r="H6504" s="222"/>
    </row>
    <row r="6505" spans="1:9" s="212" customFormat="1">
      <c r="A6505" s="220"/>
      <c r="B6505" s="141"/>
      <c r="C6505" s="141"/>
      <c r="D6505" s="141"/>
      <c r="E6505" s="141"/>
      <c r="F6505" s="141"/>
      <c r="G6505" s="141"/>
      <c r="H6505" s="222"/>
    </row>
    <row r="6506" spans="1:9" s="212" customFormat="1">
      <c r="A6506" s="142"/>
      <c r="B6506" s="143"/>
      <c r="C6506" s="143"/>
      <c r="D6506" s="143"/>
      <c r="E6506" s="143"/>
      <c r="F6506" s="84"/>
      <c r="G6506" s="146"/>
      <c r="H6506" s="221"/>
    </row>
    <row r="6507" spans="1:9" s="212" customFormat="1">
      <c r="A6507" s="123"/>
      <c r="B6507" s="95"/>
      <c r="C6507" s="95"/>
      <c r="D6507" s="95"/>
      <c r="E6507" s="95"/>
      <c r="G6507" s="213"/>
      <c r="H6507" s="73"/>
    </row>
    <row r="6508" spans="1:9" s="212" customFormat="1">
      <c r="A6508" s="123"/>
      <c r="B6508" s="95"/>
      <c r="C6508" s="95"/>
      <c r="D6508" s="95"/>
      <c r="E6508" s="95"/>
      <c r="G6508" s="73"/>
      <c r="H6508" s="225"/>
    </row>
    <row r="6509" spans="1:9" s="212" customFormat="1">
      <c r="B6509" s="97"/>
      <c r="C6509" s="98"/>
      <c r="D6509" s="98"/>
      <c r="E6509" s="98"/>
      <c r="G6509" s="220"/>
    </row>
    <row r="6510" spans="1:9" s="212" customFormat="1">
      <c r="B6510" s="97"/>
      <c r="C6510" s="98"/>
      <c r="D6510" s="98"/>
      <c r="E6510" s="98"/>
      <c r="F6510" s="220"/>
      <c r="G6510" s="225"/>
      <c r="H6510" s="226"/>
    </row>
    <row r="6511" spans="1:9" s="212" customFormat="1">
      <c r="A6511" s="633"/>
      <c r="B6511" s="633"/>
      <c r="C6511" s="633"/>
      <c r="D6511" s="633"/>
      <c r="E6511" s="633"/>
      <c r="F6511" s="633"/>
      <c r="G6511" s="633"/>
    </row>
    <row r="6512" spans="1:9" s="212" customFormat="1">
      <c r="H6512" s="227"/>
      <c r="I6512" s="228"/>
    </row>
    <row r="6513" spans="1:9" s="212" customFormat="1" ht="18.75" customHeight="1">
      <c r="A6513" s="658"/>
      <c r="B6513" s="227"/>
      <c r="C6513" s="227"/>
      <c r="D6513" s="227"/>
      <c r="E6513" s="227"/>
      <c r="F6513" s="227"/>
      <c r="G6513" s="227"/>
      <c r="H6513" s="227"/>
      <c r="I6513" s="229"/>
    </row>
    <row r="6514" spans="1:9" s="212" customFormat="1">
      <c r="A6514" s="658"/>
      <c r="B6514" s="227"/>
      <c r="C6514" s="227"/>
      <c r="D6514" s="227"/>
      <c r="E6514" s="227"/>
      <c r="F6514" s="227"/>
      <c r="G6514" s="227"/>
    </row>
    <row r="6515" spans="1:9" s="212" customFormat="1">
      <c r="A6515" s="69"/>
      <c r="B6515" s="69"/>
      <c r="C6515" s="69"/>
      <c r="D6515" s="69"/>
      <c r="E6515" s="69"/>
    </row>
    <row r="6516" spans="1:9" s="212" customFormat="1">
      <c r="A6516" s="120"/>
      <c r="B6516" s="73"/>
      <c r="C6516" s="73"/>
      <c r="D6516" s="73"/>
      <c r="E6516" s="73"/>
      <c r="F6516" s="73"/>
      <c r="G6516" s="73"/>
      <c r="H6516" s="73"/>
    </row>
    <row r="6517" spans="1:9" s="212" customFormat="1">
      <c r="A6517" s="220"/>
      <c r="B6517" s="141"/>
      <c r="C6517" s="141"/>
      <c r="D6517" s="141"/>
      <c r="E6517" s="141"/>
      <c r="F6517" s="141"/>
      <c r="G6517" s="141"/>
      <c r="H6517" s="73"/>
    </row>
    <row r="6518" spans="1:9" s="212" customFormat="1">
      <c r="A6518" s="142"/>
      <c r="B6518" s="143"/>
      <c r="C6518" s="143"/>
      <c r="D6518" s="143"/>
      <c r="E6518" s="143"/>
      <c r="F6518" s="84"/>
      <c r="G6518" s="146"/>
      <c r="H6518" s="221"/>
    </row>
    <row r="6519" spans="1:9" s="212" customFormat="1">
      <c r="A6519" s="84"/>
      <c r="B6519" s="83"/>
      <c r="C6519" s="84"/>
      <c r="D6519" s="84"/>
      <c r="E6519" s="84"/>
      <c r="G6519" s="213"/>
      <c r="H6519" s="222"/>
    </row>
    <row r="6520" spans="1:9" s="212" customFormat="1">
      <c r="A6520" s="120"/>
      <c r="B6520" s="73"/>
      <c r="C6520" s="73"/>
      <c r="D6520" s="73"/>
      <c r="E6520" s="73"/>
      <c r="G6520" s="73"/>
      <c r="H6520" s="222"/>
    </row>
    <row r="6521" spans="1:9" s="212" customFormat="1">
      <c r="A6521" s="220"/>
      <c r="B6521" s="141"/>
      <c r="C6521" s="141"/>
      <c r="D6521" s="141"/>
      <c r="E6521" s="141"/>
      <c r="F6521" s="141"/>
      <c r="G6521" s="141"/>
      <c r="H6521" s="222"/>
    </row>
    <row r="6522" spans="1:9" s="212" customFormat="1">
      <c r="A6522" s="150"/>
      <c r="B6522" s="83"/>
      <c r="C6522" s="148"/>
      <c r="D6522" s="160"/>
      <c r="E6522" s="84"/>
      <c r="F6522" s="84"/>
      <c r="G6522" s="146"/>
      <c r="H6522" s="221"/>
    </row>
    <row r="6523" spans="1:9" s="212" customFormat="1">
      <c r="A6523" s="91"/>
      <c r="B6523" s="91"/>
      <c r="C6523" s="91"/>
      <c r="D6523" s="91"/>
      <c r="E6523" s="91"/>
      <c r="G6523" s="213"/>
      <c r="H6523" s="222"/>
    </row>
    <row r="6524" spans="1:9" s="212" customFormat="1">
      <c r="A6524" s="120"/>
      <c r="B6524" s="73"/>
      <c r="C6524" s="73"/>
      <c r="D6524" s="73"/>
      <c r="E6524" s="73"/>
      <c r="G6524" s="73"/>
      <c r="H6524" s="222"/>
    </row>
    <row r="6525" spans="1:9" s="212" customFormat="1">
      <c r="A6525" s="220"/>
      <c r="B6525" s="141"/>
      <c r="C6525" s="141"/>
      <c r="D6525" s="141"/>
      <c r="E6525" s="141"/>
      <c r="F6525" s="141"/>
      <c r="G6525" s="141"/>
      <c r="H6525" s="222"/>
    </row>
    <row r="6526" spans="1:9" s="212" customFormat="1">
      <c r="A6526" s="142"/>
      <c r="B6526" s="143"/>
      <c r="C6526" s="143"/>
      <c r="D6526" s="143"/>
      <c r="E6526" s="143"/>
      <c r="F6526" s="84"/>
      <c r="G6526" s="146"/>
      <c r="H6526" s="221"/>
    </row>
    <row r="6527" spans="1:9" s="212" customFormat="1">
      <c r="A6527" s="91"/>
      <c r="B6527" s="91"/>
      <c r="C6527" s="91"/>
      <c r="D6527" s="91"/>
      <c r="E6527" s="91"/>
      <c r="G6527" s="213"/>
      <c r="H6527" s="222"/>
    </row>
    <row r="6528" spans="1:9" s="212" customFormat="1">
      <c r="A6528" s="120"/>
      <c r="B6528" s="73"/>
      <c r="C6528" s="73"/>
      <c r="D6528" s="73"/>
      <c r="E6528" s="73"/>
      <c r="G6528" s="73"/>
      <c r="H6528" s="222"/>
    </row>
    <row r="6529" spans="1:9" s="212" customFormat="1">
      <c r="A6529" s="220"/>
      <c r="B6529" s="141"/>
      <c r="C6529" s="141"/>
      <c r="D6529" s="141"/>
      <c r="E6529" s="141"/>
      <c r="F6529" s="141"/>
      <c r="G6529" s="141"/>
      <c r="H6529" s="222"/>
    </row>
    <row r="6530" spans="1:9" s="212" customFormat="1">
      <c r="A6530" s="142"/>
      <c r="B6530" s="143"/>
      <c r="C6530" s="143"/>
      <c r="D6530" s="143"/>
      <c r="E6530" s="143"/>
      <c r="F6530" s="84"/>
      <c r="G6530" s="146"/>
      <c r="H6530" s="221"/>
    </row>
    <row r="6531" spans="1:9" s="212" customFormat="1">
      <c r="A6531" s="123"/>
      <c r="B6531" s="95"/>
      <c r="C6531" s="95"/>
      <c r="D6531" s="95"/>
      <c r="E6531" s="95"/>
      <c r="G6531" s="213"/>
      <c r="H6531" s="73"/>
    </row>
    <row r="6532" spans="1:9" s="212" customFormat="1">
      <c r="A6532" s="123"/>
      <c r="B6532" s="95"/>
      <c r="C6532" s="95"/>
      <c r="D6532" s="95"/>
      <c r="E6532" s="95"/>
      <c r="G6532" s="73"/>
      <c r="H6532" s="225"/>
    </row>
    <row r="6533" spans="1:9" s="212" customFormat="1">
      <c r="B6533" s="97"/>
      <c r="C6533" s="98"/>
      <c r="D6533" s="98"/>
      <c r="E6533" s="98"/>
      <c r="G6533" s="220"/>
    </row>
    <row r="6534" spans="1:9" s="212" customFormat="1">
      <c r="B6534" s="97"/>
      <c r="C6534" s="98"/>
      <c r="D6534" s="98"/>
      <c r="E6534" s="98"/>
      <c r="F6534" s="220"/>
      <c r="G6534" s="225"/>
      <c r="H6534" s="226"/>
    </row>
    <row r="6535" spans="1:9" s="212" customFormat="1">
      <c r="A6535" s="633"/>
      <c r="B6535" s="633"/>
      <c r="C6535" s="633"/>
      <c r="D6535" s="633"/>
      <c r="E6535" s="633"/>
      <c r="F6535" s="633"/>
      <c r="G6535" s="633"/>
    </row>
    <row r="6536" spans="1:9" s="212" customFormat="1">
      <c r="H6536" s="227"/>
      <c r="I6536" s="228"/>
    </row>
    <row r="6537" spans="1:9" s="212" customFormat="1">
      <c r="A6537" s="658"/>
      <c r="B6537" s="227"/>
      <c r="C6537" s="227"/>
      <c r="D6537" s="227"/>
      <c r="E6537" s="227"/>
      <c r="F6537" s="227"/>
      <c r="G6537" s="227"/>
      <c r="H6537" s="227"/>
      <c r="I6537" s="229"/>
    </row>
    <row r="6538" spans="1:9" s="212" customFormat="1">
      <c r="A6538" s="658"/>
      <c r="B6538" s="227"/>
      <c r="C6538" s="227"/>
      <c r="D6538" s="227"/>
      <c r="E6538" s="227"/>
      <c r="F6538" s="227"/>
      <c r="G6538" s="227"/>
    </row>
    <row r="6539" spans="1:9" s="212" customFormat="1">
      <c r="A6539" s="69"/>
      <c r="B6539" s="69"/>
      <c r="C6539" s="69"/>
      <c r="D6539" s="69"/>
      <c r="E6539" s="69"/>
    </row>
    <row r="6540" spans="1:9" s="212" customFormat="1">
      <c r="A6540" s="120"/>
      <c r="B6540" s="73"/>
      <c r="C6540" s="73"/>
      <c r="D6540" s="73"/>
      <c r="E6540" s="73"/>
      <c r="F6540" s="73"/>
      <c r="G6540" s="73"/>
      <c r="H6540" s="73"/>
    </row>
    <row r="6541" spans="1:9" s="212" customFormat="1">
      <c r="A6541" s="220"/>
      <c r="B6541" s="141"/>
      <c r="C6541" s="141"/>
      <c r="D6541" s="141"/>
      <c r="E6541" s="141"/>
      <c r="F6541" s="141"/>
      <c r="G6541" s="141"/>
      <c r="H6541" s="73"/>
    </row>
    <row r="6542" spans="1:9" s="212" customFormat="1">
      <c r="A6542" s="84"/>
      <c r="B6542" s="83"/>
      <c r="C6542" s="84"/>
      <c r="D6542" s="84"/>
      <c r="E6542" s="84"/>
      <c r="F6542" s="84"/>
      <c r="G6542" s="146"/>
      <c r="H6542" s="225"/>
    </row>
    <row r="6543" spans="1:9" s="212" customFormat="1">
      <c r="A6543" s="84"/>
      <c r="B6543" s="83"/>
      <c r="C6543" s="84"/>
      <c r="D6543" s="84"/>
      <c r="E6543" s="84"/>
      <c r="G6543" s="213"/>
      <c r="H6543" s="222"/>
    </row>
    <row r="6544" spans="1:9" s="212" customFormat="1">
      <c r="A6544" s="120"/>
      <c r="B6544" s="73"/>
      <c r="C6544" s="73"/>
      <c r="D6544" s="73"/>
      <c r="E6544" s="73"/>
      <c r="G6544" s="73"/>
      <c r="H6544" s="222"/>
    </row>
    <row r="6545" spans="1:8" s="212" customFormat="1">
      <c r="A6545" s="220"/>
      <c r="B6545" s="141"/>
      <c r="C6545" s="141"/>
      <c r="D6545" s="141"/>
      <c r="E6545" s="141"/>
      <c r="F6545" s="141"/>
      <c r="G6545" s="141"/>
      <c r="H6545" s="222"/>
    </row>
    <row r="6546" spans="1:8" s="212" customFormat="1">
      <c r="A6546" s="84"/>
      <c r="B6546" s="83"/>
      <c r="C6546" s="84"/>
      <c r="D6546" s="84"/>
      <c r="E6546" s="84"/>
      <c r="F6546" s="141"/>
      <c r="G6546" s="168"/>
      <c r="H6546" s="222"/>
    </row>
    <row r="6547" spans="1:8" s="212" customFormat="1">
      <c r="A6547" s="150"/>
      <c r="B6547" s="83"/>
      <c r="C6547" s="148"/>
      <c r="D6547" s="84"/>
      <c r="E6547" s="84"/>
      <c r="F6547" s="141"/>
      <c r="G6547" s="168"/>
      <c r="H6547" s="222"/>
    </row>
    <row r="6548" spans="1:8" s="212" customFormat="1">
      <c r="A6548" s="150"/>
      <c r="B6548" s="83"/>
      <c r="C6548" s="148"/>
      <c r="D6548" s="84"/>
      <c r="E6548" s="84"/>
      <c r="F6548" s="141"/>
      <c r="G6548" s="168"/>
      <c r="H6548" s="222"/>
    </row>
    <row r="6549" spans="1:8" s="212" customFormat="1">
      <c r="A6549" s="150"/>
      <c r="B6549" s="83"/>
      <c r="C6549" s="148"/>
      <c r="D6549" s="84"/>
      <c r="E6549" s="84"/>
      <c r="F6549" s="84"/>
      <c r="G6549" s="168"/>
      <c r="H6549" s="225"/>
    </row>
    <row r="6550" spans="1:8" s="212" customFormat="1">
      <c r="A6550" s="91"/>
      <c r="B6550" s="91"/>
      <c r="C6550" s="91"/>
      <c r="D6550" s="91"/>
      <c r="E6550" s="91"/>
      <c r="G6550" s="213"/>
      <c r="H6550" s="222"/>
    </row>
    <row r="6551" spans="1:8" s="212" customFormat="1">
      <c r="A6551" s="120"/>
      <c r="B6551" s="73"/>
      <c r="C6551" s="73"/>
      <c r="D6551" s="73"/>
      <c r="E6551" s="73"/>
      <c r="G6551" s="73"/>
      <c r="H6551" s="222"/>
    </row>
    <row r="6552" spans="1:8" s="212" customFormat="1">
      <c r="A6552" s="220"/>
      <c r="B6552" s="141"/>
      <c r="C6552" s="141"/>
      <c r="D6552" s="141"/>
      <c r="E6552" s="141"/>
      <c r="F6552" s="141"/>
      <c r="G6552" s="141"/>
      <c r="H6552" s="222"/>
    </row>
    <row r="6553" spans="1:8" s="212" customFormat="1">
      <c r="A6553" s="146"/>
      <c r="B6553" s="147"/>
      <c r="C6553" s="148"/>
      <c r="D6553" s="84"/>
      <c r="E6553" s="143"/>
      <c r="F6553" s="84"/>
      <c r="G6553" s="146"/>
      <c r="H6553" s="225"/>
    </row>
    <row r="6554" spans="1:8" s="212" customFormat="1">
      <c r="A6554" s="91"/>
      <c r="B6554" s="91"/>
      <c r="C6554" s="91"/>
      <c r="D6554" s="91"/>
      <c r="E6554" s="91"/>
      <c r="G6554" s="213"/>
      <c r="H6554" s="222"/>
    </row>
    <row r="6555" spans="1:8" s="212" customFormat="1">
      <c r="A6555" s="120"/>
      <c r="B6555" s="73"/>
      <c r="C6555" s="73"/>
      <c r="D6555" s="73"/>
      <c r="E6555" s="73"/>
      <c r="G6555" s="73"/>
      <c r="H6555" s="222"/>
    </row>
    <row r="6556" spans="1:8" s="212" customFormat="1">
      <c r="A6556" s="220"/>
      <c r="B6556" s="141"/>
      <c r="C6556" s="141"/>
      <c r="D6556" s="141"/>
      <c r="E6556" s="141"/>
      <c r="F6556" s="141"/>
      <c r="G6556" s="141"/>
      <c r="H6556" s="222"/>
    </row>
    <row r="6557" spans="1:8" s="212" customFormat="1">
      <c r="A6557" s="142"/>
      <c r="B6557" s="143"/>
      <c r="C6557" s="143"/>
      <c r="D6557" s="143"/>
      <c r="E6557" s="143"/>
      <c r="F6557" s="84"/>
      <c r="G6557" s="146"/>
      <c r="H6557" s="221"/>
    </row>
    <row r="6558" spans="1:8" s="212" customFormat="1">
      <c r="A6558" s="123"/>
      <c r="B6558" s="95"/>
      <c r="C6558" s="95"/>
      <c r="D6558" s="95"/>
      <c r="E6558" s="95"/>
      <c r="G6558" s="213"/>
      <c r="H6558" s="73"/>
    </row>
    <row r="6559" spans="1:8" s="212" customFormat="1">
      <c r="A6559" s="123"/>
      <c r="B6559" s="95"/>
      <c r="C6559" s="95"/>
      <c r="D6559" s="95"/>
      <c r="E6559" s="95"/>
      <c r="G6559" s="73"/>
      <c r="H6559" s="225"/>
    </row>
    <row r="6560" spans="1:8" s="212" customFormat="1">
      <c r="B6560" s="97"/>
      <c r="C6560" s="98"/>
      <c r="D6560" s="98"/>
      <c r="E6560" s="98"/>
      <c r="G6560" s="220"/>
    </row>
    <row r="6561" spans="1:9" s="212" customFormat="1">
      <c r="B6561" s="97"/>
      <c r="C6561" s="98"/>
      <c r="D6561" s="98"/>
      <c r="E6561" s="98"/>
      <c r="F6561" s="220"/>
      <c r="G6561" s="225"/>
      <c r="H6561" s="226"/>
    </row>
    <row r="6562" spans="1:9" s="212" customFormat="1">
      <c r="A6562" s="633"/>
      <c r="B6562" s="633"/>
      <c r="C6562" s="633"/>
      <c r="D6562" s="633"/>
      <c r="E6562" s="633"/>
      <c r="F6562" s="633"/>
      <c r="G6562" s="633"/>
    </row>
    <row r="6563" spans="1:9" s="212" customFormat="1">
      <c r="H6563" s="227"/>
      <c r="I6563" s="228"/>
    </row>
    <row r="6564" spans="1:9" s="212" customFormat="1">
      <c r="A6564" s="658"/>
      <c r="B6564" s="227"/>
      <c r="C6564" s="227"/>
      <c r="D6564" s="227"/>
      <c r="E6564" s="227"/>
      <c r="F6564" s="227"/>
      <c r="G6564" s="227"/>
      <c r="H6564" s="227"/>
      <c r="I6564" s="229"/>
    </row>
    <row r="6565" spans="1:9" s="212" customFormat="1">
      <c r="A6565" s="658"/>
      <c r="B6565" s="227"/>
      <c r="C6565" s="227"/>
      <c r="D6565" s="227"/>
      <c r="E6565" s="227"/>
      <c r="F6565" s="227"/>
      <c r="G6565" s="227"/>
    </row>
    <row r="6566" spans="1:9" s="212" customFormat="1">
      <c r="A6566" s="69"/>
      <c r="B6566" s="69"/>
      <c r="C6566" s="69"/>
      <c r="D6566" s="69"/>
      <c r="E6566" s="69"/>
    </row>
    <row r="6567" spans="1:9" s="212" customFormat="1">
      <c r="A6567" s="120"/>
      <c r="B6567" s="73"/>
      <c r="C6567" s="73"/>
      <c r="D6567" s="73"/>
      <c r="E6567" s="73"/>
      <c r="F6567" s="73"/>
      <c r="G6567" s="73"/>
      <c r="H6567" s="73"/>
    </row>
    <row r="6568" spans="1:9" s="212" customFormat="1">
      <c r="A6568" s="220"/>
      <c r="B6568" s="141"/>
      <c r="C6568" s="141"/>
      <c r="D6568" s="141"/>
      <c r="E6568" s="141"/>
      <c r="F6568" s="141"/>
      <c r="G6568" s="141"/>
      <c r="H6568" s="73"/>
    </row>
    <row r="6569" spans="1:9" s="212" customFormat="1">
      <c r="A6569" s="84"/>
      <c r="B6569" s="83"/>
      <c r="C6569" s="84"/>
      <c r="D6569" s="84"/>
      <c r="E6569" s="84"/>
      <c r="F6569" s="84"/>
      <c r="G6569" s="146"/>
      <c r="H6569" s="225"/>
    </row>
    <row r="6570" spans="1:9" s="212" customFormat="1">
      <c r="A6570" s="84"/>
      <c r="B6570" s="83"/>
      <c r="C6570" s="84"/>
      <c r="D6570" s="84"/>
      <c r="E6570" s="84"/>
      <c r="G6570" s="213"/>
      <c r="H6570" s="222"/>
    </row>
    <row r="6571" spans="1:9" s="212" customFormat="1">
      <c r="A6571" s="120"/>
      <c r="B6571" s="73"/>
      <c r="C6571" s="73"/>
      <c r="D6571" s="73"/>
      <c r="E6571" s="73"/>
      <c r="G6571" s="73"/>
      <c r="H6571" s="222"/>
    </row>
    <row r="6572" spans="1:9" s="212" customFormat="1">
      <c r="A6572" s="220"/>
      <c r="B6572" s="141"/>
      <c r="C6572" s="141"/>
      <c r="D6572" s="141"/>
      <c r="E6572" s="141"/>
      <c r="F6572" s="141"/>
      <c r="G6572" s="141"/>
      <c r="H6572" s="222"/>
    </row>
    <row r="6573" spans="1:9" s="212" customFormat="1">
      <c r="A6573" s="172"/>
      <c r="B6573" s="83"/>
      <c r="C6573" s="84"/>
      <c r="D6573" s="84"/>
      <c r="E6573" s="84"/>
      <c r="F6573" s="141"/>
      <c r="G6573" s="168"/>
      <c r="H6573" s="222"/>
    </row>
    <row r="6574" spans="1:9" s="212" customFormat="1">
      <c r="A6574" s="173"/>
      <c r="B6574" s="83"/>
      <c r="C6574" s="148"/>
      <c r="D6574" s="84"/>
      <c r="E6574" s="84"/>
      <c r="F6574" s="141"/>
      <c r="G6574" s="168"/>
      <c r="H6574" s="222"/>
    </row>
    <row r="6575" spans="1:9" s="212" customFormat="1">
      <c r="A6575" s="150"/>
      <c r="B6575" s="83"/>
      <c r="C6575" s="148"/>
      <c r="D6575" s="84"/>
      <c r="E6575" s="84"/>
      <c r="F6575" s="141"/>
      <c r="G6575" s="168"/>
      <c r="H6575" s="222"/>
    </row>
    <row r="6576" spans="1:9" s="212" customFormat="1">
      <c r="A6576" s="150"/>
      <c r="B6576" s="83"/>
      <c r="C6576" s="148"/>
      <c r="D6576" s="84"/>
      <c r="E6576" s="84"/>
      <c r="F6576" s="84"/>
      <c r="G6576" s="168"/>
      <c r="H6576" s="225"/>
    </row>
    <row r="6577" spans="1:9" s="212" customFormat="1">
      <c r="A6577" s="91"/>
      <c r="B6577" s="91"/>
      <c r="C6577" s="91"/>
      <c r="D6577" s="91"/>
      <c r="E6577" s="91"/>
      <c r="G6577" s="213"/>
      <c r="H6577" s="222"/>
    </row>
    <row r="6578" spans="1:9" s="212" customFormat="1">
      <c r="A6578" s="120"/>
      <c r="B6578" s="73"/>
      <c r="C6578" s="73"/>
      <c r="D6578" s="73"/>
      <c r="E6578" s="73"/>
      <c r="G6578" s="73"/>
      <c r="H6578" s="222"/>
    </row>
    <row r="6579" spans="1:9" s="212" customFormat="1">
      <c r="A6579" s="220"/>
      <c r="B6579" s="141"/>
      <c r="C6579" s="141"/>
      <c r="D6579" s="141"/>
      <c r="E6579" s="141"/>
      <c r="F6579" s="141"/>
      <c r="G6579" s="141"/>
      <c r="H6579" s="222"/>
    </row>
    <row r="6580" spans="1:9" s="212" customFormat="1">
      <c r="A6580" s="146"/>
      <c r="B6580" s="147"/>
      <c r="C6580" s="148"/>
      <c r="D6580" s="84"/>
      <c r="E6580" s="143"/>
      <c r="F6580" s="84"/>
      <c r="G6580" s="146"/>
      <c r="H6580" s="225"/>
    </row>
    <row r="6581" spans="1:9" s="212" customFormat="1">
      <c r="A6581" s="91"/>
      <c r="B6581" s="91"/>
      <c r="C6581" s="91"/>
      <c r="D6581" s="91"/>
      <c r="E6581" s="91"/>
      <c r="G6581" s="213"/>
      <c r="H6581" s="222"/>
    </row>
    <row r="6582" spans="1:9" s="212" customFormat="1">
      <c r="A6582" s="120"/>
      <c r="B6582" s="73"/>
      <c r="C6582" s="73"/>
      <c r="D6582" s="73"/>
      <c r="E6582" s="73"/>
      <c r="G6582" s="73"/>
      <c r="H6582" s="222"/>
    </row>
    <row r="6583" spans="1:9" s="212" customFormat="1">
      <c r="A6583" s="220"/>
      <c r="B6583" s="141"/>
      <c r="C6583" s="141"/>
      <c r="D6583" s="141"/>
      <c r="E6583" s="141"/>
      <c r="F6583" s="141"/>
      <c r="G6583" s="141"/>
      <c r="H6583" s="222"/>
    </row>
    <row r="6584" spans="1:9" s="212" customFormat="1">
      <c r="A6584" s="142"/>
      <c r="B6584" s="143"/>
      <c r="C6584" s="143"/>
      <c r="D6584" s="143"/>
      <c r="E6584" s="143"/>
      <c r="F6584" s="84"/>
      <c r="G6584" s="146"/>
      <c r="H6584" s="221"/>
    </row>
    <row r="6585" spans="1:9" s="212" customFormat="1">
      <c r="A6585" s="123"/>
      <c r="B6585" s="95"/>
      <c r="C6585" s="95"/>
      <c r="D6585" s="95"/>
      <c r="E6585" s="95"/>
      <c r="G6585" s="213"/>
      <c r="H6585" s="73"/>
    </row>
    <row r="6586" spans="1:9" s="212" customFormat="1">
      <c r="A6586" s="123"/>
      <c r="B6586" s="95"/>
      <c r="C6586" s="95"/>
      <c r="D6586" s="95"/>
      <c r="E6586" s="95"/>
      <c r="G6586" s="73"/>
      <c r="H6586" s="225"/>
    </row>
    <row r="6587" spans="1:9" s="212" customFormat="1">
      <c r="B6587" s="97"/>
      <c r="C6587" s="98"/>
      <c r="D6587" s="98"/>
      <c r="E6587" s="98"/>
      <c r="G6587" s="220"/>
    </row>
    <row r="6588" spans="1:9" s="212" customFormat="1">
      <c r="B6588" s="97"/>
      <c r="C6588" s="98"/>
      <c r="D6588" s="98"/>
      <c r="E6588" s="98"/>
      <c r="F6588" s="220"/>
      <c r="G6588" s="225"/>
      <c r="H6588" s="226"/>
    </row>
    <row r="6589" spans="1:9" s="212" customFormat="1">
      <c r="A6589" s="633"/>
      <c r="B6589" s="633"/>
      <c r="C6589" s="633"/>
      <c r="D6589" s="633"/>
      <c r="E6589" s="633"/>
      <c r="F6589" s="633"/>
      <c r="G6589" s="633"/>
    </row>
    <row r="6590" spans="1:9" s="212" customFormat="1">
      <c r="H6590" s="227"/>
      <c r="I6590" s="228"/>
    </row>
    <row r="6591" spans="1:9" s="212" customFormat="1">
      <c r="A6591" s="658"/>
      <c r="B6591" s="227"/>
      <c r="C6591" s="227"/>
      <c r="D6591" s="227"/>
      <c r="E6591" s="227"/>
      <c r="F6591" s="227"/>
      <c r="G6591" s="227"/>
      <c r="H6591" s="227"/>
      <c r="I6591" s="229"/>
    </row>
    <row r="6592" spans="1:9" s="212" customFormat="1">
      <c r="A6592" s="658"/>
      <c r="B6592" s="227"/>
      <c r="C6592" s="227"/>
      <c r="D6592" s="227"/>
      <c r="E6592" s="227"/>
      <c r="F6592" s="227"/>
      <c r="G6592" s="227"/>
    </row>
    <row r="6593" spans="1:8" s="212" customFormat="1">
      <c r="A6593" s="69"/>
      <c r="B6593" s="69"/>
      <c r="C6593" s="69"/>
      <c r="D6593" s="69"/>
      <c r="E6593" s="69"/>
    </row>
    <row r="6594" spans="1:8" s="212" customFormat="1">
      <c r="A6594" s="120"/>
      <c r="B6594" s="73"/>
      <c r="C6594" s="73"/>
      <c r="D6594" s="73"/>
      <c r="E6594" s="73"/>
      <c r="F6594" s="73"/>
      <c r="G6594" s="73"/>
      <c r="H6594" s="73"/>
    </row>
    <row r="6595" spans="1:8" s="212" customFormat="1">
      <c r="A6595" s="220"/>
      <c r="B6595" s="141"/>
      <c r="C6595" s="141"/>
      <c r="D6595" s="141"/>
      <c r="E6595" s="141"/>
      <c r="F6595" s="141"/>
      <c r="G6595" s="141"/>
      <c r="H6595" s="73"/>
    </row>
    <row r="6596" spans="1:8" s="212" customFormat="1">
      <c r="A6596" s="84"/>
      <c r="B6596" s="83"/>
      <c r="C6596" s="84"/>
      <c r="D6596" s="84"/>
      <c r="E6596" s="84"/>
      <c r="F6596" s="84"/>
      <c r="G6596" s="146"/>
      <c r="H6596" s="225"/>
    </row>
    <row r="6597" spans="1:8" s="212" customFormat="1">
      <c r="A6597" s="84"/>
      <c r="B6597" s="83"/>
      <c r="C6597" s="84"/>
      <c r="D6597" s="84"/>
      <c r="E6597" s="84"/>
      <c r="G6597" s="213"/>
      <c r="H6597" s="222"/>
    </row>
    <row r="6598" spans="1:8" s="212" customFormat="1">
      <c r="A6598" s="120"/>
      <c r="B6598" s="73"/>
      <c r="C6598" s="73"/>
      <c r="D6598" s="73"/>
      <c r="E6598" s="73"/>
      <c r="G6598" s="73"/>
      <c r="H6598" s="222"/>
    </row>
    <row r="6599" spans="1:8" s="212" customFormat="1">
      <c r="A6599" s="220"/>
      <c r="B6599" s="141"/>
      <c r="C6599" s="141"/>
      <c r="D6599" s="141"/>
      <c r="E6599" s="141"/>
      <c r="F6599" s="141"/>
      <c r="G6599" s="141"/>
      <c r="H6599" s="222"/>
    </row>
    <row r="6600" spans="1:8" s="212" customFormat="1">
      <c r="A6600" s="172"/>
      <c r="B6600" s="83"/>
      <c r="C6600" s="84"/>
      <c r="D6600" s="84"/>
      <c r="E6600" s="84"/>
      <c r="F6600" s="141"/>
      <c r="G6600" s="168"/>
      <c r="H6600" s="222"/>
    </row>
    <row r="6601" spans="1:8" s="212" customFormat="1">
      <c r="A6601" s="173"/>
      <c r="B6601" s="83"/>
      <c r="C6601" s="148"/>
      <c r="D6601" s="84"/>
      <c r="E6601" s="84"/>
      <c r="F6601" s="141"/>
      <c r="G6601" s="168"/>
      <c r="H6601" s="222"/>
    </row>
    <row r="6602" spans="1:8" s="212" customFormat="1">
      <c r="A6602" s="150"/>
      <c r="B6602" s="83"/>
      <c r="C6602" s="148"/>
      <c r="D6602" s="84"/>
      <c r="E6602" s="84"/>
      <c r="F6602" s="84"/>
      <c r="G6602" s="168"/>
      <c r="H6602" s="225"/>
    </row>
    <row r="6603" spans="1:8" s="212" customFormat="1">
      <c r="A6603" s="91"/>
      <c r="B6603" s="91"/>
      <c r="C6603" s="91"/>
      <c r="D6603" s="91"/>
      <c r="E6603" s="91"/>
      <c r="G6603" s="213"/>
      <c r="H6603" s="222"/>
    </row>
    <row r="6604" spans="1:8" s="212" customFormat="1">
      <c r="A6604" s="120"/>
      <c r="B6604" s="73"/>
      <c r="C6604" s="73"/>
      <c r="D6604" s="73"/>
      <c r="E6604" s="73"/>
      <c r="G6604" s="73"/>
      <c r="H6604" s="222"/>
    </row>
    <row r="6605" spans="1:8" s="212" customFormat="1">
      <c r="A6605" s="220"/>
      <c r="B6605" s="141"/>
      <c r="C6605" s="141"/>
      <c r="D6605" s="141"/>
      <c r="E6605" s="141"/>
      <c r="F6605" s="141"/>
      <c r="G6605" s="141"/>
      <c r="H6605" s="222"/>
    </row>
    <row r="6606" spans="1:8" s="212" customFormat="1">
      <c r="A6606" s="146"/>
      <c r="B6606" s="147"/>
      <c r="C6606" s="148"/>
      <c r="D6606" s="84"/>
      <c r="E6606" s="143"/>
      <c r="F6606" s="84"/>
      <c r="G6606" s="146"/>
      <c r="H6606" s="225"/>
    </row>
    <row r="6607" spans="1:8" s="212" customFormat="1">
      <c r="A6607" s="91"/>
      <c r="B6607" s="91"/>
      <c r="C6607" s="91"/>
      <c r="D6607" s="91"/>
      <c r="E6607" s="91"/>
      <c r="G6607" s="213"/>
      <c r="H6607" s="222"/>
    </row>
    <row r="6608" spans="1:8" s="212" customFormat="1">
      <c r="A6608" s="120"/>
      <c r="B6608" s="73"/>
      <c r="C6608" s="73"/>
      <c r="D6608" s="73"/>
      <c r="E6608" s="73"/>
      <c r="G6608" s="73"/>
      <c r="H6608" s="222"/>
    </row>
    <row r="6609" spans="1:9" s="212" customFormat="1">
      <c r="A6609" s="220"/>
      <c r="B6609" s="141"/>
      <c r="C6609" s="141"/>
      <c r="D6609" s="141"/>
      <c r="E6609" s="141"/>
      <c r="F6609" s="141"/>
      <c r="G6609" s="141"/>
      <c r="H6609" s="222"/>
    </row>
    <row r="6610" spans="1:9" s="212" customFormat="1">
      <c r="A6610" s="142"/>
      <c r="B6610" s="143"/>
      <c r="C6610" s="143"/>
      <c r="D6610" s="143"/>
      <c r="E6610" s="143"/>
      <c r="F6610" s="84"/>
      <c r="G6610" s="146"/>
      <c r="H6610" s="221"/>
    </row>
    <row r="6611" spans="1:9" s="212" customFormat="1">
      <c r="A6611" s="123"/>
      <c r="B6611" s="95"/>
      <c r="C6611" s="95"/>
      <c r="D6611" s="95"/>
      <c r="E6611" s="95"/>
      <c r="G6611" s="213"/>
      <c r="H6611" s="73"/>
    </row>
    <row r="6612" spans="1:9" s="212" customFormat="1">
      <c r="A6612" s="123"/>
      <c r="B6612" s="95"/>
      <c r="C6612" s="95"/>
      <c r="D6612" s="95"/>
      <c r="E6612" s="95"/>
      <c r="G6612" s="73"/>
      <c r="H6612" s="225"/>
    </row>
    <row r="6613" spans="1:9" s="212" customFormat="1">
      <c r="B6613" s="97"/>
      <c r="C6613" s="98"/>
      <c r="D6613" s="98"/>
      <c r="E6613" s="98"/>
      <c r="G6613" s="220"/>
    </row>
    <row r="6614" spans="1:9" s="212" customFormat="1">
      <c r="B6614" s="97"/>
      <c r="C6614" s="98"/>
      <c r="D6614" s="98"/>
      <c r="E6614" s="98"/>
      <c r="F6614" s="220"/>
      <c r="G6614" s="225"/>
      <c r="H6614" s="226"/>
    </row>
    <row r="6615" spans="1:9" s="212" customFormat="1">
      <c r="A6615" s="633"/>
      <c r="B6615" s="633"/>
      <c r="C6615" s="633"/>
      <c r="D6615" s="633"/>
      <c r="E6615" s="633"/>
      <c r="F6615" s="633"/>
      <c r="G6615" s="633"/>
    </row>
    <row r="6616" spans="1:9" s="212" customFormat="1">
      <c r="H6616" s="227"/>
      <c r="I6616" s="228"/>
    </row>
    <row r="6617" spans="1:9" s="212" customFormat="1">
      <c r="A6617" s="658"/>
      <c r="B6617" s="227"/>
      <c r="C6617" s="227"/>
      <c r="D6617" s="227"/>
      <c r="E6617" s="227"/>
      <c r="F6617" s="227"/>
      <c r="G6617" s="227"/>
      <c r="H6617" s="227"/>
      <c r="I6617" s="229"/>
    </row>
    <row r="6618" spans="1:9" s="212" customFormat="1">
      <c r="A6618" s="658"/>
      <c r="B6618" s="227"/>
      <c r="C6618" s="227"/>
      <c r="D6618" s="227"/>
      <c r="E6618" s="227"/>
      <c r="F6618" s="227"/>
      <c r="G6618" s="227"/>
    </row>
    <row r="6619" spans="1:9" s="212" customFormat="1">
      <c r="A6619" s="69"/>
      <c r="B6619" s="69"/>
      <c r="C6619" s="69"/>
      <c r="D6619" s="69"/>
      <c r="E6619" s="69"/>
    </row>
    <row r="6620" spans="1:9" s="212" customFormat="1">
      <c r="A6620" s="120"/>
      <c r="B6620" s="73"/>
      <c r="C6620" s="73"/>
      <c r="D6620" s="73"/>
      <c r="E6620" s="73"/>
      <c r="F6620" s="73"/>
      <c r="G6620" s="73"/>
      <c r="H6620" s="73"/>
    </row>
    <row r="6621" spans="1:9" s="212" customFormat="1">
      <c r="A6621" s="220"/>
      <c r="B6621" s="141"/>
      <c r="C6621" s="141"/>
      <c r="D6621" s="141"/>
      <c r="E6621" s="141"/>
      <c r="F6621" s="141"/>
      <c r="G6621" s="141"/>
      <c r="H6621" s="73"/>
    </row>
    <row r="6622" spans="1:9" s="212" customFormat="1">
      <c r="A6622" s="84"/>
      <c r="B6622" s="83"/>
      <c r="C6622" s="84"/>
      <c r="D6622" s="84"/>
      <c r="E6622" s="84"/>
      <c r="F6622" s="84"/>
      <c r="G6622" s="146"/>
      <c r="H6622" s="225"/>
    </row>
    <row r="6623" spans="1:9" s="212" customFormat="1">
      <c r="A6623" s="84"/>
      <c r="B6623" s="83"/>
      <c r="C6623" s="84"/>
      <c r="D6623" s="84"/>
      <c r="E6623" s="84"/>
      <c r="G6623" s="213"/>
      <c r="H6623" s="222"/>
    </row>
    <row r="6624" spans="1:9" s="212" customFormat="1">
      <c r="A6624" s="120"/>
      <c r="B6624" s="73"/>
      <c r="C6624" s="73"/>
      <c r="D6624" s="73"/>
      <c r="E6624" s="73"/>
      <c r="G6624" s="73"/>
      <c r="H6624" s="222"/>
    </row>
    <row r="6625" spans="1:8" s="212" customFormat="1">
      <c r="A6625" s="220"/>
      <c r="B6625" s="141"/>
      <c r="C6625" s="141"/>
      <c r="D6625" s="141"/>
      <c r="E6625" s="141"/>
      <c r="F6625" s="141"/>
      <c r="G6625" s="141"/>
      <c r="H6625" s="222"/>
    </row>
    <row r="6626" spans="1:8" s="212" customFormat="1">
      <c r="A6626" s="172"/>
      <c r="B6626" s="83"/>
      <c r="C6626" s="84"/>
      <c r="D6626" s="84"/>
      <c r="E6626" s="84"/>
      <c r="F6626" s="141"/>
      <c r="G6626" s="168"/>
      <c r="H6626" s="222"/>
    </row>
    <row r="6627" spans="1:8" s="212" customFormat="1">
      <c r="A6627" s="173"/>
      <c r="B6627" s="83"/>
      <c r="C6627" s="148"/>
      <c r="D6627" s="84"/>
      <c r="E6627" s="84"/>
      <c r="F6627" s="141"/>
      <c r="G6627" s="168"/>
      <c r="H6627" s="222"/>
    </row>
    <row r="6628" spans="1:8" s="212" customFormat="1">
      <c r="A6628" s="150"/>
      <c r="B6628" s="83"/>
      <c r="C6628" s="148"/>
      <c r="D6628" s="84"/>
      <c r="E6628" s="84"/>
      <c r="F6628" s="84"/>
      <c r="G6628" s="168"/>
      <c r="H6628" s="225"/>
    </row>
    <row r="6629" spans="1:8" s="212" customFormat="1">
      <c r="A6629" s="91"/>
      <c r="B6629" s="91"/>
      <c r="C6629" s="91"/>
      <c r="D6629" s="91"/>
      <c r="E6629" s="91"/>
      <c r="G6629" s="213"/>
      <c r="H6629" s="222"/>
    </row>
    <row r="6630" spans="1:8" s="212" customFormat="1">
      <c r="A6630" s="120"/>
      <c r="B6630" s="73"/>
      <c r="C6630" s="73"/>
      <c r="D6630" s="73"/>
      <c r="E6630" s="73"/>
      <c r="G6630" s="73"/>
      <c r="H6630" s="222"/>
    </row>
    <row r="6631" spans="1:8" s="212" customFormat="1">
      <c r="A6631" s="220"/>
      <c r="B6631" s="141"/>
      <c r="C6631" s="141"/>
      <c r="D6631" s="141"/>
      <c r="E6631" s="141"/>
      <c r="F6631" s="141"/>
      <c r="G6631" s="141"/>
      <c r="H6631" s="222"/>
    </row>
    <row r="6632" spans="1:8" s="212" customFormat="1">
      <c r="A6632" s="146"/>
      <c r="B6632" s="147"/>
      <c r="C6632" s="148"/>
      <c r="D6632" s="84"/>
      <c r="E6632" s="143"/>
      <c r="F6632" s="84"/>
      <c r="G6632" s="146"/>
      <c r="H6632" s="225"/>
    </row>
    <row r="6633" spans="1:8" s="212" customFormat="1">
      <c r="A6633" s="91"/>
      <c r="B6633" s="91"/>
      <c r="C6633" s="91"/>
      <c r="D6633" s="91"/>
      <c r="E6633" s="91"/>
      <c r="G6633" s="213"/>
      <c r="H6633" s="222"/>
    </row>
    <row r="6634" spans="1:8" s="212" customFormat="1">
      <c r="A6634" s="120"/>
      <c r="B6634" s="73"/>
      <c r="C6634" s="73"/>
      <c r="D6634" s="73"/>
      <c r="E6634" s="73"/>
      <c r="G6634" s="73"/>
      <c r="H6634" s="222"/>
    </row>
    <row r="6635" spans="1:8" s="212" customFormat="1">
      <c r="A6635" s="220"/>
      <c r="B6635" s="141"/>
      <c r="C6635" s="141"/>
      <c r="D6635" s="141"/>
      <c r="E6635" s="141"/>
      <c r="F6635" s="141"/>
      <c r="G6635" s="141"/>
      <c r="H6635" s="222"/>
    </row>
    <row r="6636" spans="1:8" s="212" customFormat="1">
      <c r="A6636" s="142"/>
      <c r="B6636" s="143"/>
      <c r="C6636" s="143"/>
      <c r="D6636" s="143"/>
      <c r="E6636" s="143"/>
      <c r="F6636" s="84"/>
      <c r="G6636" s="146"/>
      <c r="H6636" s="221"/>
    </row>
    <row r="6637" spans="1:8" s="212" customFormat="1">
      <c r="A6637" s="123"/>
      <c r="B6637" s="95"/>
      <c r="C6637" s="95"/>
      <c r="D6637" s="95"/>
      <c r="E6637" s="95"/>
      <c r="G6637" s="213"/>
      <c r="H6637" s="73"/>
    </row>
    <row r="6638" spans="1:8" s="212" customFormat="1">
      <c r="A6638" s="123"/>
      <c r="B6638" s="95"/>
      <c r="C6638" s="95"/>
      <c r="D6638" s="95"/>
      <c r="E6638" s="95"/>
      <c r="G6638" s="73"/>
      <c r="H6638" s="225"/>
    </row>
    <row r="6639" spans="1:8" s="212" customFormat="1">
      <c r="B6639" s="97"/>
      <c r="C6639" s="98"/>
      <c r="D6639" s="98"/>
      <c r="E6639" s="98"/>
      <c r="G6639" s="220"/>
    </row>
    <row r="6640" spans="1:8" s="212" customFormat="1">
      <c r="B6640" s="97"/>
      <c r="C6640" s="98"/>
      <c r="D6640" s="98"/>
      <c r="E6640" s="98"/>
      <c r="F6640" s="220"/>
      <c r="G6640" s="225"/>
      <c r="H6640" s="226"/>
    </row>
    <row r="6641" spans="1:9" s="212" customFormat="1">
      <c r="A6641" s="633"/>
      <c r="B6641" s="633"/>
      <c r="C6641" s="633"/>
      <c r="D6641" s="633"/>
      <c r="E6641" s="633"/>
      <c r="F6641" s="633"/>
      <c r="G6641" s="633"/>
    </row>
    <row r="6642" spans="1:9" s="212" customFormat="1">
      <c r="H6642" s="227"/>
      <c r="I6642" s="228"/>
    </row>
    <row r="6643" spans="1:9" s="212" customFormat="1">
      <c r="A6643" s="658"/>
      <c r="B6643" s="227"/>
      <c r="C6643" s="227"/>
      <c r="D6643" s="227"/>
      <c r="E6643" s="227"/>
      <c r="F6643" s="227"/>
      <c r="G6643" s="227"/>
      <c r="H6643" s="227"/>
      <c r="I6643" s="229"/>
    </row>
    <row r="6644" spans="1:9" s="212" customFormat="1">
      <c r="A6644" s="658"/>
      <c r="B6644" s="227"/>
      <c r="C6644" s="227"/>
      <c r="D6644" s="227"/>
      <c r="E6644" s="227"/>
      <c r="F6644" s="227"/>
      <c r="G6644" s="227"/>
    </row>
    <row r="6645" spans="1:9" s="212" customFormat="1">
      <c r="A6645" s="69"/>
      <c r="B6645" s="69"/>
      <c r="C6645" s="69"/>
      <c r="D6645" s="69"/>
      <c r="E6645" s="69"/>
    </row>
    <row r="6646" spans="1:9" s="212" customFormat="1">
      <c r="A6646" s="120"/>
      <c r="B6646" s="73"/>
      <c r="C6646" s="73"/>
      <c r="D6646" s="73"/>
      <c r="E6646" s="73"/>
      <c r="F6646" s="73"/>
      <c r="G6646" s="73"/>
      <c r="H6646" s="73"/>
    </row>
    <row r="6647" spans="1:9" s="212" customFormat="1">
      <c r="A6647" s="220"/>
      <c r="B6647" s="141"/>
      <c r="C6647" s="141"/>
      <c r="D6647" s="141"/>
      <c r="E6647" s="141"/>
      <c r="F6647" s="141"/>
      <c r="G6647" s="141"/>
      <c r="H6647" s="73"/>
    </row>
    <row r="6648" spans="1:9" s="212" customFormat="1">
      <c r="A6648" s="84"/>
      <c r="B6648" s="83"/>
      <c r="C6648" s="84"/>
      <c r="D6648" s="84"/>
      <c r="E6648" s="84"/>
      <c r="F6648" s="84"/>
      <c r="G6648" s="146"/>
      <c r="H6648" s="225"/>
    </row>
    <row r="6649" spans="1:9" s="212" customFormat="1">
      <c r="A6649" s="84"/>
      <c r="B6649" s="83"/>
      <c r="C6649" s="84"/>
      <c r="D6649" s="84"/>
      <c r="E6649" s="84"/>
      <c r="G6649" s="213"/>
      <c r="H6649" s="222"/>
    </row>
    <row r="6650" spans="1:9" s="212" customFormat="1">
      <c r="A6650" s="120"/>
      <c r="B6650" s="73"/>
      <c r="C6650" s="73"/>
      <c r="D6650" s="73"/>
      <c r="E6650" s="73"/>
      <c r="G6650" s="73"/>
      <c r="H6650" s="222"/>
    </row>
    <row r="6651" spans="1:9" s="212" customFormat="1">
      <c r="A6651" s="220"/>
      <c r="B6651" s="141"/>
      <c r="C6651" s="141"/>
      <c r="D6651" s="141"/>
      <c r="E6651" s="141"/>
      <c r="F6651" s="141"/>
      <c r="G6651" s="141"/>
      <c r="H6651" s="222"/>
    </row>
    <row r="6652" spans="1:9" s="212" customFormat="1">
      <c r="A6652" s="172"/>
      <c r="B6652" s="83"/>
      <c r="C6652" s="84"/>
      <c r="D6652" s="84"/>
      <c r="E6652" s="84"/>
      <c r="F6652" s="141"/>
      <c r="G6652" s="168"/>
      <c r="H6652" s="222"/>
    </row>
    <row r="6653" spans="1:9" s="212" customFormat="1">
      <c r="A6653" s="173"/>
      <c r="B6653" s="83"/>
      <c r="C6653" s="148"/>
      <c r="D6653" s="84"/>
      <c r="E6653" s="84"/>
      <c r="F6653" s="141"/>
      <c r="G6653" s="168"/>
      <c r="H6653" s="222"/>
    </row>
    <row r="6654" spans="1:9" s="212" customFormat="1">
      <c r="A6654" s="150"/>
      <c r="B6654" s="83"/>
      <c r="C6654" s="148"/>
      <c r="D6654" s="84"/>
      <c r="E6654" s="84"/>
      <c r="F6654" s="84"/>
      <c r="G6654" s="168"/>
      <c r="H6654" s="225"/>
    </row>
    <row r="6655" spans="1:9" s="212" customFormat="1">
      <c r="A6655" s="91"/>
      <c r="B6655" s="91"/>
      <c r="C6655" s="91"/>
      <c r="D6655" s="91"/>
      <c r="E6655" s="91"/>
      <c r="G6655" s="213"/>
      <c r="H6655" s="222"/>
    </row>
    <row r="6656" spans="1:9" s="212" customFormat="1">
      <c r="A6656" s="120"/>
      <c r="B6656" s="73"/>
      <c r="C6656" s="73"/>
      <c r="D6656" s="73"/>
      <c r="E6656" s="73"/>
      <c r="G6656" s="73"/>
      <c r="H6656" s="222"/>
    </row>
    <row r="6657" spans="1:9" s="212" customFormat="1">
      <c r="A6657" s="220"/>
      <c r="B6657" s="141"/>
      <c r="C6657" s="141"/>
      <c r="D6657" s="141"/>
      <c r="E6657" s="141"/>
      <c r="F6657" s="141"/>
      <c r="G6657" s="141"/>
      <c r="H6657" s="222"/>
    </row>
    <row r="6658" spans="1:9" s="212" customFormat="1">
      <c r="A6658" s="146"/>
      <c r="B6658" s="147"/>
      <c r="C6658" s="148"/>
      <c r="D6658" s="84"/>
      <c r="E6658" s="143"/>
      <c r="F6658" s="84"/>
      <c r="G6658" s="146"/>
      <c r="H6658" s="225"/>
    </row>
    <row r="6659" spans="1:9" s="212" customFormat="1">
      <c r="A6659" s="91"/>
      <c r="B6659" s="91"/>
      <c r="C6659" s="91"/>
      <c r="D6659" s="91"/>
      <c r="E6659" s="91"/>
      <c r="G6659" s="213"/>
      <c r="H6659" s="222"/>
    </row>
    <row r="6660" spans="1:9" s="212" customFormat="1">
      <c r="A6660" s="120"/>
      <c r="B6660" s="73"/>
      <c r="C6660" s="73"/>
      <c r="D6660" s="73"/>
      <c r="E6660" s="73"/>
      <c r="G6660" s="73"/>
      <c r="H6660" s="222"/>
    </row>
    <row r="6661" spans="1:9" s="212" customFormat="1">
      <c r="A6661" s="220"/>
      <c r="B6661" s="141"/>
      <c r="C6661" s="141"/>
      <c r="D6661" s="141"/>
      <c r="E6661" s="141"/>
      <c r="F6661" s="141"/>
      <c r="G6661" s="141"/>
      <c r="H6661" s="222"/>
    </row>
    <row r="6662" spans="1:9" s="212" customFormat="1">
      <c r="A6662" s="142"/>
      <c r="B6662" s="143"/>
      <c r="C6662" s="143"/>
      <c r="D6662" s="143"/>
      <c r="E6662" s="143"/>
      <c r="F6662" s="84"/>
      <c r="G6662" s="146"/>
      <c r="H6662" s="221"/>
    </row>
    <row r="6663" spans="1:9" s="212" customFormat="1">
      <c r="A6663" s="123"/>
      <c r="B6663" s="95"/>
      <c r="C6663" s="95"/>
      <c r="D6663" s="95"/>
      <c r="E6663" s="95"/>
      <c r="G6663" s="213"/>
      <c r="H6663" s="73"/>
    </row>
    <row r="6664" spans="1:9" s="212" customFormat="1">
      <c r="A6664" s="123"/>
      <c r="B6664" s="95"/>
      <c r="C6664" s="95"/>
      <c r="D6664" s="95"/>
      <c r="E6664" s="95"/>
      <c r="G6664" s="73"/>
      <c r="H6664" s="225"/>
    </row>
    <row r="6665" spans="1:9" s="212" customFormat="1">
      <c r="B6665" s="97"/>
      <c r="C6665" s="98"/>
      <c r="D6665" s="98"/>
      <c r="E6665" s="98"/>
      <c r="G6665" s="220"/>
    </row>
    <row r="6666" spans="1:9" s="212" customFormat="1">
      <c r="B6666" s="97"/>
      <c r="C6666" s="98"/>
      <c r="D6666" s="98"/>
      <c r="E6666" s="98"/>
      <c r="F6666" s="220"/>
      <c r="G6666" s="225"/>
      <c r="H6666" s="226"/>
    </row>
    <row r="6667" spans="1:9" s="212" customFormat="1">
      <c r="A6667" s="633"/>
      <c r="B6667" s="633"/>
      <c r="C6667" s="633"/>
      <c r="D6667" s="633"/>
      <c r="E6667" s="633"/>
      <c r="F6667" s="633"/>
      <c r="G6667" s="633"/>
    </row>
    <row r="6668" spans="1:9" s="212" customFormat="1">
      <c r="H6668" s="227"/>
      <c r="I6668" s="228"/>
    </row>
    <row r="6669" spans="1:9" s="212" customFormat="1">
      <c r="A6669" s="658"/>
      <c r="B6669" s="227"/>
      <c r="C6669" s="227"/>
      <c r="D6669" s="227"/>
      <c r="E6669" s="227"/>
      <c r="F6669" s="227"/>
      <c r="G6669" s="227"/>
      <c r="H6669" s="227"/>
      <c r="I6669" s="229"/>
    </row>
    <row r="6670" spans="1:9" s="212" customFormat="1">
      <c r="A6670" s="658"/>
      <c r="B6670" s="227"/>
      <c r="C6670" s="227"/>
      <c r="D6670" s="227"/>
      <c r="E6670" s="227"/>
      <c r="F6670" s="227"/>
      <c r="G6670" s="227"/>
    </row>
    <row r="6671" spans="1:9" s="212" customFormat="1">
      <c r="A6671" s="69"/>
      <c r="B6671" s="69"/>
      <c r="C6671" s="69"/>
      <c r="D6671" s="69"/>
      <c r="E6671" s="69"/>
    </row>
    <row r="6672" spans="1:9" s="212" customFormat="1">
      <c r="A6672" s="120"/>
      <c r="B6672" s="73"/>
      <c r="C6672" s="73"/>
      <c r="D6672" s="73"/>
      <c r="E6672" s="73"/>
      <c r="F6672" s="73"/>
      <c r="G6672" s="73"/>
      <c r="H6672" s="73"/>
    </row>
    <row r="6673" spans="1:8" s="212" customFormat="1">
      <c r="A6673" s="220"/>
      <c r="B6673" s="141"/>
      <c r="C6673" s="141"/>
      <c r="D6673" s="141"/>
      <c r="E6673" s="141"/>
      <c r="F6673" s="141"/>
      <c r="G6673" s="141"/>
      <c r="H6673" s="73"/>
    </row>
    <row r="6674" spans="1:8" s="212" customFormat="1">
      <c r="A6674" s="84"/>
      <c r="B6674" s="83"/>
      <c r="C6674" s="84"/>
      <c r="D6674" s="84"/>
      <c r="E6674" s="84"/>
      <c r="F6674" s="84"/>
      <c r="G6674" s="146"/>
      <c r="H6674" s="225"/>
    </row>
    <row r="6675" spans="1:8" s="212" customFormat="1">
      <c r="A6675" s="84"/>
      <c r="B6675" s="83"/>
      <c r="C6675" s="84"/>
      <c r="D6675" s="84"/>
      <c r="E6675" s="84"/>
      <c r="G6675" s="213"/>
      <c r="H6675" s="222"/>
    </row>
    <row r="6676" spans="1:8" s="212" customFormat="1">
      <c r="A6676" s="120"/>
      <c r="B6676" s="73"/>
      <c r="C6676" s="73"/>
      <c r="D6676" s="73"/>
      <c r="E6676" s="73"/>
      <c r="G6676" s="73"/>
      <c r="H6676" s="222"/>
    </row>
    <row r="6677" spans="1:8" s="212" customFormat="1">
      <c r="A6677" s="220"/>
      <c r="B6677" s="141"/>
      <c r="C6677" s="141"/>
      <c r="D6677" s="141"/>
      <c r="E6677" s="141"/>
      <c r="F6677" s="141"/>
      <c r="G6677" s="141"/>
      <c r="H6677" s="222"/>
    </row>
    <row r="6678" spans="1:8" s="212" customFormat="1">
      <c r="A6678" s="172"/>
      <c r="B6678" s="83"/>
      <c r="C6678" s="84"/>
      <c r="D6678" s="84"/>
      <c r="E6678" s="168"/>
      <c r="F6678" s="141"/>
      <c r="G6678" s="168"/>
      <c r="H6678" s="222"/>
    </row>
    <row r="6679" spans="1:8" s="212" customFormat="1">
      <c r="A6679" s="173"/>
      <c r="B6679" s="83"/>
      <c r="C6679" s="84"/>
      <c r="D6679" s="84"/>
      <c r="E6679" s="168"/>
      <c r="F6679" s="141"/>
      <c r="G6679" s="168"/>
      <c r="H6679" s="222"/>
    </row>
    <row r="6680" spans="1:8" s="212" customFormat="1">
      <c r="A6680" s="173"/>
      <c r="B6680" s="83"/>
      <c r="C6680" s="84"/>
      <c r="D6680" s="84"/>
      <c r="E6680" s="168"/>
      <c r="F6680" s="141"/>
      <c r="G6680" s="168"/>
      <c r="H6680" s="222"/>
    </row>
    <row r="6681" spans="1:8" s="212" customFormat="1">
      <c r="A6681" s="150"/>
      <c r="B6681" s="83"/>
      <c r="C6681" s="148"/>
      <c r="D6681" s="84"/>
      <c r="E6681" s="168"/>
      <c r="F6681" s="84"/>
      <c r="G6681" s="168"/>
      <c r="H6681" s="225"/>
    </row>
    <row r="6682" spans="1:8" s="212" customFormat="1">
      <c r="A6682" s="91"/>
      <c r="B6682" s="91"/>
      <c r="C6682" s="91"/>
      <c r="D6682" s="91"/>
      <c r="E6682" s="91"/>
      <c r="G6682" s="213"/>
      <c r="H6682" s="222"/>
    </row>
    <row r="6683" spans="1:8" s="212" customFormat="1">
      <c r="A6683" s="120"/>
      <c r="B6683" s="73"/>
      <c r="C6683" s="73"/>
      <c r="D6683" s="73"/>
      <c r="E6683" s="73"/>
      <c r="G6683" s="73"/>
      <c r="H6683" s="222"/>
    </row>
    <row r="6684" spans="1:8" s="212" customFormat="1">
      <c r="A6684" s="220"/>
      <c r="B6684" s="141"/>
      <c r="C6684" s="141"/>
      <c r="D6684" s="141"/>
      <c r="E6684" s="141"/>
      <c r="F6684" s="141"/>
      <c r="G6684" s="141"/>
      <c r="H6684" s="222"/>
    </row>
    <row r="6685" spans="1:8" s="212" customFormat="1">
      <c r="A6685" s="220"/>
      <c r="B6685" s="83"/>
      <c r="C6685" s="148"/>
      <c r="D6685" s="84"/>
      <c r="E6685" s="84"/>
      <c r="F6685" s="141"/>
      <c r="G6685" s="84"/>
      <c r="H6685" s="222"/>
    </row>
    <row r="6686" spans="1:8" s="212" customFormat="1">
      <c r="A6686" s="146"/>
      <c r="B6686" s="147"/>
      <c r="C6686" s="148"/>
      <c r="D6686" s="84"/>
      <c r="E6686" s="143"/>
      <c r="F6686" s="84"/>
      <c r="G6686" s="146"/>
      <c r="H6686" s="225"/>
    </row>
    <row r="6687" spans="1:8" s="212" customFormat="1">
      <c r="A6687" s="91"/>
      <c r="B6687" s="91"/>
      <c r="C6687" s="91"/>
      <c r="D6687" s="91"/>
      <c r="E6687" s="91"/>
      <c r="G6687" s="213"/>
      <c r="H6687" s="222"/>
    </row>
    <row r="6688" spans="1:8" s="212" customFormat="1">
      <c r="A6688" s="120"/>
      <c r="B6688" s="73"/>
      <c r="C6688" s="73"/>
      <c r="D6688" s="73"/>
      <c r="E6688" s="73"/>
      <c r="G6688" s="73"/>
      <c r="H6688" s="222"/>
    </row>
    <row r="6689" spans="1:9" s="212" customFormat="1">
      <c r="A6689" s="220"/>
      <c r="B6689" s="141"/>
      <c r="C6689" s="141"/>
      <c r="D6689" s="141"/>
      <c r="E6689" s="141"/>
      <c r="F6689" s="141"/>
      <c r="G6689" s="141"/>
      <c r="H6689" s="222"/>
    </row>
    <row r="6690" spans="1:9" s="212" customFormat="1">
      <c r="A6690" s="142"/>
      <c r="B6690" s="143"/>
      <c r="C6690" s="143"/>
      <c r="D6690" s="143"/>
      <c r="E6690" s="143"/>
      <c r="F6690" s="84"/>
      <c r="G6690" s="146"/>
      <c r="H6690" s="221"/>
    </row>
    <row r="6691" spans="1:9" s="212" customFormat="1">
      <c r="A6691" s="123"/>
      <c r="B6691" s="95"/>
      <c r="C6691" s="95"/>
      <c r="D6691" s="95"/>
      <c r="E6691" s="95"/>
      <c r="G6691" s="213"/>
      <c r="H6691" s="73"/>
    </row>
    <row r="6692" spans="1:9" s="212" customFormat="1">
      <c r="A6692" s="123"/>
      <c r="B6692" s="95"/>
      <c r="C6692" s="95"/>
      <c r="D6692" s="95"/>
      <c r="E6692" s="95"/>
      <c r="G6692" s="73"/>
      <c r="H6692" s="225"/>
    </row>
    <row r="6693" spans="1:9" s="212" customFormat="1">
      <c r="B6693" s="97"/>
      <c r="C6693" s="98"/>
      <c r="D6693" s="98"/>
      <c r="E6693" s="98"/>
      <c r="G6693" s="220"/>
    </row>
    <row r="6694" spans="1:9" s="212" customFormat="1">
      <c r="B6694" s="97"/>
      <c r="C6694" s="98"/>
      <c r="D6694" s="98"/>
      <c r="E6694" s="98"/>
      <c r="F6694" s="220"/>
      <c r="G6694" s="225"/>
      <c r="H6694" s="226"/>
    </row>
    <row r="6695" spans="1:9" s="212" customFormat="1">
      <c r="A6695" s="633"/>
      <c r="B6695" s="633"/>
      <c r="C6695" s="633"/>
      <c r="D6695" s="633"/>
      <c r="E6695" s="633"/>
      <c r="F6695" s="633"/>
      <c r="G6695" s="633"/>
    </row>
    <row r="6696" spans="1:9" s="212" customFormat="1">
      <c r="H6696" s="227"/>
      <c r="I6696" s="228"/>
    </row>
    <row r="6697" spans="1:9" s="212" customFormat="1">
      <c r="A6697" s="658"/>
      <c r="B6697" s="227"/>
      <c r="C6697" s="227"/>
      <c r="D6697" s="227"/>
      <c r="E6697" s="227"/>
      <c r="F6697" s="227"/>
      <c r="G6697" s="227"/>
      <c r="H6697" s="227"/>
      <c r="I6697" s="229"/>
    </row>
    <row r="6698" spans="1:9" s="212" customFormat="1">
      <c r="A6698" s="658"/>
      <c r="B6698" s="227"/>
      <c r="C6698" s="227"/>
      <c r="D6698" s="227"/>
      <c r="E6698" s="227"/>
      <c r="F6698" s="227"/>
      <c r="G6698" s="227"/>
    </row>
    <row r="6699" spans="1:9" s="212" customFormat="1">
      <c r="A6699" s="69"/>
      <c r="B6699" s="69"/>
      <c r="C6699" s="69"/>
      <c r="D6699" s="69"/>
      <c r="E6699" s="69"/>
    </row>
    <row r="6700" spans="1:9" s="212" customFormat="1">
      <c r="A6700" s="120"/>
      <c r="B6700" s="73"/>
      <c r="C6700" s="73"/>
      <c r="D6700" s="73"/>
      <c r="E6700" s="73"/>
      <c r="F6700" s="73"/>
      <c r="G6700" s="73"/>
      <c r="H6700" s="73"/>
    </row>
    <row r="6701" spans="1:9" s="212" customFormat="1">
      <c r="A6701" s="220"/>
      <c r="B6701" s="141"/>
      <c r="C6701" s="141"/>
      <c r="D6701" s="141"/>
      <c r="E6701" s="141"/>
      <c r="F6701" s="141"/>
      <c r="G6701" s="141"/>
      <c r="H6701" s="73"/>
    </row>
    <row r="6702" spans="1:9" s="212" customFormat="1">
      <c r="A6702" s="84"/>
      <c r="B6702" s="83"/>
      <c r="C6702" s="84"/>
      <c r="D6702" s="84"/>
      <c r="E6702" s="84"/>
      <c r="F6702" s="84"/>
      <c r="G6702" s="146"/>
      <c r="H6702" s="225"/>
    </row>
    <row r="6703" spans="1:9" s="212" customFormat="1">
      <c r="A6703" s="84"/>
      <c r="B6703" s="83"/>
      <c r="C6703" s="84"/>
      <c r="D6703" s="84"/>
      <c r="E6703" s="84"/>
      <c r="G6703" s="213"/>
      <c r="H6703" s="222"/>
    </row>
    <row r="6704" spans="1:9" s="212" customFormat="1">
      <c r="A6704" s="120"/>
      <c r="B6704" s="73"/>
      <c r="C6704" s="73"/>
      <c r="D6704" s="73"/>
      <c r="E6704" s="73"/>
      <c r="G6704" s="73"/>
      <c r="H6704" s="222"/>
    </row>
    <row r="6705" spans="1:8" s="212" customFormat="1">
      <c r="A6705" s="220"/>
      <c r="B6705" s="141"/>
      <c r="C6705" s="141"/>
      <c r="D6705" s="141"/>
      <c r="E6705" s="141"/>
      <c r="F6705" s="141"/>
      <c r="G6705" s="141"/>
      <c r="H6705" s="222"/>
    </row>
    <row r="6706" spans="1:8" s="212" customFormat="1">
      <c r="A6706" s="172"/>
      <c r="B6706" s="83"/>
      <c r="C6706" s="84"/>
      <c r="D6706" s="84"/>
      <c r="E6706" s="168"/>
      <c r="F6706" s="141"/>
      <c r="G6706" s="168"/>
      <c r="H6706" s="222"/>
    </row>
    <row r="6707" spans="1:8" s="212" customFormat="1">
      <c r="A6707" s="173"/>
      <c r="B6707" s="83"/>
      <c r="C6707" s="84"/>
      <c r="D6707" s="84"/>
      <c r="E6707" s="84"/>
      <c r="F6707" s="141"/>
      <c r="G6707" s="168"/>
      <c r="H6707" s="222"/>
    </row>
    <row r="6708" spans="1:8" s="212" customFormat="1">
      <c r="A6708" s="173"/>
      <c r="B6708" s="83"/>
      <c r="C6708" s="84"/>
      <c r="D6708" s="84"/>
      <c r="E6708" s="84"/>
      <c r="F6708" s="141"/>
      <c r="G6708" s="168"/>
      <c r="H6708" s="222"/>
    </row>
    <row r="6709" spans="1:8" s="212" customFormat="1">
      <c r="A6709" s="150"/>
      <c r="B6709" s="83"/>
      <c r="C6709" s="148"/>
      <c r="D6709" s="84"/>
      <c r="E6709" s="84"/>
      <c r="F6709" s="84"/>
      <c r="G6709" s="168"/>
      <c r="H6709" s="225"/>
    </row>
    <row r="6710" spans="1:8" s="212" customFormat="1">
      <c r="A6710" s="91"/>
      <c r="B6710" s="91"/>
      <c r="C6710" s="91"/>
      <c r="D6710" s="91"/>
      <c r="E6710" s="91"/>
      <c r="G6710" s="213"/>
      <c r="H6710" s="222"/>
    </row>
    <row r="6711" spans="1:8" s="212" customFormat="1">
      <c r="A6711" s="120"/>
      <c r="B6711" s="73"/>
      <c r="C6711" s="73"/>
      <c r="D6711" s="73"/>
      <c r="E6711" s="73"/>
      <c r="G6711" s="73"/>
      <c r="H6711" s="222"/>
    </row>
    <row r="6712" spans="1:8" s="212" customFormat="1">
      <c r="A6712" s="220"/>
      <c r="B6712" s="141"/>
      <c r="C6712" s="141"/>
      <c r="D6712" s="141"/>
      <c r="E6712" s="141"/>
      <c r="F6712" s="141"/>
      <c r="G6712" s="141"/>
      <c r="H6712" s="222"/>
    </row>
    <row r="6713" spans="1:8" s="212" customFormat="1">
      <c r="A6713" s="220"/>
      <c r="B6713" s="83"/>
      <c r="C6713" s="148"/>
      <c r="D6713" s="84"/>
      <c r="E6713" s="84"/>
      <c r="F6713" s="141"/>
      <c r="G6713" s="84"/>
      <c r="H6713" s="222"/>
    </row>
    <row r="6714" spans="1:8" s="212" customFormat="1">
      <c r="A6714" s="146"/>
      <c r="B6714" s="147"/>
      <c r="C6714" s="148"/>
      <c r="D6714" s="84"/>
      <c r="E6714" s="143"/>
      <c r="F6714" s="84"/>
      <c r="G6714" s="146"/>
      <c r="H6714" s="225"/>
    </row>
    <row r="6715" spans="1:8" s="212" customFormat="1">
      <c r="A6715" s="91"/>
      <c r="B6715" s="91"/>
      <c r="C6715" s="91"/>
      <c r="D6715" s="91"/>
      <c r="E6715" s="91"/>
      <c r="G6715" s="213"/>
      <c r="H6715" s="222"/>
    </row>
    <row r="6716" spans="1:8" s="212" customFormat="1">
      <c r="A6716" s="120"/>
      <c r="B6716" s="73"/>
      <c r="C6716" s="73"/>
      <c r="D6716" s="73"/>
      <c r="E6716" s="73"/>
      <c r="G6716" s="73"/>
      <c r="H6716" s="222"/>
    </row>
    <row r="6717" spans="1:8" s="212" customFormat="1">
      <c r="A6717" s="220"/>
      <c r="B6717" s="141"/>
      <c r="C6717" s="141"/>
      <c r="D6717" s="141"/>
      <c r="E6717" s="141"/>
      <c r="F6717" s="141"/>
      <c r="G6717" s="141"/>
      <c r="H6717" s="222"/>
    </row>
    <row r="6718" spans="1:8" s="212" customFormat="1">
      <c r="A6718" s="142"/>
      <c r="B6718" s="143"/>
      <c r="C6718" s="143"/>
      <c r="D6718" s="143"/>
      <c r="E6718" s="143"/>
      <c r="F6718" s="84"/>
      <c r="G6718" s="146"/>
      <c r="H6718" s="221"/>
    </row>
    <row r="6719" spans="1:8" s="212" customFormat="1">
      <c r="A6719" s="123"/>
      <c r="B6719" s="95"/>
      <c r="C6719" s="95"/>
      <c r="D6719" s="95"/>
      <c r="E6719" s="95"/>
      <c r="G6719" s="213"/>
      <c r="H6719" s="73"/>
    </row>
    <row r="6720" spans="1:8" s="212" customFormat="1">
      <c r="A6720" s="123"/>
      <c r="B6720" s="95"/>
      <c r="C6720" s="95"/>
      <c r="D6720" s="95"/>
      <c r="E6720" s="95"/>
      <c r="G6720" s="73"/>
      <c r="H6720" s="225"/>
    </row>
    <row r="6721" spans="1:9" s="212" customFormat="1">
      <c r="B6721" s="97"/>
      <c r="C6721" s="98"/>
      <c r="D6721" s="98"/>
      <c r="E6721" s="98"/>
      <c r="G6721" s="220"/>
    </row>
    <row r="6722" spans="1:9" s="212" customFormat="1">
      <c r="B6722" s="97"/>
      <c r="C6722" s="98"/>
      <c r="D6722" s="98"/>
      <c r="E6722" s="98"/>
      <c r="F6722" s="220"/>
      <c r="G6722" s="225"/>
      <c r="H6722" s="226"/>
    </row>
    <row r="6723" spans="1:9" s="212" customFormat="1">
      <c r="A6723" s="633"/>
      <c r="B6723" s="633"/>
      <c r="C6723" s="633"/>
      <c r="D6723" s="633"/>
      <c r="E6723" s="633"/>
      <c r="F6723" s="633"/>
      <c r="G6723" s="633"/>
    </row>
    <row r="6724" spans="1:9" s="212" customFormat="1">
      <c r="H6724" s="227"/>
      <c r="I6724" s="228"/>
    </row>
    <row r="6725" spans="1:9" s="212" customFormat="1">
      <c r="A6725" s="658"/>
      <c r="B6725" s="227"/>
      <c r="C6725" s="227"/>
      <c r="D6725" s="227"/>
      <c r="E6725" s="227"/>
      <c r="F6725" s="227"/>
      <c r="G6725" s="227"/>
      <c r="H6725" s="227"/>
      <c r="I6725" s="229"/>
    </row>
    <row r="6726" spans="1:9" s="212" customFormat="1">
      <c r="A6726" s="658"/>
      <c r="B6726" s="227"/>
      <c r="C6726" s="227"/>
      <c r="D6726" s="227"/>
      <c r="E6726" s="227"/>
      <c r="F6726" s="227"/>
      <c r="G6726" s="227"/>
    </row>
    <row r="6727" spans="1:9" s="212" customFormat="1">
      <c r="A6727" s="69"/>
      <c r="B6727" s="69"/>
      <c r="C6727" s="69"/>
      <c r="D6727" s="69"/>
      <c r="E6727" s="69"/>
    </row>
    <row r="6728" spans="1:9" s="212" customFormat="1">
      <c r="A6728" s="120"/>
      <c r="B6728" s="73"/>
      <c r="C6728" s="73"/>
      <c r="D6728" s="73"/>
      <c r="E6728" s="73"/>
      <c r="F6728" s="73"/>
      <c r="G6728" s="73"/>
      <c r="H6728" s="73"/>
    </row>
    <row r="6729" spans="1:9" s="212" customFormat="1">
      <c r="A6729" s="220"/>
      <c r="B6729" s="141"/>
      <c r="C6729" s="141"/>
      <c r="D6729" s="141"/>
      <c r="E6729" s="141"/>
      <c r="F6729" s="141"/>
      <c r="G6729" s="141"/>
      <c r="H6729" s="73"/>
    </row>
    <row r="6730" spans="1:9" s="212" customFormat="1">
      <c r="A6730" s="84"/>
      <c r="B6730" s="83"/>
      <c r="C6730" s="84"/>
      <c r="D6730" s="84"/>
      <c r="E6730" s="84"/>
      <c r="F6730" s="84"/>
      <c r="G6730" s="146"/>
      <c r="H6730" s="225"/>
    </row>
    <row r="6731" spans="1:9" s="212" customFormat="1">
      <c r="A6731" s="84"/>
      <c r="B6731" s="83"/>
      <c r="C6731" s="84"/>
      <c r="D6731" s="84"/>
      <c r="E6731" s="84"/>
      <c r="G6731" s="213"/>
      <c r="H6731" s="222"/>
    </row>
    <row r="6732" spans="1:9" s="212" customFormat="1">
      <c r="A6732" s="120"/>
      <c r="B6732" s="73"/>
      <c r="C6732" s="73"/>
      <c r="D6732" s="73"/>
      <c r="E6732" s="73"/>
      <c r="G6732" s="73"/>
      <c r="H6732" s="222"/>
    </row>
    <row r="6733" spans="1:9" s="212" customFormat="1">
      <c r="A6733" s="220"/>
      <c r="B6733" s="141"/>
      <c r="C6733" s="141"/>
      <c r="D6733" s="141"/>
      <c r="E6733" s="141"/>
      <c r="F6733" s="141"/>
      <c r="G6733" s="141"/>
      <c r="H6733" s="222"/>
    </row>
    <row r="6734" spans="1:9" s="212" customFormat="1">
      <c r="A6734" s="172"/>
      <c r="B6734" s="83"/>
      <c r="C6734" s="84"/>
      <c r="D6734" s="84"/>
      <c r="E6734" s="168"/>
      <c r="F6734" s="141"/>
      <c r="G6734" s="168"/>
      <c r="H6734" s="222"/>
    </row>
    <row r="6735" spans="1:9" s="212" customFormat="1">
      <c r="A6735" s="173"/>
      <c r="B6735" s="83"/>
      <c r="C6735" s="84"/>
      <c r="D6735" s="84"/>
      <c r="E6735" s="84"/>
      <c r="F6735" s="141"/>
      <c r="G6735" s="168"/>
      <c r="H6735" s="225"/>
    </row>
    <row r="6736" spans="1:9" s="212" customFormat="1">
      <c r="A6736" s="91"/>
      <c r="B6736" s="91"/>
      <c r="C6736" s="91"/>
      <c r="D6736" s="91"/>
      <c r="E6736" s="91"/>
      <c r="G6736" s="213"/>
      <c r="H6736" s="222"/>
    </row>
    <row r="6737" spans="1:9" s="212" customFormat="1">
      <c r="A6737" s="120"/>
      <c r="B6737" s="73"/>
      <c r="C6737" s="73"/>
      <c r="D6737" s="73"/>
      <c r="E6737" s="73"/>
      <c r="G6737" s="73"/>
      <c r="H6737" s="222"/>
    </row>
    <row r="6738" spans="1:9" s="212" customFormat="1">
      <c r="A6738" s="220"/>
      <c r="B6738" s="141"/>
      <c r="C6738" s="141"/>
      <c r="D6738" s="141"/>
      <c r="E6738" s="141"/>
      <c r="F6738" s="141"/>
      <c r="G6738" s="141"/>
      <c r="H6738" s="222"/>
    </row>
    <row r="6739" spans="1:9" s="212" customFormat="1">
      <c r="A6739" s="146"/>
      <c r="B6739" s="147"/>
      <c r="C6739" s="148"/>
      <c r="D6739" s="84"/>
      <c r="E6739" s="143"/>
      <c r="F6739" s="84"/>
      <c r="G6739" s="146"/>
      <c r="H6739" s="225"/>
    </row>
    <row r="6740" spans="1:9" s="212" customFormat="1">
      <c r="A6740" s="91"/>
      <c r="B6740" s="91"/>
      <c r="C6740" s="91"/>
      <c r="D6740" s="91"/>
      <c r="E6740" s="91"/>
      <c r="G6740" s="213"/>
      <c r="H6740" s="222"/>
    </row>
    <row r="6741" spans="1:9" s="212" customFormat="1">
      <c r="A6741" s="120"/>
      <c r="B6741" s="73"/>
      <c r="C6741" s="73"/>
      <c r="D6741" s="73"/>
      <c r="E6741" s="73"/>
      <c r="G6741" s="73"/>
      <c r="H6741" s="222"/>
    </row>
    <row r="6742" spans="1:9" s="212" customFormat="1">
      <c r="A6742" s="220"/>
      <c r="B6742" s="141"/>
      <c r="C6742" s="141"/>
      <c r="D6742" s="141"/>
      <c r="E6742" s="141"/>
      <c r="F6742" s="141"/>
      <c r="G6742" s="141"/>
      <c r="H6742" s="222"/>
    </row>
    <row r="6743" spans="1:9" s="212" customFormat="1">
      <c r="A6743" s="142"/>
      <c r="B6743" s="143"/>
      <c r="C6743" s="143"/>
      <c r="D6743" s="143"/>
      <c r="E6743" s="143"/>
      <c r="F6743" s="84"/>
      <c r="G6743" s="146"/>
      <c r="H6743" s="225"/>
    </row>
    <row r="6744" spans="1:9" s="212" customFormat="1">
      <c r="A6744" s="123"/>
      <c r="B6744" s="95"/>
      <c r="C6744" s="95"/>
      <c r="D6744" s="95"/>
      <c r="E6744" s="95"/>
      <c r="G6744" s="213"/>
      <c r="H6744" s="73"/>
    </row>
    <row r="6745" spans="1:9" s="212" customFormat="1">
      <c r="A6745" s="123"/>
      <c r="B6745" s="95"/>
      <c r="C6745" s="95"/>
      <c r="D6745" s="95"/>
      <c r="E6745" s="95"/>
      <c r="G6745" s="73"/>
      <c r="H6745" s="225"/>
    </row>
    <row r="6746" spans="1:9" s="212" customFormat="1">
      <c r="B6746" s="97"/>
      <c r="C6746" s="98"/>
      <c r="D6746" s="98"/>
      <c r="E6746" s="98"/>
      <c r="G6746" s="220"/>
    </row>
    <row r="6747" spans="1:9" s="212" customFormat="1">
      <c r="B6747" s="97"/>
      <c r="C6747" s="98"/>
      <c r="D6747" s="98"/>
      <c r="E6747" s="98"/>
      <c r="F6747" s="220"/>
      <c r="G6747" s="225"/>
      <c r="H6747" s="226"/>
    </row>
    <row r="6748" spans="1:9" s="212" customFormat="1">
      <c r="A6748" s="633"/>
      <c r="B6748" s="633"/>
      <c r="C6748" s="633"/>
      <c r="D6748" s="633"/>
      <c r="E6748" s="633"/>
      <c r="F6748" s="633"/>
      <c r="G6748" s="633"/>
    </row>
    <row r="6749" spans="1:9" s="212" customFormat="1">
      <c r="H6749" s="227"/>
      <c r="I6749" s="228"/>
    </row>
    <row r="6750" spans="1:9" s="212" customFormat="1">
      <c r="A6750" s="686"/>
      <c r="B6750" s="227"/>
      <c r="C6750" s="227"/>
      <c r="D6750" s="227"/>
      <c r="E6750" s="227"/>
      <c r="F6750" s="227"/>
      <c r="G6750" s="227"/>
      <c r="H6750" s="227"/>
      <c r="I6750" s="229"/>
    </row>
    <row r="6751" spans="1:9" s="212" customFormat="1">
      <c r="A6751" s="658"/>
      <c r="B6751" s="227"/>
      <c r="C6751" s="227"/>
      <c r="D6751" s="227"/>
      <c r="E6751" s="227"/>
      <c r="F6751" s="227"/>
      <c r="G6751" s="227"/>
    </row>
    <row r="6752" spans="1:9" s="212" customFormat="1">
      <c r="A6752" s="69"/>
      <c r="B6752" s="69"/>
      <c r="C6752" s="69"/>
      <c r="D6752" s="69"/>
      <c r="E6752" s="69"/>
    </row>
    <row r="6753" spans="1:8" s="212" customFormat="1">
      <c r="A6753" s="120"/>
      <c r="B6753" s="73"/>
      <c r="C6753" s="73"/>
      <c r="D6753" s="73"/>
      <c r="E6753" s="73"/>
      <c r="F6753" s="73"/>
      <c r="G6753" s="73"/>
      <c r="H6753" s="73"/>
    </row>
    <row r="6754" spans="1:8" s="212" customFormat="1">
      <c r="A6754" s="220"/>
      <c r="B6754" s="141"/>
      <c r="C6754" s="141"/>
      <c r="D6754" s="141"/>
      <c r="E6754" s="141"/>
      <c r="F6754" s="141"/>
      <c r="G6754" s="141"/>
      <c r="H6754" s="73"/>
    </row>
    <row r="6755" spans="1:8" s="212" customFormat="1">
      <c r="A6755" s="84"/>
      <c r="B6755" s="83"/>
      <c r="C6755" s="84"/>
      <c r="D6755" s="84"/>
      <c r="E6755" s="84"/>
      <c r="F6755" s="84"/>
      <c r="G6755" s="146"/>
      <c r="H6755" s="225"/>
    </row>
    <row r="6756" spans="1:8" s="212" customFormat="1">
      <c r="A6756" s="84"/>
      <c r="B6756" s="83"/>
      <c r="C6756" s="84"/>
      <c r="D6756" s="84"/>
      <c r="E6756" s="84"/>
      <c r="G6756" s="213"/>
      <c r="H6756" s="222"/>
    </row>
    <row r="6757" spans="1:8" s="212" customFormat="1">
      <c r="A6757" s="120"/>
      <c r="B6757" s="73"/>
      <c r="C6757" s="73"/>
      <c r="D6757" s="73"/>
      <c r="E6757" s="73"/>
      <c r="G6757" s="73"/>
      <c r="H6757" s="222"/>
    </row>
    <row r="6758" spans="1:8" s="212" customFormat="1">
      <c r="A6758" s="220"/>
      <c r="B6758" s="141"/>
      <c r="C6758" s="141"/>
      <c r="D6758" s="141"/>
      <c r="E6758" s="141"/>
      <c r="F6758" s="141"/>
      <c r="G6758" s="141"/>
      <c r="H6758" s="222"/>
    </row>
    <row r="6759" spans="1:8" s="212" customFormat="1">
      <c r="A6759" s="172"/>
      <c r="B6759" s="83"/>
      <c r="C6759" s="84"/>
      <c r="D6759" s="84"/>
      <c r="E6759" s="168"/>
      <c r="F6759" s="141"/>
      <c r="G6759" s="168"/>
      <c r="H6759" s="225"/>
    </row>
    <row r="6760" spans="1:8" s="212" customFormat="1">
      <c r="A6760" s="91"/>
      <c r="B6760" s="91"/>
      <c r="C6760" s="91"/>
      <c r="D6760" s="91"/>
      <c r="E6760" s="91"/>
      <c r="G6760" s="213"/>
      <c r="H6760" s="222"/>
    </row>
    <row r="6761" spans="1:8" s="212" customFormat="1">
      <c r="A6761" s="120"/>
      <c r="B6761" s="73"/>
      <c r="C6761" s="73"/>
      <c r="D6761" s="73"/>
      <c r="E6761" s="73"/>
      <c r="G6761" s="73"/>
      <c r="H6761" s="222"/>
    </row>
    <row r="6762" spans="1:8" s="212" customFormat="1">
      <c r="A6762" s="220"/>
      <c r="B6762" s="141"/>
      <c r="C6762" s="141"/>
      <c r="D6762" s="141"/>
      <c r="E6762" s="141"/>
      <c r="F6762" s="141"/>
      <c r="G6762" s="141"/>
      <c r="H6762" s="222"/>
    </row>
    <row r="6763" spans="1:8" s="212" customFormat="1">
      <c r="A6763" s="146"/>
      <c r="B6763" s="147"/>
      <c r="C6763" s="148"/>
      <c r="D6763" s="84"/>
      <c r="E6763" s="143"/>
      <c r="F6763" s="84"/>
      <c r="G6763" s="146"/>
      <c r="H6763" s="225"/>
    </row>
    <row r="6764" spans="1:8" s="212" customFormat="1">
      <c r="A6764" s="91"/>
      <c r="B6764" s="91"/>
      <c r="C6764" s="91"/>
      <c r="D6764" s="91"/>
      <c r="E6764" s="91"/>
      <c r="G6764" s="213"/>
      <c r="H6764" s="222"/>
    </row>
    <row r="6765" spans="1:8" s="212" customFormat="1">
      <c r="A6765" s="120"/>
      <c r="B6765" s="73"/>
      <c r="C6765" s="73"/>
      <c r="D6765" s="73"/>
      <c r="E6765" s="73"/>
      <c r="G6765" s="73"/>
      <c r="H6765" s="222"/>
    </row>
    <row r="6766" spans="1:8" s="212" customFormat="1">
      <c r="A6766" s="220"/>
      <c r="B6766" s="141"/>
      <c r="C6766" s="141"/>
      <c r="D6766" s="141"/>
      <c r="E6766" s="141"/>
      <c r="F6766" s="141"/>
      <c r="G6766" s="141"/>
      <c r="H6766" s="222"/>
    </row>
    <row r="6767" spans="1:8" s="212" customFormat="1">
      <c r="A6767" s="142"/>
      <c r="B6767" s="143"/>
      <c r="C6767" s="143"/>
      <c r="D6767" s="143"/>
      <c r="E6767" s="143"/>
      <c r="F6767" s="84"/>
      <c r="G6767" s="146"/>
      <c r="H6767" s="225"/>
    </row>
    <row r="6768" spans="1:8" s="212" customFormat="1">
      <c r="A6768" s="123"/>
      <c r="B6768" s="95"/>
      <c r="C6768" s="95"/>
      <c r="D6768" s="95"/>
      <c r="E6768" s="95"/>
      <c r="G6768" s="213"/>
      <c r="H6768" s="73"/>
    </row>
    <row r="6769" spans="1:9" s="212" customFormat="1">
      <c r="A6769" s="123"/>
      <c r="B6769" s="95"/>
      <c r="C6769" s="95"/>
      <c r="D6769" s="95"/>
      <c r="E6769" s="95"/>
      <c r="G6769" s="73"/>
      <c r="H6769" s="225"/>
    </row>
    <row r="6770" spans="1:9" s="212" customFormat="1">
      <c r="B6770" s="97"/>
      <c r="C6770" s="98"/>
      <c r="D6770" s="98"/>
      <c r="E6770" s="98"/>
      <c r="G6770" s="220"/>
    </row>
    <row r="6771" spans="1:9" s="212" customFormat="1">
      <c r="B6771" s="97"/>
      <c r="C6771" s="98"/>
      <c r="D6771" s="98"/>
      <c r="E6771" s="98"/>
      <c r="F6771" s="220"/>
      <c r="G6771" s="225"/>
      <c r="H6771" s="226"/>
    </row>
    <row r="6772" spans="1:9" s="212" customFormat="1">
      <c r="A6772" s="633"/>
      <c r="B6772" s="633"/>
      <c r="C6772" s="633"/>
      <c r="D6772" s="633"/>
      <c r="E6772" s="633"/>
      <c r="F6772" s="633"/>
      <c r="G6772" s="633"/>
    </row>
    <row r="6773" spans="1:9" s="212" customFormat="1">
      <c r="H6773" s="227"/>
      <c r="I6773" s="228"/>
    </row>
    <row r="6774" spans="1:9" s="212" customFormat="1">
      <c r="A6774" s="686"/>
      <c r="B6774" s="227"/>
      <c r="C6774" s="227"/>
      <c r="D6774" s="227"/>
      <c r="E6774" s="227"/>
      <c r="F6774" s="227"/>
      <c r="G6774" s="227"/>
      <c r="H6774" s="227"/>
      <c r="I6774" s="229"/>
    </row>
    <row r="6775" spans="1:9" s="212" customFormat="1">
      <c r="A6775" s="658"/>
      <c r="B6775" s="227"/>
      <c r="C6775" s="227"/>
      <c r="D6775" s="227"/>
      <c r="E6775" s="227"/>
      <c r="F6775" s="227"/>
      <c r="G6775" s="227"/>
    </row>
    <row r="6776" spans="1:9" s="212" customFormat="1">
      <c r="A6776" s="69"/>
      <c r="B6776" s="69"/>
      <c r="C6776" s="69"/>
      <c r="D6776" s="69"/>
      <c r="E6776" s="69"/>
    </row>
    <row r="6777" spans="1:9" s="212" customFormat="1">
      <c r="A6777" s="120"/>
      <c r="B6777" s="73"/>
      <c r="C6777" s="73"/>
      <c r="D6777" s="73"/>
      <c r="E6777" s="73"/>
      <c r="F6777" s="73"/>
      <c r="G6777" s="73"/>
      <c r="H6777" s="73"/>
    </row>
    <row r="6778" spans="1:9" s="212" customFormat="1">
      <c r="A6778" s="220"/>
      <c r="B6778" s="141"/>
      <c r="C6778" s="141"/>
      <c r="D6778" s="141"/>
      <c r="E6778" s="141"/>
      <c r="F6778" s="141"/>
      <c r="G6778" s="141"/>
      <c r="H6778" s="73"/>
    </row>
    <row r="6779" spans="1:9" s="212" customFormat="1">
      <c r="A6779" s="142"/>
      <c r="B6779" s="83"/>
      <c r="C6779" s="84"/>
      <c r="D6779" s="84"/>
      <c r="E6779" s="84"/>
      <c r="F6779" s="84"/>
      <c r="G6779" s="84"/>
      <c r="H6779" s="73"/>
    </row>
    <row r="6780" spans="1:9" s="212" customFormat="1">
      <c r="A6780" s="142"/>
      <c r="B6780" s="83"/>
      <c r="C6780" s="84"/>
      <c r="D6780" s="84"/>
      <c r="E6780" s="84"/>
      <c r="F6780" s="84"/>
      <c r="G6780" s="84"/>
      <c r="H6780" s="73"/>
    </row>
    <row r="6781" spans="1:9" s="212" customFormat="1">
      <c r="A6781" s="142"/>
      <c r="B6781" s="83"/>
      <c r="C6781" s="84"/>
      <c r="D6781" s="84"/>
      <c r="E6781" s="84"/>
      <c r="F6781" s="84"/>
      <c r="G6781" s="84"/>
      <c r="H6781" s="73"/>
    </row>
    <row r="6782" spans="1:9" s="212" customFormat="1">
      <c r="A6782" s="84"/>
      <c r="B6782" s="83"/>
      <c r="C6782" s="84"/>
      <c r="D6782" s="84"/>
      <c r="E6782" s="84"/>
      <c r="F6782" s="84"/>
      <c r="G6782" s="146"/>
      <c r="H6782" s="225"/>
    </row>
    <row r="6783" spans="1:9" s="212" customFormat="1">
      <c r="A6783" s="84"/>
      <c r="B6783" s="83"/>
      <c r="C6783" s="84"/>
      <c r="D6783" s="84"/>
      <c r="E6783" s="84"/>
      <c r="G6783" s="213"/>
      <c r="H6783" s="222"/>
    </row>
    <row r="6784" spans="1:9" s="212" customFormat="1">
      <c r="A6784" s="120"/>
      <c r="B6784" s="73"/>
      <c r="C6784" s="73"/>
      <c r="D6784" s="73"/>
      <c r="E6784" s="73"/>
      <c r="G6784" s="73"/>
      <c r="H6784" s="222"/>
    </row>
    <row r="6785" spans="1:8" s="212" customFormat="1">
      <c r="A6785" s="220"/>
      <c r="B6785" s="141"/>
      <c r="C6785" s="141"/>
      <c r="D6785" s="141"/>
      <c r="E6785" s="141"/>
      <c r="F6785" s="141"/>
      <c r="G6785" s="141"/>
      <c r="H6785" s="222"/>
    </row>
    <row r="6786" spans="1:8" s="212" customFormat="1">
      <c r="A6786" s="233"/>
      <c r="B6786" s="83"/>
      <c r="C6786" s="84"/>
      <c r="D6786" s="84"/>
      <c r="E6786" s="84"/>
      <c r="F6786" s="84"/>
      <c r="G6786" s="84"/>
      <c r="H6786" s="222"/>
    </row>
    <row r="6787" spans="1:8" s="212" customFormat="1">
      <c r="A6787" s="233"/>
      <c r="B6787" s="83"/>
      <c r="C6787" s="84"/>
      <c r="D6787" s="84"/>
      <c r="E6787" s="84"/>
      <c r="F6787" s="84"/>
      <c r="G6787" s="84"/>
      <c r="H6787" s="222"/>
    </row>
    <row r="6788" spans="1:8" s="212" customFormat="1">
      <c r="A6788" s="233"/>
      <c r="B6788" s="83"/>
      <c r="C6788" s="84"/>
      <c r="D6788" s="84"/>
      <c r="E6788" s="84"/>
      <c r="F6788" s="84"/>
      <c r="G6788" s="84"/>
      <c r="H6788" s="225"/>
    </row>
    <row r="6789" spans="1:8" s="212" customFormat="1">
      <c r="A6789" s="233"/>
      <c r="B6789" s="83"/>
      <c r="C6789" s="84"/>
      <c r="D6789" s="84"/>
      <c r="E6789" s="84"/>
      <c r="F6789" s="84"/>
      <c r="G6789" s="84"/>
      <c r="H6789" s="222"/>
    </row>
    <row r="6790" spans="1:8" s="212" customFormat="1">
      <c r="A6790" s="120"/>
      <c r="B6790" s="73"/>
      <c r="C6790" s="73"/>
      <c r="D6790" s="73"/>
      <c r="E6790" s="73"/>
      <c r="G6790" s="73"/>
      <c r="H6790" s="222"/>
    </row>
    <row r="6791" spans="1:8" s="212" customFormat="1">
      <c r="A6791" s="220"/>
      <c r="B6791" s="141"/>
      <c r="C6791" s="141"/>
      <c r="D6791" s="141"/>
      <c r="E6791" s="141"/>
      <c r="F6791" s="141"/>
      <c r="G6791" s="141"/>
      <c r="H6791" s="222"/>
    </row>
    <row r="6792" spans="1:8" s="212" customFormat="1">
      <c r="A6792" s="142"/>
      <c r="B6792" s="83"/>
      <c r="C6792" s="84"/>
      <c r="D6792" s="84"/>
      <c r="E6792" s="84"/>
      <c r="F6792" s="141"/>
      <c r="G6792" s="84"/>
      <c r="H6792" s="222"/>
    </row>
    <row r="6793" spans="1:8" s="212" customFormat="1">
      <c r="A6793" s="142"/>
      <c r="B6793" s="83"/>
      <c r="C6793" s="84"/>
      <c r="D6793" s="84"/>
      <c r="E6793" s="84"/>
      <c r="F6793" s="141"/>
      <c r="G6793" s="84"/>
      <c r="H6793" s="222"/>
    </row>
    <row r="6794" spans="1:8" s="212" customFormat="1">
      <c r="A6794" s="146"/>
      <c r="B6794" s="176"/>
      <c r="C6794" s="148"/>
      <c r="D6794" s="84"/>
      <c r="E6794" s="84"/>
      <c r="F6794" s="84"/>
      <c r="G6794" s="146"/>
      <c r="H6794" s="225"/>
    </row>
    <row r="6795" spans="1:8" s="212" customFormat="1">
      <c r="A6795" s="91"/>
      <c r="B6795" s="91"/>
      <c r="C6795" s="91"/>
      <c r="D6795" s="91"/>
      <c r="E6795" s="91"/>
      <c r="G6795" s="213"/>
      <c r="H6795" s="222"/>
    </row>
    <row r="6796" spans="1:8" s="212" customFormat="1">
      <c r="A6796" s="120"/>
      <c r="B6796" s="73"/>
      <c r="C6796" s="73"/>
      <c r="D6796" s="73"/>
      <c r="E6796" s="73"/>
      <c r="G6796" s="73"/>
      <c r="H6796" s="222"/>
    </row>
    <row r="6797" spans="1:8" s="212" customFormat="1">
      <c r="A6797" s="220"/>
      <c r="B6797" s="141"/>
      <c r="C6797" s="141"/>
      <c r="D6797" s="141"/>
      <c r="E6797" s="141"/>
      <c r="F6797" s="141"/>
      <c r="G6797" s="141"/>
      <c r="H6797" s="222"/>
    </row>
    <row r="6798" spans="1:8" s="212" customFormat="1">
      <c r="A6798" s="142"/>
      <c r="B6798" s="143"/>
      <c r="C6798" s="143"/>
      <c r="D6798" s="143"/>
      <c r="E6798" s="143"/>
      <c r="F6798" s="84"/>
      <c r="G6798" s="146"/>
      <c r="H6798" s="225"/>
    </row>
    <row r="6799" spans="1:8" s="212" customFormat="1">
      <c r="A6799" s="123"/>
      <c r="B6799" s="95"/>
      <c r="C6799" s="95"/>
      <c r="D6799" s="95"/>
      <c r="E6799" s="95"/>
      <c r="G6799" s="213"/>
      <c r="H6799" s="73"/>
    </row>
    <row r="6800" spans="1:8" s="212" customFormat="1">
      <c r="A6800" s="123"/>
      <c r="B6800" s="95"/>
      <c r="C6800" s="95"/>
      <c r="D6800" s="95"/>
      <c r="E6800" s="95"/>
      <c r="G6800" s="73"/>
      <c r="H6800" s="225"/>
    </row>
    <row r="6801" spans="1:9" s="212" customFormat="1">
      <c r="B6801" s="97"/>
      <c r="C6801" s="98"/>
      <c r="D6801" s="98"/>
      <c r="E6801" s="98"/>
      <c r="G6801" s="220"/>
    </row>
    <row r="6802" spans="1:9" s="212" customFormat="1">
      <c r="B6802" s="97"/>
      <c r="C6802" s="98"/>
      <c r="D6802" s="98"/>
      <c r="E6802" s="98"/>
      <c r="F6802" s="220"/>
      <c r="G6802" s="225"/>
      <c r="H6802" s="226"/>
    </row>
    <row r="6803" spans="1:9" s="212" customFormat="1">
      <c r="A6803" s="633"/>
      <c r="B6803" s="633"/>
      <c r="C6803" s="633"/>
      <c r="D6803" s="633"/>
      <c r="E6803" s="633"/>
      <c r="F6803" s="633"/>
      <c r="G6803" s="633"/>
    </row>
    <row r="6804" spans="1:9" s="212" customFormat="1">
      <c r="H6804" s="227"/>
      <c r="I6804" s="228"/>
    </row>
    <row r="6805" spans="1:9" s="212" customFormat="1">
      <c r="A6805" s="658"/>
      <c r="B6805" s="227"/>
      <c r="C6805" s="227"/>
      <c r="D6805" s="227"/>
      <c r="E6805" s="227"/>
      <c r="F6805" s="227"/>
      <c r="G6805" s="227"/>
      <c r="H6805" s="227"/>
      <c r="I6805" s="229"/>
    </row>
    <row r="6806" spans="1:9" s="212" customFormat="1">
      <c r="A6806" s="658"/>
      <c r="B6806" s="227"/>
      <c r="C6806" s="227"/>
      <c r="D6806" s="227"/>
      <c r="E6806" s="227"/>
      <c r="F6806" s="227"/>
      <c r="G6806" s="227"/>
      <c r="H6806" s="234"/>
    </row>
    <row r="6807" spans="1:9" s="212" customFormat="1">
      <c r="A6807" s="69"/>
      <c r="B6807" s="69"/>
      <c r="C6807" s="69"/>
      <c r="D6807" s="69"/>
      <c r="E6807" s="69"/>
      <c r="G6807" s="234"/>
      <c r="H6807" s="234"/>
    </row>
    <row r="6808" spans="1:9" s="212" customFormat="1">
      <c r="A6808" s="120"/>
      <c r="B6808" s="73"/>
      <c r="C6808" s="73"/>
      <c r="D6808" s="73"/>
      <c r="E6808" s="73"/>
      <c r="F6808" s="73"/>
      <c r="G6808" s="235"/>
      <c r="H6808" s="235"/>
    </row>
    <row r="6809" spans="1:9" s="212" customFormat="1">
      <c r="A6809" s="220"/>
      <c r="B6809" s="141"/>
      <c r="C6809" s="141"/>
      <c r="D6809" s="141"/>
      <c r="E6809" s="141"/>
      <c r="F6809" s="141"/>
      <c r="G6809" s="184"/>
      <c r="H6809" s="235"/>
    </row>
    <row r="6810" spans="1:9" s="212" customFormat="1">
      <c r="A6810" s="150"/>
      <c r="B6810" s="83"/>
      <c r="C6810" s="148"/>
      <c r="D6810" s="84"/>
      <c r="E6810" s="84"/>
      <c r="F6810" s="84"/>
      <c r="G6810" s="236"/>
      <c r="H6810" s="221"/>
    </row>
    <row r="6811" spans="1:9" s="212" customFormat="1">
      <c r="A6811" s="84"/>
      <c r="B6811" s="83"/>
      <c r="C6811" s="84"/>
      <c r="D6811" s="84"/>
      <c r="E6811" s="84"/>
      <c r="G6811" s="237"/>
      <c r="H6811" s="238"/>
    </row>
    <row r="6812" spans="1:9" s="212" customFormat="1">
      <c r="A6812" s="120"/>
      <c r="B6812" s="73"/>
      <c r="C6812" s="73"/>
      <c r="D6812" s="73"/>
      <c r="E6812" s="73"/>
      <c r="G6812" s="239"/>
      <c r="H6812" s="238"/>
    </row>
    <row r="6813" spans="1:9" s="212" customFormat="1">
      <c r="A6813" s="220"/>
      <c r="B6813" s="141"/>
      <c r="C6813" s="141"/>
      <c r="D6813" s="141"/>
      <c r="E6813" s="141"/>
      <c r="F6813" s="141"/>
      <c r="G6813" s="184"/>
      <c r="H6813" s="238"/>
      <c r="I6813" s="240"/>
    </row>
    <row r="6814" spans="1:9" s="212" customFormat="1">
      <c r="A6814" s="190"/>
      <c r="B6814" s="191"/>
      <c r="C6814" s="148"/>
      <c r="D6814" s="190"/>
      <c r="E6814" s="84"/>
      <c r="F6814" s="84"/>
      <c r="G6814" s="236"/>
      <c r="H6814" s="238"/>
      <c r="I6814" s="240"/>
    </row>
    <row r="6815" spans="1:9" s="212" customFormat="1">
      <c r="A6815" s="150"/>
      <c r="B6815" s="191"/>
      <c r="C6815" s="148"/>
      <c r="D6815" s="84"/>
      <c r="E6815" s="84"/>
      <c r="F6815" s="84"/>
      <c r="G6815" s="236"/>
      <c r="H6815" s="238"/>
    </row>
    <row r="6816" spans="1:9" s="212" customFormat="1">
      <c r="A6816" s="150"/>
      <c r="B6816" s="191"/>
      <c r="C6816" s="148"/>
      <c r="D6816" s="84"/>
      <c r="E6816" s="84"/>
      <c r="F6816" s="84"/>
      <c r="G6816" s="236"/>
      <c r="H6816" s="238"/>
    </row>
    <row r="6817" spans="1:9" s="212" customFormat="1">
      <c r="A6817" s="150"/>
      <c r="B6817" s="191"/>
      <c r="C6817" s="148"/>
      <c r="D6817" s="84"/>
      <c r="E6817" s="84"/>
      <c r="F6817" s="84"/>
      <c r="G6817" s="236"/>
      <c r="H6817" s="221"/>
    </row>
    <row r="6818" spans="1:9" s="212" customFormat="1">
      <c r="A6818" s="91"/>
      <c r="B6818" s="91"/>
      <c r="C6818" s="91"/>
      <c r="D6818" s="91"/>
      <c r="E6818" s="91"/>
      <c r="G6818" s="237"/>
      <c r="H6818" s="238"/>
    </row>
    <row r="6819" spans="1:9" s="212" customFormat="1">
      <c r="A6819" s="120"/>
      <c r="B6819" s="73"/>
      <c r="C6819" s="73"/>
      <c r="D6819" s="73"/>
      <c r="E6819" s="73"/>
      <c r="G6819" s="239"/>
      <c r="H6819" s="238"/>
    </row>
    <row r="6820" spans="1:9" s="212" customFormat="1">
      <c r="A6820" s="220"/>
      <c r="B6820" s="141"/>
      <c r="C6820" s="141"/>
      <c r="D6820" s="141"/>
      <c r="E6820" s="141"/>
      <c r="F6820" s="141"/>
      <c r="G6820" s="184"/>
      <c r="H6820" s="238"/>
    </row>
    <row r="6821" spans="1:9" s="212" customFormat="1">
      <c r="A6821" s="146"/>
      <c r="B6821" s="83"/>
      <c r="C6821" s="148"/>
      <c r="D6821" s="84"/>
      <c r="E6821" s="84"/>
      <c r="F6821" s="84"/>
      <c r="G6821" s="236"/>
      <c r="H6821" s="221"/>
    </row>
    <row r="6822" spans="1:9" s="212" customFormat="1">
      <c r="A6822" s="91"/>
      <c r="B6822" s="91"/>
      <c r="C6822" s="91"/>
      <c r="D6822" s="91"/>
      <c r="E6822" s="91"/>
      <c r="G6822" s="237"/>
      <c r="H6822" s="238"/>
    </row>
    <row r="6823" spans="1:9" s="212" customFormat="1">
      <c r="A6823" s="120"/>
      <c r="B6823" s="73"/>
      <c r="C6823" s="73"/>
      <c r="D6823" s="73"/>
      <c r="E6823" s="73"/>
      <c r="G6823" s="239"/>
      <c r="H6823" s="238"/>
    </row>
    <row r="6824" spans="1:9" s="212" customFormat="1">
      <c r="A6824" s="220"/>
      <c r="B6824" s="141"/>
      <c r="C6824" s="141"/>
      <c r="D6824" s="141"/>
      <c r="E6824" s="141"/>
      <c r="F6824" s="141"/>
      <c r="G6824" s="184"/>
      <c r="H6824" s="238"/>
    </row>
    <row r="6825" spans="1:9" s="212" customFormat="1">
      <c r="A6825" s="142"/>
      <c r="B6825" s="143"/>
      <c r="C6825" s="143"/>
      <c r="D6825" s="143"/>
      <c r="E6825" s="143"/>
      <c r="F6825" s="84"/>
      <c r="G6825" s="236"/>
      <c r="H6825" s="221"/>
    </row>
    <row r="6826" spans="1:9" s="212" customFormat="1">
      <c r="A6826" s="123"/>
      <c r="B6826" s="95"/>
      <c r="C6826" s="95"/>
      <c r="D6826" s="95"/>
      <c r="E6826" s="95"/>
      <c r="G6826" s="237"/>
      <c r="H6826" s="235"/>
    </row>
    <row r="6827" spans="1:9" s="212" customFormat="1">
      <c r="A6827" s="123"/>
      <c r="B6827" s="95"/>
      <c r="C6827" s="95"/>
      <c r="D6827" s="95"/>
      <c r="E6827" s="95"/>
      <c r="G6827" s="239"/>
      <c r="H6827" s="225"/>
    </row>
    <row r="6828" spans="1:9" s="212" customFormat="1">
      <c r="B6828" s="97"/>
      <c r="C6828" s="98"/>
      <c r="D6828" s="98"/>
      <c r="E6828" s="98"/>
      <c r="G6828" s="241"/>
      <c r="H6828" s="234"/>
    </row>
    <row r="6829" spans="1:9" s="212" customFormat="1">
      <c r="B6829" s="97"/>
      <c r="C6829" s="98"/>
      <c r="D6829" s="98"/>
      <c r="E6829" s="98"/>
      <c r="F6829" s="220"/>
      <c r="G6829" s="242"/>
      <c r="H6829" s="227"/>
      <c r="I6829" s="228"/>
    </row>
    <row r="6830" spans="1:9" s="212" customFormat="1">
      <c r="A6830" s="658"/>
      <c r="B6830" s="227"/>
      <c r="C6830" s="227"/>
      <c r="D6830" s="227"/>
      <c r="E6830" s="227"/>
      <c r="F6830" s="227"/>
      <c r="G6830" s="227"/>
      <c r="H6830" s="227"/>
      <c r="I6830" s="229"/>
    </row>
    <row r="6831" spans="1:9" s="212" customFormat="1">
      <c r="A6831" s="658"/>
      <c r="B6831" s="227"/>
      <c r="C6831" s="227"/>
      <c r="D6831" s="227"/>
      <c r="E6831" s="227"/>
      <c r="F6831" s="227"/>
      <c r="G6831" s="227"/>
      <c r="H6831" s="234"/>
    </row>
    <row r="6832" spans="1:9" s="212" customFormat="1">
      <c r="A6832" s="69"/>
      <c r="B6832" s="69"/>
      <c r="C6832" s="69"/>
      <c r="D6832" s="69"/>
      <c r="E6832" s="69"/>
      <c r="G6832" s="234"/>
      <c r="H6832" s="234"/>
    </row>
    <row r="6833" spans="1:9" s="212" customFormat="1">
      <c r="A6833" s="120"/>
      <c r="B6833" s="73"/>
      <c r="C6833" s="73"/>
      <c r="D6833" s="73"/>
      <c r="E6833" s="73"/>
      <c r="F6833" s="73"/>
      <c r="G6833" s="235"/>
      <c r="H6833" s="235"/>
    </row>
    <row r="6834" spans="1:9" s="212" customFormat="1">
      <c r="A6834" s="220"/>
      <c r="B6834" s="141"/>
      <c r="C6834" s="141"/>
      <c r="D6834" s="141"/>
      <c r="E6834" s="141"/>
      <c r="F6834" s="141"/>
      <c r="G6834" s="194"/>
      <c r="H6834" s="235"/>
    </row>
    <row r="6835" spans="1:9" s="212" customFormat="1">
      <c r="A6835" s="150"/>
      <c r="B6835" s="83"/>
      <c r="C6835" s="148"/>
      <c r="D6835" s="84"/>
      <c r="E6835" s="84"/>
      <c r="F6835" s="84"/>
      <c r="G6835" s="243"/>
      <c r="H6835" s="238"/>
    </row>
    <row r="6836" spans="1:9" s="212" customFormat="1">
      <c r="A6836" s="84"/>
      <c r="B6836" s="83"/>
      <c r="C6836" s="84"/>
      <c r="D6836" s="84"/>
      <c r="E6836" s="84"/>
      <c r="G6836" s="244"/>
      <c r="H6836" s="238"/>
    </row>
    <row r="6837" spans="1:9" s="212" customFormat="1">
      <c r="A6837" s="120"/>
      <c r="B6837" s="73"/>
      <c r="C6837" s="73"/>
      <c r="D6837" s="73"/>
      <c r="E6837" s="73"/>
      <c r="G6837" s="235"/>
      <c r="H6837" s="238"/>
    </row>
    <row r="6838" spans="1:9" s="212" customFormat="1">
      <c r="A6838" s="220"/>
      <c r="B6838" s="141"/>
      <c r="C6838" s="141"/>
      <c r="D6838" s="141"/>
      <c r="E6838" s="141"/>
      <c r="F6838" s="141"/>
      <c r="G6838" s="194"/>
      <c r="H6838" s="238"/>
      <c r="I6838" s="240"/>
    </row>
    <row r="6839" spans="1:9" s="212" customFormat="1">
      <c r="A6839" s="197"/>
      <c r="B6839" s="83"/>
      <c r="C6839" s="148"/>
      <c r="D6839" s="190"/>
      <c r="E6839" s="84"/>
      <c r="F6839" s="84"/>
      <c r="G6839" s="243"/>
      <c r="H6839" s="238"/>
    </row>
    <row r="6840" spans="1:9" s="212" customFormat="1">
      <c r="A6840" s="91"/>
      <c r="B6840" s="91"/>
      <c r="C6840" s="91"/>
      <c r="D6840" s="91"/>
      <c r="E6840" s="91"/>
      <c r="G6840" s="244"/>
      <c r="H6840" s="238"/>
    </row>
    <row r="6841" spans="1:9" s="212" customFormat="1">
      <c r="A6841" s="120"/>
      <c r="B6841" s="73"/>
      <c r="C6841" s="73"/>
      <c r="D6841" s="73"/>
      <c r="E6841" s="73"/>
      <c r="G6841" s="235"/>
      <c r="H6841" s="238"/>
    </row>
    <row r="6842" spans="1:9" s="212" customFormat="1">
      <c r="A6842" s="220"/>
      <c r="B6842" s="141"/>
      <c r="C6842" s="141"/>
      <c r="D6842" s="141"/>
      <c r="E6842" s="141"/>
      <c r="F6842" s="141"/>
      <c r="G6842" s="194"/>
      <c r="H6842" s="238"/>
    </row>
    <row r="6843" spans="1:9" s="212" customFormat="1">
      <c r="A6843" s="146"/>
      <c r="B6843" s="83"/>
      <c r="C6843" s="148"/>
      <c r="D6843" s="84"/>
      <c r="E6843" s="84"/>
      <c r="F6843" s="84"/>
      <c r="G6843" s="243"/>
      <c r="H6843" s="238"/>
    </row>
    <row r="6844" spans="1:9" s="212" customFormat="1">
      <c r="A6844" s="91"/>
      <c r="B6844" s="91"/>
      <c r="C6844" s="91"/>
      <c r="D6844" s="91"/>
      <c r="E6844" s="91"/>
      <c r="G6844" s="244"/>
      <c r="H6844" s="238"/>
    </row>
    <row r="6845" spans="1:9" s="212" customFormat="1">
      <c r="A6845" s="120"/>
      <c r="B6845" s="73"/>
      <c r="C6845" s="73"/>
      <c r="D6845" s="73"/>
      <c r="E6845" s="73"/>
      <c r="G6845" s="235"/>
      <c r="H6845" s="238"/>
    </row>
    <row r="6846" spans="1:9" s="212" customFormat="1">
      <c r="A6846" s="220"/>
      <c r="B6846" s="141"/>
      <c r="C6846" s="141"/>
      <c r="D6846" s="141"/>
      <c r="E6846" s="141"/>
      <c r="F6846" s="141"/>
      <c r="G6846" s="194"/>
      <c r="H6846" s="238"/>
    </row>
    <row r="6847" spans="1:9" s="212" customFormat="1">
      <c r="A6847" s="142"/>
      <c r="B6847" s="143"/>
      <c r="C6847" s="143"/>
      <c r="D6847" s="143"/>
      <c r="E6847" s="143"/>
      <c r="F6847" s="84"/>
      <c r="G6847" s="243"/>
      <c r="H6847" s="238"/>
    </row>
    <row r="6848" spans="1:9" s="212" customFormat="1">
      <c r="A6848" s="123"/>
      <c r="B6848" s="95"/>
      <c r="C6848" s="95"/>
      <c r="D6848" s="95"/>
      <c r="E6848" s="95"/>
      <c r="G6848" s="244"/>
      <c r="H6848" s="235"/>
    </row>
    <row r="6849" spans="1:9" s="212" customFormat="1">
      <c r="A6849" s="123"/>
      <c r="B6849" s="95"/>
      <c r="C6849" s="95"/>
      <c r="D6849" s="95"/>
      <c r="E6849" s="95"/>
      <c r="G6849" s="235"/>
      <c r="H6849" s="242"/>
    </row>
    <row r="6850" spans="1:9" s="212" customFormat="1">
      <c r="B6850" s="97"/>
      <c r="C6850" s="98"/>
      <c r="D6850" s="98"/>
      <c r="E6850" s="98"/>
      <c r="G6850" s="241"/>
      <c r="H6850" s="242"/>
    </row>
    <row r="6851" spans="1:9" s="212" customFormat="1">
      <c r="B6851" s="97"/>
      <c r="C6851" s="98"/>
      <c r="D6851" s="98"/>
      <c r="E6851" s="98"/>
      <c r="G6851" s="241"/>
      <c r="H6851" s="227"/>
      <c r="I6851" s="228"/>
    </row>
    <row r="6852" spans="1:9" s="212" customFormat="1">
      <c r="A6852" s="658"/>
      <c r="B6852" s="227"/>
      <c r="C6852" s="227"/>
      <c r="D6852" s="227"/>
      <c r="E6852" s="227"/>
      <c r="F6852" s="227"/>
      <c r="G6852" s="227"/>
      <c r="H6852" s="227"/>
      <c r="I6852" s="229"/>
    </row>
    <row r="6853" spans="1:9" s="212" customFormat="1">
      <c r="A6853" s="658"/>
      <c r="B6853" s="227"/>
      <c r="C6853" s="227"/>
      <c r="D6853" s="227"/>
      <c r="E6853" s="227"/>
      <c r="F6853" s="227"/>
      <c r="G6853" s="227"/>
      <c r="H6853" s="234"/>
    </row>
    <row r="6854" spans="1:9" s="212" customFormat="1">
      <c r="A6854" s="69"/>
      <c r="B6854" s="69"/>
      <c r="C6854" s="69"/>
      <c r="D6854" s="69"/>
      <c r="E6854" s="69"/>
      <c r="G6854" s="234"/>
      <c r="H6854" s="234"/>
    </row>
    <row r="6855" spans="1:9" s="212" customFormat="1">
      <c r="A6855" s="120"/>
      <c r="B6855" s="73"/>
      <c r="C6855" s="73"/>
      <c r="D6855" s="73"/>
      <c r="E6855" s="73"/>
      <c r="F6855" s="73"/>
      <c r="G6855" s="235"/>
      <c r="H6855" s="235"/>
    </row>
    <row r="6856" spans="1:9" s="212" customFormat="1">
      <c r="A6856" s="220"/>
      <c r="B6856" s="141"/>
      <c r="C6856" s="141"/>
      <c r="D6856" s="141"/>
      <c r="E6856" s="141"/>
      <c r="F6856" s="141"/>
      <c r="G6856" s="194"/>
      <c r="H6856" s="235"/>
    </row>
    <row r="6857" spans="1:9" s="212" customFormat="1">
      <c r="A6857" s="150"/>
      <c r="B6857" s="83"/>
      <c r="C6857" s="148"/>
      <c r="D6857" s="84"/>
      <c r="E6857" s="84"/>
      <c r="F6857" s="84"/>
      <c r="G6857" s="243"/>
      <c r="H6857" s="238"/>
    </row>
    <row r="6858" spans="1:9" s="212" customFormat="1">
      <c r="A6858" s="84"/>
      <c r="B6858" s="83"/>
      <c r="C6858" s="84"/>
      <c r="D6858" s="84"/>
      <c r="E6858" s="84"/>
      <c r="G6858" s="244"/>
      <c r="H6858" s="238"/>
    </row>
    <row r="6859" spans="1:9" s="212" customFormat="1">
      <c r="A6859" s="120"/>
      <c r="B6859" s="73"/>
      <c r="C6859" s="73"/>
      <c r="D6859" s="73"/>
      <c r="E6859" s="73"/>
      <c r="G6859" s="235"/>
      <c r="H6859" s="238"/>
    </row>
    <row r="6860" spans="1:9" s="212" customFormat="1">
      <c r="A6860" s="220"/>
      <c r="B6860" s="141"/>
      <c r="C6860" s="141"/>
      <c r="D6860" s="141"/>
      <c r="E6860" s="141"/>
      <c r="F6860" s="141"/>
      <c r="G6860" s="194"/>
      <c r="H6860" s="238"/>
      <c r="I6860" s="240"/>
    </row>
    <row r="6861" spans="1:9" s="212" customFormat="1">
      <c r="A6861" s="197"/>
      <c r="B6861" s="83"/>
      <c r="C6861" s="148"/>
      <c r="D6861" s="190"/>
      <c r="E6861" s="84"/>
      <c r="F6861" s="84"/>
      <c r="G6861" s="243"/>
      <c r="H6861" s="238"/>
    </row>
    <row r="6862" spans="1:9" s="212" customFormat="1">
      <c r="A6862" s="150"/>
      <c r="B6862" s="83"/>
      <c r="C6862" s="148"/>
      <c r="D6862" s="84"/>
      <c r="E6862" s="84"/>
      <c r="F6862" s="84"/>
      <c r="G6862" s="243"/>
      <c r="H6862" s="238"/>
    </row>
    <row r="6863" spans="1:9" s="212" customFormat="1">
      <c r="A6863" s="91"/>
      <c r="B6863" s="91"/>
      <c r="C6863" s="91"/>
      <c r="D6863" s="91"/>
      <c r="E6863" s="91"/>
      <c r="G6863" s="244"/>
      <c r="H6863" s="238"/>
    </row>
    <row r="6864" spans="1:9" s="212" customFormat="1">
      <c r="A6864" s="120"/>
      <c r="B6864" s="73"/>
      <c r="C6864" s="73"/>
      <c r="D6864" s="73"/>
      <c r="E6864" s="73"/>
      <c r="G6864" s="235"/>
      <c r="H6864" s="238"/>
    </row>
    <row r="6865" spans="1:9" s="212" customFormat="1">
      <c r="A6865" s="220"/>
      <c r="B6865" s="141"/>
      <c r="C6865" s="141"/>
      <c r="D6865" s="141"/>
      <c r="E6865" s="141"/>
      <c r="F6865" s="141"/>
      <c r="G6865" s="194"/>
      <c r="H6865" s="238"/>
    </row>
    <row r="6866" spans="1:9" s="212" customFormat="1">
      <c r="A6866" s="146"/>
      <c r="B6866" s="83"/>
      <c r="C6866" s="148"/>
      <c r="D6866" s="84"/>
      <c r="E6866" s="84"/>
      <c r="F6866" s="84"/>
      <c r="G6866" s="243"/>
      <c r="H6866" s="238"/>
    </row>
    <row r="6867" spans="1:9" s="212" customFormat="1">
      <c r="A6867" s="91"/>
      <c r="B6867" s="91"/>
      <c r="C6867" s="91"/>
      <c r="D6867" s="91"/>
      <c r="E6867" s="91"/>
      <c r="G6867" s="244"/>
      <c r="H6867" s="238"/>
    </row>
    <row r="6868" spans="1:9" s="212" customFormat="1">
      <c r="A6868" s="120"/>
      <c r="B6868" s="73"/>
      <c r="C6868" s="73"/>
      <c r="D6868" s="73"/>
      <c r="E6868" s="73"/>
      <c r="G6868" s="235"/>
      <c r="H6868" s="238"/>
    </row>
    <row r="6869" spans="1:9" s="212" customFormat="1">
      <c r="A6869" s="220"/>
      <c r="B6869" s="141"/>
      <c r="C6869" s="141"/>
      <c r="D6869" s="141"/>
      <c r="E6869" s="141"/>
      <c r="F6869" s="141"/>
      <c r="G6869" s="194"/>
      <c r="H6869" s="238"/>
    </row>
    <row r="6870" spans="1:9" s="212" customFormat="1">
      <c r="A6870" s="142"/>
      <c r="B6870" s="143"/>
      <c r="C6870" s="143"/>
      <c r="D6870" s="143"/>
      <c r="E6870" s="143"/>
      <c r="F6870" s="84"/>
      <c r="G6870" s="243"/>
      <c r="H6870" s="238"/>
    </row>
    <row r="6871" spans="1:9" s="212" customFormat="1">
      <c r="A6871" s="123"/>
      <c r="B6871" s="95"/>
      <c r="C6871" s="95"/>
      <c r="D6871" s="95"/>
      <c r="E6871" s="95"/>
      <c r="G6871" s="244"/>
      <c r="H6871" s="235"/>
    </row>
    <row r="6872" spans="1:9" s="212" customFormat="1">
      <c r="A6872" s="123"/>
      <c r="B6872" s="95"/>
      <c r="C6872" s="95"/>
      <c r="D6872" s="95"/>
      <c r="E6872" s="95"/>
      <c r="G6872" s="235"/>
      <c r="H6872" s="242"/>
    </row>
    <row r="6873" spans="1:9" s="212" customFormat="1">
      <c r="B6873" s="97"/>
      <c r="C6873" s="98"/>
      <c r="D6873" s="98"/>
      <c r="E6873" s="98"/>
      <c r="G6873" s="241"/>
      <c r="H6873" s="242"/>
    </row>
    <row r="6874" spans="1:9" s="212" customFormat="1">
      <c r="B6874" s="97"/>
      <c r="C6874" s="98"/>
      <c r="D6874" s="98"/>
      <c r="E6874" s="98"/>
      <c r="G6874" s="241"/>
      <c r="H6874" s="227"/>
      <c r="I6874" s="228"/>
    </row>
    <row r="6875" spans="1:9" s="212" customFormat="1">
      <c r="A6875" s="658"/>
      <c r="B6875" s="227"/>
      <c r="C6875" s="227"/>
      <c r="D6875" s="227"/>
      <c r="E6875" s="227"/>
      <c r="F6875" s="227"/>
      <c r="G6875" s="227"/>
      <c r="H6875" s="227"/>
      <c r="I6875" s="229"/>
    </row>
    <row r="6876" spans="1:9" s="212" customFormat="1">
      <c r="A6876" s="658"/>
      <c r="B6876" s="227"/>
      <c r="C6876" s="227"/>
      <c r="D6876" s="227"/>
      <c r="E6876" s="227"/>
      <c r="F6876" s="227"/>
      <c r="G6876" s="227"/>
      <c r="H6876" s="234"/>
    </row>
    <row r="6877" spans="1:9" s="212" customFormat="1">
      <c r="A6877" s="69"/>
      <c r="B6877" s="69"/>
      <c r="C6877" s="69"/>
      <c r="D6877" s="69"/>
      <c r="E6877" s="69"/>
      <c r="G6877" s="234"/>
      <c r="H6877" s="234"/>
    </row>
    <row r="6878" spans="1:9" s="212" customFormat="1">
      <c r="A6878" s="120"/>
      <c r="B6878" s="73"/>
      <c r="C6878" s="73"/>
      <c r="D6878" s="73"/>
      <c r="E6878" s="73"/>
      <c r="F6878" s="73"/>
      <c r="G6878" s="235"/>
      <c r="H6878" s="235"/>
    </row>
    <row r="6879" spans="1:9" s="212" customFormat="1">
      <c r="A6879" s="220"/>
      <c r="B6879" s="141"/>
      <c r="C6879" s="141"/>
      <c r="D6879" s="141"/>
      <c r="E6879" s="141"/>
      <c r="F6879" s="141"/>
      <c r="G6879" s="194"/>
      <c r="H6879" s="235"/>
    </row>
    <row r="6880" spans="1:9" s="212" customFormat="1">
      <c r="A6880" s="150"/>
      <c r="B6880" s="83"/>
      <c r="C6880" s="148"/>
      <c r="D6880" s="84"/>
      <c r="E6880" s="84"/>
      <c r="F6880" s="84"/>
      <c r="G6880" s="243"/>
      <c r="H6880" s="238"/>
    </row>
    <row r="6881" spans="1:9" s="212" customFormat="1">
      <c r="A6881" s="84"/>
      <c r="B6881" s="83"/>
      <c r="C6881" s="84"/>
      <c r="D6881" s="84"/>
      <c r="E6881" s="84"/>
      <c r="G6881" s="244"/>
      <c r="H6881" s="238"/>
    </row>
    <row r="6882" spans="1:9" s="212" customFormat="1">
      <c r="A6882" s="120"/>
      <c r="B6882" s="73"/>
      <c r="C6882" s="73"/>
      <c r="D6882" s="73"/>
      <c r="E6882" s="73"/>
      <c r="G6882" s="235"/>
      <c r="H6882" s="238"/>
    </row>
    <row r="6883" spans="1:9" s="212" customFormat="1">
      <c r="A6883" s="220"/>
      <c r="B6883" s="141"/>
      <c r="C6883" s="141"/>
      <c r="D6883" s="141"/>
      <c r="E6883" s="141"/>
      <c r="F6883" s="141"/>
      <c r="G6883" s="194"/>
      <c r="H6883" s="238"/>
      <c r="I6883" s="240"/>
    </row>
    <row r="6884" spans="1:9" s="212" customFormat="1">
      <c r="A6884" s="197"/>
      <c r="B6884" s="83"/>
      <c r="C6884" s="148"/>
      <c r="D6884" s="190"/>
      <c r="E6884" s="84"/>
      <c r="F6884" s="84"/>
      <c r="G6884" s="243"/>
      <c r="H6884" s="238"/>
    </row>
    <row r="6885" spans="1:9" s="212" customFormat="1">
      <c r="A6885" s="150"/>
      <c r="B6885" s="83"/>
      <c r="C6885" s="148"/>
      <c r="D6885" s="84"/>
      <c r="E6885" s="84"/>
      <c r="F6885" s="84"/>
      <c r="G6885" s="243"/>
      <c r="H6885" s="238"/>
    </row>
    <row r="6886" spans="1:9" s="212" customFormat="1">
      <c r="A6886" s="150"/>
      <c r="B6886" s="83"/>
      <c r="C6886" s="148"/>
      <c r="D6886" s="84"/>
      <c r="E6886" s="84"/>
      <c r="F6886" s="84"/>
      <c r="G6886" s="243"/>
      <c r="H6886" s="238"/>
    </row>
    <row r="6887" spans="1:9" s="212" customFormat="1">
      <c r="A6887" s="91"/>
      <c r="B6887" s="91"/>
      <c r="C6887" s="91"/>
      <c r="D6887" s="91"/>
      <c r="E6887" s="91"/>
      <c r="G6887" s="244"/>
      <c r="H6887" s="238"/>
    </row>
    <row r="6888" spans="1:9" s="212" customFormat="1">
      <c r="A6888" s="120"/>
      <c r="B6888" s="73"/>
      <c r="C6888" s="73"/>
      <c r="D6888" s="73"/>
      <c r="E6888" s="73"/>
      <c r="G6888" s="235"/>
      <c r="H6888" s="238"/>
    </row>
    <row r="6889" spans="1:9" s="212" customFormat="1">
      <c r="A6889" s="220"/>
      <c r="B6889" s="141"/>
      <c r="C6889" s="141"/>
      <c r="D6889" s="141"/>
      <c r="E6889" s="141"/>
      <c r="F6889" s="141"/>
      <c r="G6889" s="194"/>
      <c r="H6889" s="238"/>
    </row>
    <row r="6890" spans="1:9" s="212" customFormat="1">
      <c r="A6890" s="146"/>
      <c r="B6890" s="83"/>
      <c r="C6890" s="148"/>
      <c r="D6890" s="84"/>
      <c r="E6890" s="84"/>
      <c r="F6890" s="84"/>
      <c r="G6890" s="243"/>
      <c r="H6890" s="238"/>
    </row>
    <row r="6891" spans="1:9" s="212" customFormat="1">
      <c r="A6891" s="91"/>
      <c r="B6891" s="91"/>
      <c r="C6891" s="91"/>
      <c r="D6891" s="91"/>
      <c r="E6891" s="91"/>
      <c r="G6891" s="244"/>
      <c r="H6891" s="238"/>
    </row>
    <row r="6892" spans="1:9" s="212" customFormat="1">
      <c r="A6892" s="120"/>
      <c r="B6892" s="73"/>
      <c r="C6892" s="73"/>
      <c r="D6892" s="73"/>
      <c r="E6892" s="73"/>
      <c r="G6892" s="235"/>
      <c r="H6892" s="238"/>
    </row>
    <row r="6893" spans="1:9" s="212" customFormat="1">
      <c r="A6893" s="220"/>
      <c r="B6893" s="141"/>
      <c r="C6893" s="141"/>
      <c r="D6893" s="141"/>
      <c r="E6893" s="141"/>
      <c r="F6893" s="141"/>
      <c r="G6893" s="194"/>
      <c r="H6893" s="238"/>
    </row>
    <row r="6894" spans="1:9" s="212" customFormat="1">
      <c r="A6894" s="142"/>
      <c r="B6894" s="143"/>
      <c r="C6894" s="143"/>
      <c r="D6894" s="143"/>
      <c r="E6894" s="143"/>
      <c r="F6894" s="84"/>
      <c r="G6894" s="243"/>
      <c r="H6894" s="238"/>
    </row>
    <row r="6895" spans="1:9" s="212" customFormat="1">
      <c r="A6895" s="123"/>
      <c r="B6895" s="95"/>
      <c r="C6895" s="95"/>
      <c r="D6895" s="95"/>
      <c r="E6895" s="95"/>
      <c r="G6895" s="244"/>
      <c r="H6895" s="235"/>
    </row>
    <row r="6896" spans="1:9" s="212" customFormat="1">
      <c r="A6896" s="123"/>
      <c r="B6896" s="95"/>
      <c r="C6896" s="95"/>
      <c r="D6896" s="95"/>
      <c r="E6896" s="95"/>
      <c r="G6896" s="235"/>
      <c r="H6896" s="242"/>
    </row>
    <row r="6897" spans="1:9" s="212" customFormat="1">
      <c r="B6897" s="97"/>
      <c r="C6897" s="98"/>
      <c r="D6897" s="98"/>
      <c r="E6897" s="98"/>
      <c r="G6897" s="241"/>
      <c r="H6897" s="242"/>
    </row>
    <row r="6898" spans="1:9" s="212" customFormat="1">
      <c r="B6898" s="97"/>
      <c r="C6898" s="98"/>
      <c r="D6898" s="98"/>
      <c r="E6898" s="98"/>
      <c r="G6898" s="241"/>
      <c r="H6898" s="227"/>
      <c r="I6898" s="228"/>
    </row>
    <row r="6899" spans="1:9" s="212" customFormat="1">
      <c r="A6899" s="658"/>
      <c r="B6899" s="227"/>
      <c r="C6899" s="227"/>
      <c r="D6899" s="227"/>
      <c r="E6899" s="227"/>
      <c r="F6899" s="227"/>
      <c r="G6899" s="227"/>
      <c r="H6899" s="227"/>
      <c r="I6899" s="229"/>
    </row>
    <row r="6900" spans="1:9" s="212" customFormat="1">
      <c r="A6900" s="658"/>
      <c r="B6900" s="227"/>
      <c r="C6900" s="227"/>
      <c r="D6900" s="227"/>
      <c r="E6900" s="227"/>
      <c r="F6900" s="227"/>
      <c r="G6900" s="227"/>
      <c r="H6900" s="234"/>
    </row>
    <row r="6901" spans="1:9" s="212" customFormat="1">
      <c r="A6901" s="69"/>
      <c r="B6901" s="69"/>
      <c r="C6901" s="69"/>
      <c r="D6901" s="69"/>
      <c r="E6901" s="69"/>
      <c r="G6901" s="234"/>
      <c r="H6901" s="234"/>
    </row>
    <row r="6902" spans="1:9" s="212" customFormat="1">
      <c r="A6902" s="120"/>
      <c r="B6902" s="73"/>
      <c r="C6902" s="73"/>
      <c r="D6902" s="73"/>
      <c r="E6902" s="73"/>
      <c r="F6902" s="73"/>
      <c r="G6902" s="235"/>
      <c r="H6902" s="235"/>
    </row>
    <row r="6903" spans="1:9" s="212" customFormat="1">
      <c r="A6903" s="220"/>
      <c r="B6903" s="141"/>
      <c r="C6903" s="141"/>
      <c r="D6903" s="141"/>
      <c r="E6903" s="141"/>
      <c r="F6903" s="141"/>
      <c r="G6903" s="194"/>
      <c r="H6903" s="235"/>
    </row>
    <row r="6904" spans="1:9" s="212" customFormat="1">
      <c r="A6904" s="150"/>
      <c r="B6904" s="83"/>
      <c r="C6904" s="148"/>
      <c r="D6904" s="84"/>
      <c r="E6904" s="84"/>
      <c r="F6904" s="84"/>
      <c r="G6904" s="243"/>
      <c r="H6904" s="238"/>
    </row>
    <row r="6905" spans="1:9" s="212" customFormat="1">
      <c r="A6905" s="84"/>
      <c r="B6905" s="83"/>
      <c r="C6905" s="84"/>
      <c r="D6905" s="84"/>
      <c r="E6905" s="84"/>
      <c r="G6905" s="244"/>
      <c r="H6905" s="238"/>
    </row>
    <row r="6906" spans="1:9" s="212" customFormat="1">
      <c r="A6906" s="120"/>
      <c r="B6906" s="73"/>
      <c r="C6906" s="73"/>
      <c r="D6906" s="73"/>
      <c r="E6906" s="73"/>
      <c r="G6906" s="235"/>
      <c r="H6906" s="238"/>
    </row>
    <row r="6907" spans="1:9" s="212" customFormat="1">
      <c r="A6907" s="220"/>
      <c r="B6907" s="141"/>
      <c r="C6907" s="141"/>
      <c r="D6907" s="141"/>
      <c r="E6907" s="141"/>
      <c r="F6907" s="141"/>
      <c r="G6907" s="194"/>
      <c r="H6907" s="238"/>
      <c r="I6907" s="240"/>
    </row>
    <row r="6908" spans="1:9" s="212" customFormat="1">
      <c r="A6908" s="197"/>
      <c r="B6908" s="83"/>
      <c r="C6908" s="148"/>
      <c r="D6908" s="190"/>
      <c r="E6908" s="84"/>
      <c r="F6908" s="84"/>
      <c r="G6908" s="243"/>
      <c r="H6908" s="238"/>
    </row>
    <row r="6909" spans="1:9" s="212" customFormat="1">
      <c r="A6909" s="91"/>
      <c r="B6909" s="91"/>
      <c r="C6909" s="91"/>
      <c r="D6909" s="91"/>
      <c r="E6909" s="91"/>
      <c r="G6909" s="244"/>
      <c r="H6909" s="238"/>
    </row>
    <row r="6910" spans="1:9" s="212" customFormat="1">
      <c r="A6910" s="120"/>
      <c r="B6910" s="73"/>
      <c r="C6910" s="73"/>
      <c r="D6910" s="73"/>
      <c r="E6910" s="73"/>
      <c r="G6910" s="235"/>
      <c r="H6910" s="238"/>
    </row>
    <row r="6911" spans="1:9" s="212" customFormat="1">
      <c r="A6911" s="220"/>
      <c r="B6911" s="141"/>
      <c r="C6911" s="141"/>
      <c r="D6911" s="141"/>
      <c r="E6911" s="141"/>
      <c r="F6911" s="141"/>
      <c r="G6911" s="194"/>
      <c r="H6911" s="238"/>
    </row>
    <row r="6912" spans="1:9" s="212" customFormat="1">
      <c r="A6912" s="146"/>
      <c r="B6912" s="83"/>
      <c r="C6912" s="148"/>
      <c r="D6912" s="84"/>
      <c r="E6912" s="84"/>
      <c r="F6912" s="84"/>
      <c r="G6912" s="243"/>
      <c r="H6912" s="238"/>
    </row>
    <row r="6913" spans="1:9" s="212" customFormat="1">
      <c r="A6913" s="91"/>
      <c r="B6913" s="91"/>
      <c r="C6913" s="91"/>
      <c r="D6913" s="91"/>
      <c r="E6913" s="91"/>
      <c r="G6913" s="244"/>
      <c r="H6913" s="238"/>
    </row>
    <row r="6914" spans="1:9" s="212" customFormat="1">
      <c r="A6914" s="120"/>
      <c r="B6914" s="73"/>
      <c r="C6914" s="73"/>
      <c r="D6914" s="73"/>
      <c r="E6914" s="73"/>
      <c r="G6914" s="235"/>
      <c r="H6914" s="238"/>
    </row>
    <row r="6915" spans="1:9" s="212" customFormat="1">
      <c r="A6915" s="220"/>
      <c r="B6915" s="141"/>
      <c r="C6915" s="141"/>
      <c r="D6915" s="141"/>
      <c r="E6915" s="141"/>
      <c r="F6915" s="141"/>
      <c r="G6915" s="194"/>
      <c r="H6915" s="238"/>
    </row>
    <row r="6916" spans="1:9" s="212" customFormat="1">
      <c r="A6916" s="142"/>
      <c r="B6916" s="143"/>
      <c r="C6916" s="143"/>
      <c r="D6916" s="143"/>
      <c r="E6916" s="143"/>
      <c r="F6916" s="84"/>
      <c r="G6916" s="243"/>
      <c r="H6916" s="238"/>
    </row>
    <row r="6917" spans="1:9" s="212" customFormat="1">
      <c r="A6917" s="123"/>
      <c r="B6917" s="95"/>
      <c r="C6917" s="95"/>
      <c r="D6917" s="95"/>
      <c r="E6917" s="95"/>
      <c r="G6917" s="244"/>
      <c r="H6917" s="235"/>
    </row>
    <row r="6918" spans="1:9" s="212" customFormat="1">
      <c r="A6918" s="123"/>
      <c r="B6918" s="95"/>
      <c r="C6918" s="95"/>
      <c r="D6918" s="95"/>
      <c r="E6918" s="95"/>
      <c r="G6918" s="235"/>
      <c r="H6918" s="242"/>
    </row>
    <row r="6919" spans="1:9" s="212" customFormat="1">
      <c r="B6919" s="97"/>
      <c r="C6919" s="98"/>
      <c r="D6919" s="98"/>
      <c r="E6919" s="98"/>
      <c r="G6919" s="241"/>
      <c r="H6919" s="242"/>
    </row>
    <row r="6920" spans="1:9" s="212" customFormat="1">
      <c r="B6920" s="97"/>
      <c r="C6920" s="98"/>
      <c r="D6920" s="98"/>
      <c r="E6920" s="98"/>
      <c r="G6920" s="241"/>
      <c r="H6920" s="227"/>
      <c r="I6920" s="228"/>
    </row>
    <row r="6921" spans="1:9" s="212" customFormat="1">
      <c r="A6921" s="658"/>
      <c r="B6921" s="227"/>
      <c r="C6921" s="227"/>
      <c r="D6921" s="227"/>
      <c r="E6921" s="227"/>
      <c r="F6921" s="227"/>
      <c r="G6921" s="227"/>
      <c r="H6921" s="227"/>
      <c r="I6921" s="229"/>
    </row>
    <row r="6922" spans="1:9" s="212" customFormat="1">
      <c r="A6922" s="658"/>
      <c r="B6922" s="227"/>
      <c r="C6922" s="227"/>
      <c r="D6922" s="227"/>
      <c r="E6922" s="227"/>
      <c r="F6922" s="227"/>
      <c r="G6922" s="227"/>
      <c r="H6922" s="234"/>
    </row>
    <row r="6923" spans="1:9" s="212" customFormat="1">
      <c r="A6923" s="69"/>
      <c r="B6923" s="69"/>
      <c r="C6923" s="69"/>
      <c r="D6923" s="69"/>
      <c r="E6923" s="69"/>
      <c r="G6923" s="234"/>
      <c r="H6923" s="234"/>
    </row>
    <row r="6924" spans="1:9" s="212" customFormat="1">
      <c r="A6924" s="120"/>
      <c r="B6924" s="73"/>
      <c r="C6924" s="73"/>
      <c r="D6924" s="73"/>
      <c r="E6924" s="73"/>
      <c r="F6924" s="73"/>
      <c r="G6924" s="235"/>
      <c r="H6924" s="235"/>
    </row>
    <row r="6925" spans="1:9" s="212" customFormat="1">
      <c r="A6925" s="220"/>
      <c r="B6925" s="141"/>
      <c r="C6925" s="141"/>
      <c r="D6925" s="141"/>
      <c r="E6925" s="141"/>
      <c r="F6925" s="141"/>
      <c r="G6925" s="194"/>
      <c r="H6925" s="235"/>
    </row>
    <row r="6926" spans="1:9" s="212" customFormat="1">
      <c r="A6926" s="150"/>
      <c r="B6926" s="83"/>
      <c r="C6926" s="148"/>
      <c r="D6926" s="84"/>
      <c r="E6926" s="84"/>
      <c r="F6926" s="84"/>
      <c r="G6926" s="243"/>
      <c r="H6926" s="238"/>
    </row>
    <row r="6927" spans="1:9" s="212" customFormat="1">
      <c r="A6927" s="84"/>
      <c r="B6927" s="83"/>
      <c r="C6927" s="84"/>
      <c r="D6927" s="84"/>
      <c r="E6927" s="84"/>
      <c r="G6927" s="244"/>
      <c r="H6927" s="238"/>
    </row>
    <row r="6928" spans="1:9" s="212" customFormat="1">
      <c r="A6928" s="120"/>
      <c r="B6928" s="73"/>
      <c r="C6928" s="73"/>
      <c r="D6928" s="73"/>
      <c r="E6928" s="73"/>
      <c r="G6928" s="235"/>
      <c r="H6928" s="238"/>
    </row>
    <row r="6929" spans="1:9" s="212" customFormat="1">
      <c r="A6929" s="220"/>
      <c r="B6929" s="141"/>
      <c r="C6929" s="141"/>
      <c r="D6929" s="141"/>
      <c r="E6929" s="141"/>
      <c r="F6929" s="141"/>
      <c r="G6929" s="194"/>
      <c r="H6929" s="238"/>
      <c r="I6929" s="240"/>
    </row>
    <row r="6930" spans="1:9" s="212" customFormat="1">
      <c r="A6930" s="197"/>
      <c r="B6930" s="83"/>
      <c r="C6930" s="148"/>
      <c r="D6930" s="190"/>
      <c r="E6930" s="84"/>
      <c r="F6930" s="84"/>
      <c r="G6930" s="243"/>
      <c r="H6930" s="238"/>
    </row>
    <row r="6931" spans="1:9" s="212" customFormat="1">
      <c r="A6931" s="91"/>
      <c r="B6931" s="91"/>
      <c r="C6931" s="91"/>
      <c r="D6931" s="91"/>
      <c r="E6931" s="91"/>
      <c r="G6931" s="244"/>
      <c r="H6931" s="238"/>
    </row>
    <row r="6932" spans="1:9" s="212" customFormat="1">
      <c r="A6932" s="120"/>
      <c r="B6932" s="73"/>
      <c r="C6932" s="73"/>
      <c r="D6932" s="73"/>
      <c r="E6932" s="73"/>
      <c r="G6932" s="235"/>
      <c r="H6932" s="238"/>
    </row>
    <row r="6933" spans="1:9" s="212" customFormat="1">
      <c r="A6933" s="220"/>
      <c r="B6933" s="141"/>
      <c r="C6933" s="141"/>
      <c r="D6933" s="141"/>
      <c r="E6933" s="141"/>
      <c r="F6933" s="141"/>
      <c r="G6933" s="194"/>
      <c r="H6933" s="238"/>
    </row>
    <row r="6934" spans="1:9" s="212" customFormat="1">
      <c r="A6934" s="146"/>
      <c r="B6934" s="83"/>
      <c r="C6934" s="148"/>
      <c r="D6934" s="84"/>
      <c r="E6934" s="84"/>
      <c r="F6934" s="84"/>
      <c r="G6934" s="243"/>
      <c r="H6934" s="238"/>
    </row>
    <row r="6935" spans="1:9" s="212" customFormat="1">
      <c r="A6935" s="91"/>
      <c r="B6935" s="91"/>
      <c r="C6935" s="91"/>
      <c r="D6935" s="91"/>
      <c r="E6935" s="91"/>
      <c r="G6935" s="244"/>
      <c r="H6935" s="238"/>
    </row>
    <row r="6936" spans="1:9" s="212" customFormat="1">
      <c r="A6936" s="120"/>
      <c r="B6936" s="73"/>
      <c r="C6936" s="73"/>
      <c r="D6936" s="73"/>
      <c r="E6936" s="73"/>
      <c r="G6936" s="235"/>
      <c r="H6936" s="238"/>
    </row>
    <row r="6937" spans="1:9" s="212" customFormat="1">
      <c r="A6937" s="220"/>
      <c r="B6937" s="141"/>
      <c r="C6937" s="141"/>
      <c r="D6937" s="141"/>
      <c r="E6937" s="141"/>
      <c r="F6937" s="141"/>
      <c r="G6937" s="194"/>
      <c r="H6937" s="238"/>
    </row>
    <row r="6938" spans="1:9" s="212" customFormat="1">
      <c r="A6938" s="142"/>
      <c r="B6938" s="143"/>
      <c r="C6938" s="143"/>
      <c r="D6938" s="143"/>
      <c r="E6938" s="143"/>
      <c r="F6938" s="84"/>
      <c r="G6938" s="243"/>
      <c r="H6938" s="238"/>
    </row>
    <row r="6939" spans="1:9" s="212" customFormat="1">
      <c r="A6939" s="123"/>
      <c r="B6939" s="95"/>
      <c r="C6939" s="95"/>
      <c r="D6939" s="95"/>
      <c r="E6939" s="95"/>
      <c r="G6939" s="244"/>
      <c r="H6939" s="235"/>
    </row>
    <row r="6940" spans="1:9" s="212" customFormat="1">
      <c r="A6940" s="123"/>
      <c r="B6940" s="95"/>
      <c r="C6940" s="95"/>
      <c r="D6940" s="95"/>
      <c r="E6940" s="95"/>
      <c r="G6940" s="235"/>
      <c r="H6940" s="242"/>
    </row>
    <row r="6941" spans="1:9" s="212" customFormat="1">
      <c r="B6941" s="97"/>
      <c r="C6941" s="98"/>
      <c r="D6941" s="98"/>
      <c r="E6941" s="98"/>
      <c r="G6941" s="241"/>
      <c r="H6941" s="242"/>
    </row>
    <row r="6942" spans="1:9" s="212" customFormat="1">
      <c r="B6942" s="97"/>
      <c r="C6942" s="98"/>
      <c r="D6942" s="98"/>
      <c r="E6942" s="98"/>
      <c r="G6942" s="241"/>
      <c r="H6942" s="227"/>
      <c r="I6942" s="228"/>
    </row>
    <row r="6943" spans="1:9" s="212" customFormat="1">
      <c r="A6943" s="658"/>
      <c r="B6943" s="227"/>
      <c r="C6943" s="227"/>
      <c r="D6943" s="227"/>
      <c r="E6943" s="227"/>
      <c r="F6943" s="227"/>
      <c r="G6943" s="227"/>
      <c r="H6943" s="227"/>
      <c r="I6943" s="229"/>
    </row>
    <row r="6944" spans="1:9" s="212" customFormat="1">
      <c r="A6944" s="658"/>
      <c r="B6944" s="227"/>
      <c r="C6944" s="227"/>
      <c r="D6944" s="227"/>
      <c r="E6944" s="227"/>
      <c r="F6944" s="227"/>
      <c r="G6944" s="227"/>
      <c r="H6944" s="234"/>
    </row>
    <row r="6945" spans="1:9" s="212" customFormat="1">
      <c r="A6945" s="69"/>
      <c r="B6945" s="69"/>
      <c r="C6945" s="69"/>
      <c r="D6945" s="69"/>
      <c r="E6945" s="69"/>
      <c r="G6945" s="234"/>
      <c r="H6945" s="234"/>
    </row>
    <row r="6946" spans="1:9" s="212" customFormat="1">
      <c r="A6946" s="120"/>
      <c r="B6946" s="73"/>
      <c r="C6946" s="73"/>
      <c r="D6946" s="73"/>
      <c r="E6946" s="73"/>
      <c r="F6946" s="73"/>
      <c r="G6946" s="235"/>
      <c r="H6946" s="235"/>
    </row>
    <row r="6947" spans="1:9" s="212" customFormat="1">
      <c r="A6947" s="220"/>
      <c r="B6947" s="141"/>
      <c r="C6947" s="141"/>
      <c r="D6947" s="141"/>
      <c r="E6947" s="141"/>
      <c r="F6947" s="141"/>
      <c r="G6947" s="194"/>
      <c r="H6947" s="235"/>
    </row>
    <row r="6948" spans="1:9" s="212" customFormat="1">
      <c r="A6948" s="150"/>
      <c r="B6948" s="83"/>
      <c r="C6948" s="148"/>
      <c r="D6948" s="84"/>
      <c r="E6948" s="84"/>
      <c r="F6948" s="84"/>
      <c r="G6948" s="243"/>
      <c r="H6948" s="238"/>
    </row>
    <row r="6949" spans="1:9" s="212" customFormat="1">
      <c r="A6949" s="84"/>
      <c r="B6949" s="83"/>
      <c r="C6949" s="84"/>
      <c r="D6949" s="84"/>
      <c r="E6949" s="84"/>
      <c r="G6949" s="244"/>
      <c r="H6949" s="238"/>
    </row>
    <row r="6950" spans="1:9" s="212" customFormat="1">
      <c r="A6950" s="120"/>
      <c r="B6950" s="73"/>
      <c r="C6950" s="73"/>
      <c r="D6950" s="73"/>
      <c r="E6950" s="73"/>
      <c r="G6950" s="235"/>
      <c r="H6950" s="238"/>
    </row>
    <row r="6951" spans="1:9" s="212" customFormat="1">
      <c r="A6951" s="220"/>
      <c r="B6951" s="141"/>
      <c r="C6951" s="141"/>
      <c r="D6951" s="141"/>
      <c r="E6951" s="141"/>
      <c r="F6951" s="141"/>
      <c r="G6951" s="194"/>
      <c r="H6951" s="238"/>
      <c r="I6951" s="240"/>
    </row>
    <row r="6952" spans="1:9" s="212" customFormat="1">
      <c r="A6952" s="197"/>
      <c r="B6952" s="83"/>
      <c r="C6952" s="148"/>
      <c r="D6952" s="190"/>
      <c r="E6952" s="84"/>
      <c r="F6952" s="84"/>
      <c r="G6952" s="243"/>
      <c r="H6952" s="238"/>
    </row>
    <row r="6953" spans="1:9" s="212" customFormat="1">
      <c r="A6953" s="91"/>
      <c r="B6953" s="91"/>
      <c r="C6953" s="91"/>
      <c r="D6953" s="91"/>
      <c r="E6953" s="91"/>
      <c r="G6953" s="244"/>
      <c r="H6953" s="238"/>
    </row>
    <row r="6954" spans="1:9" s="212" customFormat="1">
      <c r="A6954" s="120"/>
      <c r="B6954" s="73"/>
      <c r="C6954" s="73"/>
      <c r="D6954" s="73"/>
      <c r="E6954" s="73"/>
      <c r="G6954" s="235"/>
      <c r="H6954" s="238"/>
    </row>
    <row r="6955" spans="1:9" s="212" customFormat="1">
      <c r="A6955" s="220"/>
      <c r="B6955" s="141"/>
      <c r="C6955" s="141"/>
      <c r="D6955" s="141"/>
      <c r="E6955" s="141"/>
      <c r="F6955" s="141"/>
      <c r="G6955" s="194"/>
      <c r="H6955" s="238"/>
    </row>
    <row r="6956" spans="1:9" s="212" customFormat="1">
      <c r="A6956" s="146"/>
      <c r="B6956" s="83"/>
      <c r="C6956" s="148"/>
      <c r="D6956" s="84"/>
      <c r="E6956" s="84"/>
      <c r="F6956" s="84"/>
      <c r="G6956" s="243"/>
      <c r="H6956" s="238"/>
    </row>
    <row r="6957" spans="1:9" s="212" customFormat="1">
      <c r="A6957" s="91"/>
      <c r="B6957" s="91"/>
      <c r="C6957" s="91"/>
      <c r="D6957" s="91"/>
      <c r="E6957" s="91"/>
      <c r="G6957" s="244"/>
      <c r="H6957" s="238"/>
    </row>
    <row r="6958" spans="1:9" s="212" customFormat="1">
      <c r="A6958" s="120"/>
      <c r="B6958" s="73"/>
      <c r="C6958" s="73"/>
      <c r="D6958" s="73"/>
      <c r="E6958" s="73"/>
      <c r="G6958" s="235"/>
      <c r="H6958" s="238"/>
    </row>
    <row r="6959" spans="1:9" s="212" customFormat="1">
      <c r="A6959" s="220"/>
      <c r="B6959" s="141"/>
      <c r="C6959" s="141"/>
      <c r="D6959" s="141"/>
      <c r="E6959" s="141"/>
      <c r="F6959" s="141"/>
      <c r="G6959" s="194"/>
      <c r="H6959" s="238"/>
    </row>
    <row r="6960" spans="1:9" s="212" customFormat="1">
      <c r="A6960" s="142"/>
      <c r="B6960" s="143"/>
      <c r="C6960" s="143"/>
      <c r="D6960" s="143"/>
      <c r="E6960" s="143"/>
      <c r="F6960" s="84"/>
      <c r="G6960" s="243"/>
      <c r="H6960" s="238"/>
    </row>
    <row r="6961" spans="1:9" s="212" customFormat="1">
      <c r="A6961" s="123"/>
      <c r="B6961" s="95"/>
      <c r="C6961" s="95"/>
      <c r="D6961" s="95"/>
      <c r="E6961" s="95"/>
      <c r="G6961" s="244"/>
      <c r="H6961" s="235"/>
    </row>
    <row r="6962" spans="1:9" s="212" customFormat="1">
      <c r="A6962" s="123"/>
      <c r="B6962" s="95"/>
      <c r="C6962" s="95"/>
      <c r="D6962" s="95"/>
      <c r="E6962" s="95"/>
      <c r="G6962" s="235"/>
      <c r="H6962" s="242"/>
    </row>
    <row r="6963" spans="1:9" s="212" customFormat="1">
      <c r="B6963" s="97"/>
      <c r="C6963" s="98"/>
      <c r="D6963" s="98"/>
      <c r="E6963" s="98"/>
      <c r="G6963" s="241"/>
      <c r="H6963" s="242"/>
    </row>
    <row r="6964" spans="1:9" s="212" customFormat="1">
      <c r="B6964" s="97"/>
      <c r="C6964" s="98"/>
      <c r="D6964" s="98"/>
      <c r="E6964" s="98"/>
      <c r="G6964" s="241"/>
      <c r="H6964" s="227"/>
      <c r="I6964" s="228"/>
    </row>
    <row r="6965" spans="1:9" s="212" customFormat="1">
      <c r="A6965" s="658"/>
      <c r="B6965" s="227"/>
      <c r="C6965" s="227"/>
      <c r="D6965" s="227"/>
      <c r="E6965" s="227"/>
      <c r="F6965" s="227"/>
      <c r="G6965" s="227"/>
      <c r="H6965" s="227"/>
      <c r="I6965" s="229"/>
    </row>
    <row r="6966" spans="1:9" s="212" customFormat="1">
      <c r="A6966" s="658"/>
      <c r="B6966" s="227"/>
      <c r="C6966" s="227"/>
      <c r="D6966" s="227"/>
      <c r="E6966" s="227"/>
      <c r="F6966" s="227"/>
      <c r="G6966" s="227"/>
      <c r="H6966" s="234"/>
    </row>
    <row r="6967" spans="1:9" s="212" customFormat="1">
      <c r="A6967" s="69"/>
      <c r="B6967" s="69"/>
      <c r="C6967" s="69"/>
      <c r="D6967" s="69"/>
      <c r="E6967" s="69"/>
      <c r="G6967" s="234"/>
      <c r="H6967" s="234"/>
    </row>
    <row r="6968" spans="1:9" s="212" customFormat="1">
      <c r="A6968" s="120"/>
      <c r="B6968" s="73"/>
      <c r="C6968" s="73"/>
      <c r="D6968" s="73"/>
      <c r="E6968" s="73"/>
      <c r="F6968" s="73"/>
      <c r="G6968" s="235"/>
      <c r="H6968" s="235"/>
    </row>
    <row r="6969" spans="1:9" s="212" customFormat="1">
      <c r="A6969" s="220"/>
      <c r="B6969" s="141"/>
      <c r="C6969" s="141"/>
      <c r="D6969" s="141"/>
      <c r="E6969" s="141"/>
      <c r="F6969" s="141"/>
      <c r="G6969" s="194"/>
      <c r="H6969" s="235"/>
    </row>
    <row r="6970" spans="1:9" s="212" customFormat="1">
      <c r="A6970" s="150"/>
      <c r="B6970" s="83"/>
      <c r="C6970" s="148"/>
      <c r="D6970" s="84"/>
      <c r="E6970" s="84"/>
      <c r="F6970" s="84"/>
      <c r="G6970" s="243"/>
      <c r="H6970" s="238"/>
    </row>
    <row r="6971" spans="1:9" s="212" customFormat="1">
      <c r="A6971" s="84"/>
      <c r="B6971" s="83"/>
      <c r="C6971" s="84"/>
      <c r="D6971" s="84"/>
      <c r="E6971" s="84"/>
      <c r="G6971" s="244"/>
      <c r="H6971" s="238"/>
    </row>
    <row r="6972" spans="1:9" s="212" customFormat="1">
      <c r="A6972" s="120"/>
      <c r="B6972" s="73"/>
      <c r="C6972" s="73"/>
      <c r="D6972" s="73"/>
      <c r="E6972" s="73"/>
      <c r="G6972" s="235"/>
      <c r="H6972" s="238"/>
    </row>
    <row r="6973" spans="1:9" s="212" customFormat="1">
      <c r="A6973" s="220"/>
      <c r="B6973" s="141"/>
      <c r="C6973" s="141"/>
      <c r="D6973" s="141"/>
      <c r="E6973" s="141"/>
      <c r="F6973" s="141"/>
      <c r="G6973" s="194"/>
      <c r="H6973" s="238"/>
      <c r="I6973" s="240"/>
    </row>
    <row r="6974" spans="1:9" s="212" customFormat="1">
      <c r="A6974" s="197"/>
      <c r="B6974" s="83"/>
      <c r="C6974" s="148"/>
      <c r="D6974" s="190"/>
      <c r="E6974" s="84"/>
      <c r="F6974" s="84"/>
      <c r="G6974" s="243"/>
      <c r="H6974" s="238"/>
      <c r="I6974" s="240"/>
    </row>
    <row r="6975" spans="1:9" s="212" customFormat="1">
      <c r="A6975" s="197"/>
      <c r="B6975" s="83"/>
      <c r="C6975" s="148"/>
      <c r="D6975" s="190"/>
      <c r="E6975" s="84"/>
      <c r="F6975" s="84"/>
      <c r="G6975" s="243"/>
      <c r="H6975" s="238"/>
      <c r="I6975" s="240"/>
    </row>
    <row r="6976" spans="1:9" s="212" customFormat="1">
      <c r="A6976" s="197"/>
      <c r="B6976" s="198"/>
      <c r="C6976" s="148"/>
      <c r="D6976" s="190"/>
      <c r="E6976" s="84"/>
      <c r="F6976" s="84"/>
      <c r="G6976" s="243"/>
      <c r="H6976" s="238"/>
    </row>
    <row r="6977" spans="1:9" s="212" customFormat="1">
      <c r="A6977" s="91"/>
      <c r="B6977" s="91"/>
      <c r="C6977" s="91"/>
      <c r="D6977" s="91"/>
      <c r="E6977" s="91"/>
      <c r="G6977" s="244"/>
      <c r="H6977" s="238"/>
    </row>
    <row r="6978" spans="1:9" s="212" customFormat="1">
      <c r="A6978" s="120"/>
      <c r="B6978" s="73"/>
      <c r="C6978" s="73"/>
      <c r="D6978" s="73"/>
      <c r="E6978" s="73"/>
      <c r="G6978" s="235"/>
      <c r="H6978" s="238"/>
    </row>
    <row r="6979" spans="1:9" s="212" customFormat="1">
      <c r="A6979" s="220"/>
      <c r="B6979" s="141"/>
      <c r="C6979" s="141"/>
      <c r="D6979" s="141"/>
      <c r="E6979" s="141"/>
      <c r="F6979" s="141"/>
      <c r="G6979" s="194"/>
      <c r="H6979" s="238"/>
    </row>
    <row r="6980" spans="1:9" s="212" customFormat="1">
      <c r="A6980" s="146"/>
      <c r="B6980" s="83"/>
      <c r="C6980" s="148"/>
      <c r="D6980" s="84"/>
      <c r="E6980" s="84"/>
      <c r="F6980" s="84"/>
      <c r="G6980" s="243"/>
      <c r="H6980" s="238"/>
    </row>
    <row r="6981" spans="1:9" s="212" customFormat="1">
      <c r="A6981" s="91"/>
      <c r="B6981" s="91"/>
      <c r="C6981" s="91"/>
      <c r="D6981" s="91"/>
      <c r="E6981" s="91"/>
      <c r="G6981" s="244"/>
      <c r="H6981" s="238"/>
    </row>
    <row r="6982" spans="1:9" s="212" customFormat="1">
      <c r="A6982" s="120"/>
      <c r="B6982" s="73"/>
      <c r="C6982" s="73"/>
      <c r="D6982" s="73"/>
      <c r="E6982" s="73"/>
      <c r="G6982" s="235"/>
      <c r="H6982" s="238"/>
    </row>
    <row r="6983" spans="1:9" s="212" customFormat="1">
      <c r="A6983" s="220"/>
      <c r="B6983" s="141"/>
      <c r="C6983" s="141"/>
      <c r="D6983" s="141"/>
      <c r="E6983" s="141"/>
      <c r="F6983" s="141"/>
      <c r="G6983" s="194"/>
      <c r="H6983" s="238"/>
    </row>
    <row r="6984" spans="1:9" s="212" customFormat="1">
      <c r="A6984" s="142"/>
      <c r="B6984" s="143"/>
      <c r="C6984" s="143"/>
      <c r="D6984" s="143"/>
      <c r="E6984" s="143"/>
      <c r="F6984" s="84"/>
      <c r="G6984" s="243"/>
      <c r="H6984" s="238"/>
    </row>
    <row r="6985" spans="1:9" s="212" customFormat="1">
      <c r="A6985" s="123"/>
      <c r="B6985" s="95"/>
      <c r="C6985" s="95"/>
      <c r="D6985" s="95"/>
      <c r="E6985" s="95"/>
      <c r="G6985" s="244"/>
      <c r="H6985" s="235"/>
    </row>
    <row r="6986" spans="1:9" s="212" customFormat="1">
      <c r="A6986" s="123"/>
      <c r="B6986" s="95"/>
      <c r="C6986" s="95"/>
      <c r="D6986" s="95"/>
      <c r="E6986" s="95"/>
      <c r="G6986" s="235"/>
      <c r="H6986" s="242"/>
    </row>
    <row r="6987" spans="1:9" s="212" customFormat="1">
      <c r="B6987" s="97"/>
      <c r="C6987" s="98"/>
      <c r="D6987" s="98"/>
      <c r="E6987" s="98"/>
      <c r="G6987" s="241"/>
      <c r="H6987" s="234"/>
    </row>
    <row r="6988" spans="1:9" s="212" customFormat="1">
      <c r="A6988" s="69"/>
      <c r="B6988" s="69"/>
      <c r="C6988" s="69"/>
      <c r="D6988" s="69"/>
      <c r="E6988" s="69"/>
      <c r="G6988" s="234"/>
      <c r="H6988" s="227"/>
      <c r="I6988" s="228"/>
    </row>
    <row r="6989" spans="1:9" s="212" customFormat="1">
      <c r="A6989" s="658"/>
      <c r="B6989" s="227"/>
      <c r="C6989" s="227"/>
      <c r="D6989" s="227"/>
      <c r="E6989" s="227"/>
      <c r="F6989" s="227"/>
      <c r="G6989" s="227"/>
      <c r="H6989" s="227"/>
      <c r="I6989" s="229"/>
    </row>
    <row r="6990" spans="1:9" s="212" customFormat="1">
      <c r="A6990" s="658"/>
      <c r="B6990" s="227"/>
      <c r="C6990" s="227"/>
      <c r="D6990" s="227"/>
      <c r="E6990" s="227"/>
      <c r="F6990" s="227"/>
      <c r="G6990" s="227"/>
      <c r="H6990" s="234"/>
    </row>
    <row r="6991" spans="1:9" s="212" customFormat="1">
      <c r="A6991" s="69"/>
      <c r="B6991" s="69"/>
      <c r="C6991" s="69"/>
      <c r="D6991" s="69"/>
      <c r="E6991" s="69"/>
      <c r="G6991" s="234"/>
      <c r="H6991" s="234"/>
    </row>
    <row r="6992" spans="1:9" s="212" customFormat="1">
      <c r="A6992" s="120"/>
      <c r="B6992" s="73"/>
      <c r="C6992" s="73"/>
      <c r="D6992" s="73"/>
      <c r="E6992" s="73"/>
      <c r="F6992" s="73"/>
      <c r="G6992" s="235"/>
      <c r="H6992" s="235"/>
    </row>
    <row r="6993" spans="1:9" s="212" customFormat="1">
      <c r="A6993" s="220"/>
      <c r="B6993" s="141"/>
      <c r="C6993" s="141"/>
      <c r="D6993" s="141"/>
      <c r="E6993" s="141"/>
      <c r="F6993" s="141"/>
      <c r="G6993" s="194"/>
      <c r="H6993" s="235"/>
    </row>
    <row r="6994" spans="1:9" s="212" customFormat="1">
      <c r="A6994" s="150"/>
      <c r="B6994" s="83"/>
      <c r="C6994" s="148"/>
      <c r="D6994" s="84"/>
      <c r="E6994" s="84"/>
      <c r="F6994" s="84"/>
      <c r="G6994" s="243"/>
      <c r="H6994" s="238"/>
    </row>
    <row r="6995" spans="1:9" s="212" customFormat="1">
      <c r="A6995" s="84"/>
      <c r="B6995" s="83"/>
      <c r="C6995" s="84"/>
      <c r="D6995" s="84"/>
      <c r="E6995" s="84"/>
      <c r="G6995" s="244"/>
      <c r="H6995" s="238"/>
    </row>
    <row r="6996" spans="1:9" s="212" customFormat="1">
      <c r="A6996" s="120"/>
      <c r="B6996" s="73"/>
      <c r="C6996" s="73"/>
      <c r="D6996" s="73"/>
      <c r="E6996" s="73"/>
      <c r="G6996" s="235"/>
      <c r="H6996" s="238"/>
    </row>
    <row r="6997" spans="1:9" s="212" customFormat="1">
      <c r="A6997" s="220"/>
      <c r="B6997" s="141"/>
      <c r="C6997" s="141"/>
      <c r="D6997" s="141"/>
      <c r="E6997" s="141"/>
      <c r="F6997" s="141"/>
      <c r="G6997" s="194"/>
      <c r="H6997" s="238"/>
      <c r="I6997" s="240"/>
    </row>
    <row r="6998" spans="1:9" s="212" customFormat="1">
      <c r="A6998" s="197"/>
      <c r="B6998" s="83"/>
      <c r="C6998" s="148"/>
      <c r="D6998" s="190"/>
      <c r="E6998" s="84"/>
      <c r="F6998" s="84"/>
      <c r="G6998" s="243"/>
      <c r="H6998" s="238"/>
    </row>
    <row r="6999" spans="1:9" s="212" customFormat="1">
      <c r="A6999" s="91"/>
      <c r="B6999" s="91"/>
      <c r="C6999" s="91"/>
      <c r="D6999" s="91"/>
      <c r="E6999" s="91"/>
      <c r="G6999" s="244"/>
      <c r="H6999" s="238"/>
    </row>
    <row r="7000" spans="1:9" s="212" customFormat="1">
      <c r="A7000" s="120"/>
      <c r="B7000" s="73"/>
      <c r="C7000" s="73"/>
      <c r="D7000" s="73"/>
      <c r="E7000" s="73"/>
      <c r="G7000" s="235"/>
      <c r="H7000" s="238"/>
    </row>
    <row r="7001" spans="1:9" s="212" customFormat="1">
      <c r="A7001" s="220"/>
      <c r="B7001" s="141"/>
      <c r="C7001" s="141"/>
      <c r="D7001" s="141"/>
      <c r="E7001" s="141"/>
      <c r="F7001" s="141"/>
      <c r="G7001" s="194"/>
      <c r="H7001" s="238"/>
    </row>
    <row r="7002" spans="1:9" s="212" customFormat="1">
      <c r="A7002" s="146"/>
      <c r="B7002" s="83"/>
      <c r="C7002" s="148"/>
      <c r="D7002" s="84"/>
      <c r="E7002" s="84"/>
      <c r="F7002" s="84"/>
      <c r="G7002" s="243"/>
      <c r="H7002" s="238"/>
    </row>
    <row r="7003" spans="1:9" s="212" customFormat="1">
      <c r="A7003" s="91"/>
      <c r="B7003" s="91"/>
      <c r="C7003" s="91"/>
      <c r="D7003" s="91"/>
      <c r="E7003" s="91"/>
      <c r="G7003" s="244"/>
      <c r="H7003" s="238"/>
    </row>
    <row r="7004" spans="1:9" s="212" customFormat="1">
      <c r="A7004" s="120"/>
      <c r="B7004" s="73"/>
      <c r="C7004" s="73"/>
      <c r="D7004" s="73"/>
      <c r="E7004" s="73"/>
      <c r="G7004" s="235"/>
      <c r="H7004" s="238"/>
    </row>
    <row r="7005" spans="1:9" s="212" customFormat="1">
      <c r="A7005" s="220"/>
      <c r="B7005" s="141"/>
      <c r="C7005" s="141"/>
      <c r="D7005" s="141"/>
      <c r="E7005" s="141"/>
      <c r="F7005" s="141"/>
      <c r="G7005" s="194"/>
      <c r="H7005" s="238"/>
    </row>
    <row r="7006" spans="1:9" s="212" customFormat="1">
      <c r="A7006" s="142"/>
      <c r="B7006" s="143"/>
      <c r="C7006" s="143"/>
      <c r="D7006" s="143"/>
      <c r="E7006" s="143"/>
      <c r="F7006" s="84"/>
      <c r="G7006" s="243"/>
      <c r="H7006" s="238"/>
    </row>
    <row r="7007" spans="1:9" s="212" customFormat="1">
      <c r="A7007" s="123"/>
      <c r="B7007" s="95"/>
      <c r="C7007" s="95"/>
      <c r="D7007" s="95"/>
      <c r="E7007" s="95"/>
      <c r="G7007" s="244"/>
      <c r="H7007" s="235"/>
    </row>
    <row r="7008" spans="1:9" s="212" customFormat="1">
      <c r="A7008" s="123"/>
      <c r="B7008" s="95"/>
      <c r="C7008" s="95"/>
      <c r="D7008" s="95"/>
      <c r="E7008" s="95"/>
      <c r="G7008" s="235"/>
      <c r="H7008" s="242"/>
    </row>
    <row r="7009" spans="1:9" s="212" customFormat="1">
      <c r="B7009" s="97"/>
      <c r="C7009" s="98"/>
      <c r="D7009" s="98"/>
      <c r="E7009" s="98"/>
      <c r="G7009" s="241"/>
      <c r="H7009" s="234"/>
    </row>
    <row r="7010" spans="1:9" s="212" customFormat="1">
      <c r="A7010" s="69"/>
      <c r="B7010" s="69"/>
      <c r="C7010" s="69"/>
      <c r="D7010" s="69"/>
      <c r="E7010" s="69"/>
      <c r="G7010" s="234"/>
      <c r="H7010" s="227"/>
      <c r="I7010" s="228"/>
    </row>
    <row r="7011" spans="1:9" s="212" customFormat="1">
      <c r="A7011" s="658"/>
      <c r="B7011" s="227"/>
      <c r="C7011" s="227"/>
      <c r="D7011" s="227"/>
      <c r="E7011" s="227"/>
      <c r="F7011" s="227"/>
      <c r="G7011" s="227"/>
      <c r="H7011" s="227"/>
      <c r="I7011" s="229"/>
    </row>
    <row r="7012" spans="1:9" s="212" customFormat="1">
      <c r="A7012" s="658"/>
      <c r="B7012" s="227"/>
      <c r="C7012" s="227"/>
      <c r="D7012" s="227"/>
      <c r="E7012" s="227"/>
      <c r="F7012" s="227"/>
      <c r="G7012" s="227"/>
      <c r="H7012" s="234"/>
    </row>
    <row r="7013" spans="1:9" s="212" customFormat="1">
      <c r="A7013" s="69"/>
      <c r="B7013" s="69"/>
      <c r="C7013" s="69"/>
      <c r="D7013" s="69"/>
      <c r="E7013" s="69"/>
      <c r="G7013" s="234"/>
      <c r="H7013" s="234"/>
    </row>
    <row r="7014" spans="1:9" s="212" customFormat="1">
      <c r="A7014" s="120"/>
      <c r="B7014" s="73"/>
      <c r="C7014" s="73"/>
      <c r="D7014" s="73"/>
      <c r="E7014" s="73"/>
      <c r="F7014" s="73"/>
      <c r="G7014" s="235"/>
      <c r="H7014" s="235"/>
    </row>
    <row r="7015" spans="1:9" s="212" customFormat="1">
      <c r="A7015" s="220"/>
      <c r="B7015" s="141"/>
      <c r="C7015" s="141"/>
      <c r="D7015" s="141"/>
      <c r="E7015" s="141"/>
      <c r="F7015" s="141"/>
      <c r="G7015" s="194"/>
      <c r="H7015" s="235"/>
    </row>
    <row r="7016" spans="1:9" s="212" customFormat="1">
      <c r="A7016" s="150"/>
      <c r="B7016" s="83"/>
      <c r="C7016" s="148"/>
      <c r="D7016" s="84"/>
      <c r="E7016" s="84"/>
      <c r="F7016" s="84"/>
      <c r="G7016" s="243"/>
      <c r="H7016" s="238"/>
    </row>
    <row r="7017" spans="1:9" s="212" customFormat="1">
      <c r="A7017" s="84"/>
      <c r="B7017" s="83"/>
      <c r="C7017" s="84"/>
      <c r="D7017" s="84"/>
      <c r="E7017" s="84"/>
      <c r="G7017" s="244"/>
      <c r="H7017" s="238"/>
    </row>
    <row r="7018" spans="1:9" s="212" customFormat="1">
      <c r="A7018" s="120"/>
      <c r="B7018" s="73"/>
      <c r="C7018" s="73"/>
      <c r="D7018" s="73"/>
      <c r="E7018" s="73"/>
      <c r="G7018" s="235"/>
      <c r="H7018" s="238"/>
    </row>
    <row r="7019" spans="1:9" s="212" customFormat="1">
      <c r="A7019" s="220"/>
      <c r="B7019" s="141"/>
      <c r="C7019" s="141"/>
      <c r="D7019" s="141"/>
      <c r="E7019" s="141"/>
      <c r="F7019" s="141"/>
      <c r="G7019" s="194"/>
      <c r="H7019" s="238"/>
      <c r="I7019" s="240"/>
    </row>
    <row r="7020" spans="1:9" s="212" customFormat="1">
      <c r="A7020" s="197"/>
      <c r="B7020" s="83"/>
      <c r="C7020" s="148"/>
      <c r="D7020" s="190"/>
      <c r="E7020" s="84"/>
      <c r="F7020" s="84"/>
      <c r="G7020" s="243"/>
      <c r="H7020" s="238"/>
    </row>
    <row r="7021" spans="1:9" s="212" customFormat="1">
      <c r="A7021" s="91"/>
      <c r="B7021" s="91"/>
      <c r="C7021" s="91"/>
      <c r="D7021" s="91"/>
      <c r="E7021" s="91"/>
      <c r="G7021" s="244"/>
      <c r="H7021" s="238"/>
    </row>
    <row r="7022" spans="1:9" s="212" customFormat="1">
      <c r="A7022" s="120"/>
      <c r="B7022" s="73"/>
      <c r="C7022" s="73"/>
      <c r="D7022" s="73"/>
      <c r="E7022" s="73"/>
      <c r="G7022" s="235"/>
      <c r="H7022" s="238"/>
    </row>
    <row r="7023" spans="1:9" s="212" customFormat="1">
      <c r="A7023" s="220"/>
      <c r="B7023" s="141"/>
      <c r="C7023" s="141"/>
      <c r="D7023" s="141"/>
      <c r="E7023" s="141"/>
      <c r="F7023" s="141"/>
      <c r="G7023" s="194"/>
      <c r="H7023" s="238"/>
    </row>
    <row r="7024" spans="1:9" s="212" customFormat="1">
      <c r="A7024" s="146"/>
      <c r="B7024" s="83"/>
      <c r="C7024" s="148"/>
      <c r="D7024" s="84"/>
      <c r="E7024" s="84"/>
      <c r="F7024" s="84"/>
      <c r="G7024" s="243"/>
      <c r="H7024" s="238"/>
    </row>
    <row r="7025" spans="1:9" s="212" customFormat="1">
      <c r="A7025" s="91"/>
      <c r="B7025" s="91"/>
      <c r="C7025" s="91"/>
      <c r="D7025" s="91"/>
      <c r="E7025" s="91"/>
      <c r="G7025" s="244"/>
      <c r="H7025" s="238"/>
    </row>
    <row r="7026" spans="1:9" s="212" customFormat="1">
      <c r="A7026" s="120"/>
      <c r="B7026" s="73"/>
      <c r="C7026" s="73"/>
      <c r="D7026" s="73"/>
      <c r="E7026" s="73"/>
      <c r="G7026" s="235"/>
      <c r="H7026" s="238"/>
    </row>
    <row r="7027" spans="1:9" s="212" customFormat="1">
      <c r="A7027" s="220"/>
      <c r="B7027" s="141"/>
      <c r="C7027" s="141"/>
      <c r="D7027" s="141"/>
      <c r="E7027" s="141"/>
      <c r="F7027" s="141"/>
      <c r="G7027" s="194"/>
      <c r="H7027" s="238"/>
    </row>
    <row r="7028" spans="1:9" s="212" customFormat="1">
      <c r="A7028" s="142"/>
      <c r="B7028" s="143"/>
      <c r="C7028" s="143"/>
      <c r="D7028" s="143"/>
      <c r="E7028" s="143"/>
      <c r="F7028" s="84"/>
      <c r="G7028" s="243"/>
      <c r="H7028" s="238"/>
    </row>
    <row r="7029" spans="1:9" s="212" customFormat="1">
      <c r="A7029" s="123"/>
      <c r="B7029" s="95"/>
      <c r="C7029" s="95"/>
      <c r="D7029" s="95"/>
      <c r="E7029" s="95"/>
      <c r="G7029" s="244"/>
      <c r="H7029" s="235"/>
    </row>
    <row r="7030" spans="1:9" s="212" customFormat="1">
      <c r="A7030" s="123"/>
      <c r="B7030" s="95"/>
      <c r="C7030" s="95"/>
      <c r="D7030" s="95"/>
      <c r="E7030" s="95"/>
      <c r="G7030" s="235"/>
      <c r="H7030" s="242"/>
    </row>
    <row r="7031" spans="1:9" s="212" customFormat="1">
      <c r="B7031" s="97"/>
      <c r="C7031" s="98"/>
      <c r="D7031" s="98"/>
      <c r="E7031" s="98"/>
      <c r="G7031" s="241"/>
      <c r="H7031" s="242"/>
    </row>
    <row r="7032" spans="1:9" s="212" customFormat="1">
      <c r="B7032" s="97"/>
      <c r="C7032" s="98"/>
      <c r="D7032" s="98"/>
      <c r="E7032" s="98"/>
      <c r="G7032" s="241"/>
      <c r="H7032" s="227"/>
      <c r="I7032" s="228"/>
    </row>
    <row r="7033" spans="1:9" s="212" customFormat="1">
      <c r="A7033" s="658"/>
      <c r="B7033" s="227"/>
      <c r="C7033" s="227"/>
      <c r="D7033" s="227"/>
      <c r="E7033" s="227"/>
      <c r="F7033" s="227"/>
      <c r="G7033" s="227"/>
      <c r="H7033" s="227"/>
      <c r="I7033" s="229"/>
    </row>
    <row r="7034" spans="1:9" s="212" customFormat="1">
      <c r="A7034" s="658"/>
      <c r="B7034" s="227"/>
      <c r="C7034" s="227"/>
      <c r="D7034" s="227"/>
      <c r="E7034" s="227"/>
      <c r="F7034" s="227"/>
      <c r="G7034" s="227"/>
      <c r="H7034" s="234"/>
    </row>
    <row r="7035" spans="1:9" s="212" customFormat="1">
      <c r="A7035" s="69"/>
      <c r="B7035" s="69"/>
      <c r="C7035" s="69"/>
      <c r="D7035" s="69"/>
      <c r="E7035" s="69"/>
      <c r="G7035" s="234"/>
      <c r="H7035" s="234"/>
    </row>
    <row r="7036" spans="1:9" s="212" customFormat="1">
      <c r="A7036" s="120"/>
      <c r="B7036" s="73"/>
      <c r="C7036" s="73"/>
      <c r="D7036" s="73"/>
      <c r="E7036" s="73"/>
      <c r="F7036" s="73"/>
      <c r="G7036" s="235"/>
      <c r="H7036" s="235"/>
    </row>
    <row r="7037" spans="1:9" s="212" customFormat="1">
      <c r="A7037" s="220"/>
      <c r="B7037" s="141"/>
      <c r="C7037" s="141"/>
      <c r="D7037" s="141"/>
      <c r="E7037" s="141"/>
      <c r="F7037" s="141"/>
      <c r="G7037" s="194"/>
      <c r="H7037" s="235"/>
    </row>
    <row r="7038" spans="1:9" s="212" customFormat="1">
      <c r="A7038" s="150"/>
      <c r="B7038" s="83"/>
      <c r="C7038" s="148"/>
      <c r="D7038" s="84"/>
      <c r="E7038" s="84"/>
      <c r="F7038" s="84"/>
      <c r="G7038" s="243"/>
      <c r="H7038" s="238"/>
    </row>
    <row r="7039" spans="1:9" s="212" customFormat="1">
      <c r="A7039" s="84"/>
      <c r="B7039" s="83"/>
      <c r="C7039" s="84"/>
      <c r="D7039" s="84"/>
      <c r="E7039" s="84"/>
      <c r="G7039" s="244"/>
      <c r="H7039" s="238"/>
    </row>
    <row r="7040" spans="1:9" s="212" customFormat="1">
      <c r="A7040" s="120"/>
      <c r="B7040" s="73"/>
      <c r="C7040" s="73"/>
      <c r="D7040" s="73"/>
      <c r="E7040" s="73"/>
      <c r="G7040" s="235"/>
      <c r="H7040" s="238"/>
    </row>
    <row r="7041" spans="1:9" s="212" customFormat="1">
      <c r="A7041" s="220"/>
      <c r="B7041" s="141"/>
      <c r="C7041" s="141"/>
      <c r="D7041" s="141"/>
      <c r="E7041" s="141"/>
      <c r="F7041" s="141"/>
      <c r="G7041" s="194"/>
      <c r="H7041" s="238"/>
      <c r="I7041" s="240"/>
    </row>
    <row r="7042" spans="1:9" s="212" customFormat="1">
      <c r="A7042" s="197"/>
      <c r="B7042" s="83"/>
      <c r="C7042" s="148"/>
      <c r="D7042" s="190"/>
      <c r="E7042" s="84"/>
      <c r="F7042" s="84"/>
      <c r="G7042" s="243"/>
      <c r="H7042" s="238"/>
      <c r="I7042" s="240"/>
    </row>
    <row r="7043" spans="1:9" s="212" customFormat="1">
      <c r="A7043" s="150"/>
      <c r="B7043" s="83"/>
      <c r="C7043" s="148"/>
      <c r="D7043" s="84"/>
      <c r="E7043" s="84"/>
      <c r="F7043" s="84"/>
      <c r="G7043" s="243"/>
      <c r="H7043" s="238"/>
    </row>
    <row r="7044" spans="1:9" s="212" customFormat="1">
      <c r="A7044" s="150"/>
      <c r="B7044" s="83"/>
      <c r="C7044" s="148"/>
      <c r="D7044" s="84"/>
      <c r="E7044" s="84"/>
      <c r="F7044" s="84"/>
      <c r="G7044" s="243"/>
      <c r="H7044" s="238"/>
    </row>
    <row r="7045" spans="1:9" s="212" customFormat="1">
      <c r="A7045" s="150"/>
      <c r="B7045" s="83"/>
      <c r="C7045" s="148"/>
      <c r="D7045" s="84"/>
      <c r="E7045" s="84"/>
      <c r="F7045" s="84"/>
      <c r="G7045" s="243"/>
      <c r="H7045" s="238"/>
    </row>
    <row r="7046" spans="1:9" s="212" customFormat="1">
      <c r="A7046" s="91"/>
      <c r="B7046" s="91"/>
      <c r="C7046" s="91"/>
      <c r="D7046" s="91"/>
      <c r="E7046" s="91"/>
      <c r="G7046" s="244"/>
      <c r="H7046" s="238"/>
    </row>
    <row r="7047" spans="1:9" s="212" customFormat="1">
      <c r="A7047" s="120"/>
      <c r="B7047" s="73"/>
      <c r="C7047" s="73"/>
      <c r="D7047" s="73"/>
      <c r="E7047" s="73"/>
      <c r="G7047" s="235"/>
      <c r="H7047" s="238"/>
    </row>
    <row r="7048" spans="1:9" s="212" customFormat="1">
      <c r="A7048" s="220"/>
      <c r="B7048" s="141"/>
      <c r="C7048" s="141"/>
      <c r="D7048" s="141"/>
      <c r="E7048" s="141"/>
      <c r="F7048" s="141"/>
      <c r="G7048" s="194"/>
      <c r="H7048" s="238"/>
    </row>
    <row r="7049" spans="1:9" s="212" customFormat="1">
      <c r="A7049" s="146"/>
      <c r="B7049" s="83"/>
      <c r="C7049" s="148"/>
      <c r="D7049" s="84"/>
      <c r="E7049" s="84"/>
      <c r="F7049" s="84"/>
      <c r="G7049" s="243"/>
      <c r="H7049" s="238"/>
    </row>
    <row r="7050" spans="1:9" s="212" customFormat="1">
      <c r="A7050" s="91"/>
      <c r="B7050" s="91"/>
      <c r="C7050" s="91"/>
      <c r="D7050" s="91"/>
      <c r="E7050" s="91"/>
      <c r="G7050" s="244"/>
      <c r="H7050" s="238"/>
    </row>
    <row r="7051" spans="1:9" s="212" customFormat="1">
      <c r="A7051" s="120"/>
      <c r="B7051" s="73"/>
      <c r="C7051" s="73"/>
      <c r="D7051" s="73"/>
      <c r="E7051" s="73"/>
      <c r="G7051" s="235"/>
      <c r="H7051" s="238"/>
    </row>
    <row r="7052" spans="1:9" s="212" customFormat="1">
      <c r="A7052" s="220"/>
      <c r="B7052" s="141"/>
      <c r="C7052" s="141"/>
      <c r="D7052" s="141"/>
      <c r="E7052" s="141"/>
      <c r="F7052" s="141"/>
      <c r="G7052" s="194"/>
      <c r="H7052" s="238"/>
    </row>
    <row r="7053" spans="1:9" s="212" customFormat="1">
      <c r="A7053" s="142"/>
      <c r="B7053" s="143"/>
      <c r="C7053" s="143"/>
      <c r="D7053" s="143"/>
      <c r="E7053" s="143"/>
      <c r="F7053" s="84"/>
      <c r="G7053" s="243"/>
      <c r="H7053" s="238"/>
    </row>
    <row r="7054" spans="1:9" s="212" customFormat="1">
      <c r="A7054" s="123"/>
      <c r="B7054" s="95"/>
      <c r="C7054" s="95"/>
      <c r="D7054" s="95"/>
      <c r="E7054" s="95"/>
      <c r="G7054" s="244"/>
      <c r="H7054" s="235"/>
    </row>
    <row r="7055" spans="1:9" s="212" customFormat="1">
      <c r="A7055" s="123"/>
      <c r="B7055" s="95"/>
      <c r="C7055" s="95"/>
      <c r="D7055" s="95"/>
      <c r="E7055" s="95"/>
      <c r="G7055" s="235"/>
      <c r="H7055" s="242"/>
    </row>
    <row r="7056" spans="1:9" s="212" customFormat="1">
      <c r="B7056" s="97"/>
      <c r="C7056" s="98"/>
      <c r="D7056" s="98"/>
      <c r="E7056" s="98"/>
      <c r="G7056" s="241"/>
      <c r="H7056" s="242"/>
    </row>
    <row r="7057" spans="1:9" s="212" customFormat="1">
      <c r="B7057" s="97"/>
      <c r="C7057" s="98"/>
      <c r="D7057" s="98"/>
      <c r="E7057" s="98"/>
      <c r="G7057" s="241"/>
      <c r="H7057" s="227"/>
      <c r="I7057" s="228"/>
    </row>
    <row r="7058" spans="1:9" s="212" customFormat="1">
      <c r="A7058" s="658"/>
      <c r="B7058" s="227"/>
      <c r="C7058" s="227"/>
      <c r="D7058" s="227"/>
      <c r="E7058" s="227"/>
      <c r="F7058" s="227"/>
      <c r="G7058" s="227"/>
      <c r="H7058" s="227"/>
      <c r="I7058" s="229"/>
    </row>
    <row r="7059" spans="1:9" s="212" customFormat="1">
      <c r="A7059" s="658"/>
      <c r="B7059" s="227"/>
      <c r="C7059" s="227"/>
      <c r="D7059" s="227"/>
      <c r="E7059" s="227"/>
      <c r="F7059" s="227"/>
      <c r="G7059" s="227"/>
      <c r="H7059" s="234"/>
    </row>
    <row r="7060" spans="1:9" s="212" customFormat="1">
      <c r="A7060" s="69"/>
      <c r="B7060" s="69"/>
      <c r="C7060" s="69"/>
      <c r="D7060" s="69"/>
      <c r="E7060" s="69"/>
      <c r="G7060" s="234"/>
      <c r="H7060" s="234"/>
    </row>
    <row r="7061" spans="1:9" s="212" customFormat="1">
      <c r="A7061" s="120"/>
      <c r="B7061" s="73"/>
      <c r="C7061" s="73"/>
      <c r="D7061" s="73"/>
      <c r="E7061" s="73"/>
      <c r="F7061" s="73"/>
      <c r="G7061" s="235"/>
      <c r="H7061" s="235"/>
    </row>
    <row r="7062" spans="1:9" s="212" customFormat="1">
      <c r="A7062" s="220"/>
      <c r="B7062" s="141"/>
      <c r="C7062" s="141"/>
      <c r="D7062" s="141"/>
      <c r="E7062" s="141"/>
      <c r="F7062" s="141"/>
      <c r="G7062" s="194"/>
      <c r="H7062" s="235"/>
    </row>
    <row r="7063" spans="1:9" s="212" customFormat="1">
      <c r="A7063" s="150"/>
      <c r="B7063" s="83"/>
      <c r="C7063" s="148"/>
      <c r="D7063" s="84"/>
      <c r="E7063" s="84"/>
      <c r="F7063" s="84"/>
      <c r="G7063" s="243"/>
      <c r="H7063" s="238"/>
    </row>
    <row r="7064" spans="1:9" s="212" customFormat="1">
      <c r="A7064" s="84"/>
      <c r="B7064" s="83"/>
      <c r="C7064" s="84"/>
      <c r="D7064" s="84"/>
      <c r="E7064" s="84"/>
      <c r="G7064" s="244"/>
      <c r="H7064" s="238"/>
    </row>
    <row r="7065" spans="1:9" s="212" customFormat="1">
      <c r="A7065" s="120"/>
      <c r="B7065" s="73"/>
      <c r="C7065" s="73"/>
      <c r="D7065" s="73"/>
      <c r="E7065" s="73"/>
      <c r="G7065" s="235"/>
      <c r="H7065" s="238"/>
    </row>
    <row r="7066" spans="1:9" s="212" customFormat="1">
      <c r="A7066" s="220"/>
      <c r="B7066" s="141"/>
      <c r="C7066" s="141"/>
      <c r="D7066" s="141"/>
      <c r="E7066" s="141"/>
      <c r="F7066" s="141"/>
      <c r="G7066" s="194"/>
      <c r="H7066" s="238"/>
      <c r="I7066" s="240"/>
    </row>
    <row r="7067" spans="1:9" s="212" customFormat="1">
      <c r="A7067" s="197"/>
      <c r="B7067" s="83"/>
      <c r="C7067" s="148"/>
      <c r="D7067" s="190"/>
      <c r="E7067" s="84"/>
      <c r="F7067" s="84"/>
      <c r="G7067" s="243"/>
      <c r="H7067" s="238"/>
      <c r="I7067" s="240"/>
    </row>
    <row r="7068" spans="1:9" s="212" customFormat="1">
      <c r="A7068" s="150"/>
      <c r="B7068" s="83"/>
      <c r="C7068" s="148"/>
      <c r="D7068" s="84"/>
      <c r="E7068" s="84"/>
      <c r="F7068" s="84"/>
      <c r="G7068" s="243"/>
      <c r="H7068" s="238"/>
    </row>
    <row r="7069" spans="1:9" s="212" customFormat="1">
      <c r="A7069" s="150"/>
      <c r="B7069" s="83"/>
      <c r="C7069" s="148"/>
      <c r="D7069" s="84"/>
      <c r="E7069" s="84"/>
      <c r="F7069" s="84"/>
      <c r="G7069" s="243"/>
      <c r="H7069" s="238"/>
    </row>
    <row r="7070" spans="1:9" s="212" customFormat="1">
      <c r="A7070" s="150"/>
      <c r="B7070" s="83"/>
      <c r="C7070" s="148"/>
      <c r="D7070" s="84"/>
      <c r="E7070" s="84"/>
      <c r="F7070" s="84"/>
      <c r="G7070" s="243"/>
      <c r="H7070" s="238"/>
    </row>
    <row r="7071" spans="1:9" s="212" customFormat="1">
      <c r="A7071" s="91"/>
      <c r="B7071" s="91"/>
      <c r="C7071" s="91"/>
      <c r="D7071" s="91"/>
      <c r="E7071" s="91"/>
      <c r="G7071" s="244"/>
      <c r="H7071" s="238"/>
    </row>
    <row r="7072" spans="1:9" s="212" customFormat="1">
      <c r="A7072" s="120"/>
      <c r="B7072" s="73"/>
      <c r="C7072" s="73"/>
      <c r="D7072" s="73"/>
      <c r="E7072" s="73"/>
      <c r="G7072" s="235"/>
      <c r="H7072" s="238"/>
    </row>
    <row r="7073" spans="1:9" s="212" customFormat="1">
      <c r="A7073" s="220"/>
      <c r="B7073" s="141"/>
      <c r="C7073" s="141"/>
      <c r="D7073" s="141"/>
      <c r="E7073" s="141"/>
      <c r="F7073" s="141"/>
      <c r="G7073" s="194"/>
      <c r="H7073" s="238"/>
    </row>
    <row r="7074" spans="1:9" s="212" customFormat="1">
      <c r="A7074" s="146"/>
      <c r="B7074" s="83"/>
      <c r="C7074" s="148"/>
      <c r="D7074" s="84"/>
      <c r="E7074" s="84"/>
      <c r="F7074" s="84"/>
      <c r="G7074" s="243"/>
      <c r="H7074" s="238"/>
    </row>
    <row r="7075" spans="1:9" s="212" customFormat="1">
      <c r="A7075" s="91"/>
      <c r="B7075" s="91"/>
      <c r="C7075" s="91"/>
      <c r="D7075" s="91"/>
      <c r="E7075" s="91"/>
      <c r="G7075" s="244"/>
      <c r="H7075" s="238"/>
    </row>
    <row r="7076" spans="1:9" s="212" customFormat="1">
      <c r="A7076" s="120"/>
      <c r="B7076" s="73"/>
      <c r="C7076" s="73"/>
      <c r="D7076" s="73"/>
      <c r="E7076" s="73"/>
      <c r="G7076" s="235"/>
      <c r="H7076" s="238"/>
    </row>
    <row r="7077" spans="1:9" s="212" customFormat="1">
      <c r="A7077" s="220"/>
      <c r="B7077" s="141"/>
      <c r="C7077" s="141"/>
      <c r="D7077" s="141"/>
      <c r="E7077" s="141"/>
      <c r="F7077" s="141"/>
      <c r="G7077" s="194"/>
      <c r="H7077" s="238"/>
    </row>
    <row r="7078" spans="1:9" s="212" customFormat="1">
      <c r="A7078" s="142"/>
      <c r="B7078" s="143"/>
      <c r="C7078" s="143"/>
      <c r="D7078" s="143"/>
      <c r="E7078" s="143"/>
      <c r="F7078" s="84"/>
      <c r="G7078" s="243"/>
      <c r="H7078" s="238"/>
    </row>
    <row r="7079" spans="1:9" s="212" customFormat="1">
      <c r="A7079" s="123"/>
      <c r="B7079" s="95"/>
      <c r="C7079" s="95"/>
      <c r="D7079" s="95"/>
      <c r="E7079" s="95"/>
      <c r="G7079" s="244"/>
      <c r="H7079" s="235"/>
    </row>
    <row r="7080" spans="1:9" s="212" customFormat="1">
      <c r="A7080" s="123"/>
      <c r="B7080" s="95"/>
      <c r="C7080" s="95"/>
      <c r="D7080" s="95"/>
      <c r="E7080" s="95"/>
      <c r="G7080" s="235"/>
      <c r="H7080" s="242"/>
    </row>
    <row r="7081" spans="1:9" s="212" customFormat="1">
      <c r="B7081" s="97"/>
      <c r="C7081" s="98"/>
      <c r="D7081" s="98"/>
      <c r="E7081" s="98"/>
      <c r="G7081" s="241"/>
      <c r="H7081" s="242"/>
    </row>
    <row r="7082" spans="1:9" s="212" customFormat="1">
      <c r="B7082" s="97"/>
      <c r="C7082" s="98"/>
      <c r="D7082" s="98"/>
      <c r="E7082" s="98"/>
      <c r="G7082" s="241"/>
      <c r="H7082" s="227"/>
      <c r="I7082" s="228"/>
    </row>
    <row r="7083" spans="1:9" s="212" customFormat="1">
      <c r="A7083" s="658"/>
      <c r="B7083" s="227"/>
      <c r="C7083" s="227"/>
      <c r="D7083" s="227"/>
      <c r="E7083" s="227"/>
      <c r="F7083" s="227"/>
      <c r="G7083" s="227"/>
      <c r="H7083" s="227"/>
      <c r="I7083" s="229"/>
    </row>
    <row r="7084" spans="1:9" s="212" customFormat="1">
      <c r="A7084" s="658"/>
      <c r="B7084" s="227"/>
      <c r="C7084" s="227"/>
      <c r="D7084" s="227"/>
      <c r="E7084" s="227"/>
      <c r="F7084" s="227"/>
      <c r="G7084" s="227"/>
      <c r="H7084" s="234"/>
    </row>
    <row r="7085" spans="1:9" s="212" customFormat="1">
      <c r="A7085" s="69"/>
      <c r="B7085" s="69"/>
      <c r="C7085" s="69"/>
      <c r="D7085" s="69"/>
      <c r="E7085" s="69"/>
      <c r="G7085" s="234"/>
      <c r="H7085" s="234"/>
    </row>
    <row r="7086" spans="1:9" s="212" customFormat="1">
      <c r="A7086" s="120"/>
      <c r="B7086" s="73"/>
      <c r="C7086" s="73"/>
      <c r="D7086" s="73"/>
      <c r="E7086" s="73"/>
      <c r="F7086" s="73"/>
      <c r="G7086" s="235"/>
      <c r="H7086" s="235"/>
    </row>
    <row r="7087" spans="1:9" s="212" customFormat="1">
      <c r="A7087" s="220"/>
      <c r="B7087" s="141"/>
      <c r="C7087" s="141"/>
      <c r="D7087" s="141"/>
      <c r="E7087" s="141"/>
      <c r="F7087" s="141"/>
      <c r="G7087" s="194"/>
      <c r="H7087" s="235"/>
    </row>
    <row r="7088" spans="1:9" s="212" customFormat="1">
      <c r="A7088" s="150"/>
      <c r="B7088" s="83"/>
      <c r="C7088" s="148"/>
      <c r="D7088" s="84"/>
      <c r="E7088" s="84"/>
      <c r="F7088" s="84"/>
      <c r="G7088" s="243"/>
      <c r="H7088" s="238"/>
    </row>
    <row r="7089" spans="1:9" s="212" customFormat="1">
      <c r="A7089" s="84"/>
      <c r="B7089" s="83"/>
      <c r="C7089" s="84"/>
      <c r="D7089" s="84"/>
      <c r="E7089" s="84"/>
      <c r="G7089" s="244"/>
      <c r="H7089" s="238"/>
    </row>
    <row r="7090" spans="1:9" s="212" customFormat="1">
      <c r="A7090" s="120"/>
      <c r="B7090" s="73"/>
      <c r="C7090" s="73"/>
      <c r="D7090" s="73"/>
      <c r="E7090" s="73"/>
      <c r="G7090" s="235"/>
      <c r="H7090" s="238"/>
    </row>
    <row r="7091" spans="1:9" s="212" customFormat="1">
      <c r="A7091" s="220"/>
      <c r="B7091" s="141"/>
      <c r="C7091" s="141"/>
      <c r="D7091" s="141"/>
      <c r="E7091" s="141"/>
      <c r="F7091" s="141"/>
      <c r="G7091" s="194"/>
      <c r="H7091" s="238"/>
      <c r="I7091" s="240"/>
    </row>
    <row r="7092" spans="1:9" s="212" customFormat="1">
      <c r="A7092" s="197"/>
      <c r="B7092" s="83"/>
      <c r="C7092" s="148"/>
      <c r="D7092" s="190"/>
      <c r="E7092" s="84"/>
      <c r="F7092" s="84"/>
      <c r="G7092" s="243"/>
      <c r="H7092" s="238"/>
      <c r="I7092" s="240"/>
    </row>
    <row r="7093" spans="1:9" s="212" customFormat="1">
      <c r="A7093" s="150"/>
      <c r="B7093" s="83"/>
      <c r="C7093" s="148"/>
      <c r="D7093" s="84"/>
      <c r="E7093" s="84"/>
      <c r="F7093" s="84"/>
      <c r="G7093" s="243"/>
      <c r="H7093" s="238"/>
    </row>
    <row r="7094" spans="1:9" s="212" customFormat="1">
      <c r="A7094" s="91"/>
      <c r="B7094" s="91"/>
      <c r="C7094" s="91"/>
      <c r="D7094" s="91"/>
      <c r="E7094" s="91"/>
      <c r="G7094" s="244"/>
      <c r="H7094" s="238"/>
    </row>
    <row r="7095" spans="1:9" s="212" customFormat="1">
      <c r="A7095" s="120"/>
      <c r="B7095" s="73"/>
      <c r="C7095" s="73"/>
      <c r="D7095" s="73"/>
      <c r="E7095" s="73"/>
      <c r="G7095" s="235"/>
      <c r="H7095" s="238"/>
    </row>
    <row r="7096" spans="1:9" s="212" customFormat="1">
      <c r="A7096" s="220"/>
      <c r="B7096" s="141"/>
      <c r="C7096" s="141"/>
      <c r="D7096" s="141"/>
      <c r="E7096" s="141"/>
      <c r="F7096" s="141"/>
      <c r="G7096" s="194"/>
      <c r="H7096" s="238"/>
    </row>
    <row r="7097" spans="1:9" s="212" customFormat="1">
      <c r="A7097" s="146"/>
      <c r="B7097" s="83"/>
      <c r="C7097" s="148"/>
      <c r="D7097" s="84"/>
      <c r="E7097" s="84"/>
      <c r="F7097" s="84"/>
      <c r="G7097" s="243"/>
      <c r="H7097" s="238"/>
    </row>
    <row r="7098" spans="1:9" s="212" customFormat="1">
      <c r="A7098" s="91"/>
      <c r="B7098" s="91"/>
      <c r="C7098" s="91"/>
      <c r="D7098" s="91"/>
      <c r="E7098" s="91"/>
      <c r="G7098" s="244"/>
      <c r="H7098" s="238"/>
    </row>
    <row r="7099" spans="1:9" s="212" customFormat="1">
      <c r="A7099" s="120"/>
      <c r="B7099" s="73"/>
      <c r="C7099" s="73"/>
      <c r="D7099" s="73"/>
      <c r="E7099" s="73"/>
      <c r="G7099" s="235"/>
      <c r="H7099" s="238"/>
    </row>
    <row r="7100" spans="1:9" s="212" customFormat="1">
      <c r="A7100" s="220"/>
      <c r="B7100" s="141"/>
      <c r="C7100" s="141"/>
      <c r="D7100" s="141"/>
      <c r="E7100" s="141"/>
      <c r="F7100" s="141"/>
      <c r="G7100" s="194"/>
      <c r="H7100" s="238"/>
    </row>
    <row r="7101" spans="1:9" s="212" customFormat="1">
      <c r="A7101" s="142"/>
      <c r="B7101" s="143"/>
      <c r="C7101" s="143"/>
      <c r="D7101" s="143"/>
      <c r="E7101" s="143"/>
      <c r="F7101" s="84"/>
      <c r="G7101" s="243"/>
      <c r="H7101" s="238"/>
    </row>
    <row r="7102" spans="1:9" s="212" customFormat="1">
      <c r="A7102" s="123"/>
      <c r="B7102" s="95"/>
      <c r="C7102" s="95"/>
      <c r="D7102" s="95"/>
      <c r="E7102" s="95"/>
      <c r="G7102" s="244"/>
      <c r="H7102" s="235"/>
    </row>
    <row r="7103" spans="1:9" s="212" customFormat="1">
      <c r="A7103" s="123"/>
      <c r="B7103" s="95"/>
      <c r="C7103" s="95"/>
      <c r="D7103" s="95"/>
      <c r="E7103" s="95"/>
      <c r="G7103" s="235"/>
      <c r="H7103" s="242"/>
    </row>
    <row r="7104" spans="1:9" s="212" customFormat="1">
      <c r="B7104" s="97"/>
      <c r="C7104" s="98"/>
      <c r="D7104" s="98"/>
      <c r="E7104" s="98"/>
      <c r="G7104" s="241"/>
      <c r="H7104" s="242"/>
    </row>
    <row r="7105" spans="1:9" s="212" customFormat="1">
      <c r="B7105" s="97"/>
      <c r="C7105" s="98"/>
      <c r="D7105" s="98"/>
      <c r="E7105" s="98"/>
      <c r="G7105" s="241"/>
      <c r="H7105" s="227"/>
      <c r="I7105" s="228"/>
    </row>
    <row r="7106" spans="1:9" s="212" customFormat="1">
      <c r="A7106" s="658"/>
      <c r="B7106" s="227"/>
      <c r="C7106" s="227"/>
      <c r="D7106" s="227"/>
      <c r="E7106" s="227"/>
      <c r="F7106" s="227"/>
      <c r="G7106" s="227"/>
      <c r="H7106" s="227"/>
      <c r="I7106" s="229"/>
    </row>
    <row r="7107" spans="1:9" s="212" customFormat="1">
      <c r="A7107" s="658"/>
      <c r="B7107" s="227"/>
      <c r="C7107" s="227"/>
      <c r="D7107" s="227"/>
      <c r="E7107" s="227"/>
      <c r="F7107" s="227"/>
      <c r="G7107" s="227"/>
      <c r="H7107" s="234"/>
    </row>
    <row r="7108" spans="1:9" s="212" customFormat="1">
      <c r="A7108" s="69"/>
      <c r="B7108" s="69"/>
      <c r="C7108" s="69"/>
      <c r="D7108" s="69"/>
      <c r="E7108" s="69"/>
      <c r="G7108" s="234"/>
      <c r="H7108" s="234"/>
    </row>
    <row r="7109" spans="1:9" s="212" customFormat="1">
      <c r="A7109" s="120"/>
      <c r="B7109" s="73"/>
      <c r="C7109" s="73"/>
      <c r="D7109" s="73"/>
      <c r="E7109" s="73"/>
      <c r="F7109" s="73"/>
      <c r="G7109" s="235"/>
      <c r="H7109" s="235"/>
    </row>
    <row r="7110" spans="1:9" s="212" customFormat="1">
      <c r="A7110" s="220"/>
      <c r="B7110" s="141"/>
      <c r="C7110" s="141"/>
      <c r="D7110" s="141"/>
      <c r="E7110" s="141"/>
      <c r="F7110" s="141"/>
      <c r="G7110" s="194"/>
      <c r="H7110" s="235"/>
    </row>
    <row r="7111" spans="1:9" s="212" customFormat="1">
      <c r="A7111" s="150"/>
      <c r="B7111" s="83"/>
      <c r="C7111" s="148"/>
      <c r="D7111" s="84"/>
      <c r="E7111" s="84"/>
      <c r="F7111" s="84"/>
      <c r="G7111" s="243"/>
      <c r="H7111" s="238"/>
    </row>
    <row r="7112" spans="1:9" s="212" customFormat="1">
      <c r="A7112" s="84"/>
      <c r="B7112" s="83"/>
      <c r="C7112" s="84"/>
      <c r="D7112" s="84"/>
      <c r="E7112" s="84"/>
      <c r="G7112" s="244"/>
      <c r="H7112" s="238"/>
    </row>
    <row r="7113" spans="1:9" s="212" customFormat="1">
      <c r="A7113" s="120"/>
      <c r="B7113" s="73"/>
      <c r="C7113" s="73"/>
      <c r="D7113" s="73"/>
      <c r="E7113" s="73"/>
      <c r="G7113" s="235"/>
      <c r="H7113" s="238"/>
    </row>
    <row r="7114" spans="1:9" s="212" customFormat="1">
      <c r="A7114" s="220"/>
      <c r="B7114" s="141"/>
      <c r="C7114" s="141"/>
      <c r="D7114" s="141"/>
      <c r="E7114" s="141"/>
      <c r="F7114" s="141"/>
      <c r="G7114" s="194"/>
      <c r="H7114" s="238"/>
      <c r="I7114" s="240"/>
    </row>
    <row r="7115" spans="1:9" s="212" customFormat="1">
      <c r="A7115" s="197"/>
      <c r="B7115" s="83"/>
      <c r="C7115" s="148"/>
      <c r="D7115" s="190"/>
      <c r="E7115" s="84"/>
      <c r="F7115" s="84"/>
      <c r="G7115" s="243"/>
      <c r="H7115" s="238"/>
      <c r="I7115" s="240"/>
    </row>
    <row r="7116" spans="1:9" s="212" customFormat="1">
      <c r="A7116" s="150"/>
      <c r="B7116" s="83"/>
      <c r="C7116" s="148"/>
      <c r="D7116" s="84"/>
      <c r="E7116" s="84"/>
      <c r="F7116" s="84"/>
      <c r="G7116" s="243"/>
      <c r="H7116" s="238"/>
    </row>
    <row r="7117" spans="1:9" s="212" customFormat="1">
      <c r="A7117" s="91"/>
      <c r="B7117" s="91"/>
      <c r="C7117" s="91"/>
      <c r="D7117" s="91"/>
      <c r="E7117" s="91"/>
      <c r="G7117" s="244"/>
      <c r="H7117" s="238"/>
    </row>
    <row r="7118" spans="1:9" s="212" customFormat="1">
      <c r="A7118" s="120"/>
      <c r="B7118" s="73"/>
      <c r="C7118" s="73"/>
      <c r="D7118" s="73"/>
      <c r="E7118" s="73"/>
      <c r="G7118" s="235"/>
      <c r="H7118" s="238"/>
    </row>
    <row r="7119" spans="1:9" s="212" customFormat="1">
      <c r="A7119" s="220"/>
      <c r="B7119" s="141"/>
      <c r="C7119" s="141"/>
      <c r="D7119" s="141"/>
      <c r="E7119" s="141"/>
      <c r="F7119" s="141"/>
      <c r="G7119" s="194"/>
      <c r="H7119" s="238"/>
    </row>
    <row r="7120" spans="1:9" s="212" customFormat="1">
      <c r="A7120" s="146"/>
      <c r="B7120" s="83"/>
      <c r="C7120" s="148"/>
      <c r="D7120" s="84"/>
      <c r="E7120" s="84"/>
      <c r="F7120" s="84"/>
      <c r="G7120" s="243"/>
      <c r="H7120" s="238"/>
    </row>
    <row r="7121" spans="1:9" s="212" customFormat="1">
      <c r="A7121" s="91"/>
      <c r="B7121" s="91"/>
      <c r="C7121" s="91"/>
      <c r="D7121" s="91"/>
      <c r="E7121" s="91"/>
      <c r="G7121" s="244"/>
      <c r="H7121" s="238"/>
    </row>
    <row r="7122" spans="1:9" s="212" customFormat="1">
      <c r="A7122" s="120"/>
      <c r="B7122" s="73"/>
      <c r="C7122" s="73"/>
      <c r="D7122" s="73"/>
      <c r="E7122" s="73"/>
      <c r="G7122" s="235"/>
      <c r="H7122" s="238"/>
    </row>
    <row r="7123" spans="1:9" s="212" customFormat="1">
      <c r="A7123" s="220"/>
      <c r="B7123" s="141"/>
      <c r="C7123" s="141"/>
      <c r="D7123" s="141"/>
      <c r="E7123" s="141"/>
      <c r="F7123" s="141"/>
      <c r="G7123" s="194"/>
      <c r="H7123" s="238"/>
    </row>
    <row r="7124" spans="1:9" s="212" customFormat="1">
      <c r="A7124" s="142"/>
      <c r="B7124" s="143"/>
      <c r="C7124" s="143"/>
      <c r="D7124" s="143"/>
      <c r="E7124" s="143"/>
      <c r="F7124" s="84"/>
      <c r="G7124" s="243"/>
      <c r="H7124" s="238"/>
    </row>
    <row r="7125" spans="1:9" s="212" customFormat="1">
      <c r="A7125" s="123"/>
      <c r="B7125" s="95"/>
      <c r="C7125" s="95"/>
      <c r="D7125" s="95"/>
      <c r="E7125" s="95"/>
      <c r="G7125" s="244"/>
      <c r="H7125" s="235"/>
    </row>
    <row r="7126" spans="1:9" s="212" customFormat="1">
      <c r="A7126" s="123"/>
      <c r="B7126" s="95"/>
      <c r="C7126" s="95"/>
      <c r="D7126" s="95"/>
      <c r="E7126" s="95"/>
      <c r="G7126" s="235"/>
      <c r="H7126" s="242"/>
    </row>
    <row r="7127" spans="1:9" s="212" customFormat="1">
      <c r="B7127" s="97"/>
      <c r="C7127" s="98"/>
      <c r="D7127" s="98"/>
      <c r="E7127" s="98"/>
      <c r="G7127" s="241"/>
      <c r="H7127" s="242"/>
    </row>
    <row r="7128" spans="1:9" s="212" customFormat="1">
      <c r="B7128" s="97"/>
      <c r="C7128" s="98"/>
      <c r="D7128" s="98"/>
      <c r="E7128" s="98"/>
      <c r="G7128" s="241"/>
      <c r="H7128" s="227"/>
      <c r="I7128" s="228"/>
    </row>
    <row r="7129" spans="1:9" s="212" customFormat="1">
      <c r="A7129" s="658"/>
      <c r="B7129" s="227"/>
      <c r="C7129" s="227"/>
      <c r="D7129" s="227"/>
      <c r="E7129" s="227"/>
      <c r="F7129" s="227"/>
      <c r="G7129" s="227"/>
      <c r="H7129" s="227"/>
      <c r="I7129" s="229"/>
    </row>
    <row r="7130" spans="1:9" s="212" customFormat="1">
      <c r="A7130" s="658"/>
      <c r="B7130" s="227"/>
      <c r="C7130" s="227"/>
      <c r="D7130" s="227"/>
      <c r="E7130" s="227"/>
      <c r="F7130" s="227"/>
      <c r="G7130" s="227"/>
      <c r="H7130" s="234"/>
    </row>
    <row r="7131" spans="1:9" s="212" customFormat="1">
      <c r="A7131" s="69"/>
      <c r="B7131" s="69"/>
      <c r="C7131" s="69"/>
      <c r="D7131" s="69"/>
      <c r="E7131" s="69"/>
      <c r="G7131" s="234"/>
      <c r="H7131" s="234"/>
    </row>
    <row r="7132" spans="1:9" s="212" customFormat="1">
      <c r="A7132" s="120"/>
      <c r="B7132" s="73"/>
      <c r="C7132" s="73"/>
      <c r="D7132" s="73"/>
      <c r="E7132" s="73"/>
      <c r="F7132" s="73"/>
      <c r="G7132" s="235"/>
      <c r="H7132" s="235"/>
    </row>
    <row r="7133" spans="1:9" s="212" customFormat="1">
      <c r="A7133" s="220"/>
      <c r="B7133" s="141"/>
      <c r="C7133" s="141"/>
      <c r="D7133" s="141"/>
      <c r="E7133" s="141"/>
      <c r="F7133" s="141"/>
      <c r="G7133" s="194"/>
      <c r="H7133" s="235"/>
    </row>
    <row r="7134" spans="1:9" s="212" customFormat="1">
      <c r="A7134" s="150"/>
      <c r="B7134" s="83"/>
      <c r="C7134" s="148"/>
      <c r="D7134" s="84"/>
      <c r="E7134" s="84"/>
      <c r="F7134" s="84"/>
      <c r="G7134" s="243"/>
      <c r="H7134" s="238"/>
    </row>
    <row r="7135" spans="1:9" s="212" customFormat="1">
      <c r="A7135" s="84"/>
      <c r="B7135" s="83"/>
      <c r="C7135" s="84"/>
      <c r="D7135" s="84"/>
      <c r="E7135" s="84"/>
      <c r="G7135" s="244"/>
      <c r="H7135" s="238"/>
    </row>
    <row r="7136" spans="1:9" s="212" customFormat="1">
      <c r="A7136" s="120"/>
      <c r="B7136" s="73"/>
      <c r="C7136" s="73"/>
      <c r="D7136" s="73"/>
      <c r="E7136" s="73"/>
      <c r="G7136" s="235"/>
      <c r="H7136" s="238"/>
    </row>
    <row r="7137" spans="1:9" s="212" customFormat="1">
      <c r="A7137" s="220"/>
      <c r="B7137" s="141"/>
      <c r="C7137" s="141"/>
      <c r="D7137" s="141"/>
      <c r="E7137" s="141"/>
      <c r="F7137" s="141"/>
      <c r="G7137" s="194"/>
      <c r="H7137" s="238"/>
      <c r="I7137" s="240"/>
    </row>
    <row r="7138" spans="1:9" s="212" customFormat="1">
      <c r="A7138" s="197"/>
      <c r="B7138" s="83"/>
      <c r="C7138" s="148"/>
      <c r="D7138" s="190"/>
      <c r="E7138" s="84"/>
      <c r="F7138" s="84"/>
      <c r="G7138" s="243"/>
      <c r="H7138" s="238"/>
      <c r="I7138" s="240"/>
    </row>
    <row r="7139" spans="1:9" s="212" customFormat="1">
      <c r="A7139" s="150"/>
      <c r="B7139" s="83"/>
      <c r="C7139" s="148"/>
      <c r="D7139" s="84"/>
      <c r="E7139" s="84"/>
      <c r="F7139" s="84"/>
      <c r="G7139" s="243"/>
      <c r="H7139" s="238"/>
    </row>
    <row r="7140" spans="1:9" s="212" customFormat="1">
      <c r="A7140" s="91"/>
      <c r="B7140" s="91"/>
      <c r="C7140" s="91"/>
      <c r="D7140" s="91"/>
      <c r="E7140" s="91"/>
      <c r="G7140" s="244"/>
      <c r="H7140" s="238"/>
    </row>
    <row r="7141" spans="1:9" s="212" customFormat="1">
      <c r="A7141" s="120"/>
      <c r="B7141" s="73"/>
      <c r="C7141" s="73"/>
      <c r="D7141" s="73"/>
      <c r="E7141" s="73"/>
      <c r="G7141" s="235"/>
      <c r="H7141" s="238"/>
    </row>
    <row r="7142" spans="1:9" s="212" customFormat="1">
      <c r="A7142" s="220"/>
      <c r="B7142" s="141"/>
      <c r="C7142" s="141"/>
      <c r="D7142" s="141"/>
      <c r="E7142" s="141"/>
      <c r="F7142" s="141"/>
      <c r="G7142" s="194"/>
      <c r="H7142" s="238"/>
    </row>
    <row r="7143" spans="1:9" s="212" customFormat="1">
      <c r="A7143" s="146"/>
      <c r="B7143" s="83"/>
      <c r="C7143" s="148"/>
      <c r="D7143" s="84"/>
      <c r="E7143" s="84"/>
      <c r="F7143" s="84"/>
      <c r="G7143" s="243"/>
      <c r="H7143" s="238"/>
    </row>
    <row r="7144" spans="1:9" s="212" customFormat="1">
      <c r="A7144" s="91"/>
      <c r="B7144" s="91"/>
      <c r="C7144" s="91"/>
      <c r="D7144" s="91"/>
      <c r="E7144" s="91"/>
      <c r="G7144" s="244"/>
      <c r="H7144" s="238"/>
    </row>
    <row r="7145" spans="1:9" s="212" customFormat="1">
      <c r="A7145" s="120"/>
      <c r="B7145" s="73"/>
      <c r="C7145" s="73"/>
      <c r="D7145" s="73"/>
      <c r="E7145" s="73"/>
      <c r="G7145" s="235"/>
      <c r="H7145" s="238"/>
    </row>
    <row r="7146" spans="1:9" s="212" customFormat="1">
      <c r="A7146" s="220"/>
      <c r="B7146" s="141"/>
      <c r="C7146" s="141"/>
      <c r="D7146" s="141"/>
      <c r="E7146" s="141"/>
      <c r="F7146" s="141"/>
      <c r="G7146" s="194"/>
      <c r="H7146" s="238"/>
    </row>
    <row r="7147" spans="1:9" s="212" customFormat="1">
      <c r="A7147" s="142"/>
      <c r="B7147" s="143"/>
      <c r="C7147" s="143"/>
      <c r="D7147" s="143"/>
      <c r="E7147" s="143"/>
      <c r="F7147" s="84"/>
      <c r="G7147" s="243"/>
      <c r="H7147" s="238"/>
    </row>
    <row r="7148" spans="1:9" s="212" customFormat="1">
      <c r="A7148" s="123"/>
      <c r="B7148" s="95"/>
      <c r="C7148" s="95"/>
      <c r="D7148" s="95"/>
      <c r="E7148" s="95"/>
      <c r="G7148" s="244"/>
      <c r="H7148" s="235"/>
    </row>
    <row r="7149" spans="1:9" s="212" customFormat="1">
      <c r="A7149" s="123"/>
      <c r="B7149" s="95"/>
      <c r="C7149" s="95"/>
      <c r="D7149" s="95"/>
      <c r="E7149" s="95"/>
      <c r="G7149" s="235"/>
      <c r="H7149" s="242"/>
    </row>
    <row r="7150" spans="1:9" s="212" customFormat="1">
      <c r="B7150" s="97"/>
      <c r="C7150" s="98"/>
      <c r="D7150" s="98"/>
      <c r="E7150" s="98"/>
      <c r="G7150" s="241"/>
      <c r="H7150" s="242"/>
    </row>
    <row r="7151" spans="1:9" s="212" customFormat="1">
      <c r="B7151" s="97"/>
      <c r="C7151" s="98"/>
      <c r="D7151" s="98"/>
      <c r="E7151" s="98"/>
      <c r="G7151" s="241"/>
      <c r="H7151" s="227"/>
      <c r="I7151" s="228"/>
    </row>
    <row r="7152" spans="1:9" s="212" customFormat="1">
      <c r="A7152" s="658"/>
      <c r="B7152" s="227"/>
      <c r="C7152" s="227"/>
      <c r="D7152" s="227"/>
      <c r="E7152" s="227"/>
      <c r="F7152" s="227"/>
      <c r="G7152" s="227"/>
      <c r="H7152" s="227"/>
      <c r="I7152" s="229"/>
    </row>
    <row r="7153" spans="1:9" s="212" customFormat="1">
      <c r="A7153" s="658"/>
      <c r="B7153" s="227"/>
      <c r="C7153" s="227"/>
      <c r="D7153" s="227"/>
      <c r="E7153" s="227"/>
      <c r="F7153" s="227"/>
      <c r="G7153" s="227"/>
      <c r="H7153" s="234"/>
    </row>
    <row r="7154" spans="1:9" s="212" customFormat="1">
      <c r="A7154" s="69"/>
      <c r="B7154" s="69"/>
      <c r="C7154" s="69"/>
      <c r="D7154" s="69"/>
      <c r="E7154" s="69"/>
      <c r="G7154" s="234"/>
      <c r="H7154" s="234"/>
    </row>
    <row r="7155" spans="1:9" s="212" customFormat="1">
      <c r="A7155" s="120"/>
      <c r="B7155" s="73"/>
      <c r="C7155" s="73"/>
      <c r="D7155" s="73"/>
      <c r="E7155" s="73"/>
      <c r="F7155" s="73"/>
      <c r="G7155" s="235"/>
      <c r="H7155" s="235"/>
    </row>
    <row r="7156" spans="1:9" s="212" customFormat="1">
      <c r="A7156" s="220"/>
      <c r="B7156" s="141"/>
      <c r="C7156" s="141"/>
      <c r="D7156" s="141"/>
      <c r="E7156" s="141"/>
      <c r="F7156" s="141"/>
      <c r="G7156" s="194"/>
      <c r="H7156" s="235"/>
    </row>
    <row r="7157" spans="1:9" s="212" customFormat="1">
      <c r="A7157" s="150"/>
      <c r="B7157" s="83"/>
      <c r="C7157" s="148"/>
      <c r="D7157" s="84"/>
      <c r="E7157" s="84"/>
      <c r="F7157" s="84"/>
      <c r="G7157" s="243"/>
      <c r="H7157" s="238"/>
    </row>
    <row r="7158" spans="1:9" s="212" customFormat="1">
      <c r="A7158" s="84"/>
      <c r="B7158" s="83"/>
      <c r="C7158" s="84"/>
      <c r="D7158" s="84"/>
      <c r="E7158" s="84"/>
      <c r="G7158" s="244"/>
      <c r="H7158" s="238"/>
    </row>
    <row r="7159" spans="1:9" s="212" customFormat="1">
      <c r="A7159" s="120"/>
      <c r="B7159" s="73"/>
      <c r="C7159" s="73"/>
      <c r="D7159" s="73"/>
      <c r="E7159" s="73"/>
      <c r="G7159" s="235"/>
      <c r="H7159" s="238"/>
    </row>
    <row r="7160" spans="1:9" s="212" customFormat="1">
      <c r="A7160" s="220"/>
      <c r="B7160" s="141"/>
      <c r="C7160" s="141"/>
      <c r="D7160" s="141"/>
      <c r="E7160" s="141"/>
      <c r="F7160" s="141"/>
      <c r="G7160" s="194"/>
      <c r="H7160" s="238"/>
      <c r="I7160" s="240"/>
    </row>
    <row r="7161" spans="1:9" s="212" customFormat="1">
      <c r="A7161" s="197"/>
      <c r="B7161" s="83"/>
      <c r="C7161" s="148"/>
      <c r="D7161" s="190"/>
      <c r="E7161" s="84"/>
      <c r="F7161" s="84"/>
      <c r="G7161" s="243"/>
      <c r="H7161" s="238"/>
      <c r="I7161" s="240"/>
    </row>
    <row r="7162" spans="1:9" s="212" customFormat="1">
      <c r="A7162" s="150"/>
      <c r="B7162" s="83"/>
      <c r="C7162" s="148"/>
      <c r="D7162" s="84"/>
      <c r="E7162" s="84"/>
      <c r="F7162" s="84"/>
      <c r="G7162" s="243"/>
      <c r="H7162" s="238"/>
    </row>
    <row r="7163" spans="1:9" s="212" customFormat="1">
      <c r="A7163" s="91"/>
      <c r="B7163" s="91"/>
      <c r="C7163" s="91"/>
      <c r="D7163" s="91"/>
      <c r="E7163" s="91"/>
      <c r="G7163" s="244"/>
      <c r="H7163" s="238"/>
    </row>
    <row r="7164" spans="1:9" s="212" customFormat="1">
      <c r="A7164" s="120"/>
      <c r="B7164" s="73"/>
      <c r="C7164" s="73"/>
      <c r="D7164" s="73"/>
      <c r="E7164" s="73"/>
      <c r="G7164" s="235"/>
      <c r="H7164" s="238"/>
    </row>
    <row r="7165" spans="1:9" s="212" customFormat="1">
      <c r="A7165" s="220"/>
      <c r="B7165" s="141"/>
      <c r="C7165" s="141"/>
      <c r="D7165" s="141"/>
      <c r="E7165" s="141"/>
      <c r="F7165" s="141"/>
      <c r="G7165" s="194"/>
      <c r="H7165" s="238"/>
    </row>
    <row r="7166" spans="1:9" s="212" customFormat="1">
      <c r="A7166" s="146"/>
      <c r="B7166" s="83"/>
      <c r="C7166" s="148"/>
      <c r="D7166" s="84"/>
      <c r="E7166" s="84"/>
      <c r="F7166" s="84"/>
      <c r="G7166" s="243"/>
      <c r="H7166" s="238"/>
    </row>
    <row r="7167" spans="1:9" s="212" customFormat="1">
      <c r="A7167" s="91"/>
      <c r="B7167" s="91"/>
      <c r="C7167" s="91"/>
      <c r="D7167" s="91"/>
      <c r="E7167" s="91"/>
      <c r="G7167" s="244"/>
      <c r="H7167" s="238"/>
    </row>
    <row r="7168" spans="1:9" s="212" customFormat="1">
      <c r="A7168" s="120"/>
      <c r="B7168" s="73"/>
      <c r="C7168" s="73"/>
      <c r="D7168" s="73"/>
      <c r="E7168" s="73"/>
      <c r="G7168" s="235"/>
      <c r="H7168" s="238"/>
    </row>
    <row r="7169" spans="1:9" s="212" customFormat="1">
      <c r="A7169" s="220"/>
      <c r="B7169" s="141"/>
      <c r="C7169" s="141"/>
      <c r="D7169" s="141"/>
      <c r="E7169" s="141"/>
      <c r="F7169" s="141"/>
      <c r="G7169" s="194"/>
      <c r="H7169" s="238"/>
    </row>
    <row r="7170" spans="1:9" s="212" customFormat="1">
      <c r="A7170" s="142"/>
      <c r="B7170" s="143"/>
      <c r="C7170" s="143"/>
      <c r="D7170" s="143"/>
      <c r="E7170" s="143"/>
      <c r="F7170" s="84"/>
      <c r="G7170" s="243"/>
      <c r="H7170" s="238"/>
    </row>
    <row r="7171" spans="1:9" s="212" customFormat="1">
      <c r="A7171" s="123"/>
      <c r="B7171" s="95"/>
      <c r="C7171" s="95"/>
      <c r="D7171" s="95"/>
      <c r="E7171" s="95"/>
      <c r="G7171" s="244"/>
      <c r="H7171" s="235"/>
    </row>
    <row r="7172" spans="1:9" s="212" customFormat="1">
      <c r="A7172" s="123"/>
      <c r="B7172" s="95"/>
      <c r="C7172" s="95"/>
      <c r="D7172" s="95"/>
      <c r="E7172" s="95"/>
      <c r="G7172" s="235"/>
      <c r="H7172" s="242"/>
    </row>
    <row r="7173" spans="1:9" s="212" customFormat="1">
      <c r="B7173" s="97"/>
      <c r="C7173" s="98"/>
      <c r="D7173" s="98"/>
      <c r="E7173" s="98"/>
      <c r="G7173" s="241"/>
      <c r="H7173" s="242"/>
    </row>
    <row r="7174" spans="1:9" s="212" customFormat="1">
      <c r="B7174" s="97"/>
      <c r="C7174" s="98"/>
      <c r="D7174" s="98"/>
      <c r="E7174" s="98"/>
      <c r="G7174" s="241"/>
      <c r="H7174" s="227"/>
      <c r="I7174" s="228"/>
    </row>
    <row r="7175" spans="1:9" s="212" customFormat="1">
      <c r="A7175" s="658"/>
      <c r="B7175" s="227"/>
      <c r="C7175" s="227"/>
      <c r="D7175" s="227"/>
      <c r="E7175" s="227"/>
      <c r="F7175" s="227"/>
      <c r="G7175" s="227"/>
      <c r="H7175" s="227"/>
      <c r="I7175" s="229"/>
    </row>
    <row r="7176" spans="1:9" s="212" customFormat="1">
      <c r="A7176" s="658"/>
      <c r="B7176" s="227"/>
      <c r="C7176" s="227"/>
      <c r="D7176" s="227"/>
      <c r="E7176" s="227"/>
      <c r="F7176" s="227"/>
      <c r="G7176" s="227"/>
      <c r="H7176" s="234"/>
    </row>
    <row r="7177" spans="1:9" s="212" customFormat="1">
      <c r="A7177" s="69"/>
      <c r="B7177" s="69"/>
      <c r="C7177" s="69"/>
      <c r="D7177" s="69"/>
      <c r="E7177" s="69"/>
      <c r="G7177" s="234"/>
      <c r="H7177" s="234"/>
    </row>
    <row r="7178" spans="1:9" s="212" customFormat="1">
      <c r="A7178" s="120"/>
      <c r="B7178" s="73"/>
      <c r="C7178" s="73"/>
      <c r="D7178" s="73"/>
      <c r="E7178" s="73"/>
      <c r="F7178" s="73"/>
      <c r="G7178" s="235"/>
      <c r="H7178" s="235"/>
    </row>
    <row r="7179" spans="1:9" s="212" customFormat="1">
      <c r="A7179" s="220"/>
      <c r="B7179" s="141"/>
      <c r="C7179" s="141"/>
      <c r="D7179" s="141"/>
      <c r="E7179" s="141"/>
      <c r="F7179" s="141"/>
      <c r="G7179" s="194"/>
      <c r="H7179" s="235"/>
    </row>
    <row r="7180" spans="1:9" s="212" customFormat="1">
      <c r="A7180" s="150"/>
      <c r="B7180" s="83"/>
      <c r="C7180" s="148"/>
      <c r="D7180" s="84"/>
      <c r="E7180" s="84"/>
      <c r="F7180" s="84"/>
      <c r="G7180" s="243"/>
      <c r="H7180" s="238"/>
    </row>
    <row r="7181" spans="1:9" s="212" customFormat="1">
      <c r="A7181" s="84"/>
      <c r="B7181" s="83"/>
      <c r="C7181" s="84"/>
      <c r="D7181" s="84"/>
      <c r="E7181" s="84"/>
      <c r="G7181" s="244"/>
      <c r="H7181" s="238"/>
    </row>
    <row r="7182" spans="1:9" s="212" customFormat="1">
      <c r="A7182" s="120"/>
      <c r="B7182" s="73"/>
      <c r="C7182" s="73"/>
      <c r="D7182" s="73"/>
      <c r="E7182" s="73"/>
      <c r="G7182" s="235"/>
      <c r="H7182" s="238"/>
    </row>
    <row r="7183" spans="1:9" s="212" customFormat="1">
      <c r="A7183" s="220"/>
      <c r="B7183" s="141"/>
      <c r="C7183" s="141"/>
      <c r="D7183" s="141"/>
      <c r="E7183" s="141"/>
      <c r="F7183" s="141"/>
      <c r="G7183" s="194"/>
      <c r="H7183" s="238"/>
      <c r="I7183" s="240"/>
    </row>
    <row r="7184" spans="1:9" s="212" customFormat="1">
      <c r="A7184" s="197"/>
      <c r="B7184" s="83"/>
      <c r="C7184" s="148"/>
      <c r="D7184" s="190"/>
      <c r="E7184" s="84"/>
      <c r="F7184" s="84"/>
      <c r="G7184" s="243"/>
      <c r="H7184" s="238"/>
      <c r="I7184" s="240"/>
    </row>
    <row r="7185" spans="1:9" s="212" customFormat="1">
      <c r="A7185" s="150"/>
      <c r="B7185" s="83"/>
      <c r="C7185" s="148"/>
      <c r="D7185" s="84"/>
      <c r="E7185" s="84"/>
      <c r="F7185" s="84"/>
      <c r="G7185" s="243"/>
      <c r="H7185" s="238"/>
    </row>
    <row r="7186" spans="1:9" s="212" customFormat="1">
      <c r="A7186" s="91"/>
      <c r="B7186" s="91"/>
      <c r="C7186" s="91"/>
      <c r="D7186" s="91"/>
      <c r="E7186" s="91"/>
      <c r="G7186" s="244"/>
      <c r="H7186" s="238"/>
    </row>
    <row r="7187" spans="1:9" s="212" customFormat="1">
      <c r="A7187" s="120"/>
      <c r="B7187" s="73"/>
      <c r="C7187" s="73"/>
      <c r="D7187" s="73"/>
      <c r="E7187" s="73"/>
      <c r="G7187" s="235"/>
      <c r="H7187" s="238"/>
    </row>
    <row r="7188" spans="1:9" s="212" customFormat="1">
      <c r="A7188" s="220"/>
      <c r="B7188" s="141"/>
      <c r="C7188" s="141"/>
      <c r="D7188" s="141"/>
      <c r="E7188" s="141"/>
      <c r="F7188" s="141"/>
      <c r="G7188" s="194"/>
      <c r="H7188" s="238"/>
    </row>
    <row r="7189" spans="1:9" s="212" customFormat="1">
      <c r="A7189" s="146"/>
      <c r="B7189" s="83"/>
      <c r="C7189" s="148"/>
      <c r="D7189" s="84"/>
      <c r="E7189" s="84"/>
      <c r="F7189" s="84"/>
      <c r="G7189" s="243"/>
      <c r="H7189" s="238"/>
    </row>
    <row r="7190" spans="1:9" s="212" customFormat="1">
      <c r="A7190" s="91"/>
      <c r="B7190" s="91"/>
      <c r="C7190" s="91"/>
      <c r="D7190" s="91"/>
      <c r="E7190" s="91"/>
      <c r="G7190" s="244"/>
      <c r="H7190" s="238"/>
    </row>
    <row r="7191" spans="1:9" s="212" customFormat="1">
      <c r="A7191" s="120"/>
      <c r="B7191" s="73"/>
      <c r="C7191" s="73"/>
      <c r="D7191" s="73"/>
      <c r="E7191" s="73"/>
      <c r="G7191" s="235"/>
      <c r="H7191" s="238"/>
    </row>
    <row r="7192" spans="1:9" s="212" customFormat="1">
      <c r="A7192" s="220"/>
      <c r="B7192" s="141"/>
      <c r="C7192" s="141"/>
      <c r="D7192" s="141"/>
      <c r="E7192" s="141"/>
      <c r="F7192" s="141"/>
      <c r="G7192" s="194"/>
      <c r="H7192" s="238"/>
    </row>
    <row r="7193" spans="1:9" s="212" customFormat="1">
      <c r="A7193" s="142"/>
      <c r="B7193" s="143"/>
      <c r="C7193" s="143"/>
      <c r="D7193" s="143"/>
      <c r="E7193" s="143"/>
      <c r="F7193" s="84"/>
      <c r="G7193" s="243"/>
      <c r="H7193" s="238"/>
    </row>
    <row r="7194" spans="1:9" s="212" customFormat="1">
      <c r="A7194" s="123"/>
      <c r="B7194" s="95"/>
      <c r="C7194" s="95"/>
      <c r="D7194" s="95"/>
      <c r="E7194" s="95"/>
      <c r="G7194" s="244"/>
      <c r="H7194" s="235"/>
    </row>
    <row r="7195" spans="1:9" s="212" customFormat="1">
      <c r="A7195" s="123"/>
      <c r="B7195" s="95"/>
      <c r="C7195" s="95"/>
      <c r="D7195" s="95"/>
      <c r="E7195" s="95"/>
      <c r="G7195" s="235"/>
      <c r="H7195" s="242"/>
    </row>
    <row r="7196" spans="1:9" s="212" customFormat="1">
      <c r="B7196" s="97"/>
      <c r="C7196" s="98"/>
      <c r="D7196" s="98"/>
      <c r="E7196" s="98"/>
      <c r="G7196" s="241"/>
    </row>
    <row r="7197" spans="1:9" s="212" customFormat="1">
      <c r="H7197" s="227"/>
      <c r="I7197" s="228"/>
    </row>
    <row r="7198" spans="1:9" s="212" customFormat="1">
      <c r="A7198" s="686"/>
      <c r="B7198" s="227"/>
      <c r="C7198" s="227"/>
      <c r="D7198" s="227"/>
      <c r="E7198" s="227"/>
      <c r="F7198" s="227"/>
      <c r="G7198" s="227"/>
      <c r="H7198" s="227"/>
      <c r="I7198" s="229"/>
    </row>
    <row r="7199" spans="1:9" s="212" customFormat="1">
      <c r="A7199" s="658"/>
      <c r="B7199" s="227"/>
      <c r="C7199" s="227"/>
      <c r="D7199" s="227"/>
      <c r="E7199" s="227"/>
      <c r="F7199" s="227"/>
      <c r="G7199" s="227"/>
    </row>
    <row r="7200" spans="1:9" s="212" customFormat="1">
      <c r="A7200" s="69"/>
      <c r="B7200" s="69"/>
      <c r="C7200" s="69"/>
      <c r="D7200" s="69"/>
      <c r="E7200" s="69"/>
    </row>
    <row r="7201" spans="1:8" s="212" customFormat="1">
      <c r="A7201" s="120"/>
      <c r="B7201" s="73"/>
      <c r="C7201" s="73"/>
      <c r="D7201" s="73"/>
      <c r="E7201" s="73"/>
      <c r="F7201" s="73"/>
      <c r="G7201" s="73"/>
      <c r="H7201" s="73"/>
    </row>
    <row r="7202" spans="1:8" s="212" customFormat="1">
      <c r="A7202" s="220"/>
      <c r="B7202" s="141"/>
      <c r="C7202" s="141"/>
      <c r="D7202" s="141"/>
      <c r="E7202" s="141"/>
      <c r="F7202" s="141"/>
      <c r="G7202" s="141"/>
      <c r="H7202" s="73"/>
    </row>
    <row r="7203" spans="1:8" s="212" customFormat="1">
      <c r="A7203" s="142"/>
      <c r="B7203" s="83"/>
      <c r="C7203" s="84"/>
      <c r="D7203" s="84"/>
      <c r="E7203" s="84"/>
      <c r="F7203" s="84"/>
      <c r="G7203" s="84"/>
      <c r="H7203" s="225"/>
    </row>
    <row r="7204" spans="1:8" s="212" customFormat="1">
      <c r="A7204" s="84"/>
      <c r="B7204" s="83"/>
      <c r="C7204" s="84"/>
      <c r="D7204" s="84"/>
      <c r="E7204" s="84"/>
      <c r="G7204" s="213"/>
      <c r="H7204" s="222"/>
    </row>
    <row r="7205" spans="1:8" s="212" customFormat="1">
      <c r="A7205" s="120"/>
      <c r="B7205" s="73"/>
      <c r="C7205" s="73"/>
      <c r="D7205" s="73"/>
      <c r="E7205" s="73"/>
      <c r="G7205" s="73"/>
      <c r="H7205" s="222"/>
    </row>
    <row r="7206" spans="1:8" s="212" customFormat="1">
      <c r="A7206" s="220"/>
      <c r="B7206" s="141"/>
      <c r="C7206" s="141"/>
      <c r="D7206" s="141"/>
      <c r="E7206" s="141"/>
      <c r="F7206" s="141"/>
      <c r="G7206" s="141"/>
      <c r="H7206" s="222"/>
    </row>
    <row r="7207" spans="1:8" s="212" customFormat="1">
      <c r="A7207" s="233"/>
      <c r="B7207" s="83"/>
      <c r="C7207" s="84"/>
      <c r="D7207" s="84"/>
      <c r="E7207" s="84"/>
      <c r="F7207" s="84"/>
      <c r="G7207" s="84"/>
      <c r="H7207" s="222"/>
    </row>
    <row r="7208" spans="1:8" s="212" customFormat="1">
      <c r="A7208" s="233"/>
      <c r="B7208" s="83"/>
      <c r="C7208" s="84"/>
      <c r="D7208" s="84"/>
      <c r="E7208" s="84"/>
      <c r="F7208" s="84"/>
      <c r="G7208" s="84"/>
      <c r="H7208" s="225"/>
    </row>
    <row r="7209" spans="1:8" s="212" customFormat="1">
      <c r="A7209" s="233"/>
      <c r="B7209" s="83"/>
      <c r="C7209" s="84"/>
      <c r="D7209" s="84"/>
      <c r="E7209" s="84"/>
      <c r="F7209" s="84"/>
      <c r="G7209" s="213"/>
      <c r="H7209" s="222"/>
    </row>
    <row r="7210" spans="1:8" s="212" customFormat="1">
      <c r="A7210" s="120"/>
      <c r="B7210" s="73"/>
      <c r="C7210" s="73"/>
      <c r="D7210" s="73"/>
      <c r="E7210" s="73"/>
      <c r="G7210" s="73"/>
      <c r="H7210" s="222"/>
    </row>
    <row r="7211" spans="1:8" s="212" customFormat="1">
      <c r="A7211" s="220"/>
      <c r="B7211" s="141"/>
      <c r="C7211" s="141"/>
      <c r="D7211" s="141"/>
      <c r="E7211" s="141"/>
      <c r="F7211" s="141"/>
      <c r="G7211" s="141"/>
      <c r="H7211" s="222"/>
    </row>
    <row r="7212" spans="1:8" s="212" customFormat="1">
      <c r="A7212" s="142"/>
      <c r="B7212" s="83"/>
      <c r="C7212" s="84"/>
      <c r="D7212" s="84"/>
      <c r="E7212" s="84"/>
      <c r="F7212" s="141"/>
      <c r="G7212" s="84"/>
      <c r="H7212" s="225"/>
    </row>
    <row r="7213" spans="1:8" s="212" customFormat="1">
      <c r="A7213" s="91"/>
      <c r="B7213" s="91"/>
      <c r="C7213" s="91"/>
      <c r="D7213" s="91"/>
      <c r="E7213" s="91"/>
      <c r="G7213" s="213"/>
      <c r="H7213" s="222"/>
    </row>
    <row r="7214" spans="1:8" s="212" customFormat="1">
      <c r="A7214" s="120"/>
      <c r="B7214" s="73"/>
      <c r="C7214" s="73"/>
      <c r="D7214" s="73"/>
      <c r="E7214" s="73"/>
      <c r="G7214" s="73"/>
      <c r="H7214" s="222"/>
    </row>
    <row r="7215" spans="1:8" s="212" customFormat="1">
      <c r="A7215" s="220"/>
      <c r="B7215" s="141"/>
      <c r="C7215" s="141"/>
      <c r="D7215" s="141"/>
      <c r="E7215" s="141"/>
      <c r="F7215" s="141"/>
      <c r="G7215" s="141"/>
      <c r="H7215" s="222"/>
    </row>
    <row r="7216" spans="1:8" s="212" customFormat="1">
      <c r="A7216" s="142"/>
      <c r="B7216" s="143"/>
      <c r="C7216" s="143"/>
      <c r="D7216" s="143"/>
      <c r="E7216" s="143"/>
      <c r="F7216" s="84"/>
      <c r="G7216" s="146"/>
      <c r="H7216" s="225"/>
    </row>
    <row r="7217" spans="1:8" s="212" customFormat="1">
      <c r="A7217" s="123"/>
      <c r="B7217" s="95"/>
      <c r="C7217" s="95"/>
      <c r="D7217" s="95"/>
      <c r="E7217" s="95"/>
      <c r="G7217" s="213"/>
      <c r="H7217" s="73"/>
    </row>
    <row r="7218" spans="1:8" s="212" customFormat="1">
      <c r="A7218" s="123"/>
      <c r="B7218" s="95"/>
      <c r="C7218" s="95"/>
      <c r="D7218" s="95"/>
      <c r="E7218" s="95"/>
      <c r="G7218" s="73"/>
      <c r="H7218" s="225"/>
    </row>
    <row r="7219" spans="1:8" s="212" customFormat="1">
      <c r="B7219" s="97"/>
      <c r="C7219" s="98"/>
      <c r="D7219" s="98"/>
      <c r="E7219" s="98"/>
      <c r="G7219" s="220"/>
    </row>
    <row r="7220" spans="1:8" s="212" customFormat="1">
      <c r="B7220" s="97"/>
      <c r="C7220" s="98"/>
      <c r="D7220" s="98"/>
      <c r="E7220" s="98"/>
      <c r="F7220" s="220"/>
      <c r="G7220" s="225"/>
      <c r="H7220" s="226"/>
    </row>
    <row r="7221" spans="1:8" s="212" customFormat="1">
      <c r="A7221" s="633"/>
      <c r="B7221" s="633"/>
      <c r="C7221" s="633"/>
      <c r="D7221" s="633"/>
      <c r="E7221" s="633"/>
      <c r="F7221" s="633"/>
      <c r="G7221" s="633"/>
    </row>
    <row r="7222" spans="1:8" s="212" customFormat="1"/>
    <row r="7223" spans="1:8" s="212" customFormat="1"/>
    <row r="7224" spans="1:8" s="212" customFormat="1"/>
    <row r="7225" spans="1:8" s="212" customFormat="1"/>
    <row r="7226" spans="1:8" s="212" customFormat="1"/>
    <row r="7227" spans="1:8" s="212" customFormat="1"/>
    <row r="7228" spans="1:8" s="212" customFormat="1"/>
    <row r="7229" spans="1:8" s="212" customFormat="1"/>
    <row r="7230" spans="1:8" s="212" customFormat="1"/>
    <row r="7231" spans="1:8" s="212" customFormat="1"/>
    <row r="7232" spans="1:8" s="212" customFormat="1"/>
    <row r="7233" spans="1:9" s="212" customFormat="1"/>
    <row r="7234" spans="1:9" s="212" customFormat="1"/>
    <row r="7235" spans="1:9" s="212" customFormat="1"/>
    <row r="7236" spans="1:9" s="212" customFormat="1"/>
    <row r="7237" spans="1:9" s="212" customFormat="1"/>
    <row r="7238" spans="1:9" s="212" customFormat="1"/>
    <row r="7239" spans="1:9" s="212" customFormat="1"/>
    <row r="7240" spans="1:9" s="212" customFormat="1"/>
    <row r="7241" spans="1:9" s="212" customFormat="1"/>
    <row r="7242" spans="1:9" s="212" customFormat="1"/>
    <row r="7243" spans="1:9" s="212" customFormat="1"/>
    <row r="7244" spans="1:9">
      <c r="A7244" s="212"/>
      <c r="B7244" s="212"/>
      <c r="C7244" s="212"/>
      <c r="D7244" s="212"/>
      <c r="E7244" s="212"/>
      <c r="F7244" s="212"/>
      <c r="G7244" s="212"/>
      <c r="H7244" s="212"/>
      <c r="I7244" s="212"/>
    </row>
    <row r="7245" spans="1:9">
      <c r="A7245" s="212"/>
      <c r="B7245" s="212"/>
      <c r="C7245" s="212"/>
      <c r="D7245" s="212"/>
      <c r="E7245" s="212"/>
      <c r="F7245" s="212"/>
      <c r="G7245" s="212"/>
      <c r="H7245" s="212"/>
      <c r="I7245" s="212"/>
    </row>
    <row r="7246" spans="1:9">
      <c r="A7246" s="212"/>
      <c r="B7246" s="212"/>
      <c r="C7246" s="212"/>
      <c r="D7246" s="212"/>
      <c r="E7246" s="212"/>
      <c r="F7246" s="212"/>
      <c r="G7246" s="212"/>
      <c r="H7246" s="212"/>
      <c r="I7246" s="212"/>
    </row>
    <row r="7247" spans="1:9">
      <c r="A7247" s="212"/>
      <c r="B7247" s="212"/>
      <c r="C7247" s="212"/>
      <c r="D7247" s="212"/>
      <c r="E7247" s="212"/>
      <c r="F7247" s="212"/>
      <c r="G7247" s="212"/>
      <c r="H7247" s="212"/>
      <c r="I7247" s="212"/>
    </row>
    <row r="7248" spans="1:9">
      <c r="A7248" s="212"/>
      <c r="B7248" s="212"/>
      <c r="C7248" s="212"/>
      <c r="D7248" s="212"/>
      <c r="E7248" s="212"/>
      <c r="F7248" s="212"/>
      <c r="G7248" s="212"/>
      <c r="H7248" s="212"/>
      <c r="I7248" s="212"/>
    </row>
    <row r="7249" spans="1:9">
      <c r="A7249" s="212"/>
      <c r="B7249" s="212"/>
      <c r="C7249" s="212"/>
      <c r="D7249" s="212"/>
      <c r="E7249" s="212"/>
      <c r="F7249" s="212"/>
      <c r="G7249" s="212"/>
      <c r="H7249" s="212"/>
      <c r="I7249" s="212"/>
    </row>
    <row r="7250" spans="1:9">
      <c r="A7250" s="212"/>
      <c r="B7250" s="212"/>
      <c r="C7250" s="212"/>
      <c r="D7250" s="212"/>
      <c r="E7250" s="212"/>
      <c r="F7250" s="212"/>
      <c r="G7250" s="212"/>
      <c r="H7250" s="212"/>
      <c r="I7250" s="212"/>
    </row>
    <row r="7251" spans="1:9">
      <c r="A7251" s="212"/>
      <c r="B7251" s="212"/>
      <c r="C7251" s="212"/>
      <c r="D7251" s="212"/>
      <c r="E7251" s="212"/>
      <c r="F7251" s="212"/>
      <c r="G7251" s="212"/>
      <c r="H7251" s="212"/>
      <c r="I7251" s="212"/>
    </row>
    <row r="7252" spans="1:9">
      <c r="A7252" s="212"/>
      <c r="B7252" s="212"/>
      <c r="C7252" s="212"/>
      <c r="D7252" s="212"/>
      <c r="E7252" s="212"/>
      <c r="F7252" s="212"/>
      <c r="G7252" s="212"/>
      <c r="H7252" s="212"/>
      <c r="I7252" s="212"/>
    </row>
    <row r="7253" spans="1:9">
      <c r="A7253" s="212"/>
      <c r="B7253" s="212"/>
      <c r="C7253" s="212"/>
      <c r="D7253" s="212"/>
      <c r="E7253" s="212"/>
      <c r="F7253" s="212"/>
      <c r="G7253" s="212"/>
      <c r="H7253" s="212"/>
      <c r="I7253" s="212"/>
    </row>
    <row r="7254" spans="1:9">
      <c r="A7254" s="212"/>
      <c r="B7254" s="212"/>
      <c r="C7254" s="212"/>
      <c r="D7254" s="212"/>
      <c r="E7254" s="212"/>
      <c r="F7254" s="212"/>
      <c r="G7254" s="212"/>
      <c r="H7254" s="212"/>
      <c r="I7254" s="212"/>
    </row>
    <row r="7255" spans="1:9">
      <c r="A7255" s="212"/>
      <c r="B7255" s="212"/>
      <c r="C7255" s="212"/>
      <c r="D7255" s="212"/>
      <c r="E7255" s="212"/>
      <c r="F7255" s="212"/>
      <c r="G7255" s="212"/>
      <c r="H7255" s="212"/>
      <c r="I7255" s="212"/>
    </row>
    <row r="7256" spans="1:9">
      <c r="A7256" s="212"/>
      <c r="B7256" s="212"/>
      <c r="C7256" s="212"/>
      <c r="D7256" s="212"/>
      <c r="E7256" s="212"/>
      <c r="F7256" s="212"/>
      <c r="G7256" s="212"/>
      <c r="H7256" s="212"/>
      <c r="I7256" s="212"/>
    </row>
    <row r="7257" spans="1:9">
      <c r="A7257" s="212"/>
      <c r="B7257" s="212"/>
      <c r="C7257" s="212"/>
      <c r="D7257" s="212"/>
      <c r="E7257" s="212"/>
      <c r="F7257" s="212"/>
      <c r="G7257" s="212"/>
      <c r="H7257" s="212"/>
      <c r="I7257" s="212"/>
    </row>
    <row r="7258" spans="1:9">
      <c r="A7258" s="212"/>
      <c r="B7258" s="212"/>
      <c r="C7258" s="212"/>
      <c r="D7258" s="212"/>
      <c r="E7258" s="212"/>
      <c r="F7258" s="212"/>
      <c r="G7258" s="212"/>
      <c r="H7258" s="212"/>
      <c r="I7258" s="212"/>
    </row>
    <row r="7259" spans="1:9">
      <c r="A7259" s="212"/>
      <c r="B7259" s="212"/>
      <c r="C7259" s="212"/>
      <c r="D7259" s="212"/>
      <c r="E7259" s="212"/>
      <c r="F7259" s="212"/>
      <c r="G7259" s="212"/>
      <c r="H7259" s="212"/>
      <c r="I7259" s="212"/>
    </row>
    <row r="7260" spans="1:9">
      <c r="A7260" s="212"/>
      <c r="B7260" s="212"/>
      <c r="C7260" s="212"/>
      <c r="D7260" s="212"/>
      <c r="E7260" s="212"/>
      <c r="F7260" s="212"/>
      <c r="G7260" s="212"/>
      <c r="H7260" s="212"/>
      <c r="I7260" s="212"/>
    </row>
    <row r="7261" spans="1:9">
      <c r="A7261" s="212"/>
      <c r="B7261" s="212"/>
      <c r="C7261" s="212"/>
      <c r="D7261" s="212"/>
      <c r="E7261" s="212"/>
      <c r="F7261" s="212"/>
      <c r="G7261" s="212"/>
      <c r="H7261" s="212"/>
      <c r="I7261" s="212"/>
    </row>
    <row r="7262" spans="1:9">
      <c r="A7262" s="212"/>
      <c r="B7262" s="212"/>
      <c r="C7262" s="212"/>
      <c r="D7262" s="212"/>
      <c r="E7262" s="212"/>
      <c r="F7262" s="212"/>
      <c r="G7262" s="212"/>
      <c r="H7262" s="212"/>
      <c r="I7262" s="212"/>
    </row>
    <row r="7263" spans="1:9">
      <c r="A7263" s="212"/>
      <c r="B7263" s="212"/>
      <c r="C7263" s="212"/>
      <c r="D7263" s="212"/>
      <c r="E7263" s="212"/>
      <c r="F7263" s="212"/>
      <c r="G7263" s="212"/>
      <c r="H7263" s="212"/>
      <c r="I7263" s="212"/>
    </row>
    <row r="7264" spans="1:9">
      <c r="A7264" s="212"/>
      <c r="B7264" s="212"/>
      <c r="C7264" s="212"/>
      <c r="D7264" s="212"/>
      <c r="E7264" s="212"/>
      <c r="F7264" s="212"/>
      <c r="G7264" s="212"/>
      <c r="H7264" s="212"/>
      <c r="I7264" s="212"/>
    </row>
    <row r="7265" spans="1:9">
      <c r="A7265" s="212"/>
      <c r="B7265" s="212"/>
      <c r="C7265" s="212"/>
      <c r="D7265" s="212"/>
      <c r="E7265" s="212"/>
      <c r="F7265" s="212"/>
      <c r="G7265" s="212"/>
      <c r="H7265" s="212"/>
      <c r="I7265" s="212"/>
    </row>
    <row r="7266" spans="1:9">
      <c r="A7266" s="212"/>
      <c r="B7266" s="212"/>
      <c r="C7266" s="212"/>
      <c r="D7266" s="212"/>
      <c r="E7266" s="212"/>
      <c r="F7266" s="212"/>
      <c r="G7266" s="212"/>
      <c r="H7266" s="212"/>
      <c r="I7266" s="212"/>
    </row>
    <row r="7267" spans="1:9">
      <c r="A7267" s="212"/>
      <c r="B7267" s="212"/>
      <c r="C7267" s="212"/>
      <c r="D7267" s="212"/>
      <c r="E7267" s="212"/>
      <c r="F7267" s="212"/>
      <c r="G7267" s="212"/>
      <c r="H7267" s="212"/>
      <c r="I7267" s="212"/>
    </row>
    <row r="7268" spans="1:9">
      <c r="A7268" s="212"/>
      <c r="B7268" s="212"/>
      <c r="C7268" s="212"/>
      <c r="D7268" s="212"/>
      <c r="E7268" s="212"/>
      <c r="F7268" s="212"/>
      <c r="G7268" s="212"/>
      <c r="H7268" s="212"/>
      <c r="I7268" s="212"/>
    </row>
    <row r="7269" spans="1:9">
      <c r="A7269" s="212"/>
      <c r="B7269" s="212"/>
      <c r="C7269" s="212"/>
      <c r="D7269" s="212"/>
      <c r="E7269" s="212"/>
      <c r="F7269" s="212"/>
      <c r="G7269" s="212"/>
      <c r="H7269" s="212"/>
      <c r="I7269" s="212"/>
    </row>
    <row r="7270" spans="1:9">
      <c r="A7270" s="212"/>
      <c r="B7270" s="212"/>
      <c r="C7270" s="212"/>
      <c r="D7270" s="212"/>
      <c r="E7270" s="212"/>
      <c r="F7270" s="212"/>
      <c r="G7270" s="212"/>
      <c r="H7270" s="212"/>
      <c r="I7270" s="212"/>
    </row>
    <row r="7271" spans="1:9">
      <c r="A7271" s="212"/>
      <c r="B7271" s="212"/>
      <c r="C7271" s="212"/>
      <c r="D7271" s="212"/>
      <c r="E7271" s="212"/>
      <c r="F7271" s="212"/>
      <c r="G7271" s="212"/>
      <c r="H7271" s="212"/>
      <c r="I7271" s="212"/>
    </row>
    <row r="7272" spans="1:9">
      <c r="A7272" s="212"/>
      <c r="B7272" s="212"/>
      <c r="C7272" s="212"/>
      <c r="D7272" s="212"/>
      <c r="E7272" s="212"/>
      <c r="F7272" s="212"/>
      <c r="G7272" s="212"/>
    </row>
  </sheetData>
  <mergeCells count="591">
    <mergeCell ref="A7106:A7107"/>
    <mergeCell ref="A7129:A7130"/>
    <mergeCell ref="A7152:A7153"/>
    <mergeCell ref="A7175:A7176"/>
    <mergeCell ref="A7198:A7199"/>
    <mergeCell ref="A7221:G7221"/>
    <mergeCell ref="A6965:A6966"/>
    <mergeCell ref="A6989:A6990"/>
    <mergeCell ref="A7011:A7012"/>
    <mergeCell ref="A7033:A7034"/>
    <mergeCell ref="A7058:A7059"/>
    <mergeCell ref="A7083:A7084"/>
    <mergeCell ref="A6830:A6831"/>
    <mergeCell ref="A6852:A6853"/>
    <mergeCell ref="A6875:A6876"/>
    <mergeCell ref="A6899:A6900"/>
    <mergeCell ref="A6921:A6922"/>
    <mergeCell ref="A6943:A6944"/>
    <mergeCell ref="A6748:G6748"/>
    <mergeCell ref="A6750:A6751"/>
    <mergeCell ref="A6772:G6772"/>
    <mergeCell ref="A6774:A6775"/>
    <mergeCell ref="A6803:G6803"/>
    <mergeCell ref="A6805:A6806"/>
    <mergeCell ref="A6667:G6667"/>
    <mergeCell ref="A6669:A6670"/>
    <mergeCell ref="A6695:G6695"/>
    <mergeCell ref="A6697:A6698"/>
    <mergeCell ref="A6723:G6723"/>
    <mergeCell ref="A6725:A6726"/>
    <mergeCell ref="A6589:G6589"/>
    <mergeCell ref="A6591:A6592"/>
    <mergeCell ref="A6615:G6615"/>
    <mergeCell ref="A6617:A6618"/>
    <mergeCell ref="A6641:G6641"/>
    <mergeCell ref="A6643:A6644"/>
    <mergeCell ref="A6511:G6511"/>
    <mergeCell ref="A6513:A6514"/>
    <mergeCell ref="A6535:G6535"/>
    <mergeCell ref="A6537:A6538"/>
    <mergeCell ref="A6562:G6562"/>
    <mergeCell ref="A6564:A6565"/>
    <mergeCell ref="A6439:G6439"/>
    <mergeCell ref="A6441:A6442"/>
    <mergeCell ref="A6463:G6463"/>
    <mergeCell ref="A6465:A6466"/>
    <mergeCell ref="A6487:G6487"/>
    <mergeCell ref="A6489:A6490"/>
    <mergeCell ref="A6367:G6367"/>
    <mergeCell ref="A6369:A6370"/>
    <mergeCell ref="A6391:G6391"/>
    <mergeCell ref="A6393:A6394"/>
    <mergeCell ref="A6415:G6415"/>
    <mergeCell ref="A6417:A6418"/>
    <mergeCell ref="A6295:G6295"/>
    <mergeCell ref="A6297:A6298"/>
    <mergeCell ref="A6319:G6319"/>
    <mergeCell ref="A6321:A6322"/>
    <mergeCell ref="A6343:G6343"/>
    <mergeCell ref="A6345:A6346"/>
    <mergeCell ref="A6223:G6223"/>
    <mergeCell ref="A6225:A6226"/>
    <mergeCell ref="A6247:G6247"/>
    <mergeCell ref="A6249:A6250"/>
    <mergeCell ref="A6271:G6271"/>
    <mergeCell ref="A6273:A6274"/>
    <mergeCell ref="A6151:G6151"/>
    <mergeCell ref="A6153:A6154"/>
    <mergeCell ref="A6175:G6175"/>
    <mergeCell ref="A6177:A6178"/>
    <mergeCell ref="A6199:G6199"/>
    <mergeCell ref="A6201:A6202"/>
    <mergeCell ref="A6079:G6079"/>
    <mergeCell ref="A6081:A6082"/>
    <mergeCell ref="A6103:G6103"/>
    <mergeCell ref="A6105:A6106"/>
    <mergeCell ref="A6127:G6127"/>
    <mergeCell ref="A6129:A6130"/>
    <mergeCell ref="A6007:G6007"/>
    <mergeCell ref="A6009:A6010"/>
    <mergeCell ref="A6031:G6031"/>
    <mergeCell ref="A6033:A6034"/>
    <mergeCell ref="A6055:G6055"/>
    <mergeCell ref="A6057:A6058"/>
    <mergeCell ref="A5935:G5935"/>
    <mergeCell ref="A5937:A5938"/>
    <mergeCell ref="A5959:G5959"/>
    <mergeCell ref="A5961:A5962"/>
    <mergeCell ref="A5983:G5983"/>
    <mergeCell ref="A5985:A5986"/>
    <mergeCell ref="A5863:G5863"/>
    <mergeCell ref="A5865:A5866"/>
    <mergeCell ref="A5887:G5887"/>
    <mergeCell ref="A5889:A5890"/>
    <mergeCell ref="A5911:G5911"/>
    <mergeCell ref="A5913:A5914"/>
    <mergeCell ref="A5791:G5791"/>
    <mergeCell ref="A5793:A5794"/>
    <mergeCell ref="A5815:G5815"/>
    <mergeCell ref="A5817:A5818"/>
    <mergeCell ref="A5839:G5839"/>
    <mergeCell ref="A5841:A5842"/>
    <mergeCell ref="A5719:G5719"/>
    <mergeCell ref="A5721:A5722"/>
    <mergeCell ref="A5743:G5743"/>
    <mergeCell ref="A5745:A5746"/>
    <mergeCell ref="A5767:G5767"/>
    <mergeCell ref="A5769:A5770"/>
    <mergeCell ref="A5647:G5647"/>
    <mergeCell ref="A5649:A5650"/>
    <mergeCell ref="A5671:G5671"/>
    <mergeCell ref="A5673:A5674"/>
    <mergeCell ref="A5695:G5695"/>
    <mergeCell ref="A5697:A5698"/>
    <mergeCell ref="A5575:G5575"/>
    <mergeCell ref="A5577:A5578"/>
    <mergeCell ref="A5599:G5599"/>
    <mergeCell ref="A5601:A5602"/>
    <mergeCell ref="A5623:G5623"/>
    <mergeCell ref="A5625:A5626"/>
    <mergeCell ref="A5503:G5503"/>
    <mergeCell ref="A5505:A5506"/>
    <mergeCell ref="A5527:G5527"/>
    <mergeCell ref="A5529:A5530"/>
    <mergeCell ref="A5551:G5551"/>
    <mergeCell ref="A5553:A5554"/>
    <mergeCell ref="A5431:G5431"/>
    <mergeCell ref="A5433:A5434"/>
    <mergeCell ref="A5455:G5455"/>
    <mergeCell ref="A5457:A5458"/>
    <mergeCell ref="A5479:G5479"/>
    <mergeCell ref="A5481:A5482"/>
    <mergeCell ref="A5359:G5359"/>
    <mergeCell ref="A5361:A5362"/>
    <mergeCell ref="A5383:G5383"/>
    <mergeCell ref="A5385:A5386"/>
    <mergeCell ref="A5407:G5407"/>
    <mergeCell ref="A5409:A5410"/>
    <mergeCell ref="A5287:G5287"/>
    <mergeCell ref="A5289:A5290"/>
    <mergeCell ref="A5311:G5311"/>
    <mergeCell ref="A5313:A5314"/>
    <mergeCell ref="A5335:G5335"/>
    <mergeCell ref="A5337:A5338"/>
    <mergeCell ref="A5215:G5215"/>
    <mergeCell ref="A5217:A5218"/>
    <mergeCell ref="A5239:G5239"/>
    <mergeCell ref="A5241:A5242"/>
    <mergeCell ref="A5263:G5263"/>
    <mergeCell ref="A5265:A5266"/>
    <mergeCell ref="A5143:G5143"/>
    <mergeCell ref="A5145:A5146"/>
    <mergeCell ref="A5167:G5167"/>
    <mergeCell ref="A5169:A5170"/>
    <mergeCell ref="A5191:G5191"/>
    <mergeCell ref="A5193:A5194"/>
    <mergeCell ref="A5056:G5056"/>
    <mergeCell ref="A5058:A5059"/>
    <mergeCell ref="A5085:G5085"/>
    <mergeCell ref="A5087:A5088"/>
    <mergeCell ref="A5114:G5114"/>
    <mergeCell ref="A5116:A5117"/>
    <mergeCell ref="A4977:G4977"/>
    <mergeCell ref="A4979:A4980"/>
    <mergeCell ref="A5002:G5002"/>
    <mergeCell ref="A5004:A5005"/>
    <mergeCell ref="A5029:G5029"/>
    <mergeCell ref="A5031:A5032"/>
    <mergeCell ref="A4899:G4899"/>
    <mergeCell ref="A4901:A4902"/>
    <mergeCell ref="A4923:G4923"/>
    <mergeCell ref="A4925:A4926"/>
    <mergeCell ref="A4950:G4950"/>
    <mergeCell ref="A4952:A4953"/>
    <mergeCell ref="A4817:G4817"/>
    <mergeCell ref="A4819:A4820"/>
    <mergeCell ref="A4846:G4846"/>
    <mergeCell ref="A4848:A4849"/>
    <mergeCell ref="A4873:G4873"/>
    <mergeCell ref="A4875:A4876"/>
    <mergeCell ref="A4732:G4732"/>
    <mergeCell ref="A4734:A4735"/>
    <mergeCell ref="A4757:G4757"/>
    <mergeCell ref="A4759:A4760"/>
    <mergeCell ref="A4788:G4788"/>
    <mergeCell ref="A4790:A4791"/>
    <mergeCell ref="A4653:G4653"/>
    <mergeCell ref="A4655:A4656"/>
    <mergeCell ref="A4679:G4679"/>
    <mergeCell ref="A4681:A4682"/>
    <mergeCell ref="A4706:G4706"/>
    <mergeCell ref="A4708:A4709"/>
    <mergeCell ref="A4575:G4575"/>
    <mergeCell ref="A4577:A4578"/>
    <mergeCell ref="A4601:G4601"/>
    <mergeCell ref="A4603:A4604"/>
    <mergeCell ref="A4627:G4627"/>
    <mergeCell ref="A4629:A4630"/>
    <mergeCell ref="A4500:G4500"/>
    <mergeCell ref="A4502:A4503"/>
    <mergeCell ref="A4524:G4524"/>
    <mergeCell ref="A4526:A4527"/>
    <mergeCell ref="A4548:G4548"/>
    <mergeCell ref="A4550:A4551"/>
    <mergeCell ref="A4419:G4419"/>
    <mergeCell ref="A4421:A4422"/>
    <mergeCell ref="A4443:G4443"/>
    <mergeCell ref="A4445:A4446"/>
    <mergeCell ref="A4467:G4467"/>
    <mergeCell ref="A4469:A4470"/>
    <mergeCell ref="A4339:G4339"/>
    <mergeCell ref="A4341:A4342"/>
    <mergeCell ref="A4370:G4370"/>
    <mergeCell ref="A4372:A4373"/>
    <mergeCell ref="A4395:G4395"/>
    <mergeCell ref="A4397:A4398"/>
    <mergeCell ref="A4251:G4251"/>
    <mergeCell ref="A4253:A4254"/>
    <mergeCell ref="A4280:G4280"/>
    <mergeCell ref="A4282:A4283"/>
    <mergeCell ref="A4315:G4315"/>
    <mergeCell ref="A4317:A4318"/>
    <mergeCell ref="A4164:G4164"/>
    <mergeCell ref="A4166:A4167"/>
    <mergeCell ref="A4190:G4190"/>
    <mergeCell ref="A4192:A4193"/>
    <mergeCell ref="A4218:G4218"/>
    <mergeCell ref="A4220:A4221"/>
    <mergeCell ref="A4087:G4087"/>
    <mergeCell ref="A4089:A4090"/>
    <mergeCell ref="A4113:G4113"/>
    <mergeCell ref="A4115:A4116"/>
    <mergeCell ref="A4139:G4139"/>
    <mergeCell ref="A4141:A4142"/>
    <mergeCell ref="A3992:G3992"/>
    <mergeCell ref="A3994:A3995"/>
    <mergeCell ref="A4025:G4025"/>
    <mergeCell ref="A4027:A4028"/>
    <mergeCell ref="A4060:G4060"/>
    <mergeCell ref="A4062:A4063"/>
    <mergeCell ref="A3901:G3901"/>
    <mergeCell ref="A3903:A3904"/>
    <mergeCell ref="A3926:G3926"/>
    <mergeCell ref="A3928:A3929"/>
    <mergeCell ref="A3959:G3959"/>
    <mergeCell ref="A3961:A3962"/>
    <mergeCell ref="A3813:G3813"/>
    <mergeCell ref="A3815:A3816"/>
    <mergeCell ref="A3841:G3841"/>
    <mergeCell ref="A3843:A3844"/>
    <mergeCell ref="A3876:G3876"/>
    <mergeCell ref="A3878:A3879"/>
    <mergeCell ref="A3730:G3730"/>
    <mergeCell ref="A3732:A3733"/>
    <mergeCell ref="A3759:G3759"/>
    <mergeCell ref="A3761:A3762"/>
    <mergeCell ref="A3786:G3786"/>
    <mergeCell ref="A3788:A3789"/>
    <mergeCell ref="A3645:G3645"/>
    <mergeCell ref="A3647:A3648"/>
    <mergeCell ref="A3671:G3671"/>
    <mergeCell ref="A3673:A3674"/>
    <mergeCell ref="A3701:G3701"/>
    <mergeCell ref="A3703:A3704"/>
    <mergeCell ref="A3561:G3561"/>
    <mergeCell ref="A3563:A3564"/>
    <mergeCell ref="A3587:G3587"/>
    <mergeCell ref="A3589:A3590"/>
    <mergeCell ref="A3615:G3615"/>
    <mergeCell ref="A3617:A3618"/>
    <mergeCell ref="A3479:G3479"/>
    <mergeCell ref="A3481:A3482"/>
    <mergeCell ref="A3508:G3508"/>
    <mergeCell ref="A3510:A3511"/>
    <mergeCell ref="A3534:G3534"/>
    <mergeCell ref="A3536:A3537"/>
    <mergeCell ref="A3393:G3393"/>
    <mergeCell ref="A3395:A3396"/>
    <mergeCell ref="A3420:G3420"/>
    <mergeCell ref="A3422:A3423"/>
    <mergeCell ref="A3449:G3449"/>
    <mergeCell ref="A3451:A3452"/>
    <mergeCell ref="A3312:G3312"/>
    <mergeCell ref="A3314:A3315"/>
    <mergeCell ref="A3338:G3338"/>
    <mergeCell ref="A3340:A3341"/>
    <mergeCell ref="A3366:G3366"/>
    <mergeCell ref="A3368:A3369"/>
    <mergeCell ref="A3230:G3230"/>
    <mergeCell ref="A3232:A3233"/>
    <mergeCell ref="A3254:G3254"/>
    <mergeCell ref="A3256:A3257"/>
    <mergeCell ref="A3283:G3283"/>
    <mergeCell ref="A3285:A3286"/>
    <mergeCell ref="A3152:G3152"/>
    <mergeCell ref="A3154:A3155"/>
    <mergeCell ref="A3179:G3179"/>
    <mergeCell ref="A3181:A3182"/>
    <mergeCell ref="A3203:G3203"/>
    <mergeCell ref="A3205:A3206"/>
    <mergeCell ref="A3080:G3080"/>
    <mergeCell ref="A3082:A3083"/>
    <mergeCell ref="A3104:G3104"/>
    <mergeCell ref="A3106:A3107"/>
    <mergeCell ref="A3128:G3128"/>
    <mergeCell ref="A3130:A3131"/>
    <mergeCell ref="A3008:G3008"/>
    <mergeCell ref="A3010:A3011"/>
    <mergeCell ref="A3032:G3032"/>
    <mergeCell ref="A3034:A3035"/>
    <mergeCell ref="A3056:G3056"/>
    <mergeCell ref="A3058:A3059"/>
    <mergeCell ref="A2936:G2936"/>
    <mergeCell ref="A2938:A2939"/>
    <mergeCell ref="A2960:G2960"/>
    <mergeCell ref="A2962:A2963"/>
    <mergeCell ref="A2984:G2984"/>
    <mergeCell ref="A2986:A2987"/>
    <mergeCell ref="A2854:G2854"/>
    <mergeCell ref="A2856:A2857"/>
    <mergeCell ref="A2880:G2880"/>
    <mergeCell ref="A2882:A2883"/>
    <mergeCell ref="A2912:G2912"/>
    <mergeCell ref="A2914:A2915"/>
    <mergeCell ref="A2779:G2779"/>
    <mergeCell ref="A2781:A2782"/>
    <mergeCell ref="A2803:G2803"/>
    <mergeCell ref="A2805:A2806"/>
    <mergeCell ref="A2828:G2828"/>
    <mergeCell ref="A2830:A2831"/>
    <mergeCell ref="A2692:G2692"/>
    <mergeCell ref="A2694:A2695"/>
    <mergeCell ref="A2721:G2721"/>
    <mergeCell ref="A2723:A2724"/>
    <mergeCell ref="A2749:G2749"/>
    <mergeCell ref="A2751:A2752"/>
    <mergeCell ref="A2615:G2615"/>
    <mergeCell ref="A2617:A2618"/>
    <mergeCell ref="A2639:G2639"/>
    <mergeCell ref="A2641:A2642"/>
    <mergeCell ref="A2667:G2667"/>
    <mergeCell ref="A2669:A2670"/>
    <mergeCell ref="A2543:G2543"/>
    <mergeCell ref="A2545:A2546"/>
    <mergeCell ref="A2567:G2567"/>
    <mergeCell ref="A2569:A2570"/>
    <mergeCell ref="A2591:G2591"/>
    <mergeCell ref="A2593:A2594"/>
    <mergeCell ref="A2471:G2471"/>
    <mergeCell ref="A2473:A2474"/>
    <mergeCell ref="A2495:G2495"/>
    <mergeCell ref="A2497:A2498"/>
    <mergeCell ref="A2519:G2519"/>
    <mergeCell ref="A2521:A2522"/>
    <mergeCell ref="A2399:G2399"/>
    <mergeCell ref="A2401:A2402"/>
    <mergeCell ref="A2423:G2423"/>
    <mergeCell ref="A2425:A2426"/>
    <mergeCell ref="A2447:G2447"/>
    <mergeCell ref="A2449:A2450"/>
    <mergeCell ref="A2327:G2327"/>
    <mergeCell ref="A2329:A2330"/>
    <mergeCell ref="A2351:G2351"/>
    <mergeCell ref="A2353:A2354"/>
    <mergeCell ref="A2375:G2375"/>
    <mergeCell ref="A2377:A2378"/>
    <mergeCell ref="A2249:G2249"/>
    <mergeCell ref="A2251:A2252"/>
    <mergeCell ref="A2275:G2275"/>
    <mergeCell ref="A2277:A2278"/>
    <mergeCell ref="A2301:G2301"/>
    <mergeCell ref="A2303:A2304"/>
    <mergeCell ref="A2175:G2175"/>
    <mergeCell ref="A2177:A2178"/>
    <mergeCell ref="A2199:G2199"/>
    <mergeCell ref="A2201:A2202"/>
    <mergeCell ref="A2223:G2223"/>
    <mergeCell ref="A2225:A2226"/>
    <mergeCell ref="A2103:G2103"/>
    <mergeCell ref="A2105:A2106"/>
    <mergeCell ref="A2127:G2127"/>
    <mergeCell ref="A2129:A2130"/>
    <mergeCell ref="A2151:G2151"/>
    <mergeCell ref="A2153:A2154"/>
    <mergeCell ref="A2030:G2030"/>
    <mergeCell ref="A2033:A2034"/>
    <mergeCell ref="A2055:G2055"/>
    <mergeCell ref="A2057:A2058"/>
    <mergeCell ref="A2079:G2079"/>
    <mergeCell ref="A2081:A2082"/>
    <mergeCell ref="A1958:G1958"/>
    <mergeCell ref="A1960:A1961"/>
    <mergeCell ref="A1982:G1982"/>
    <mergeCell ref="A1984:A1985"/>
    <mergeCell ref="A2006:G2006"/>
    <mergeCell ref="A2008:A2009"/>
    <mergeCell ref="A1884:G1884"/>
    <mergeCell ref="A1886:A1887"/>
    <mergeCell ref="A1910:G1910"/>
    <mergeCell ref="A1912:A1913"/>
    <mergeCell ref="A1934:G1934"/>
    <mergeCell ref="A1936:A1937"/>
    <mergeCell ref="A1806:G1806"/>
    <mergeCell ref="A1808:A1809"/>
    <mergeCell ref="A1832:G1832"/>
    <mergeCell ref="A1834:A1835"/>
    <mergeCell ref="A1858:G1858"/>
    <mergeCell ref="A1860:A1861"/>
    <mergeCell ref="A1727:G1727"/>
    <mergeCell ref="A1729:A1730"/>
    <mergeCell ref="A1753:G1753"/>
    <mergeCell ref="A1755:A1756"/>
    <mergeCell ref="A1779:G1779"/>
    <mergeCell ref="A1781:A1782"/>
    <mergeCell ref="A1655:G1655"/>
    <mergeCell ref="A1657:A1658"/>
    <mergeCell ref="A1679:G1679"/>
    <mergeCell ref="A1681:A1682"/>
    <mergeCell ref="A1703:G1703"/>
    <mergeCell ref="A1705:A1706"/>
    <mergeCell ref="A1583:G1583"/>
    <mergeCell ref="A1585:A1586"/>
    <mergeCell ref="A1607:G1607"/>
    <mergeCell ref="A1609:A1610"/>
    <mergeCell ref="A1631:G1631"/>
    <mergeCell ref="A1633:A1634"/>
    <mergeCell ref="A1510:G1510"/>
    <mergeCell ref="A1512:A1513"/>
    <mergeCell ref="A1534:G1534"/>
    <mergeCell ref="A1536:A1537"/>
    <mergeCell ref="A1558:G1558"/>
    <mergeCell ref="A1561:A1562"/>
    <mergeCell ref="A1438:G1438"/>
    <mergeCell ref="A1440:A1441"/>
    <mergeCell ref="A1462:G1462"/>
    <mergeCell ref="A1464:A1465"/>
    <mergeCell ref="A1486:G1486"/>
    <mergeCell ref="A1488:A1489"/>
    <mergeCell ref="A1366:G1366"/>
    <mergeCell ref="A1368:A1369"/>
    <mergeCell ref="A1390:G1390"/>
    <mergeCell ref="A1392:A1393"/>
    <mergeCell ref="A1414:G1414"/>
    <mergeCell ref="A1416:A1417"/>
    <mergeCell ref="A1294:G1294"/>
    <mergeCell ref="A1296:A1297"/>
    <mergeCell ref="A1318:G1318"/>
    <mergeCell ref="A1320:A1321"/>
    <mergeCell ref="A1342:G1342"/>
    <mergeCell ref="A1344:A1345"/>
    <mergeCell ref="A1218:G1218"/>
    <mergeCell ref="A1220:A1221"/>
    <mergeCell ref="A1242:G1242"/>
    <mergeCell ref="A1244:A1245"/>
    <mergeCell ref="A1270:G1270"/>
    <mergeCell ref="A1272:A1273"/>
    <mergeCell ref="A1170:G1170"/>
    <mergeCell ref="A1172:A1173"/>
    <mergeCell ref="A1194:G1194"/>
    <mergeCell ref="A1196:A1197"/>
    <mergeCell ref="A1074:G1074"/>
    <mergeCell ref="A1076:A1077"/>
    <mergeCell ref="A1098:G1098"/>
    <mergeCell ref="A1100:A1101"/>
    <mergeCell ref="A1122:G1122"/>
    <mergeCell ref="A1124:A1125"/>
    <mergeCell ref="A1052:A1053"/>
    <mergeCell ref="A930:G930"/>
    <mergeCell ref="A932:A933"/>
    <mergeCell ref="A954:G954"/>
    <mergeCell ref="A956:A957"/>
    <mergeCell ref="A978:G978"/>
    <mergeCell ref="A980:A981"/>
    <mergeCell ref="A1146:G1146"/>
    <mergeCell ref="A1148:A1149"/>
    <mergeCell ref="A866:G866"/>
    <mergeCell ref="A869:A870"/>
    <mergeCell ref="B869:H870"/>
    <mergeCell ref="A1002:G1002"/>
    <mergeCell ref="A1004:A1005"/>
    <mergeCell ref="A1026:G1026"/>
    <mergeCell ref="A1028:A1029"/>
    <mergeCell ref="A1050:G1050"/>
    <mergeCell ref="A891:G891"/>
    <mergeCell ref="A894:A895"/>
    <mergeCell ref="B894:H895"/>
    <mergeCell ref="A916:G916"/>
    <mergeCell ref="A587:A588"/>
    <mergeCell ref="B587:H588"/>
    <mergeCell ref="A609:G609"/>
    <mergeCell ref="A612:A613"/>
    <mergeCell ref="B612:H613"/>
    <mergeCell ref="A634:G634"/>
    <mergeCell ref="A762:G762"/>
    <mergeCell ref="A712:A713"/>
    <mergeCell ref="B712:H713"/>
    <mergeCell ref="A734:G734"/>
    <mergeCell ref="A737:A738"/>
    <mergeCell ref="B737:H738"/>
    <mergeCell ref="A761:G761"/>
    <mergeCell ref="A637:A638"/>
    <mergeCell ref="B637:H638"/>
    <mergeCell ref="A659:G659"/>
    <mergeCell ref="A662:A663"/>
    <mergeCell ref="B662:H663"/>
    <mergeCell ref="A684:G684"/>
    <mergeCell ref="A687:A688"/>
    <mergeCell ref="B687:H688"/>
    <mergeCell ref="A709:G709"/>
    <mergeCell ref="A459:G459"/>
    <mergeCell ref="B462:H463"/>
    <mergeCell ref="A584:G584"/>
    <mergeCell ref="A484:G484"/>
    <mergeCell ref="A485:A486"/>
    <mergeCell ref="B487:H488"/>
    <mergeCell ref="A509:G509"/>
    <mergeCell ref="B512:H513"/>
    <mergeCell ref="A534:G534"/>
    <mergeCell ref="B537:H538"/>
    <mergeCell ref="A559:G559"/>
    <mergeCell ref="B562:H563"/>
    <mergeCell ref="A312:A313"/>
    <mergeCell ref="B312:H313"/>
    <mergeCell ref="A409:G409"/>
    <mergeCell ref="A411:G411"/>
    <mergeCell ref="A412:A413"/>
    <mergeCell ref="B412:H413"/>
    <mergeCell ref="A434:G434"/>
    <mergeCell ref="A435:G435"/>
    <mergeCell ref="B437:H438"/>
    <mergeCell ref="A334:G334"/>
    <mergeCell ref="A337:A338"/>
    <mergeCell ref="B337:H338"/>
    <mergeCell ref="A359:G359"/>
    <mergeCell ref="A362:A363"/>
    <mergeCell ref="B362:H363"/>
    <mergeCell ref="A384:G384"/>
    <mergeCell ref="A387:A388"/>
    <mergeCell ref="B387:H388"/>
    <mergeCell ref="A281:A282"/>
    <mergeCell ref="A283:A284"/>
    <mergeCell ref="B283:H284"/>
    <mergeCell ref="A308:G308"/>
    <mergeCell ref="K250:Q250"/>
    <mergeCell ref="A254:G254"/>
    <mergeCell ref="A255:G255"/>
    <mergeCell ref="A257:A258"/>
    <mergeCell ref="B257:H258"/>
    <mergeCell ref="A279:G279"/>
    <mergeCell ref="A205:G205"/>
    <mergeCell ref="A207:A208"/>
    <mergeCell ref="B207:H208"/>
    <mergeCell ref="A229:G229"/>
    <mergeCell ref="A232:A233"/>
    <mergeCell ref="B232:H233"/>
    <mergeCell ref="A155:G155"/>
    <mergeCell ref="A158:A159"/>
    <mergeCell ref="B158:H159"/>
    <mergeCell ref="A180:G180"/>
    <mergeCell ref="A183:A184"/>
    <mergeCell ref="B183:H184"/>
    <mergeCell ref="A129:G129"/>
    <mergeCell ref="A133:A134"/>
    <mergeCell ref="B133:H134"/>
    <mergeCell ref="A52:G52"/>
    <mergeCell ref="A55:A56"/>
    <mergeCell ref="B55:H56"/>
    <mergeCell ref="A79:G79"/>
    <mergeCell ref="A82:A83"/>
    <mergeCell ref="B82:H83"/>
    <mergeCell ref="B1:H1"/>
    <mergeCell ref="A2:A3"/>
    <mergeCell ref="B2:H3"/>
    <mergeCell ref="A26:G26"/>
    <mergeCell ref="A28:A29"/>
    <mergeCell ref="B28:H29"/>
    <mergeCell ref="A104:G104"/>
    <mergeCell ref="A107:A108"/>
    <mergeCell ref="B107:H108"/>
    <mergeCell ref="A841:G841"/>
    <mergeCell ref="A844:A845"/>
    <mergeCell ref="A763:A764"/>
    <mergeCell ref="B763:H764"/>
    <mergeCell ref="A788:A789"/>
    <mergeCell ref="A787:G787"/>
    <mergeCell ref="A790:A791"/>
    <mergeCell ref="B790:H791"/>
    <mergeCell ref="A814:G814"/>
    <mergeCell ref="A817:A818"/>
    <mergeCell ref="B817:H818"/>
    <mergeCell ref="B844:H845"/>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22"/>
  <sheetViews>
    <sheetView topLeftCell="B234" zoomScale="85" zoomScaleNormal="85" zoomScalePageLayoutView="85" workbookViewId="0">
      <selection activeCell="B255" sqref="B255"/>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2.140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663"/>
      <c r="C1" s="663"/>
      <c r="D1" s="663"/>
      <c r="E1" s="663"/>
      <c r="F1" s="663"/>
      <c r="G1" s="663"/>
      <c r="H1" s="663"/>
      <c r="I1" s="211"/>
    </row>
    <row r="2" spans="1:9" s="212" customFormat="1" ht="15" customHeight="1">
      <c r="A2" s="627"/>
      <c r="B2" s="629" t="s">
        <v>1155</v>
      </c>
      <c r="C2" s="630"/>
      <c r="D2" s="630"/>
      <c r="E2" s="630"/>
      <c r="F2" s="630"/>
      <c r="G2" s="630"/>
      <c r="H2" s="630"/>
      <c r="I2" s="66" t="s">
        <v>389</v>
      </c>
    </row>
    <row r="3" spans="1:9" s="212" customFormat="1" ht="15" customHeight="1">
      <c r="A3" s="628"/>
      <c r="B3" s="631"/>
      <c r="C3" s="632"/>
      <c r="D3" s="632"/>
      <c r="E3" s="632"/>
      <c r="F3" s="632"/>
      <c r="G3" s="632"/>
      <c r="H3" s="632"/>
      <c r="I3" s="67" t="s">
        <v>8</v>
      </c>
    </row>
    <row r="4" spans="1:9" s="212" customFormat="1" ht="15" customHeight="1">
      <c r="A4" s="68"/>
      <c r="B4" s="69"/>
      <c r="C4" s="69"/>
      <c r="D4" s="69"/>
      <c r="E4" s="69"/>
      <c r="F4" s="70"/>
      <c r="G4" s="70"/>
      <c r="H4" s="70"/>
      <c r="I4" s="71"/>
    </row>
    <row r="5" spans="1:9" s="212" customFormat="1" ht="15" customHeight="1">
      <c r="A5" s="72" t="s">
        <v>390</v>
      </c>
      <c r="B5" s="73"/>
      <c r="C5" s="73"/>
      <c r="D5" s="73"/>
      <c r="E5" s="73"/>
      <c r="F5" s="74"/>
      <c r="G5" s="74"/>
      <c r="H5" s="70"/>
      <c r="I5" s="71"/>
    </row>
    <row r="6" spans="1:9" s="212" customFormat="1">
      <c r="A6" s="75" t="s">
        <v>391</v>
      </c>
      <c r="B6" s="76" t="s">
        <v>392</v>
      </c>
      <c r="C6" s="76" t="s">
        <v>393</v>
      </c>
      <c r="D6" s="76" t="s">
        <v>394</v>
      </c>
      <c r="E6" s="76" t="s">
        <v>395</v>
      </c>
      <c r="F6" s="76" t="s">
        <v>396</v>
      </c>
      <c r="G6" s="76" t="s">
        <v>397</v>
      </c>
      <c r="H6" s="74"/>
      <c r="I6" s="71"/>
    </row>
    <row r="7" spans="1:9" s="212" customFormat="1">
      <c r="A7" s="77" t="s">
        <v>404</v>
      </c>
      <c r="B7" s="78" t="s">
        <v>416</v>
      </c>
      <c r="C7" s="79" t="s">
        <v>406</v>
      </c>
      <c r="D7" s="107">
        <v>1250</v>
      </c>
      <c r="E7" s="79">
        <v>0.5</v>
      </c>
      <c r="F7" s="79">
        <v>0</v>
      </c>
      <c r="G7" s="107">
        <f>(D7*E7)+((D7*E7)*F7/100)</f>
        <v>625</v>
      </c>
      <c r="H7" s="74"/>
      <c r="I7" s="71"/>
    </row>
    <row r="8" spans="1:9" s="212" customFormat="1">
      <c r="A8" s="82"/>
      <c r="B8" s="83"/>
      <c r="C8" s="84"/>
      <c r="D8" s="84"/>
      <c r="E8" s="84"/>
      <c r="F8"/>
      <c r="G8" s="93" t="s">
        <v>407</v>
      </c>
      <c r="H8" s="107">
        <f>SUM(G7:G7)</f>
        <v>625</v>
      </c>
      <c r="I8" s="71"/>
    </row>
    <row r="9" spans="1:9" s="212" customFormat="1">
      <c r="A9" s="72" t="s">
        <v>408</v>
      </c>
      <c r="B9" s="73"/>
      <c r="C9" s="73"/>
      <c r="D9" s="73"/>
      <c r="E9" s="73"/>
      <c r="F9"/>
      <c r="G9" s="74"/>
      <c r="H9" s="108"/>
      <c r="I9" s="71"/>
    </row>
    <row r="10" spans="1:9" s="212" customFormat="1">
      <c r="A10" s="75" t="s">
        <v>391</v>
      </c>
      <c r="B10" s="76" t="s">
        <v>392</v>
      </c>
      <c r="C10" s="76" t="s">
        <v>393</v>
      </c>
      <c r="D10" s="76" t="s">
        <v>394</v>
      </c>
      <c r="E10" s="76" t="s">
        <v>395</v>
      </c>
      <c r="F10" s="76" t="s">
        <v>396</v>
      </c>
      <c r="G10" s="76" t="s">
        <v>397</v>
      </c>
      <c r="H10" s="108"/>
      <c r="I10" s="71"/>
    </row>
    <row r="11" spans="1:9" s="212" customFormat="1">
      <c r="A11" s="87"/>
      <c r="B11" s="114"/>
      <c r="C11" s="114"/>
      <c r="D11" s="107"/>
      <c r="E11" s="114"/>
      <c r="F11" s="79"/>
      <c r="G11" s="107"/>
      <c r="H11" s="108"/>
      <c r="I11" s="71"/>
    </row>
    <row r="12" spans="1:9" s="212" customFormat="1">
      <c r="A12" s="88"/>
      <c r="B12" s="114"/>
      <c r="C12" s="114"/>
      <c r="D12" s="107"/>
      <c r="E12" s="114"/>
      <c r="F12" s="79"/>
      <c r="G12" s="107"/>
      <c r="H12" s="108"/>
      <c r="I12" s="71"/>
    </row>
    <row r="13" spans="1:9" s="212" customFormat="1">
      <c r="A13" s="88"/>
      <c r="B13" s="114"/>
      <c r="C13" s="114"/>
      <c r="D13" s="107"/>
      <c r="E13" s="114"/>
      <c r="F13" s="79"/>
      <c r="G13" s="107"/>
      <c r="H13" s="108"/>
      <c r="I13" s="71"/>
    </row>
    <row r="14" spans="1:9" s="212" customFormat="1">
      <c r="A14" s="90"/>
      <c r="B14" s="91"/>
      <c r="C14" s="91"/>
      <c r="D14" s="91"/>
      <c r="E14" s="91"/>
      <c r="F14"/>
      <c r="G14" s="85" t="s">
        <v>407</v>
      </c>
      <c r="H14" s="107">
        <f>SUM(G11:G13)</f>
        <v>0</v>
      </c>
      <c r="I14" s="71"/>
    </row>
    <row r="15" spans="1:9" s="212" customFormat="1">
      <c r="A15" s="72" t="s">
        <v>410</v>
      </c>
      <c r="B15" s="73"/>
      <c r="C15" s="73"/>
      <c r="D15" s="73"/>
      <c r="E15" s="73"/>
      <c r="F15"/>
      <c r="G15" s="74"/>
      <c r="H15" s="108"/>
      <c r="I15" s="71"/>
    </row>
    <row r="16" spans="1:9" s="212" customFormat="1">
      <c r="A16" s="75" t="s">
        <v>391</v>
      </c>
      <c r="B16" s="76" t="s">
        <v>392</v>
      </c>
      <c r="C16" s="76" t="s">
        <v>393</v>
      </c>
      <c r="D16" s="76" t="s">
        <v>394</v>
      </c>
      <c r="E16" s="76" t="s">
        <v>395</v>
      </c>
      <c r="F16" s="76" t="s">
        <v>396</v>
      </c>
      <c r="G16" s="76" t="s">
        <v>397</v>
      </c>
      <c r="H16" s="108"/>
      <c r="I16" s="71"/>
    </row>
    <row r="17" spans="1:9" s="212" customFormat="1">
      <c r="A17" s="77" t="s">
        <v>494</v>
      </c>
      <c r="B17" s="78" t="s">
        <v>495</v>
      </c>
      <c r="C17" s="79" t="s">
        <v>426</v>
      </c>
      <c r="D17" s="107">
        <v>15927</v>
      </c>
      <c r="E17" s="79">
        <v>0.3</v>
      </c>
      <c r="F17" s="79">
        <v>0</v>
      </c>
      <c r="G17" s="107">
        <f>(D17*E17)+((D17*E17)*F17/100)</f>
        <v>4778.0999999999995</v>
      </c>
      <c r="H17" s="108"/>
      <c r="I17" s="71"/>
    </row>
    <row r="18" spans="1:9" s="212" customFormat="1">
      <c r="A18" s="90"/>
      <c r="B18" s="91"/>
      <c r="C18" s="91"/>
      <c r="D18" s="91"/>
      <c r="E18" s="91"/>
      <c r="F18"/>
      <c r="G18" s="93" t="s">
        <v>407</v>
      </c>
      <c r="H18" s="107">
        <f>SUM(G17:G17)</f>
        <v>4778.0999999999995</v>
      </c>
      <c r="I18" s="71"/>
    </row>
    <row r="19" spans="1:9" s="212" customFormat="1">
      <c r="A19" s="72" t="s">
        <v>411</v>
      </c>
      <c r="B19" s="73"/>
      <c r="C19" s="73"/>
      <c r="D19" s="73"/>
      <c r="E19" s="73"/>
      <c r="F19"/>
      <c r="G19" s="74"/>
      <c r="H19" s="108"/>
      <c r="I19" s="71"/>
    </row>
    <row r="20" spans="1:9" s="212" customFormat="1">
      <c r="A20" s="75" t="s">
        <v>391</v>
      </c>
      <c r="B20" s="76" t="s">
        <v>392</v>
      </c>
      <c r="C20" s="76" t="s">
        <v>393</v>
      </c>
      <c r="D20" s="76" t="s">
        <v>394</v>
      </c>
      <c r="E20" s="76" t="s">
        <v>395</v>
      </c>
      <c r="F20" s="76" t="s">
        <v>396</v>
      </c>
      <c r="G20" s="76" t="s">
        <v>397</v>
      </c>
      <c r="H20" s="108"/>
      <c r="I20" s="71"/>
    </row>
    <row r="21" spans="1:9" s="212" customFormat="1">
      <c r="A21" s="87" t="s">
        <v>409</v>
      </c>
      <c r="B21" s="114" t="s">
        <v>409</v>
      </c>
      <c r="C21" s="114" t="s">
        <v>409</v>
      </c>
      <c r="D21" s="114" t="s">
        <v>409</v>
      </c>
      <c r="E21" s="114" t="s">
        <v>409</v>
      </c>
      <c r="F21" s="79" t="s">
        <v>409</v>
      </c>
      <c r="G21" s="89" t="s">
        <v>409</v>
      </c>
      <c r="H21" s="108"/>
      <c r="I21" s="71"/>
    </row>
    <row r="22" spans="1:9" s="212" customFormat="1">
      <c r="A22" s="94"/>
      <c r="B22" s="95"/>
      <c r="C22" s="95"/>
      <c r="D22" s="95"/>
      <c r="E22" s="95"/>
      <c r="F22"/>
      <c r="G22" s="93" t="s">
        <v>407</v>
      </c>
      <c r="H22" s="107">
        <f>SUM(G20:G21)</f>
        <v>0</v>
      </c>
      <c r="I22" s="71"/>
    </row>
    <row r="23" spans="1:9" s="212" customFormat="1">
      <c r="A23" s="94"/>
      <c r="B23" s="95"/>
      <c r="C23" s="95"/>
      <c r="D23" s="95"/>
      <c r="E23" s="95"/>
      <c r="F23"/>
      <c r="G23" s="74"/>
      <c r="H23" s="74"/>
      <c r="I23" s="71"/>
    </row>
    <row r="24" spans="1:9" s="212" customFormat="1">
      <c r="A24" s="96"/>
      <c r="B24" s="97"/>
      <c r="C24" s="98"/>
      <c r="D24" s="98"/>
      <c r="E24" s="98"/>
      <c r="F24"/>
      <c r="G24" s="99" t="s">
        <v>412</v>
      </c>
      <c r="H24" s="115">
        <f>SUM(H8:H22)</f>
        <v>5403.0999999999995</v>
      </c>
      <c r="I24" s="71"/>
    </row>
    <row r="25" spans="1:9" s="212" customFormat="1">
      <c r="A25" s="96"/>
      <c r="B25" s="97"/>
      <c r="C25" s="98"/>
      <c r="D25" s="98"/>
      <c r="E25" s="98"/>
      <c r="F25" s="101"/>
      <c r="G25" s="116"/>
      <c r="H25" s="70"/>
      <c r="I25" s="71"/>
    </row>
    <row r="26" spans="1:9" s="212" customFormat="1" ht="15.75" thickBot="1">
      <c r="A26" s="624" t="s">
        <v>430</v>
      </c>
      <c r="B26" s="625"/>
      <c r="C26" s="625"/>
      <c r="D26" s="625"/>
      <c r="E26" s="625"/>
      <c r="F26" s="625"/>
      <c r="G26" s="626"/>
      <c r="H26" s="117">
        <f>+ROUND(H24,0)</f>
        <v>5403</v>
      </c>
      <c r="I26" s="103"/>
    </row>
    <row r="27" spans="1:9" s="212" customFormat="1" ht="15.75" thickBot="1">
      <c r="A27" s="91"/>
      <c r="B27" s="91"/>
      <c r="C27" s="91"/>
      <c r="D27" s="91"/>
      <c r="E27" s="91"/>
      <c r="G27" s="213"/>
      <c r="H27" s="214"/>
    </row>
    <row r="28" spans="1:9" s="212" customFormat="1">
      <c r="A28" s="627"/>
      <c r="B28" s="629" t="s">
        <v>994</v>
      </c>
      <c r="C28" s="630"/>
      <c r="D28" s="630"/>
      <c r="E28" s="630"/>
      <c r="F28" s="630"/>
      <c r="G28" s="630"/>
      <c r="H28" s="630"/>
      <c r="I28" s="66" t="s">
        <v>389</v>
      </c>
    </row>
    <row r="29" spans="1:9" s="212" customFormat="1">
      <c r="A29" s="628"/>
      <c r="B29" s="631"/>
      <c r="C29" s="632"/>
      <c r="D29" s="632"/>
      <c r="E29" s="632"/>
      <c r="F29" s="632"/>
      <c r="G29" s="632"/>
      <c r="H29" s="632"/>
      <c r="I29" s="67" t="s">
        <v>8</v>
      </c>
    </row>
    <row r="30" spans="1:9" s="212" customFormat="1">
      <c r="A30" s="68"/>
      <c r="B30" s="69"/>
      <c r="C30" s="69"/>
      <c r="D30" s="69"/>
      <c r="E30" s="69"/>
      <c r="F30" s="70"/>
      <c r="G30" s="70"/>
      <c r="H30" s="70"/>
      <c r="I30" s="71"/>
    </row>
    <row r="31" spans="1:9" s="212" customFormat="1">
      <c r="A31" s="72" t="s">
        <v>390</v>
      </c>
      <c r="B31" s="73"/>
      <c r="C31" s="73"/>
      <c r="D31" s="73"/>
      <c r="E31" s="73"/>
      <c r="F31" s="74"/>
      <c r="G31" s="74"/>
      <c r="H31" s="70"/>
      <c r="I31" s="71"/>
    </row>
    <row r="32" spans="1:9" s="212" customFormat="1">
      <c r="A32" s="75" t="s">
        <v>391</v>
      </c>
      <c r="B32" s="76" t="s">
        <v>392</v>
      </c>
      <c r="C32" s="76" t="s">
        <v>393</v>
      </c>
      <c r="D32" s="76" t="s">
        <v>394</v>
      </c>
      <c r="E32" s="76" t="s">
        <v>395</v>
      </c>
      <c r="F32" s="76" t="s">
        <v>396</v>
      </c>
      <c r="G32" s="76" t="s">
        <v>397</v>
      </c>
      <c r="H32" s="74"/>
      <c r="I32" s="71"/>
    </row>
    <row r="33" spans="1:9" s="212" customFormat="1">
      <c r="A33" s="77" t="s">
        <v>404</v>
      </c>
      <c r="B33" s="78" t="s">
        <v>416</v>
      </c>
      <c r="C33" s="79" t="s">
        <v>406</v>
      </c>
      <c r="D33" s="107">
        <v>1250</v>
      </c>
      <c r="E33" s="79">
        <v>0.5</v>
      </c>
      <c r="F33" s="79">
        <v>0</v>
      </c>
      <c r="G33" s="107">
        <f>(D33*E33)+((D33*E33)*F33/100)</f>
        <v>625</v>
      </c>
      <c r="H33" s="74"/>
      <c r="I33" s="71"/>
    </row>
    <row r="34" spans="1:9" s="212" customFormat="1">
      <c r="A34" s="77" t="s">
        <v>401</v>
      </c>
      <c r="B34" s="78" t="s">
        <v>402</v>
      </c>
      <c r="C34" s="79" t="s">
        <v>403</v>
      </c>
      <c r="D34" s="80">
        <v>82000</v>
      </c>
      <c r="E34" s="79">
        <v>0.01</v>
      </c>
      <c r="F34" s="79">
        <v>0</v>
      </c>
      <c r="G34" s="80">
        <f>(D34*E34)+((D34*E34)*F34/100)</f>
        <v>820</v>
      </c>
      <c r="H34" s="74"/>
      <c r="I34" s="71"/>
    </row>
    <row r="35" spans="1:9" s="212" customFormat="1">
      <c r="A35" s="82"/>
      <c r="B35" s="83"/>
      <c r="C35" s="84"/>
      <c r="D35" s="84"/>
      <c r="E35" s="84"/>
      <c r="F35"/>
      <c r="G35" s="93" t="s">
        <v>407</v>
      </c>
      <c r="H35" s="107">
        <f>SUM(G33:G34)</f>
        <v>1445</v>
      </c>
      <c r="I35" s="71"/>
    </row>
    <row r="36" spans="1:9" s="212" customFormat="1">
      <c r="A36" s="72" t="s">
        <v>408</v>
      </c>
      <c r="B36" s="73"/>
      <c r="C36" s="73"/>
      <c r="D36" s="73"/>
      <c r="E36" s="73"/>
      <c r="F36"/>
      <c r="G36" s="74"/>
      <c r="H36" s="108"/>
      <c r="I36" s="71"/>
    </row>
    <row r="37" spans="1:9" s="212" customFormat="1">
      <c r="A37" s="75" t="s">
        <v>391</v>
      </c>
      <c r="B37" s="76" t="s">
        <v>392</v>
      </c>
      <c r="C37" s="76" t="s">
        <v>393</v>
      </c>
      <c r="D37" s="76" t="s">
        <v>394</v>
      </c>
      <c r="E37" s="76" t="s">
        <v>395</v>
      </c>
      <c r="F37" s="76" t="s">
        <v>396</v>
      </c>
      <c r="G37" s="76" t="s">
        <v>397</v>
      </c>
      <c r="H37" s="108"/>
      <c r="I37" s="71"/>
    </row>
    <row r="38" spans="1:9" s="212" customFormat="1">
      <c r="A38" s="87"/>
      <c r="B38" s="114"/>
      <c r="C38" s="114"/>
      <c r="D38" s="107"/>
      <c r="E38" s="114"/>
      <c r="F38" s="79"/>
      <c r="G38" s="107"/>
      <c r="H38" s="108"/>
      <c r="I38" s="71"/>
    </row>
    <row r="39" spans="1:9" s="212" customFormat="1">
      <c r="A39" s="88"/>
      <c r="B39" s="114"/>
      <c r="C39" s="114"/>
      <c r="D39" s="107"/>
      <c r="E39" s="114"/>
      <c r="F39" s="79"/>
      <c r="G39" s="107"/>
      <c r="H39" s="108"/>
      <c r="I39" s="71"/>
    </row>
    <row r="40" spans="1:9" s="212" customFormat="1">
      <c r="A40" s="88"/>
      <c r="B40" s="114"/>
      <c r="C40" s="114"/>
      <c r="D40" s="107"/>
      <c r="E40" s="114"/>
      <c r="F40" s="79"/>
      <c r="G40" s="107"/>
      <c r="H40" s="108"/>
      <c r="I40" s="71"/>
    </row>
    <row r="41" spans="1:9" s="212" customFormat="1">
      <c r="A41" s="90"/>
      <c r="B41" s="91"/>
      <c r="C41" s="91"/>
      <c r="D41" s="91"/>
      <c r="E41" s="91"/>
      <c r="F41"/>
      <c r="G41" s="85" t="s">
        <v>407</v>
      </c>
      <c r="H41" s="107">
        <f>SUM(G38:G40)</f>
        <v>0</v>
      </c>
      <c r="I41" s="71"/>
    </row>
    <row r="42" spans="1:9" s="212" customFormat="1">
      <c r="A42" s="72" t="s">
        <v>410</v>
      </c>
      <c r="B42" s="73"/>
      <c r="C42" s="73"/>
      <c r="D42" s="73"/>
      <c r="E42" s="73"/>
      <c r="F42"/>
      <c r="G42" s="74"/>
      <c r="H42" s="108"/>
      <c r="I42" s="71"/>
    </row>
    <row r="43" spans="1:9" s="212" customFormat="1">
      <c r="A43" s="75" t="s">
        <v>391</v>
      </c>
      <c r="B43" s="76" t="s">
        <v>392</v>
      </c>
      <c r="C43" s="76" t="s">
        <v>393</v>
      </c>
      <c r="D43" s="76" t="s">
        <v>394</v>
      </c>
      <c r="E43" s="76" t="s">
        <v>395</v>
      </c>
      <c r="F43" s="76" t="s">
        <v>396</v>
      </c>
      <c r="G43" s="76" t="s">
        <v>397</v>
      </c>
      <c r="H43" s="108"/>
      <c r="I43" s="71"/>
    </row>
    <row r="44" spans="1:9" s="212" customFormat="1">
      <c r="A44" s="77" t="s">
        <v>494</v>
      </c>
      <c r="B44" s="78" t="s">
        <v>495</v>
      </c>
      <c r="C44" s="79" t="s">
        <v>426</v>
      </c>
      <c r="D44" s="107">
        <v>15927</v>
      </c>
      <c r="E44" s="79">
        <v>1.6</v>
      </c>
      <c r="F44" s="79">
        <v>0</v>
      </c>
      <c r="G44" s="107">
        <f>(D44*E44)+((D44*E44)*F44/100)</f>
        <v>25483.200000000001</v>
      </c>
      <c r="H44" s="108"/>
      <c r="I44" s="71"/>
    </row>
    <row r="45" spans="1:9" s="212" customFormat="1">
      <c r="A45" s="90"/>
      <c r="B45" s="91"/>
      <c r="C45" s="91"/>
      <c r="D45" s="91"/>
      <c r="E45" s="91"/>
      <c r="F45"/>
      <c r="G45" s="93" t="s">
        <v>407</v>
      </c>
      <c r="H45" s="107">
        <f>SUM(G44:G44)</f>
        <v>25483.200000000001</v>
      </c>
      <c r="I45" s="71"/>
    </row>
    <row r="46" spans="1:9" s="212" customFormat="1">
      <c r="A46" s="72" t="s">
        <v>411</v>
      </c>
      <c r="B46" s="73"/>
      <c r="C46" s="73"/>
      <c r="D46" s="73"/>
      <c r="E46" s="73"/>
      <c r="F46"/>
      <c r="G46" s="74"/>
      <c r="H46" s="108"/>
      <c r="I46" s="71"/>
    </row>
    <row r="47" spans="1:9" s="212" customFormat="1">
      <c r="A47" s="75" t="s">
        <v>391</v>
      </c>
      <c r="B47" s="76" t="s">
        <v>392</v>
      </c>
      <c r="C47" s="76" t="s">
        <v>393</v>
      </c>
      <c r="D47" s="76" t="s">
        <v>394</v>
      </c>
      <c r="E47" s="76" t="s">
        <v>395</v>
      </c>
      <c r="F47" s="76" t="s">
        <v>396</v>
      </c>
      <c r="G47" s="76" t="s">
        <v>397</v>
      </c>
      <c r="H47" s="108"/>
      <c r="I47" s="71"/>
    </row>
    <row r="48" spans="1:9" s="212" customFormat="1">
      <c r="A48" s="87" t="s">
        <v>409</v>
      </c>
      <c r="B48" s="114" t="s">
        <v>409</v>
      </c>
      <c r="C48" s="114" t="s">
        <v>409</v>
      </c>
      <c r="D48" s="114" t="s">
        <v>409</v>
      </c>
      <c r="E48" s="114" t="s">
        <v>409</v>
      </c>
      <c r="F48" s="79" t="s">
        <v>409</v>
      </c>
      <c r="G48" s="89" t="s">
        <v>409</v>
      </c>
      <c r="H48" s="108"/>
      <c r="I48" s="71"/>
    </row>
    <row r="49" spans="1:9" s="212" customFormat="1">
      <c r="A49" s="94"/>
      <c r="B49" s="95"/>
      <c r="C49" s="95"/>
      <c r="D49" s="95"/>
      <c r="E49" s="95"/>
      <c r="F49"/>
      <c r="G49" s="93" t="s">
        <v>407</v>
      </c>
      <c r="H49" s="107">
        <f>SUM(G47:G48)</f>
        <v>0</v>
      </c>
      <c r="I49" s="71"/>
    </row>
    <row r="50" spans="1:9" s="212" customFormat="1">
      <c r="A50" s="94"/>
      <c r="B50" s="95"/>
      <c r="C50" s="95"/>
      <c r="D50" s="95"/>
      <c r="E50" s="95"/>
      <c r="F50"/>
      <c r="G50" s="74"/>
      <c r="H50" s="74"/>
      <c r="I50" s="71"/>
    </row>
    <row r="51" spans="1:9" s="212" customFormat="1">
      <c r="A51" s="96"/>
      <c r="B51" s="97"/>
      <c r="C51" s="98"/>
      <c r="D51" s="98"/>
      <c r="E51" s="98"/>
      <c r="F51"/>
      <c r="G51" s="99" t="s">
        <v>412</v>
      </c>
      <c r="H51" s="115">
        <f>SUM(H35:H49)</f>
        <v>26928.2</v>
      </c>
      <c r="I51" s="71"/>
    </row>
    <row r="52" spans="1:9" s="212" customFormat="1">
      <c r="A52" s="96"/>
      <c r="B52" s="97"/>
      <c r="C52" s="98"/>
      <c r="D52" s="98"/>
      <c r="E52" s="98"/>
      <c r="F52" s="101"/>
      <c r="G52" s="116"/>
      <c r="H52" s="70"/>
      <c r="I52" s="71"/>
    </row>
    <row r="53" spans="1:9" s="212" customFormat="1" ht="15.75" thickBot="1">
      <c r="A53" s="624" t="s">
        <v>430</v>
      </c>
      <c r="B53" s="625"/>
      <c r="C53" s="625"/>
      <c r="D53" s="625"/>
      <c r="E53" s="625"/>
      <c r="F53" s="625"/>
      <c r="G53" s="626"/>
      <c r="H53" s="117">
        <f>+ROUND(H51,0)</f>
        <v>26928</v>
      </c>
      <c r="I53" s="103"/>
    </row>
    <row r="54" spans="1:9" s="212" customFormat="1">
      <c r="A54" s="123"/>
      <c r="B54" s="95"/>
      <c r="C54" s="95"/>
      <c r="D54" s="95"/>
      <c r="E54" s="95"/>
      <c r="G54" s="73"/>
      <c r="H54" s="73"/>
    </row>
    <row r="55" spans="1:9" s="212" customFormat="1" ht="15.75" thickBot="1">
      <c r="A55" s="254"/>
      <c r="B55" s="254"/>
      <c r="C55" s="254"/>
      <c r="D55" s="254"/>
      <c r="E55" s="254"/>
      <c r="F55" s="254"/>
      <c r="G55" s="254"/>
      <c r="H55" s="226"/>
    </row>
    <row r="56" spans="1:9" s="212" customFormat="1">
      <c r="A56" s="627"/>
      <c r="B56" s="629" t="s">
        <v>993</v>
      </c>
      <c r="C56" s="630"/>
      <c r="D56" s="630"/>
      <c r="E56" s="630"/>
      <c r="F56" s="630"/>
      <c r="G56" s="630"/>
      <c r="H56" s="630"/>
      <c r="I56" s="66" t="s">
        <v>389</v>
      </c>
    </row>
    <row r="57" spans="1:9" s="212" customFormat="1">
      <c r="A57" s="628"/>
      <c r="B57" s="631"/>
      <c r="C57" s="632"/>
      <c r="D57" s="632"/>
      <c r="E57" s="632"/>
      <c r="F57" s="632"/>
      <c r="G57" s="632"/>
      <c r="H57" s="632"/>
      <c r="I57" s="67" t="s">
        <v>8</v>
      </c>
    </row>
    <row r="58" spans="1:9" s="212" customFormat="1">
      <c r="A58" s="68"/>
      <c r="B58" s="69"/>
      <c r="C58" s="69"/>
      <c r="D58" s="69"/>
      <c r="E58" s="69"/>
      <c r="F58" s="70"/>
      <c r="G58" s="70"/>
      <c r="H58" s="70"/>
      <c r="I58" s="71"/>
    </row>
    <row r="59" spans="1:9" s="212" customFormat="1">
      <c r="A59" s="72" t="s">
        <v>390</v>
      </c>
      <c r="B59" s="73"/>
      <c r="C59" s="73"/>
      <c r="D59" s="73"/>
      <c r="E59" s="73"/>
      <c r="F59" s="74"/>
      <c r="G59" s="74"/>
      <c r="H59" s="70"/>
      <c r="I59" s="71"/>
    </row>
    <row r="60" spans="1:9" s="212" customFormat="1">
      <c r="A60" s="75" t="s">
        <v>391</v>
      </c>
      <c r="B60" s="76" t="s">
        <v>392</v>
      </c>
      <c r="C60" s="76" t="s">
        <v>393</v>
      </c>
      <c r="D60" s="76" t="s">
        <v>394</v>
      </c>
      <c r="E60" s="76" t="s">
        <v>395</v>
      </c>
      <c r="F60" s="76" t="s">
        <v>396</v>
      </c>
      <c r="G60" s="76" t="s">
        <v>397</v>
      </c>
      <c r="H60" s="74"/>
      <c r="I60" s="71"/>
    </row>
    <row r="61" spans="1:9" s="212" customFormat="1">
      <c r="A61" s="77" t="s">
        <v>404</v>
      </c>
      <c r="B61" s="78" t="s">
        <v>416</v>
      </c>
      <c r="C61" s="79" t="s">
        <v>406</v>
      </c>
      <c r="D61" s="107">
        <v>1250</v>
      </c>
      <c r="E61" s="79">
        <v>0.5</v>
      </c>
      <c r="F61" s="79">
        <v>0</v>
      </c>
      <c r="G61" s="107">
        <f>(D61*E61)+((D61*E61)*F61/100)</f>
        <v>625</v>
      </c>
      <c r="H61" s="74"/>
      <c r="I61" s="71"/>
    </row>
    <row r="62" spans="1:9" s="212" customFormat="1">
      <c r="A62" s="82"/>
      <c r="B62" s="83"/>
      <c r="C62" s="84"/>
      <c r="D62" s="84"/>
      <c r="E62" s="84"/>
      <c r="F62"/>
      <c r="G62" s="93" t="s">
        <v>407</v>
      </c>
      <c r="H62" s="107">
        <f>SUM(G61:G61)</f>
        <v>625</v>
      </c>
      <c r="I62" s="71"/>
    </row>
    <row r="63" spans="1:9" s="212" customFormat="1">
      <c r="A63" s="72" t="s">
        <v>408</v>
      </c>
      <c r="B63" s="73"/>
      <c r="C63" s="73"/>
      <c r="D63" s="73"/>
      <c r="E63" s="73"/>
      <c r="F63"/>
      <c r="G63" s="74"/>
      <c r="H63" s="108"/>
      <c r="I63" s="71"/>
    </row>
    <row r="64" spans="1:9" s="212" customFormat="1">
      <c r="A64" s="75" t="s">
        <v>391</v>
      </c>
      <c r="B64" s="76" t="s">
        <v>392</v>
      </c>
      <c r="C64" s="76" t="s">
        <v>393</v>
      </c>
      <c r="D64" s="76" t="s">
        <v>394</v>
      </c>
      <c r="E64" s="76" t="s">
        <v>395</v>
      </c>
      <c r="F64" s="76" t="s">
        <v>396</v>
      </c>
      <c r="G64" s="76" t="s">
        <v>397</v>
      </c>
      <c r="H64" s="108"/>
      <c r="I64" s="71"/>
    </row>
    <row r="65" spans="1:9" s="212" customFormat="1">
      <c r="A65" s="87"/>
      <c r="B65" s="114"/>
      <c r="C65" s="114"/>
      <c r="D65" s="107"/>
      <c r="E65" s="114"/>
      <c r="F65" s="79"/>
      <c r="G65" s="107"/>
      <c r="H65" s="108"/>
      <c r="I65" s="71"/>
    </row>
    <row r="66" spans="1:9" s="212" customFormat="1">
      <c r="A66" s="88"/>
      <c r="B66" s="114"/>
      <c r="C66" s="114"/>
      <c r="D66" s="107"/>
      <c r="E66" s="114"/>
      <c r="F66" s="79"/>
      <c r="G66" s="107"/>
      <c r="H66" s="108"/>
      <c r="I66" s="71"/>
    </row>
    <row r="67" spans="1:9" s="212" customFormat="1">
      <c r="A67" s="88"/>
      <c r="B67" s="114"/>
      <c r="C67" s="114"/>
      <c r="D67" s="107"/>
      <c r="E67" s="114"/>
      <c r="F67" s="79"/>
      <c r="G67" s="107"/>
      <c r="H67" s="108"/>
      <c r="I67" s="71"/>
    </row>
    <row r="68" spans="1:9" s="212" customFormat="1">
      <c r="A68" s="90"/>
      <c r="B68" s="91"/>
      <c r="C68" s="91"/>
      <c r="D68" s="91"/>
      <c r="E68" s="91"/>
      <c r="F68"/>
      <c r="G68" s="85" t="s">
        <v>407</v>
      </c>
      <c r="H68" s="107">
        <f>SUM(G65:G67)</f>
        <v>0</v>
      </c>
      <c r="I68" s="71"/>
    </row>
    <row r="69" spans="1:9" s="212" customFormat="1">
      <c r="A69" s="72" t="s">
        <v>410</v>
      </c>
      <c r="B69" s="73"/>
      <c r="C69" s="73"/>
      <c r="D69" s="73"/>
      <c r="E69" s="73"/>
      <c r="F69"/>
      <c r="G69" s="74"/>
      <c r="H69" s="108"/>
      <c r="I69" s="71"/>
    </row>
    <row r="70" spans="1:9" s="212" customFormat="1">
      <c r="A70" s="75" t="s">
        <v>391</v>
      </c>
      <c r="B70" s="76" t="s">
        <v>392</v>
      </c>
      <c r="C70" s="76" t="s">
        <v>393</v>
      </c>
      <c r="D70" s="76" t="s">
        <v>394</v>
      </c>
      <c r="E70" s="76" t="s">
        <v>395</v>
      </c>
      <c r="F70" s="76" t="s">
        <v>396</v>
      </c>
      <c r="G70" s="76" t="s">
        <v>397</v>
      </c>
      <c r="H70" s="108"/>
      <c r="I70" s="71"/>
    </row>
    <row r="71" spans="1:9" s="212" customFormat="1">
      <c r="A71" s="77" t="s">
        <v>494</v>
      </c>
      <c r="B71" s="78" t="s">
        <v>495</v>
      </c>
      <c r="C71" s="79" t="s">
        <v>426</v>
      </c>
      <c r="D71" s="107">
        <v>15927</v>
      </c>
      <c r="E71" s="79">
        <v>0.6</v>
      </c>
      <c r="F71" s="79">
        <v>0</v>
      </c>
      <c r="G71" s="107">
        <f>(D71*E71)+((D71*E71)*F71/100)</f>
        <v>9556.1999999999989</v>
      </c>
      <c r="H71" s="108"/>
      <c r="I71" s="71"/>
    </row>
    <row r="72" spans="1:9" s="212" customFormat="1">
      <c r="A72" s="90"/>
      <c r="B72" s="91"/>
      <c r="C72" s="91"/>
      <c r="D72" s="91"/>
      <c r="E72" s="91"/>
      <c r="F72"/>
      <c r="G72" s="93" t="s">
        <v>407</v>
      </c>
      <c r="H72" s="107">
        <f>SUM(G71:G71)</f>
        <v>9556.1999999999989</v>
      </c>
      <c r="I72" s="71"/>
    </row>
    <row r="73" spans="1:9" s="212" customFormat="1">
      <c r="A73" s="72" t="s">
        <v>411</v>
      </c>
      <c r="B73" s="73"/>
      <c r="C73" s="73"/>
      <c r="D73" s="73"/>
      <c r="E73" s="73"/>
      <c r="F73"/>
      <c r="G73" s="74"/>
      <c r="H73" s="108"/>
      <c r="I73" s="71"/>
    </row>
    <row r="74" spans="1:9" s="212" customFormat="1">
      <c r="A74" s="75" t="s">
        <v>391</v>
      </c>
      <c r="B74" s="76" t="s">
        <v>392</v>
      </c>
      <c r="C74" s="76" t="s">
        <v>393</v>
      </c>
      <c r="D74" s="76" t="s">
        <v>394</v>
      </c>
      <c r="E74" s="76" t="s">
        <v>395</v>
      </c>
      <c r="F74" s="76" t="s">
        <v>396</v>
      </c>
      <c r="G74" s="76" t="s">
        <v>397</v>
      </c>
      <c r="H74" s="108"/>
      <c r="I74" s="71"/>
    </row>
    <row r="75" spans="1:9" s="212" customFormat="1">
      <c r="A75" s="87" t="s">
        <v>409</v>
      </c>
      <c r="B75" s="114" t="s">
        <v>409</v>
      </c>
      <c r="C75" s="114" t="s">
        <v>409</v>
      </c>
      <c r="D75" s="114" t="s">
        <v>409</v>
      </c>
      <c r="E75" s="114" t="s">
        <v>409</v>
      </c>
      <c r="F75" s="79" t="s">
        <v>409</v>
      </c>
      <c r="G75" s="89" t="s">
        <v>409</v>
      </c>
      <c r="H75" s="108"/>
      <c r="I75" s="71"/>
    </row>
    <row r="76" spans="1:9" s="212" customFormat="1">
      <c r="A76" s="94"/>
      <c r="B76" s="95"/>
      <c r="C76" s="95"/>
      <c r="D76" s="95"/>
      <c r="E76" s="95"/>
      <c r="F76"/>
      <c r="G76" s="93" t="s">
        <v>407</v>
      </c>
      <c r="H76" s="107">
        <f>SUM(G74:G75)</f>
        <v>0</v>
      </c>
      <c r="I76" s="71"/>
    </row>
    <row r="77" spans="1:9" s="212" customFormat="1">
      <c r="A77" s="94"/>
      <c r="B77" s="95"/>
      <c r="C77" s="95"/>
      <c r="D77" s="95"/>
      <c r="E77" s="95"/>
      <c r="F77"/>
      <c r="G77" s="74"/>
      <c r="H77" s="74"/>
      <c r="I77" s="71"/>
    </row>
    <row r="78" spans="1:9" s="212" customFormat="1">
      <c r="A78" s="96"/>
      <c r="B78" s="97"/>
      <c r="C78" s="98"/>
      <c r="D78" s="98"/>
      <c r="E78" s="98"/>
      <c r="F78"/>
      <c r="G78" s="99" t="s">
        <v>412</v>
      </c>
      <c r="H78" s="115">
        <f>SUM(H62:H76)</f>
        <v>10181.199999999999</v>
      </c>
      <c r="I78" s="71"/>
    </row>
    <row r="79" spans="1:9" s="212" customFormat="1">
      <c r="A79" s="96"/>
      <c r="B79" s="97"/>
      <c r="C79" s="98"/>
      <c r="D79" s="98"/>
      <c r="E79" s="98"/>
      <c r="F79" s="101"/>
      <c r="G79" s="116"/>
      <c r="H79" s="70"/>
      <c r="I79" s="71"/>
    </row>
    <row r="80" spans="1:9" s="212" customFormat="1" ht="15.75" thickBot="1">
      <c r="A80" s="624" t="s">
        <v>430</v>
      </c>
      <c r="B80" s="625"/>
      <c r="C80" s="625"/>
      <c r="D80" s="625"/>
      <c r="E80" s="625"/>
      <c r="F80" s="625"/>
      <c r="G80" s="626"/>
      <c r="H80" s="117">
        <f>+ROUND(H78,0)</f>
        <v>10181</v>
      </c>
      <c r="I80" s="103"/>
    </row>
    <row r="81" spans="1:9" s="212" customFormat="1">
      <c r="A81" s="220"/>
      <c r="B81" s="141"/>
      <c r="C81" s="141"/>
      <c r="D81" s="141"/>
      <c r="E81" s="141"/>
      <c r="F81" s="141"/>
      <c r="G81" s="141"/>
      <c r="H81" s="73"/>
    </row>
    <row r="82" spans="1:9" s="212" customFormat="1" ht="15.75" thickBot="1">
      <c r="A82" s="142"/>
      <c r="B82" s="143"/>
      <c r="C82" s="143"/>
      <c r="D82" s="143"/>
      <c r="E82" s="143"/>
      <c r="F82" s="84"/>
      <c r="G82" s="146"/>
      <c r="H82" s="221"/>
    </row>
    <row r="83" spans="1:9" s="212" customFormat="1">
      <c r="A83" s="627"/>
      <c r="B83" s="629" t="s">
        <v>998</v>
      </c>
      <c r="C83" s="630"/>
      <c r="D83" s="630"/>
      <c r="E83" s="630"/>
      <c r="F83" s="630"/>
      <c r="G83" s="630"/>
      <c r="H83" s="630"/>
      <c r="I83" s="66" t="s">
        <v>389</v>
      </c>
    </row>
    <row r="84" spans="1:9" s="212" customFormat="1">
      <c r="A84" s="628"/>
      <c r="B84" s="631"/>
      <c r="C84" s="632"/>
      <c r="D84" s="632"/>
      <c r="E84" s="632"/>
      <c r="F84" s="632"/>
      <c r="G84" s="632"/>
      <c r="H84" s="632"/>
      <c r="I84" s="67" t="s">
        <v>7</v>
      </c>
    </row>
    <row r="85" spans="1:9" s="212" customFormat="1">
      <c r="A85" s="68"/>
      <c r="B85" s="69"/>
      <c r="C85" s="69"/>
      <c r="D85" s="69"/>
      <c r="E85" s="69"/>
      <c r="F85" s="70"/>
      <c r="G85" s="70"/>
      <c r="H85" s="70"/>
      <c r="I85" s="71"/>
    </row>
    <row r="86" spans="1:9" s="212" customFormat="1">
      <c r="A86" s="72" t="s">
        <v>390</v>
      </c>
      <c r="B86" s="73"/>
      <c r="C86" s="73"/>
      <c r="D86" s="73"/>
      <c r="E86" s="73"/>
      <c r="F86" s="74"/>
      <c r="G86" s="74"/>
      <c r="H86" s="70"/>
      <c r="I86" s="71"/>
    </row>
    <row r="87" spans="1:9" s="212" customFormat="1">
      <c r="A87" s="75" t="s">
        <v>391</v>
      </c>
      <c r="B87" s="76" t="s">
        <v>392</v>
      </c>
      <c r="C87" s="76" t="s">
        <v>393</v>
      </c>
      <c r="D87" s="76" t="s">
        <v>394</v>
      </c>
      <c r="E87" s="76" t="s">
        <v>395</v>
      </c>
      <c r="F87" s="76" t="s">
        <v>396</v>
      </c>
      <c r="G87" s="76" t="s">
        <v>397</v>
      </c>
      <c r="H87" s="74"/>
      <c r="I87" s="71"/>
    </row>
    <row r="88" spans="1:9" s="212" customFormat="1">
      <c r="A88" s="77" t="s">
        <v>404</v>
      </c>
      <c r="B88" s="78" t="s">
        <v>416</v>
      </c>
      <c r="C88" s="79" t="s">
        <v>406</v>
      </c>
      <c r="D88" s="107">
        <v>1250</v>
      </c>
      <c r="E88" s="79">
        <v>0.5</v>
      </c>
      <c r="F88" s="79">
        <v>0</v>
      </c>
      <c r="G88" s="107">
        <f>(D88*E88)+((D88*E88)*F88/100)</f>
        <v>625</v>
      </c>
      <c r="H88" s="74"/>
      <c r="I88" s="71"/>
    </row>
    <row r="89" spans="1:9" s="212" customFormat="1">
      <c r="A89" s="82"/>
      <c r="B89" s="83"/>
      <c r="C89" s="84"/>
      <c r="D89" s="84"/>
      <c r="E89" s="84"/>
      <c r="F89"/>
      <c r="G89" s="93" t="s">
        <v>407</v>
      </c>
      <c r="H89" s="107">
        <f>SUM(G88:G88)</f>
        <v>625</v>
      </c>
      <c r="I89" s="71"/>
    </row>
    <row r="90" spans="1:9" s="212" customFormat="1">
      <c r="A90" s="72" t="s">
        <v>408</v>
      </c>
      <c r="B90" s="73"/>
      <c r="C90" s="73"/>
      <c r="D90" s="73"/>
      <c r="E90" s="73"/>
      <c r="F90"/>
      <c r="G90" s="74"/>
      <c r="H90" s="108"/>
      <c r="I90" s="71"/>
    </row>
    <row r="91" spans="1:9" s="212" customFormat="1">
      <c r="A91" s="75" t="s">
        <v>391</v>
      </c>
      <c r="B91" s="76" t="s">
        <v>392</v>
      </c>
      <c r="C91" s="76" t="s">
        <v>393</v>
      </c>
      <c r="D91" s="76" t="s">
        <v>394</v>
      </c>
      <c r="E91" s="76" t="s">
        <v>395</v>
      </c>
      <c r="F91" s="76" t="s">
        <v>396</v>
      </c>
      <c r="G91" s="76" t="s">
        <v>397</v>
      </c>
      <c r="H91" s="108"/>
      <c r="I91" s="71"/>
    </row>
    <row r="92" spans="1:9" s="212" customFormat="1" ht="26.25">
      <c r="A92" s="87"/>
      <c r="B92" s="199" t="s">
        <v>998</v>
      </c>
      <c r="C92" s="114" t="s">
        <v>7</v>
      </c>
      <c r="D92" s="107">
        <f>750000*1.16*1.2</f>
        <v>1043999.9999999998</v>
      </c>
      <c r="E92" s="114">
        <v>1</v>
      </c>
      <c r="F92" s="79">
        <v>0</v>
      </c>
      <c r="G92" s="107">
        <f>(D92*E92)+((D92*E92)*F92/100)</f>
        <v>1043999.9999999998</v>
      </c>
      <c r="H92" s="108"/>
      <c r="I92" s="71"/>
    </row>
    <row r="93" spans="1:9" s="212" customFormat="1">
      <c r="A93" s="88"/>
      <c r="B93" s="114"/>
      <c r="C93" s="114"/>
      <c r="D93" s="107"/>
      <c r="E93" s="114"/>
      <c r="F93" s="79"/>
      <c r="G93" s="107"/>
      <c r="H93" s="108"/>
      <c r="I93" s="71"/>
    </row>
    <row r="94" spans="1:9" s="212" customFormat="1">
      <c r="A94" s="88"/>
      <c r="B94" s="114"/>
      <c r="C94" s="114"/>
      <c r="D94" s="107"/>
      <c r="E94" s="114"/>
      <c r="F94" s="79"/>
      <c r="G94" s="107"/>
      <c r="H94" s="108"/>
      <c r="I94" s="71"/>
    </row>
    <row r="95" spans="1:9" s="212" customFormat="1">
      <c r="A95" s="90"/>
      <c r="B95" s="91"/>
      <c r="C95" s="91"/>
      <c r="D95" s="91"/>
      <c r="E95" s="91"/>
      <c r="F95"/>
      <c r="G95" s="85" t="s">
        <v>407</v>
      </c>
      <c r="H95" s="107">
        <f>SUM(G92:G94)</f>
        <v>1043999.9999999998</v>
      </c>
      <c r="I95" s="71"/>
    </row>
    <row r="96" spans="1:9" s="212" customFormat="1">
      <c r="A96" s="72" t="s">
        <v>410</v>
      </c>
      <c r="B96" s="73"/>
      <c r="C96" s="73"/>
      <c r="D96" s="73"/>
      <c r="E96" s="73"/>
      <c r="F96"/>
      <c r="G96" s="74"/>
      <c r="H96" s="108"/>
      <c r="I96" s="71"/>
    </row>
    <row r="97" spans="1:9" s="212" customFormat="1">
      <c r="A97" s="75" t="s">
        <v>391</v>
      </c>
      <c r="B97" s="76" t="s">
        <v>392</v>
      </c>
      <c r="C97" s="76" t="s">
        <v>393</v>
      </c>
      <c r="D97" s="76" t="s">
        <v>394</v>
      </c>
      <c r="E97" s="76" t="s">
        <v>395</v>
      </c>
      <c r="F97" s="76" t="s">
        <v>396</v>
      </c>
      <c r="G97" s="76" t="s">
        <v>397</v>
      </c>
      <c r="H97" s="108"/>
      <c r="I97" s="71"/>
    </row>
    <row r="98" spans="1:9" s="212" customFormat="1">
      <c r="A98" s="77" t="s">
        <v>494</v>
      </c>
      <c r="B98" s="78" t="s">
        <v>495</v>
      </c>
      <c r="C98" s="79" t="s">
        <v>426</v>
      </c>
      <c r="D98" s="107">
        <v>15927</v>
      </c>
      <c r="E98" s="79">
        <v>8</v>
      </c>
      <c r="F98" s="79">
        <v>0</v>
      </c>
      <c r="G98" s="107">
        <f>(D98*E98)+((D98*E98)*F98/100)</f>
        <v>127416</v>
      </c>
      <c r="H98" s="108"/>
      <c r="I98" s="71"/>
    </row>
    <row r="99" spans="1:9" s="212" customFormat="1">
      <c r="A99" s="90"/>
      <c r="B99" s="91"/>
      <c r="C99" s="91"/>
      <c r="D99" s="91"/>
      <c r="E99" s="91"/>
      <c r="F99"/>
      <c r="G99" s="93" t="s">
        <v>407</v>
      </c>
      <c r="H99" s="107">
        <f>SUM(G98:G98)</f>
        <v>127416</v>
      </c>
      <c r="I99" s="71"/>
    </row>
    <row r="100" spans="1:9" s="212" customFormat="1">
      <c r="A100" s="72" t="s">
        <v>411</v>
      </c>
      <c r="B100" s="73"/>
      <c r="C100" s="73"/>
      <c r="D100" s="73"/>
      <c r="E100" s="73"/>
      <c r="F100"/>
      <c r="G100" s="74"/>
      <c r="H100" s="108"/>
      <c r="I100" s="71"/>
    </row>
    <row r="101" spans="1:9" s="212" customFormat="1">
      <c r="A101" s="75" t="s">
        <v>391</v>
      </c>
      <c r="B101" s="76" t="s">
        <v>392</v>
      </c>
      <c r="C101" s="76" t="s">
        <v>393</v>
      </c>
      <c r="D101" s="76" t="s">
        <v>394</v>
      </c>
      <c r="E101" s="76" t="s">
        <v>395</v>
      </c>
      <c r="F101" s="76" t="s">
        <v>396</v>
      </c>
      <c r="G101" s="76" t="s">
        <v>397</v>
      </c>
      <c r="H101" s="108"/>
      <c r="I101" s="71"/>
    </row>
    <row r="102" spans="1:9" s="212" customFormat="1">
      <c r="A102" s="87" t="s">
        <v>409</v>
      </c>
      <c r="B102" s="114" t="s">
        <v>409</v>
      </c>
      <c r="C102" s="114" t="s">
        <v>409</v>
      </c>
      <c r="D102" s="114" t="s">
        <v>409</v>
      </c>
      <c r="E102" s="114" t="s">
        <v>409</v>
      </c>
      <c r="F102" s="79" t="s">
        <v>409</v>
      </c>
      <c r="G102" s="89" t="s">
        <v>409</v>
      </c>
      <c r="H102" s="108"/>
      <c r="I102" s="71"/>
    </row>
    <row r="103" spans="1:9" s="212" customFormat="1">
      <c r="A103" s="94"/>
      <c r="B103" s="95"/>
      <c r="C103" s="95"/>
      <c r="D103" s="95"/>
      <c r="E103" s="95"/>
      <c r="F103"/>
      <c r="G103" s="93" t="s">
        <v>407</v>
      </c>
      <c r="H103" s="107">
        <f>SUM(G101:G102)</f>
        <v>0</v>
      </c>
      <c r="I103" s="71"/>
    </row>
    <row r="104" spans="1:9" s="212" customFormat="1">
      <c r="A104" s="94"/>
      <c r="B104" s="95"/>
      <c r="C104" s="95"/>
      <c r="D104" s="95"/>
      <c r="E104" s="95"/>
      <c r="F104"/>
      <c r="G104" s="74"/>
      <c r="H104" s="74"/>
      <c r="I104" s="71"/>
    </row>
    <row r="105" spans="1:9" s="212" customFormat="1">
      <c r="A105" s="96"/>
      <c r="B105" s="97"/>
      <c r="C105" s="98"/>
      <c r="D105" s="98"/>
      <c r="E105" s="98"/>
      <c r="F105"/>
      <c r="G105" s="99" t="s">
        <v>412</v>
      </c>
      <c r="H105" s="115">
        <f>SUM(H89:H103)</f>
        <v>1172040.9999999998</v>
      </c>
      <c r="I105" s="71"/>
    </row>
    <row r="106" spans="1:9" s="212" customFormat="1">
      <c r="A106" s="96"/>
      <c r="B106" s="97"/>
      <c r="C106" s="98"/>
      <c r="D106" s="98"/>
      <c r="E106" s="98"/>
      <c r="F106" s="101"/>
      <c r="G106" s="116"/>
      <c r="H106" s="70"/>
      <c r="I106" s="71"/>
    </row>
    <row r="107" spans="1:9" s="212" customFormat="1" ht="15.75" thickBot="1">
      <c r="A107" s="624" t="s">
        <v>502</v>
      </c>
      <c r="B107" s="625"/>
      <c r="C107" s="625"/>
      <c r="D107" s="625"/>
      <c r="E107" s="625"/>
      <c r="F107" s="625"/>
      <c r="G107" s="626"/>
      <c r="H107" s="117">
        <f>+ROUND(H105,0)</f>
        <v>1172041</v>
      </c>
      <c r="I107" s="103"/>
    </row>
    <row r="108" spans="1:9" s="212" customFormat="1">
      <c r="A108" s="645"/>
      <c r="B108" s="646"/>
      <c r="C108" s="646"/>
      <c r="D108" s="646"/>
      <c r="E108" s="646"/>
      <c r="F108" s="646"/>
      <c r="G108" s="646"/>
      <c r="H108" s="646"/>
      <c r="I108" s="151"/>
    </row>
    <row r="109" spans="1:9" s="212" customFormat="1">
      <c r="A109" s="645"/>
      <c r="B109" s="646"/>
      <c r="C109" s="646"/>
      <c r="D109" s="646"/>
      <c r="E109" s="646"/>
      <c r="F109" s="646"/>
      <c r="G109" s="646"/>
      <c r="H109" s="646"/>
      <c r="I109" s="152"/>
    </row>
    <row r="110" spans="1:9" s="212" customFormat="1">
      <c r="A110" s="69"/>
      <c r="B110" s="69"/>
      <c r="C110" s="69"/>
      <c r="D110" s="69"/>
      <c r="E110" s="69"/>
      <c r="F110" s="65"/>
      <c r="G110" s="65"/>
      <c r="H110" s="65"/>
      <c r="I110" s="65"/>
    </row>
    <row r="111" spans="1:9" s="212" customFormat="1">
      <c r="A111" s="120"/>
      <c r="B111" s="73"/>
      <c r="C111" s="73"/>
      <c r="D111" s="73"/>
      <c r="E111" s="73"/>
      <c r="F111" s="121"/>
      <c r="G111" s="121"/>
      <c r="H111" s="65"/>
      <c r="I111" s="65"/>
    </row>
    <row r="112" spans="1:9" s="212" customFormat="1">
      <c r="A112" s="120"/>
      <c r="B112" s="73"/>
      <c r="C112" s="73"/>
      <c r="D112" s="73"/>
      <c r="E112" s="73"/>
      <c r="F112" s="121"/>
      <c r="G112" s="121"/>
      <c r="H112" s="65"/>
      <c r="I112" s="65"/>
    </row>
    <row r="113" spans="1:13" s="212" customFormat="1" ht="15.75" thickBot="1">
      <c r="A113" s="128"/>
      <c r="B113" s="141"/>
      <c r="C113" s="141"/>
      <c r="D113" s="141"/>
      <c r="E113" s="141"/>
      <c r="F113" s="141"/>
      <c r="G113" s="141"/>
      <c r="H113" s="121"/>
      <c r="I113" s="65"/>
    </row>
    <row r="114" spans="1:13" s="212" customFormat="1">
      <c r="A114" s="627"/>
      <c r="B114" s="629" t="s">
        <v>295</v>
      </c>
      <c r="C114" s="630"/>
      <c r="D114" s="630"/>
      <c r="E114" s="630"/>
      <c r="F114" s="630"/>
      <c r="G114" s="630"/>
      <c r="H114" s="630"/>
      <c r="I114" s="66" t="s">
        <v>389</v>
      </c>
    </row>
    <row r="115" spans="1:13" s="212" customFormat="1">
      <c r="A115" s="628"/>
      <c r="B115" s="631"/>
      <c r="C115" s="632"/>
      <c r="D115" s="632"/>
      <c r="E115" s="632"/>
      <c r="F115" s="632"/>
      <c r="G115" s="632"/>
      <c r="H115" s="632"/>
      <c r="I115" s="67" t="s">
        <v>8</v>
      </c>
    </row>
    <row r="116" spans="1:13" s="212" customFormat="1">
      <c r="A116" s="68"/>
      <c r="B116" s="69"/>
      <c r="C116" s="69"/>
      <c r="D116" s="69"/>
      <c r="E116" s="69"/>
      <c r="F116" s="70"/>
      <c r="G116" s="70"/>
      <c r="H116" s="70"/>
      <c r="I116" s="71"/>
    </row>
    <row r="117" spans="1:13" s="212" customFormat="1" ht="34.5">
      <c r="A117" s="72" t="s">
        <v>390</v>
      </c>
      <c r="B117" s="73"/>
      <c r="C117" s="73"/>
      <c r="D117" s="73"/>
      <c r="E117" s="73"/>
      <c r="F117" s="74"/>
      <c r="G117" s="74"/>
      <c r="H117" s="70"/>
      <c r="I117" s="71"/>
      <c r="L117" s="3" t="s">
        <v>295</v>
      </c>
      <c r="M117" s="2" t="s">
        <v>8</v>
      </c>
    </row>
    <row r="118" spans="1:13" s="212" customFormat="1" ht="34.5">
      <c r="A118" s="75" t="s">
        <v>391</v>
      </c>
      <c r="B118" s="76" t="s">
        <v>392</v>
      </c>
      <c r="C118" s="76" t="s">
        <v>393</v>
      </c>
      <c r="D118" s="76" t="s">
        <v>394</v>
      </c>
      <c r="E118" s="76" t="s">
        <v>395</v>
      </c>
      <c r="F118" s="76" t="s">
        <v>396</v>
      </c>
      <c r="G118" s="76" t="s">
        <v>397</v>
      </c>
      <c r="H118" s="74"/>
      <c r="I118" s="71"/>
      <c r="L118" s="3" t="s">
        <v>296</v>
      </c>
      <c r="M118" s="2" t="s">
        <v>8</v>
      </c>
    </row>
    <row r="119" spans="1:13" s="212" customFormat="1" ht="34.5">
      <c r="A119" s="77" t="s">
        <v>404</v>
      </c>
      <c r="B119" s="78" t="s">
        <v>416</v>
      </c>
      <c r="C119" s="79" t="s">
        <v>406</v>
      </c>
      <c r="D119" s="107">
        <v>1250</v>
      </c>
      <c r="E119" s="79">
        <v>1</v>
      </c>
      <c r="F119" s="79">
        <v>0</v>
      </c>
      <c r="G119" s="107">
        <f>(D119*E119)+((D119*E119)*F119/100)</f>
        <v>1250</v>
      </c>
      <c r="H119" s="74"/>
      <c r="I119" s="71"/>
      <c r="L119" s="3" t="s">
        <v>297</v>
      </c>
      <c r="M119" s="2" t="s">
        <v>7</v>
      </c>
    </row>
    <row r="120" spans="1:13" s="212" customFormat="1" ht="34.5">
      <c r="A120" s="82"/>
      <c r="B120" s="83"/>
      <c r="C120" s="84"/>
      <c r="D120" s="84"/>
      <c r="E120" s="84"/>
      <c r="F120"/>
      <c r="G120" s="93" t="s">
        <v>407</v>
      </c>
      <c r="H120" s="107">
        <f>SUM(G119:G119)</f>
        <v>1250</v>
      </c>
      <c r="I120" s="71"/>
      <c r="L120" s="3" t="s">
        <v>298</v>
      </c>
      <c r="M120" s="2" t="s">
        <v>7</v>
      </c>
    </row>
    <row r="121" spans="1:13" s="212" customFormat="1">
      <c r="A121" s="72" t="s">
        <v>408</v>
      </c>
      <c r="B121" s="73"/>
      <c r="C121" s="73"/>
      <c r="D121" s="73"/>
      <c r="E121" s="73"/>
      <c r="F121"/>
      <c r="G121" s="74"/>
      <c r="H121" s="108"/>
      <c r="I121" s="71"/>
    </row>
    <row r="122" spans="1:13" s="212" customFormat="1">
      <c r="A122" s="75" t="s">
        <v>391</v>
      </c>
      <c r="B122" s="76" t="s">
        <v>392</v>
      </c>
      <c r="C122" s="76" t="s">
        <v>393</v>
      </c>
      <c r="D122" s="76" t="s">
        <v>394</v>
      </c>
      <c r="E122" s="76" t="s">
        <v>395</v>
      </c>
      <c r="F122" s="76" t="s">
        <v>396</v>
      </c>
      <c r="G122" s="76" t="s">
        <v>397</v>
      </c>
      <c r="H122" s="108"/>
      <c r="I122" s="71"/>
    </row>
    <row r="123" spans="1:13" s="212" customFormat="1">
      <c r="A123" s="87"/>
      <c r="B123" s="114"/>
      <c r="C123" s="114"/>
      <c r="D123" s="107"/>
      <c r="E123" s="114"/>
      <c r="F123" s="79"/>
      <c r="G123" s="107"/>
      <c r="H123" s="108"/>
      <c r="I123" s="71"/>
    </row>
    <row r="124" spans="1:13" s="212" customFormat="1">
      <c r="A124" s="88"/>
      <c r="B124" s="114"/>
      <c r="C124" s="114"/>
      <c r="D124" s="107"/>
      <c r="E124" s="114"/>
      <c r="F124" s="79"/>
      <c r="G124" s="107"/>
      <c r="H124" s="108"/>
      <c r="I124" s="71"/>
    </row>
    <row r="125" spans="1:13" s="212" customFormat="1">
      <c r="A125" s="88"/>
      <c r="B125" s="114"/>
      <c r="C125" s="114"/>
      <c r="D125" s="107"/>
      <c r="E125" s="114"/>
      <c r="F125" s="79"/>
      <c r="G125" s="107"/>
      <c r="H125" s="108"/>
      <c r="I125" s="71"/>
    </row>
    <row r="126" spans="1:13" s="212" customFormat="1">
      <c r="A126" s="90"/>
      <c r="B126" s="91"/>
      <c r="C126" s="91"/>
      <c r="D126" s="91"/>
      <c r="E126" s="91"/>
      <c r="F126"/>
      <c r="G126" s="85" t="s">
        <v>407</v>
      </c>
      <c r="H126" s="107">
        <f>SUM(G123:G125)</f>
        <v>0</v>
      </c>
      <c r="I126" s="71"/>
    </row>
    <row r="127" spans="1:13" s="212" customFormat="1">
      <c r="A127" s="72" t="s">
        <v>410</v>
      </c>
      <c r="B127" s="73"/>
      <c r="C127" s="73"/>
      <c r="D127" s="73"/>
      <c r="E127" s="73"/>
      <c r="F127"/>
      <c r="G127" s="74"/>
      <c r="H127" s="108"/>
      <c r="I127" s="71"/>
    </row>
    <row r="128" spans="1:13" s="212" customFormat="1">
      <c r="A128" s="75" t="s">
        <v>391</v>
      </c>
      <c r="B128" s="76" t="s">
        <v>392</v>
      </c>
      <c r="C128" s="76" t="s">
        <v>393</v>
      </c>
      <c r="D128" s="76" t="s">
        <v>394</v>
      </c>
      <c r="E128" s="76" t="s">
        <v>395</v>
      </c>
      <c r="F128" s="76" t="s">
        <v>396</v>
      </c>
      <c r="G128" s="76" t="s">
        <v>397</v>
      </c>
      <c r="H128" s="108"/>
      <c r="I128" s="71"/>
    </row>
    <row r="129" spans="1:11" s="212" customFormat="1">
      <c r="A129" s="77" t="s">
        <v>494</v>
      </c>
      <c r="B129" s="78" t="s">
        <v>495</v>
      </c>
      <c r="C129" s="79" t="s">
        <v>426</v>
      </c>
      <c r="D129" s="107">
        <v>15927</v>
      </c>
      <c r="E129" s="79">
        <v>1.65</v>
      </c>
      <c r="F129" s="79">
        <v>0</v>
      </c>
      <c r="G129" s="107">
        <f>(D129*E129)+((D129*E129)*F129/100)</f>
        <v>26279.55</v>
      </c>
      <c r="H129" s="108"/>
      <c r="I129" s="71"/>
    </row>
    <row r="130" spans="1:11" s="212" customFormat="1">
      <c r="A130" s="90"/>
      <c r="B130" s="91"/>
      <c r="C130" s="91"/>
      <c r="D130" s="91"/>
      <c r="E130" s="91"/>
      <c r="F130"/>
      <c r="G130" s="93" t="s">
        <v>407</v>
      </c>
      <c r="H130" s="107">
        <f>SUM(G129:G129)</f>
        <v>26279.55</v>
      </c>
      <c r="I130" s="71"/>
    </row>
    <row r="131" spans="1:11" s="212" customFormat="1">
      <c r="A131" s="72" t="s">
        <v>411</v>
      </c>
      <c r="B131" s="73"/>
      <c r="C131" s="73"/>
      <c r="D131" s="73"/>
      <c r="E131" s="73"/>
      <c r="F131"/>
      <c r="G131" s="74"/>
      <c r="H131" s="108"/>
      <c r="I131" s="71"/>
    </row>
    <row r="132" spans="1:11" s="212" customFormat="1">
      <c r="A132" s="75" t="s">
        <v>391</v>
      </c>
      <c r="B132" s="76" t="s">
        <v>392</v>
      </c>
      <c r="C132" s="76" t="s">
        <v>393</v>
      </c>
      <c r="D132" s="76" t="s">
        <v>394</v>
      </c>
      <c r="E132" s="76" t="s">
        <v>395</v>
      </c>
      <c r="F132" s="76" t="s">
        <v>396</v>
      </c>
      <c r="G132" s="76" t="s">
        <v>397</v>
      </c>
      <c r="H132" s="108"/>
      <c r="I132" s="71"/>
    </row>
    <row r="133" spans="1:11" s="212" customFormat="1">
      <c r="A133" s="87" t="s">
        <v>409</v>
      </c>
      <c r="B133" s="114" t="s">
        <v>409</v>
      </c>
      <c r="C133" s="114" t="s">
        <v>409</v>
      </c>
      <c r="D133" s="114" t="s">
        <v>409</v>
      </c>
      <c r="E133" s="114" t="s">
        <v>409</v>
      </c>
      <c r="F133" s="79" t="s">
        <v>409</v>
      </c>
      <c r="G133" s="89" t="s">
        <v>409</v>
      </c>
      <c r="H133" s="108"/>
      <c r="I133" s="71"/>
    </row>
    <row r="134" spans="1:11" s="212" customFormat="1">
      <c r="A134" s="94"/>
      <c r="B134" s="95"/>
      <c r="C134" s="95"/>
      <c r="D134" s="95"/>
      <c r="E134" s="95"/>
      <c r="F134"/>
      <c r="G134" s="93" t="s">
        <v>407</v>
      </c>
      <c r="H134" s="107">
        <f>SUM(G132:G133)</f>
        <v>0</v>
      </c>
      <c r="I134" s="71"/>
    </row>
    <row r="135" spans="1:11" s="212" customFormat="1">
      <c r="A135" s="94"/>
      <c r="B135" s="95"/>
      <c r="C135" s="95"/>
      <c r="D135" s="95"/>
      <c r="E135" s="95"/>
      <c r="F135"/>
      <c r="G135" s="74"/>
      <c r="H135" s="74"/>
      <c r="I135" s="71"/>
    </row>
    <row r="136" spans="1:11" s="212" customFormat="1">
      <c r="A136" s="96"/>
      <c r="B136" s="97"/>
      <c r="C136" s="98"/>
      <c r="D136" s="98"/>
      <c r="E136" s="98"/>
      <c r="F136"/>
      <c r="G136" s="99" t="s">
        <v>412</v>
      </c>
      <c r="H136" s="115">
        <f>SUM(H120:H134)</f>
        <v>27529.55</v>
      </c>
      <c r="I136" s="71"/>
    </row>
    <row r="137" spans="1:11" s="212" customFormat="1">
      <c r="A137" s="96"/>
      <c r="B137" s="97"/>
      <c r="C137" s="98"/>
      <c r="D137" s="98"/>
      <c r="E137" s="98"/>
      <c r="F137" s="101"/>
      <c r="G137" s="116"/>
      <c r="H137" s="70"/>
      <c r="I137" s="71"/>
    </row>
    <row r="138" spans="1:11" s="212" customFormat="1" ht="15.75" thickBot="1">
      <c r="A138" s="624" t="s">
        <v>430</v>
      </c>
      <c r="B138" s="625"/>
      <c r="C138" s="625"/>
      <c r="D138" s="625"/>
      <c r="E138" s="625"/>
      <c r="F138" s="625"/>
      <c r="G138" s="626"/>
      <c r="H138" s="117">
        <f>+ROUND(H136,0)</f>
        <v>27530</v>
      </c>
      <c r="I138" s="103"/>
    </row>
    <row r="139" spans="1:11" s="212" customFormat="1">
      <c r="A139" s="84"/>
      <c r="B139" s="83"/>
      <c r="C139" s="84"/>
      <c r="D139" s="145"/>
      <c r="E139" s="84"/>
      <c r="F139" s="84"/>
      <c r="G139" s="145"/>
      <c r="H139" s="121"/>
      <c r="I139" s="65"/>
    </row>
    <row r="140" spans="1:11" s="212" customFormat="1" ht="15.75" thickBot="1">
      <c r="A140" s="84"/>
      <c r="B140" s="83"/>
      <c r="C140" s="84"/>
      <c r="D140" s="84"/>
      <c r="E140" s="84"/>
      <c r="F140" s="65"/>
      <c r="G140" s="104"/>
      <c r="H140" s="145"/>
      <c r="I140" s="65"/>
    </row>
    <row r="141" spans="1:11" s="212" customFormat="1">
      <c r="A141" s="627"/>
      <c r="B141" s="629" t="s">
        <v>296</v>
      </c>
      <c r="C141" s="630"/>
      <c r="D141" s="630"/>
      <c r="E141" s="630"/>
      <c r="F141" s="630"/>
      <c r="G141" s="630"/>
      <c r="H141" s="630"/>
      <c r="I141" s="66" t="s">
        <v>389</v>
      </c>
      <c r="K141" s="223"/>
    </row>
    <row r="142" spans="1:11" s="212" customFormat="1">
      <c r="A142" s="628"/>
      <c r="B142" s="631"/>
      <c r="C142" s="632"/>
      <c r="D142" s="632"/>
      <c r="E142" s="632"/>
      <c r="F142" s="632"/>
      <c r="G142" s="632"/>
      <c r="H142" s="632"/>
      <c r="I142" s="67" t="s">
        <v>8</v>
      </c>
    </row>
    <row r="143" spans="1:11" s="212" customFormat="1">
      <c r="A143" s="68"/>
      <c r="B143" s="69"/>
      <c r="C143" s="69"/>
      <c r="D143" s="69"/>
      <c r="E143" s="69"/>
      <c r="F143" s="70"/>
      <c r="G143" s="70"/>
      <c r="H143" s="70"/>
      <c r="I143" s="71"/>
    </row>
    <row r="144" spans="1:11" s="212" customFormat="1">
      <c r="A144" s="72" t="s">
        <v>390</v>
      </c>
      <c r="B144" s="73"/>
      <c r="C144" s="73"/>
      <c r="D144" s="73"/>
      <c r="E144" s="73"/>
      <c r="F144" s="74"/>
      <c r="G144" s="74"/>
      <c r="H144" s="70"/>
      <c r="I144" s="71"/>
      <c r="K144" s="223"/>
    </row>
    <row r="145" spans="1:9" s="212" customFormat="1">
      <c r="A145" s="75" t="s">
        <v>391</v>
      </c>
      <c r="B145" s="76" t="s">
        <v>392</v>
      </c>
      <c r="C145" s="76" t="s">
        <v>393</v>
      </c>
      <c r="D145" s="76" t="s">
        <v>394</v>
      </c>
      <c r="E145" s="76" t="s">
        <v>395</v>
      </c>
      <c r="F145" s="76" t="s">
        <v>396</v>
      </c>
      <c r="G145" s="76" t="s">
        <v>397</v>
      </c>
      <c r="H145" s="74"/>
      <c r="I145" s="71"/>
    </row>
    <row r="146" spans="1:9" s="212" customFormat="1">
      <c r="A146" s="77" t="s">
        <v>404</v>
      </c>
      <c r="B146" s="78" t="s">
        <v>416</v>
      </c>
      <c r="C146" s="79" t="s">
        <v>406</v>
      </c>
      <c r="D146" s="107">
        <v>1250</v>
      </c>
      <c r="E146" s="79">
        <v>3</v>
      </c>
      <c r="F146" s="79">
        <v>0</v>
      </c>
      <c r="G146" s="107">
        <f>(D146*E146)+((D146*E146)*F146/100)</f>
        <v>3750</v>
      </c>
      <c r="H146" s="74"/>
      <c r="I146" s="71"/>
    </row>
    <row r="147" spans="1:9" s="212" customFormat="1">
      <c r="A147" s="82"/>
      <c r="B147" s="83"/>
      <c r="C147" s="84"/>
      <c r="D147" s="84"/>
      <c r="E147" s="84"/>
      <c r="F147"/>
      <c r="G147" s="93" t="s">
        <v>407</v>
      </c>
      <c r="H147" s="107">
        <f>SUM(G146:G146)</f>
        <v>3750</v>
      </c>
      <c r="I147" s="71"/>
    </row>
    <row r="148" spans="1:9" s="212" customFormat="1">
      <c r="A148" s="72" t="s">
        <v>408</v>
      </c>
      <c r="B148" s="73"/>
      <c r="C148" s="73"/>
      <c r="D148" s="73"/>
      <c r="E148" s="73"/>
      <c r="F148"/>
      <c r="G148" s="74"/>
      <c r="H148" s="108"/>
      <c r="I148" s="71"/>
    </row>
    <row r="149" spans="1:9" s="212" customFormat="1">
      <c r="A149" s="75" t="s">
        <v>391</v>
      </c>
      <c r="B149" s="76" t="s">
        <v>392</v>
      </c>
      <c r="C149" s="76" t="s">
        <v>393</v>
      </c>
      <c r="D149" s="76" t="s">
        <v>394</v>
      </c>
      <c r="E149" s="76" t="s">
        <v>395</v>
      </c>
      <c r="F149" s="76" t="s">
        <v>396</v>
      </c>
      <c r="G149" s="76" t="s">
        <v>397</v>
      </c>
      <c r="H149" s="108"/>
      <c r="I149" s="71"/>
    </row>
    <row r="150" spans="1:9" s="212" customFormat="1">
      <c r="A150" s="87"/>
      <c r="B150" s="114"/>
      <c r="C150" s="114"/>
      <c r="D150" s="107"/>
      <c r="E150" s="114"/>
      <c r="F150" s="79"/>
      <c r="G150" s="107"/>
      <c r="H150" s="108"/>
      <c r="I150" s="71"/>
    </row>
    <row r="151" spans="1:9" s="212" customFormat="1">
      <c r="A151" s="88"/>
      <c r="B151" s="114"/>
      <c r="C151" s="114"/>
      <c r="D151" s="107"/>
      <c r="E151" s="114"/>
      <c r="F151" s="79"/>
      <c r="G151" s="107"/>
      <c r="H151" s="108"/>
      <c r="I151" s="71"/>
    </row>
    <row r="152" spans="1:9" s="212" customFormat="1">
      <c r="A152" s="88"/>
      <c r="B152" s="114"/>
      <c r="C152" s="114"/>
      <c r="D152" s="107"/>
      <c r="E152" s="114"/>
      <c r="F152" s="79"/>
      <c r="G152" s="107"/>
      <c r="H152" s="108"/>
      <c r="I152" s="71"/>
    </row>
    <row r="153" spans="1:9" s="212" customFormat="1">
      <c r="A153" s="90"/>
      <c r="B153" s="91"/>
      <c r="C153" s="91"/>
      <c r="D153" s="91"/>
      <c r="E153" s="91"/>
      <c r="F153"/>
      <c r="G153" s="85" t="s">
        <v>407</v>
      </c>
      <c r="H153" s="107">
        <f>SUM(G150:G152)</f>
        <v>0</v>
      </c>
      <c r="I153" s="71"/>
    </row>
    <row r="154" spans="1:9" s="212" customFormat="1">
      <c r="A154" s="72" t="s">
        <v>410</v>
      </c>
      <c r="B154" s="73"/>
      <c r="C154" s="73"/>
      <c r="D154" s="73"/>
      <c r="E154" s="73"/>
      <c r="F154"/>
      <c r="G154" s="74"/>
      <c r="H154" s="108"/>
      <c r="I154" s="71"/>
    </row>
    <row r="155" spans="1:9" s="212" customFormat="1">
      <c r="A155" s="75" t="s">
        <v>391</v>
      </c>
      <c r="B155" s="76" t="s">
        <v>392</v>
      </c>
      <c r="C155" s="76" t="s">
        <v>393</v>
      </c>
      <c r="D155" s="76" t="s">
        <v>394</v>
      </c>
      <c r="E155" s="76" t="s">
        <v>395</v>
      </c>
      <c r="F155" s="76" t="s">
        <v>396</v>
      </c>
      <c r="G155" s="76" t="s">
        <v>397</v>
      </c>
      <c r="H155" s="108"/>
      <c r="I155" s="71"/>
    </row>
    <row r="156" spans="1:9" s="212" customFormat="1">
      <c r="A156" s="77" t="s">
        <v>494</v>
      </c>
      <c r="B156" s="78" t="s">
        <v>495</v>
      </c>
      <c r="C156" s="79" t="s">
        <v>426</v>
      </c>
      <c r="D156" s="107">
        <v>15927</v>
      </c>
      <c r="E156" s="79">
        <v>4.3</v>
      </c>
      <c r="F156" s="79">
        <v>0</v>
      </c>
      <c r="G156" s="107">
        <f>(D156*E156)+((D156*E156)*F156/100)</f>
        <v>68486.099999999991</v>
      </c>
      <c r="H156" s="108"/>
      <c r="I156" s="71"/>
    </row>
    <row r="157" spans="1:9" s="212" customFormat="1">
      <c r="A157" s="90"/>
      <c r="B157" s="91"/>
      <c r="C157" s="91"/>
      <c r="D157" s="91"/>
      <c r="E157" s="91"/>
      <c r="F157"/>
      <c r="G157" s="93" t="s">
        <v>407</v>
      </c>
      <c r="H157" s="107">
        <f>SUM(G156:G156)</f>
        <v>68486.099999999991</v>
      </c>
      <c r="I157" s="71"/>
    </row>
    <row r="158" spans="1:9" s="212" customFormat="1">
      <c r="A158" s="72" t="s">
        <v>411</v>
      </c>
      <c r="B158" s="73"/>
      <c r="C158" s="73"/>
      <c r="D158" s="73"/>
      <c r="E158" s="73"/>
      <c r="F158"/>
      <c r="G158" s="74"/>
      <c r="H158" s="108"/>
      <c r="I158" s="71"/>
    </row>
    <row r="159" spans="1:9" s="212" customFormat="1">
      <c r="A159" s="75" t="s">
        <v>391</v>
      </c>
      <c r="B159" s="76" t="s">
        <v>392</v>
      </c>
      <c r="C159" s="76" t="s">
        <v>393</v>
      </c>
      <c r="D159" s="76" t="s">
        <v>394</v>
      </c>
      <c r="E159" s="76" t="s">
        <v>395</v>
      </c>
      <c r="F159" s="76" t="s">
        <v>396</v>
      </c>
      <c r="G159" s="76" t="s">
        <v>397</v>
      </c>
      <c r="H159" s="108"/>
      <c r="I159" s="71"/>
    </row>
    <row r="160" spans="1:9" s="212" customFormat="1">
      <c r="A160" s="87" t="s">
        <v>409</v>
      </c>
      <c r="B160" s="114" t="s">
        <v>409</v>
      </c>
      <c r="C160" s="114" t="s">
        <v>409</v>
      </c>
      <c r="D160" s="114" t="s">
        <v>409</v>
      </c>
      <c r="E160" s="114" t="s">
        <v>409</v>
      </c>
      <c r="F160" s="79" t="s">
        <v>409</v>
      </c>
      <c r="G160" s="89" t="s">
        <v>409</v>
      </c>
      <c r="H160" s="108"/>
      <c r="I160" s="71"/>
    </row>
    <row r="161" spans="1:9" s="212" customFormat="1">
      <c r="A161" s="94"/>
      <c r="B161" s="95"/>
      <c r="C161" s="95"/>
      <c r="D161" s="95"/>
      <c r="E161" s="95"/>
      <c r="F161"/>
      <c r="G161" s="93" t="s">
        <v>407</v>
      </c>
      <c r="H161" s="107">
        <f>SUM(G159:G160)</f>
        <v>0</v>
      </c>
      <c r="I161" s="71"/>
    </row>
    <row r="162" spans="1:9" s="212" customFormat="1">
      <c r="A162" s="94"/>
      <c r="B162" s="95"/>
      <c r="C162" s="95"/>
      <c r="D162" s="95"/>
      <c r="E162" s="95"/>
      <c r="F162"/>
      <c r="G162" s="74"/>
      <c r="H162" s="74"/>
      <c r="I162" s="71"/>
    </row>
    <row r="163" spans="1:9" s="212" customFormat="1">
      <c r="A163" s="96"/>
      <c r="B163" s="97"/>
      <c r="C163" s="98"/>
      <c r="D163" s="98"/>
      <c r="E163" s="98"/>
      <c r="F163"/>
      <c r="G163" s="99" t="s">
        <v>412</v>
      </c>
      <c r="H163" s="115">
        <f>SUM(H147:H161)</f>
        <v>72236.099999999991</v>
      </c>
      <c r="I163" s="71"/>
    </row>
    <row r="164" spans="1:9" s="212" customFormat="1">
      <c r="A164" s="96"/>
      <c r="B164" s="97"/>
      <c r="C164" s="98"/>
      <c r="D164" s="98"/>
      <c r="E164" s="98"/>
      <c r="F164" s="101"/>
      <c r="G164" s="116"/>
      <c r="H164" s="70"/>
      <c r="I164" s="71"/>
    </row>
    <row r="165" spans="1:9" s="212" customFormat="1" ht="15.75" thickBot="1">
      <c r="A165" s="624" t="s">
        <v>430</v>
      </c>
      <c r="B165" s="625"/>
      <c r="C165" s="625"/>
      <c r="D165" s="625"/>
      <c r="E165" s="625"/>
      <c r="F165" s="625"/>
      <c r="G165" s="626"/>
      <c r="H165" s="117">
        <f>+ROUND(H163,0)</f>
        <v>72236</v>
      </c>
      <c r="I165" s="103"/>
    </row>
    <row r="166" spans="1:9" s="212" customFormat="1">
      <c r="A166" s="120"/>
      <c r="B166" s="73"/>
      <c r="C166" s="73"/>
      <c r="D166" s="73"/>
      <c r="E166" s="73"/>
      <c r="F166" s="65"/>
      <c r="G166" s="121"/>
      <c r="H166" s="140"/>
      <c r="I166" s="65"/>
    </row>
    <row r="167" spans="1:9" s="212" customFormat="1" ht="15.75" thickBot="1">
      <c r="A167" s="128"/>
      <c r="B167" s="141"/>
      <c r="C167" s="141"/>
      <c r="D167" s="141"/>
      <c r="E167" s="141"/>
      <c r="F167" s="141"/>
      <c r="G167" s="141"/>
      <c r="H167" s="140"/>
      <c r="I167" s="65"/>
    </row>
    <row r="168" spans="1:9" s="212" customFormat="1">
      <c r="A168" s="627"/>
      <c r="B168" s="629" t="s">
        <v>297</v>
      </c>
      <c r="C168" s="630"/>
      <c r="D168" s="630"/>
      <c r="E168" s="630"/>
      <c r="F168" s="630"/>
      <c r="G168" s="630"/>
      <c r="H168" s="630"/>
      <c r="I168" s="66" t="s">
        <v>389</v>
      </c>
    </row>
    <row r="169" spans="1:9" s="212" customFormat="1">
      <c r="A169" s="628"/>
      <c r="B169" s="631"/>
      <c r="C169" s="632"/>
      <c r="D169" s="632"/>
      <c r="E169" s="632"/>
      <c r="F169" s="632"/>
      <c r="G169" s="632"/>
      <c r="H169" s="632"/>
      <c r="I169" s="67" t="s">
        <v>7</v>
      </c>
    </row>
    <row r="170" spans="1:9" s="212" customFormat="1">
      <c r="A170" s="68"/>
      <c r="B170" s="69"/>
      <c r="C170" s="69"/>
      <c r="D170" s="69"/>
      <c r="E170" s="69"/>
      <c r="F170" s="70"/>
      <c r="G170" s="70"/>
      <c r="H170" s="70"/>
      <c r="I170" s="71"/>
    </row>
    <row r="171" spans="1:9" s="212" customFormat="1">
      <c r="A171" s="72" t="s">
        <v>390</v>
      </c>
      <c r="B171" s="73"/>
      <c r="C171" s="73"/>
      <c r="D171" s="73"/>
      <c r="E171" s="73"/>
      <c r="F171" s="74"/>
      <c r="G171" s="74"/>
      <c r="H171" s="70"/>
      <c r="I171" s="71"/>
    </row>
    <row r="172" spans="1:9" s="212" customFormat="1">
      <c r="A172" s="75" t="s">
        <v>391</v>
      </c>
      <c r="B172" s="76" t="s">
        <v>392</v>
      </c>
      <c r="C172" s="76" t="s">
        <v>393</v>
      </c>
      <c r="D172" s="76" t="s">
        <v>394</v>
      </c>
      <c r="E172" s="76" t="s">
        <v>395</v>
      </c>
      <c r="F172" s="76" t="s">
        <v>396</v>
      </c>
      <c r="G172" s="76" t="s">
        <v>397</v>
      </c>
      <c r="H172" s="74"/>
      <c r="I172" s="71"/>
    </row>
    <row r="173" spans="1:9" s="212" customFormat="1">
      <c r="A173" s="77" t="s">
        <v>404</v>
      </c>
      <c r="B173" s="78" t="s">
        <v>416</v>
      </c>
      <c r="C173" s="79" t="s">
        <v>406</v>
      </c>
      <c r="D173" s="107">
        <v>1250</v>
      </c>
      <c r="E173" s="79">
        <v>1</v>
      </c>
      <c r="F173" s="79">
        <v>0</v>
      </c>
      <c r="G173" s="107">
        <f>(D173*E173)+((D173*E173)*F173/100)</f>
        <v>1250</v>
      </c>
      <c r="H173" s="74"/>
      <c r="I173" s="71"/>
    </row>
    <row r="174" spans="1:9" s="212" customFormat="1">
      <c r="A174" s="82"/>
      <c r="B174" s="83"/>
      <c r="C174" s="84"/>
      <c r="D174" s="84"/>
      <c r="E174" s="84"/>
      <c r="F174"/>
      <c r="G174" s="93" t="s">
        <v>407</v>
      </c>
      <c r="H174" s="107">
        <f>SUM(G173:G173)</f>
        <v>1250</v>
      </c>
      <c r="I174" s="71"/>
    </row>
    <row r="175" spans="1:9" s="212" customFormat="1">
      <c r="A175" s="72" t="s">
        <v>408</v>
      </c>
      <c r="B175" s="73"/>
      <c r="C175" s="73"/>
      <c r="D175" s="73"/>
      <c r="E175" s="73"/>
      <c r="F175"/>
      <c r="G175" s="74"/>
      <c r="H175" s="108"/>
      <c r="I175" s="71"/>
    </row>
    <row r="176" spans="1:9" s="212" customFormat="1">
      <c r="A176" s="75" t="s">
        <v>391</v>
      </c>
      <c r="B176" s="76" t="s">
        <v>392</v>
      </c>
      <c r="C176" s="76" t="s">
        <v>393</v>
      </c>
      <c r="D176" s="76" t="s">
        <v>394</v>
      </c>
      <c r="E176" s="76" t="s">
        <v>395</v>
      </c>
      <c r="F176" s="76" t="s">
        <v>396</v>
      </c>
      <c r="G176" s="76" t="s">
        <v>397</v>
      </c>
      <c r="H176" s="108"/>
      <c r="I176" s="71"/>
    </row>
    <row r="177" spans="1:9" s="212" customFormat="1">
      <c r="A177" s="87"/>
      <c r="B177" s="114"/>
      <c r="C177" s="114"/>
      <c r="D177" s="107"/>
      <c r="E177" s="114"/>
      <c r="F177" s="79"/>
      <c r="G177" s="107"/>
      <c r="H177" s="108"/>
      <c r="I177" s="71"/>
    </row>
    <row r="178" spans="1:9" s="212" customFormat="1">
      <c r="A178" s="88"/>
      <c r="B178" s="114"/>
      <c r="C178" s="114"/>
      <c r="D178" s="107"/>
      <c r="E178" s="114"/>
      <c r="F178" s="79"/>
      <c r="G178" s="107"/>
      <c r="H178" s="108"/>
      <c r="I178" s="71"/>
    </row>
    <row r="179" spans="1:9" s="212" customFormat="1">
      <c r="A179" s="88"/>
      <c r="B179" s="114"/>
      <c r="C179" s="114"/>
      <c r="D179" s="107"/>
      <c r="E179" s="114"/>
      <c r="F179" s="79"/>
      <c r="G179" s="107"/>
      <c r="H179" s="108"/>
      <c r="I179" s="71"/>
    </row>
    <row r="180" spans="1:9" s="212" customFormat="1">
      <c r="A180" s="90"/>
      <c r="B180" s="91"/>
      <c r="C180" s="91"/>
      <c r="D180" s="91"/>
      <c r="E180" s="91"/>
      <c r="F180"/>
      <c r="G180" s="85" t="s">
        <v>407</v>
      </c>
      <c r="H180" s="107">
        <f>SUM(G177:G179)</f>
        <v>0</v>
      </c>
      <c r="I180" s="71"/>
    </row>
    <row r="181" spans="1:9" s="212" customFormat="1">
      <c r="A181" s="72" t="s">
        <v>410</v>
      </c>
      <c r="B181" s="73"/>
      <c r="C181" s="73"/>
      <c r="D181" s="73"/>
      <c r="E181" s="73"/>
      <c r="F181"/>
      <c r="G181" s="74"/>
      <c r="H181" s="108"/>
      <c r="I181" s="71"/>
    </row>
    <row r="182" spans="1:9" s="212" customFormat="1">
      <c r="A182" s="75" t="s">
        <v>391</v>
      </c>
      <c r="B182" s="76" t="s">
        <v>392</v>
      </c>
      <c r="C182" s="76" t="s">
        <v>393</v>
      </c>
      <c r="D182" s="76" t="s">
        <v>394</v>
      </c>
      <c r="E182" s="76" t="s">
        <v>395</v>
      </c>
      <c r="F182" s="76" t="s">
        <v>396</v>
      </c>
      <c r="G182" s="76" t="s">
        <v>397</v>
      </c>
      <c r="H182" s="108"/>
      <c r="I182" s="71"/>
    </row>
    <row r="183" spans="1:9" s="212" customFormat="1">
      <c r="A183" s="77" t="s">
        <v>494</v>
      </c>
      <c r="B183" s="78" t="s">
        <v>495</v>
      </c>
      <c r="C183" s="79" t="s">
        <v>426</v>
      </c>
      <c r="D183" s="107">
        <v>15927</v>
      </c>
      <c r="E183" s="79">
        <v>2.2000000000000002</v>
      </c>
      <c r="F183" s="79">
        <v>0</v>
      </c>
      <c r="G183" s="107">
        <f>(D183*E183)+((D183*E183)*F183/100)</f>
        <v>35039.4</v>
      </c>
      <c r="H183" s="108"/>
      <c r="I183" s="71"/>
    </row>
    <row r="184" spans="1:9" s="212" customFormat="1">
      <c r="A184" s="90"/>
      <c r="B184" s="91"/>
      <c r="C184" s="91"/>
      <c r="D184" s="91"/>
      <c r="E184" s="91"/>
      <c r="F184"/>
      <c r="G184" s="93" t="s">
        <v>407</v>
      </c>
      <c r="H184" s="107">
        <f>SUM(G183:G183)</f>
        <v>35039.4</v>
      </c>
      <c r="I184" s="71"/>
    </row>
    <row r="185" spans="1:9" s="212" customFormat="1">
      <c r="A185" s="72" t="s">
        <v>411</v>
      </c>
      <c r="B185" s="73"/>
      <c r="C185" s="73"/>
      <c r="D185" s="73"/>
      <c r="E185" s="73"/>
      <c r="F185"/>
      <c r="G185" s="74"/>
      <c r="H185" s="108"/>
      <c r="I185" s="71"/>
    </row>
    <row r="186" spans="1:9" s="212" customFormat="1">
      <c r="A186" s="75" t="s">
        <v>391</v>
      </c>
      <c r="B186" s="76" t="s">
        <v>392</v>
      </c>
      <c r="C186" s="76" t="s">
        <v>393</v>
      </c>
      <c r="D186" s="76" t="s">
        <v>394</v>
      </c>
      <c r="E186" s="76" t="s">
        <v>395</v>
      </c>
      <c r="F186" s="76" t="s">
        <v>396</v>
      </c>
      <c r="G186" s="76" t="s">
        <v>397</v>
      </c>
      <c r="H186" s="108"/>
      <c r="I186" s="71"/>
    </row>
    <row r="187" spans="1:9" s="212" customFormat="1">
      <c r="A187" s="87" t="s">
        <v>409</v>
      </c>
      <c r="B187" s="114" t="s">
        <v>409</v>
      </c>
      <c r="C187" s="114" t="s">
        <v>409</v>
      </c>
      <c r="D187" s="114" t="s">
        <v>409</v>
      </c>
      <c r="E187" s="114" t="s">
        <v>409</v>
      </c>
      <c r="F187" s="79" t="s">
        <v>409</v>
      </c>
      <c r="G187" s="89" t="s">
        <v>409</v>
      </c>
      <c r="H187" s="108"/>
      <c r="I187" s="71"/>
    </row>
    <row r="188" spans="1:9" s="212" customFormat="1">
      <c r="A188" s="94"/>
      <c r="B188" s="95"/>
      <c r="C188" s="95"/>
      <c r="D188" s="95"/>
      <c r="E188" s="95"/>
      <c r="F188"/>
      <c r="G188" s="93" t="s">
        <v>407</v>
      </c>
      <c r="H188" s="107">
        <f>SUM(G186:G187)</f>
        <v>0</v>
      </c>
      <c r="I188" s="71"/>
    </row>
    <row r="189" spans="1:9" s="212" customFormat="1">
      <c r="A189" s="94"/>
      <c r="B189" s="95"/>
      <c r="C189" s="95"/>
      <c r="D189" s="95"/>
      <c r="E189" s="95"/>
      <c r="F189"/>
      <c r="G189" s="74"/>
      <c r="H189" s="74"/>
      <c r="I189" s="71"/>
    </row>
    <row r="190" spans="1:9" s="212" customFormat="1">
      <c r="A190" s="96"/>
      <c r="B190" s="97"/>
      <c r="C190" s="98"/>
      <c r="D190" s="98"/>
      <c r="E190" s="98"/>
      <c r="F190"/>
      <c r="G190" s="99" t="s">
        <v>412</v>
      </c>
      <c r="H190" s="115">
        <f>SUM(H174:H188)</f>
        <v>36289.4</v>
      </c>
      <c r="I190" s="71"/>
    </row>
    <row r="191" spans="1:9" s="212" customFormat="1">
      <c r="A191" s="96"/>
      <c r="B191" s="97"/>
      <c r="C191" s="98"/>
      <c r="D191" s="98"/>
      <c r="E191" s="98"/>
      <c r="F191" s="101"/>
      <c r="G191" s="116"/>
      <c r="H191" s="70"/>
      <c r="I191" s="71"/>
    </row>
    <row r="192" spans="1:9" s="212" customFormat="1" ht="15.75" thickBot="1">
      <c r="A192" s="624" t="s">
        <v>502</v>
      </c>
      <c r="B192" s="625"/>
      <c r="C192" s="625"/>
      <c r="D192" s="625"/>
      <c r="E192" s="625"/>
      <c r="F192" s="625"/>
      <c r="G192" s="626"/>
      <c r="H192" s="117">
        <f>+ROUND(H190,0)</f>
        <v>36289</v>
      </c>
      <c r="I192" s="103"/>
    </row>
    <row r="193" spans="1:18" s="212" customFormat="1">
      <c r="A193" s="91"/>
      <c r="B193" s="91"/>
      <c r="C193" s="91"/>
      <c r="D193" s="91"/>
      <c r="E193" s="91"/>
      <c r="F193" s="65"/>
      <c r="G193" s="104"/>
      <c r="H193" s="145"/>
      <c r="I193" s="65"/>
    </row>
    <row r="194" spans="1:18" s="212" customFormat="1" ht="15.75" thickBot="1">
      <c r="A194" s="120"/>
      <c r="B194" s="73"/>
      <c r="C194" s="73"/>
      <c r="D194" s="73"/>
      <c r="E194" s="73"/>
      <c r="F194" s="65"/>
      <c r="G194" s="121"/>
      <c r="H194" s="140"/>
      <c r="I194" s="65"/>
    </row>
    <row r="195" spans="1:18" s="212" customFormat="1">
      <c r="A195" s="627"/>
      <c r="B195" s="629" t="s">
        <v>1122</v>
      </c>
      <c r="C195" s="630"/>
      <c r="D195" s="630"/>
      <c r="E195" s="630"/>
      <c r="F195" s="630"/>
      <c r="G195" s="630"/>
      <c r="H195" s="630"/>
      <c r="I195" s="66" t="s">
        <v>389</v>
      </c>
    </row>
    <row r="196" spans="1:18" s="212" customFormat="1">
      <c r="A196" s="628"/>
      <c r="B196" s="631"/>
      <c r="C196" s="632"/>
      <c r="D196" s="632"/>
      <c r="E196" s="632"/>
      <c r="F196" s="632"/>
      <c r="G196" s="632"/>
      <c r="H196" s="632"/>
      <c r="I196" s="67" t="s">
        <v>7</v>
      </c>
    </row>
    <row r="197" spans="1:18" s="212" customFormat="1">
      <c r="A197" s="68"/>
      <c r="B197" s="69"/>
      <c r="C197" s="69"/>
      <c r="D197" s="69"/>
      <c r="E197" s="69"/>
      <c r="F197" s="70"/>
      <c r="G197" s="70"/>
      <c r="H197" s="70"/>
      <c r="I197" s="71"/>
    </row>
    <row r="198" spans="1:18" s="212" customFormat="1">
      <c r="A198" s="72" t="s">
        <v>390</v>
      </c>
      <c r="B198" s="73"/>
      <c r="C198" s="73"/>
      <c r="D198" s="73"/>
      <c r="E198" s="73"/>
      <c r="F198" s="74"/>
      <c r="G198" s="74"/>
      <c r="H198" s="70"/>
      <c r="I198" s="71"/>
    </row>
    <row r="199" spans="1:18" s="212" customFormat="1">
      <c r="A199" s="75" t="s">
        <v>391</v>
      </c>
      <c r="B199" s="76" t="s">
        <v>392</v>
      </c>
      <c r="C199" s="76" t="s">
        <v>393</v>
      </c>
      <c r="D199" s="76" t="s">
        <v>394</v>
      </c>
      <c r="E199" s="76" t="s">
        <v>395</v>
      </c>
      <c r="F199" s="76" t="s">
        <v>396</v>
      </c>
      <c r="G199" s="76" t="s">
        <v>397</v>
      </c>
      <c r="H199" s="74"/>
      <c r="I199" s="71"/>
    </row>
    <row r="200" spans="1:18" s="212" customFormat="1">
      <c r="A200" s="77" t="s">
        <v>404</v>
      </c>
      <c r="B200" s="78" t="s">
        <v>416</v>
      </c>
      <c r="C200" s="79" t="s">
        <v>406</v>
      </c>
      <c r="D200" s="107">
        <v>1250</v>
      </c>
      <c r="E200" s="79">
        <v>1</v>
      </c>
      <c r="F200" s="79">
        <v>0</v>
      </c>
      <c r="G200" s="107">
        <f>(D200*E200)+((D200*E200)*F200/100)</f>
        <v>1250</v>
      </c>
      <c r="H200" s="74"/>
      <c r="I200" s="71"/>
    </row>
    <row r="201" spans="1:18" s="212" customFormat="1">
      <c r="A201" s="82"/>
      <c r="B201" s="83"/>
      <c r="C201" s="84"/>
      <c r="D201" s="84"/>
      <c r="E201" s="84"/>
      <c r="F201"/>
      <c r="G201" s="93" t="s">
        <v>407</v>
      </c>
      <c r="H201" s="107">
        <f>SUM(G200:G200)</f>
        <v>1250</v>
      </c>
      <c r="I201" s="71"/>
    </row>
    <row r="202" spans="1:18" s="212" customFormat="1">
      <c r="A202" s="72" t="s">
        <v>408</v>
      </c>
      <c r="B202" s="73"/>
      <c r="C202" s="73"/>
      <c r="D202" s="73"/>
      <c r="E202" s="73"/>
      <c r="F202"/>
      <c r="G202" s="74"/>
      <c r="H202" s="108"/>
      <c r="I202" s="71"/>
    </row>
    <row r="203" spans="1:18" s="212" customFormat="1">
      <c r="A203" s="75" t="s">
        <v>391</v>
      </c>
      <c r="B203" s="76" t="s">
        <v>392</v>
      </c>
      <c r="C203" s="76" t="s">
        <v>393</v>
      </c>
      <c r="D203" s="76" t="s">
        <v>394</v>
      </c>
      <c r="E203" s="76" t="s">
        <v>395</v>
      </c>
      <c r="F203" s="76" t="s">
        <v>396</v>
      </c>
      <c r="G203" s="76" t="s">
        <v>397</v>
      </c>
      <c r="H203" s="108"/>
      <c r="I203" s="71"/>
    </row>
    <row r="204" spans="1:18" s="212" customFormat="1">
      <c r="A204" s="87"/>
      <c r="B204" s="114"/>
      <c r="C204" s="114"/>
      <c r="D204" s="107"/>
      <c r="E204" s="114"/>
      <c r="F204" s="79"/>
      <c r="G204" s="107"/>
      <c r="H204" s="108"/>
      <c r="I204" s="71"/>
    </row>
    <row r="205" spans="1:18" s="212" customFormat="1">
      <c r="A205" s="88"/>
      <c r="B205" s="114"/>
      <c r="C205" s="114"/>
      <c r="D205" s="107"/>
      <c r="E205" s="114"/>
      <c r="F205" s="79"/>
      <c r="G205" s="107"/>
      <c r="H205" s="108"/>
      <c r="I205" s="71"/>
    </row>
    <row r="206" spans="1:18" s="212" customFormat="1">
      <c r="A206" s="88"/>
      <c r="B206" s="114"/>
      <c r="C206" s="114"/>
      <c r="D206" s="107"/>
      <c r="E206" s="114"/>
      <c r="F206" s="79"/>
      <c r="G206" s="107"/>
      <c r="H206" s="108"/>
      <c r="I206" s="71"/>
    </row>
    <row r="207" spans="1:18" s="212" customFormat="1">
      <c r="A207" s="90"/>
      <c r="B207" s="91"/>
      <c r="C207" s="91"/>
      <c r="D207" s="91"/>
      <c r="E207" s="91"/>
      <c r="F207"/>
      <c r="G207" s="85" t="s">
        <v>407</v>
      </c>
      <c r="H207" s="107">
        <f>SUM(G204:G206)</f>
        <v>0</v>
      </c>
      <c r="I207" s="71"/>
      <c r="K207" s="120"/>
      <c r="L207" s="73"/>
      <c r="M207" s="73"/>
      <c r="N207" s="73"/>
      <c r="O207" s="73"/>
      <c r="P207" s="73"/>
      <c r="Q207" s="73"/>
    </row>
    <row r="208" spans="1:18" s="212" customFormat="1">
      <c r="A208" s="72" t="s">
        <v>410</v>
      </c>
      <c r="B208" s="73"/>
      <c r="C208" s="73"/>
      <c r="D208" s="73"/>
      <c r="E208" s="73"/>
      <c r="F208"/>
      <c r="G208" s="74"/>
      <c r="H208" s="108"/>
      <c r="I208" s="71"/>
      <c r="K208" s="220"/>
      <c r="L208" s="141"/>
      <c r="M208" s="141"/>
      <c r="N208" s="141"/>
      <c r="O208" s="141"/>
      <c r="P208" s="141"/>
      <c r="Q208" s="141"/>
      <c r="R208" s="73"/>
    </row>
    <row r="209" spans="1:18" s="212" customFormat="1">
      <c r="A209" s="75" t="s">
        <v>391</v>
      </c>
      <c r="B209" s="76" t="s">
        <v>392</v>
      </c>
      <c r="C209" s="76" t="s">
        <v>393</v>
      </c>
      <c r="D209" s="76" t="s">
        <v>394</v>
      </c>
      <c r="E209" s="76" t="s">
        <v>395</v>
      </c>
      <c r="F209" s="76" t="s">
        <v>396</v>
      </c>
      <c r="G209" s="76" t="s">
        <v>397</v>
      </c>
      <c r="H209" s="108"/>
      <c r="I209" s="71"/>
      <c r="K209" s="150"/>
      <c r="L209" s="83"/>
      <c r="M209" s="148"/>
      <c r="N209" s="84"/>
      <c r="O209" s="84"/>
      <c r="P209" s="84"/>
      <c r="Q209" s="224"/>
      <c r="R209" s="73"/>
    </row>
    <row r="210" spans="1:18" s="212" customFormat="1">
      <c r="A210" s="77" t="s">
        <v>494</v>
      </c>
      <c r="B210" s="78" t="s">
        <v>495</v>
      </c>
      <c r="C210" s="79" t="s">
        <v>426</v>
      </c>
      <c r="D210" s="107">
        <v>15927</v>
      </c>
      <c r="E210" s="79">
        <v>6.5</v>
      </c>
      <c r="F210" s="79">
        <v>0</v>
      </c>
      <c r="G210" s="107">
        <f>(D210*E210)+((D210*E210)*F210/100)</f>
        <v>103525.5</v>
      </c>
      <c r="H210" s="108"/>
      <c r="I210" s="71"/>
      <c r="K210" s="84"/>
      <c r="L210" s="83"/>
      <c r="M210" s="84"/>
      <c r="N210" s="84"/>
      <c r="O210" s="84"/>
      <c r="Q210" s="213"/>
      <c r="R210" s="221"/>
    </row>
    <row r="211" spans="1:18" s="212" customFormat="1">
      <c r="A211" s="90"/>
      <c r="B211" s="91"/>
      <c r="C211" s="91"/>
      <c r="D211" s="91"/>
      <c r="E211" s="91"/>
      <c r="F211"/>
      <c r="G211" s="93" t="s">
        <v>407</v>
      </c>
      <c r="H211" s="107">
        <f>SUM(G210:G210)</f>
        <v>103525.5</v>
      </c>
      <c r="I211" s="71"/>
      <c r="K211" s="120"/>
      <c r="L211" s="73"/>
      <c r="M211" s="73"/>
      <c r="N211" s="73"/>
      <c r="O211" s="73"/>
      <c r="Q211" s="73"/>
      <c r="R211" s="222"/>
    </row>
    <row r="212" spans="1:18" s="212" customFormat="1">
      <c r="A212" s="72" t="s">
        <v>411</v>
      </c>
      <c r="B212" s="73"/>
      <c r="C212" s="73"/>
      <c r="D212" s="73"/>
      <c r="E212" s="73"/>
      <c r="F212"/>
      <c r="G212" s="74"/>
      <c r="H212" s="108"/>
      <c r="I212" s="71"/>
      <c r="K212" s="220"/>
      <c r="L212" s="141"/>
      <c r="M212" s="141"/>
      <c r="N212" s="141"/>
      <c r="O212" s="141"/>
      <c r="P212" s="141"/>
      <c r="Q212" s="141"/>
      <c r="R212" s="222"/>
    </row>
    <row r="213" spans="1:18" s="212" customFormat="1">
      <c r="A213" s="75" t="s">
        <v>391</v>
      </c>
      <c r="B213" s="76" t="s">
        <v>392</v>
      </c>
      <c r="C213" s="76" t="s">
        <v>393</v>
      </c>
      <c r="D213" s="76" t="s">
        <v>394</v>
      </c>
      <c r="E213" s="76" t="s">
        <v>395</v>
      </c>
      <c r="F213" s="76" t="s">
        <v>396</v>
      </c>
      <c r="G213" s="76" t="s">
        <v>397</v>
      </c>
      <c r="H213" s="108"/>
      <c r="I213" s="71"/>
      <c r="K213" s="150"/>
      <c r="L213" s="83"/>
      <c r="M213" s="148"/>
      <c r="N213" s="84"/>
      <c r="O213" s="84"/>
      <c r="P213" s="84"/>
      <c r="Q213" s="224"/>
      <c r="R213" s="222"/>
    </row>
    <row r="214" spans="1:18" s="212" customFormat="1">
      <c r="A214" s="87" t="s">
        <v>409</v>
      </c>
      <c r="B214" s="114" t="s">
        <v>409</v>
      </c>
      <c r="C214" s="114" t="s">
        <v>409</v>
      </c>
      <c r="D214" s="114" t="s">
        <v>409</v>
      </c>
      <c r="E214" s="114" t="s">
        <v>409</v>
      </c>
      <c r="F214" s="79" t="s">
        <v>409</v>
      </c>
      <c r="G214" s="89" t="s">
        <v>409</v>
      </c>
      <c r="H214" s="108"/>
      <c r="I214" s="71"/>
      <c r="K214" s="91"/>
      <c r="L214" s="91"/>
      <c r="M214" s="91"/>
      <c r="N214" s="91"/>
      <c r="O214" s="91"/>
      <c r="Q214" s="213"/>
      <c r="R214" s="221"/>
    </row>
    <row r="215" spans="1:18" s="212" customFormat="1">
      <c r="A215" s="94"/>
      <c r="B215" s="95"/>
      <c r="C215" s="95"/>
      <c r="D215" s="95"/>
      <c r="E215" s="95"/>
      <c r="F215"/>
      <c r="G215" s="93" t="s">
        <v>407</v>
      </c>
      <c r="H215" s="107">
        <f>SUM(G213:G214)</f>
        <v>0</v>
      </c>
      <c r="I215" s="71"/>
      <c r="K215" s="120"/>
      <c r="L215" s="73"/>
      <c r="M215" s="73"/>
      <c r="N215" s="73"/>
      <c r="O215" s="73"/>
      <c r="Q215" s="73"/>
      <c r="R215" s="222"/>
    </row>
    <row r="216" spans="1:18" s="212" customFormat="1">
      <c r="A216" s="94"/>
      <c r="B216" s="95"/>
      <c r="C216" s="95"/>
      <c r="D216" s="95"/>
      <c r="E216" s="95"/>
      <c r="F216"/>
      <c r="G216" s="74"/>
      <c r="H216" s="74"/>
      <c r="I216" s="71"/>
      <c r="K216" s="220"/>
      <c r="L216" s="141"/>
      <c r="M216" s="141"/>
      <c r="N216" s="141"/>
      <c r="O216" s="141"/>
      <c r="P216" s="141"/>
      <c r="Q216" s="141"/>
      <c r="R216" s="222"/>
    </row>
    <row r="217" spans="1:18" s="212" customFormat="1">
      <c r="A217" s="96"/>
      <c r="B217" s="97"/>
      <c r="C217" s="98"/>
      <c r="D217" s="98"/>
      <c r="E217" s="98"/>
      <c r="F217"/>
      <c r="G217" s="99" t="s">
        <v>412</v>
      </c>
      <c r="H217" s="115">
        <f>SUM(H201:H215)</f>
        <v>104775.5</v>
      </c>
      <c r="I217" s="71"/>
      <c r="K217" s="146"/>
      <c r="L217" s="83"/>
      <c r="M217" s="148"/>
      <c r="N217" s="84"/>
      <c r="O217" s="84"/>
      <c r="P217" s="84"/>
      <c r="Q217" s="224"/>
      <c r="R217" s="222"/>
    </row>
    <row r="218" spans="1:18" s="212" customFormat="1">
      <c r="A218" s="96"/>
      <c r="B218" s="97"/>
      <c r="C218" s="98"/>
      <c r="D218" s="98"/>
      <c r="E218" s="98"/>
      <c r="F218" s="101"/>
      <c r="G218" s="116"/>
      <c r="H218" s="70"/>
      <c r="I218" s="71"/>
      <c r="K218" s="91"/>
      <c r="L218" s="91"/>
      <c r="M218" s="91"/>
      <c r="N218" s="91"/>
      <c r="O218" s="91"/>
      <c r="Q218" s="213"/>
      <c r="R218" s="221"/>
    </row>
    <row r="219" spans="1:18" s="212" customFormat="1" ht="15.75" thickBot="1">
      <c r="A219" s="624" t="s">
        <v>502</v>
      </c>
      <c r="B219" s="625"/>
      <c r="C219" s="625"/>
      <c r="D219" s="625"/>
      <c r="E219" s="625"/>
      <c r="F219" s="625"/>
      <c r="G219" s="626"/>
      <c r="H219" s="117">
        <f>+ROUND(H217,0)</f>
        <v>104776</v>
      </c>
      <c r="I219" s="103"/>
      <c r="K219" s="120"/>
      <c r="L219" s="73"/>
      <c r="M219" s="73"/>
      <c r="N219" s="73"/>
      <c r="O219" s="73"/>
      <c r="Q219" s="73"/>
      <c r="R219" s="222"/>
    </row>
    <row r="220" spans="1:18" s="212" customFormat="1">
      <c r="A220" s="128"/>
      <c r="B220" s="141"/>
      <c r="C220" s="141"/>
      <c r="D220" s="141"/>
      <c r="E220" s="141"/>
      <c r="F220" s="141"/>
      <c r="G220" s="141"/>
      <c r="H220" s="140"/>
      <c r="I220" s="65"/>
      <c r="K220" s="220"/>
      <c r="L220" s="141"/>
      <c r="M220" s="141"/>
      <c r="N220" s="141"/>
      <c r="O220" s="141"/>
      <c r="P220" s="141"/>
      <c r="Q220" s="141"/>
      <c r="R220" s="222"/>
    </row>
    <row r="221" spans="1:18" s="212" customFormat="1" ht="15.75" thickBot="1">
      <c r="A221" s="146"/>
      <c r="B221" s="147"/>
      <c r="C221" s="148"/>
      <c r="D221" s="145"/>
      <c r="E221" s="84"/>
      <c r="F221" s="84"/>
      <c r="G221" s="145"/>
      <c r="H221" s="140"/>
      <c r="I221" s="65"/>
      <c r="K221" s="142"/>
      <c r="L221" s="143"/>
      <c r="M221" s="143"/>
      <c r="N221" s="143"/>
      <c r="O221" s="143"/>
      <c r="P221" s="84"/>
      <c r="Q221" s="146"/>
      <c r="R221" s="222"/>
    </row>
    <row r="222" spans="1:18" s="212" customFormat="1">
      <c r="A222" s="627"/>
      <c r="B222" s="634" t="s">
        <v>57</v>
      </c>
      <c r="C222" s="635"/>
      <c r="D222" s="635"/>
      <c r="E222" s="635"/>
      <c r="F222" s="635"/>
      <c r="G222" s="635"/>
      <c r="H222" s="636"/>
      <c r="I222" s="66" t="s">
        <v>389</v>
      </c>
      <c r="K222" s="123"/>
      <c r="L222" s="95"/>
      <c r="M222" s="95"/>
      <c r="N222" s="95"/>
      <c r="O222" s="95"/>
      <c r="Q222" s="213"/>
      <c r="R222" s="221"/>
    </row>
    <row r="223" spans="1:18" s="212" customFormat="1">
      <c r="A223" s="628"/>
      <c r="B223" s="637"/>
      <c r="C223" s="638"/>
      <c r="D223" s="638"/>
      <c r="E223" s="638"/>
      <c r="F223" s="638"/>
      <c r="G223" s="638"/>
      <c r="H223" s="639"/>
      <c r="I223" s="67" t="s">
        <v>493</v>
      </c>
      <c r="K223" s="123"/>
      <c r="L223" s="95"/>
      <c r="M223" s="95"/>
      <c r="N223" s="95"/>
      <c r="O223" s="95"/>
      <c r="Q223" s="73"/>
      <c r="R223" s="73"/>
    </row>
    <row r="224" spans="1:18" s="212" customFormat="1">
      <c r="A224" s="68"/>
      <c r="B224" s="69"/>
      <c r="C224" s="69"/>
      <c r="D224" s="69"/>
      <c r="E224" s="69"/>
      <c r="F224" s="70"/>
      <c r="G224" s="70"/>
      <c r="H224" s="70"/>
      <c r="I224" s="71"/>
      <c r="L224" s="97"/>
      <c r="M224" s="98"/>
      <c r="N224" s="98"/>
      <c r="O224" s="98"/>
      <c r="Q224" s="220"/>
      <c r="R224" s="225"/>
    </row>
    <row r="225" spans="1:18" s="212" customFormat="1">
      <c r="A225" s="72" t="s">
        <v>390</v>
      </c>
      <c r="B225" s="73"/>
      <c r="C225" s="73"/>
      <c r="D225" s="73"/>
      <c r="E225" s="73"/>
      <c r="F225" s="74"/>
      <c r="G225" s="74"/>
      <c r="H225" s="70"/>
      <c r="I225" s="71"/>
      <c r="L225" s="97"/>
      <c r="M225" s="98"/>
      <c r="N225" s="98"/>
      <c r="O225" s="98"/>
      <c r="P225" s="220"/>
      <c r="Q225" s="225"/>
    </row>
    <row r="226" spans="1:18" s="212" customFormat="1">
      <c r="A226" s="75" t="s">
        <v>391</v>
      </c>
      <c r="B226" s="76" t="s">
        <v>392</v>
      </c>
      <c r="C226" s="76" t="s">
        <v>393</v>
      </c>
      <c r="D226" s="76" t="s">
        <v>394</v>
      </c>
      <c r="E226" s="76" t="s">
        <v>395</v>
      </c>
      <c r="F226" s="76" t="s">
        <v>396</v>
      </c>
      <c r="G226" s="76" t="s">
        <v>397</v>
      </c>
      <c r="H226" s="74"/>
      <c r="I226" s="71"/>
      <c r="K226" s="633"/>
      <c r="L226" s="633"/>
      <c r="M226" s="633"/>
      <c r="N226" s="633"/>
      <c r="O226" s="633"/>
      <c r="P226" s="633"/>
      <c r="Q226" s="633"/>
      <c r="R226" s="226"/>
    </row>
    <row r="227" spans="1:18" s="212" customFormat="1">
      <c r="A227" s="77" t="s">
        <v>404</v>
      </c>
      <c r="B227" s="78" t="s">
        <v>416</v>
      </c>
      <c r="C227" s="79" t="s">
        <v>406</v>
      </c>
      <c r="D227" s="107">
        <v>1250</v>
      </c>
      <c r="E227" s="79">
        <v>1</v>
      </c>
      <c r="F227" s="79">
        <v>0</v>
      </c>
      <c r="G227" s="107">
        <f>(D227*E227)+((D227*E227)*F227/100)</f>
        <v>1250</v>
      </c>
      <c r="H227" s="74"/>
      <c r="I227" s="71"/>
    </row>
    <row r="228" spans="1:18" s="212" customFormat="1">
      <c r="A228" s="82"/>
      <c r="B228" s="83"/>
      <c r="C228" s="84"/>
      <c r="D228" s="84"/>
      <c r="E228" s="84"/>
      <c r="F228"/>
      <c r="G228" s="93" t="s">
        <v>407</v>
      </c>
      <c r="H228" s="107">
        <f>SUM(G227:G227)</f>
        <v>1250</v>
      </c>
      <c r="I228" s="71"/>
    </row>
    <row r="229" spans="1:18" s="212" customFormat="1">
      <c r="A229" s="72" t="s">
        <v>408</v>
      </c>
      <c r="B229" s="73"/>
      <c r="C229" s="73"/>
      <c r="D229" s="73"/>
      <c r="E229" s="73"/>
      <c r="F229"/>
      <c r="G229" s="74"/>
      <c r="H229" s="108"/>
      <c r="I229" s="71"/>
    </row>
    <row r="230" spans="1:18" s="212" customFormat="1">
      <c r="A230" s="75" t="s">
        <v>391</v>
      </c>
      <c r="B230" s="76" t="s">
        <v>392</v>
      </c>
      <c r="C230" s="76" t="s">
        <v>393</v>
      </c>
      <c r="D230" s="76" t="s">
        <v>394</v>
      </c>
      <c r="E230" s="76" t="s">
        <v>395</v>
      </c>
      <c r="F230" s="76" t="s">
        <v>396</v>
      </c>
      <c r="G230" s="76" t="s">
        <v>397</v>
      </c>
      <c r="H230" s="108"/>
      <c r="I230" s="71"/>
    </row>
    <row r="231" spans="1:18" s="212" customFormat="1" ht="77.25">
      <c r="A231" s="87"/>
      <c r="B231" s="199" t="s">
        <v>57</v>
      </c>
      <c r="C231" s="114" t="s">
        <v>8</v>
      </c>
      <c r="D231" s="107">
        <f>214000*1.16</f>
        <v>248239.99999999997</v>
      </c>
      <c r="E231" s="114">
        <v>1</v>
      </c>
      <c r="F231" s="79">
        <v>0</v>
      </c>
      <c r="G231" s="107">
        <f>(D231*E231)+((D231*E231)*F231/100)</f>
        <v>248239.99999999997</v>
      </c>
      <c r="H231" s="108"/>
      <c r="I231" s="71"/>
    </row>
    <row r="232" spans="1:18" s="212" customFormat="1">
      <c r="A232" s="88"/>
      <c r="B232" s="114"/>
      <c r="C232" s="114"/>
      <c r="D232" s="107"/>
      <c r="E232" s="114"/>
      <c r="F232" s="79"/>
      <c r="G232" s="107"/>
      <c r="H232" s="108"/>
      <c r="I232" s="71"/>
    </row>
    <row r="233" spans="1:18" s="212" customFormat="1">
      <c r="A233" s="88"/>
      <c r="B233" s="114"/>
      <c r="C233" s="114"/>
      <c r="D233" s="107"/>
      <c r="E233" s="114"/>
      <c r="F233" s="79"/>
      <c r="G233" s="107"/>
      <c r="H233" s="108"/>
      <c r="I233" s="71"/>
    </row>
    <row r="234" spans="1:18" s="212" customFormat="1">
      <c r="A234" s="90"/>
      <c r="B234" s="91"/>
      <c r="C234" s="91"/>
      <c r="D234" s="91"/>
      <c r="E234" s="91"/>
      <c r="F234"/>
      <c r="G234" s="85" t="s">
        <v>407</v>
      </c>
      <c r="H234" s="107">
        <f>SUM(G231:G233)</f>
        <v>248239.99999999997</v>
      </c>
      <c r="I234" s="71"/>
    </row>
    <row r="235" spans="1:18" s="212" customFormat="1">
      <c r="A235" s="72" t="s">
        <v>410</v>
      </c>
      <c r="B235" s="73"/>
      <c r="C235" s="73"/>
      <c r="D235" s="73"/>
      <c r="E235" s="73"/>
      <c r="F235"/>
      <c r="G235" s="74"/>
      <c r="H235" s="108"/>
      <c r="I235" s="71"/>
    </row>
    <row r="236" spans="1:18" s="212" customFormat="1">
      <c r="A236" s="75" t="s">
        <v>391</v>
      </c>
      <c r="B236" s="76" t="s">
        <v>392</v>
      </c>
      <c r="C236" s="76" t="s">
        <v>393</v>
      </c>
      <c r="D236" s="76" t="s">
        <v>394</v>
      </c>
      <c r="E236" s="76" t="s">
        <v>395</v>
      </c>
      <c r="F236" s="76" t="s">
        <v>396</v>
      </c>
      <c r="G236" s="76" t="s">
        <v>397</v>
      </c>
      <c r="H236" s="108"/>
      <c r="I236" s="71"/>
    </row>
    <row r="237" spans="1:18" s="212" customFormat="1">
      <c r="A237" s="77" t="s">
        <v>494</v>
      </c>
      <c r="B237" s="78" t="s">
        <v>495</v>
      </c>
      <c r="C237" s="79" t="s">
        <v>426</v>
      </c>
      <c r="D237" s="107">
        <v>15927</v>
      </c>
      <c r="E237" s="79">
        <v>6.5</v>
      </c>
      <c r="F237" s="79">
        <v>0</v>
      </c>
      <c r="G237" s="107">
        <f>(D237*E237)+((D237*E237)*F237/100)</f>
        <v>103525.5</v>
      </c>
      <c r="H237" s="108"/>
      <c r="I237" s="71"/>
    </row>
    <row r="238" spans="1:18" s="212" customFormat="1">
      <c r="A238" s="90"/>
      <c r="B238" s="91"/>
      <c r="C238" s="91"/>
      <c r="D238" s="91"/>
      <c r="E238" s="91"/>
      <c r="F238"/>
      <c r="G238" s="93" t="s">
        <v>407</v>
      </c>
      <c r="H238" s="107">
        <f>SUM(G237:G237)</f>
        <v>103525.5</v>
      </c>
      <c r="I238" s="71"/>
    </row>
    <row r="239" spans="1:18" s="212" customFormat="1">
      <c r="A239" s="72" t="s">
        <v>411</v>
      </c>
      <c r="B239" s="73"/>
      <c r="C239" s="73"/>
      <c r="D239" s="73"/>
      <c r="E239" s="73"/>
      <c r="F239"/>
      <c r="G239" s="74"/>
      <c r="H239" s="108"/>
      <c r="I239" s="71"/>
    </row>
    <row r="240" spans="1:18" s="212" customFormat="1">
      <c r="A240" s="75" t="s">
        <v>391</v>
      </c>
      <c r="B240" s="76" t="s">
        <v>392</v>
      </c>
      <c r="C240" s="76" t="s">
        <v>393</v>
      </c>
      <c r="D240" s="76" t="s">
        <v>394</v>
      </c>
      <c r="E240" s="76" t="s">
        <v>395</v>
      </c>
      <c r="F240" s="76" t="s">
        <v>396</v>
      </c>
      <c r="G240" s="76" t="s">
        <v>397</v>
      </c>
      <c r="H240" s="108"/>
      <c r="I240" s="71"/>
    </row>
    <row r="241" spans="1:9" s="212" customFormat="1">
      <c r="A241" s="87" t="s">
        <v>409</v>
      </c>
      <c r="B241" s="114" t="s">
        <v>409</v>
      </c>
      <c r="C241" s="114" t="s">
        <v>409</v>
      </c>
      <c r="D241" s="114" t="s">
        <v>409</v>
      </c>
      <c r="E241" s="114" t="s">
        <v>409</v>
      </c>
      <c r="F241" s="79" t="s">
        <v>409</v>
      </c>
      <c r="G241" s="89" t="s">
        <v>409</v>
      </c>
      <c r="H241" s="108"/>
      <c r="I241" s="71"/>
    </row>
    <row r="242" spans="1:9" s="212" customFormat="1">
      <c r="A242" s="94"/>
      <c r="B242" s="95"/>
      <c r="C242" s="95"/>
      <c r="D242" s="95"/>
      <c r="E242" s="95"/>
      <c r="F242"/>
      <c r="G242" s="93" t="s">
        <v>407</v>
      </c>
      <c r="H242" s="107">
        <f>SUM(G240:G241)</f>
        <v>0</v>
      </c>
      <c r="I242" s="71"/>
    </row>
    <row r="243" spans="1:9" s="212" customFormat="1">
      <c r="A243" s="94"/>
      <c r="B243" s="95"/>
      <c r="C243" s="95"/>
      <c r="D243" s="95"/>
      <c r="E243" s="95"/>
      <c r="F243"/>
      <c r="G243" s="74"/>
      <c r="H243" s="74"/>
      <c r="I243" s="71"/>
    </row>
    <row r="244" spans="1:9" s="212" customFormat="1">
      <c r="A244" s="96"/>
      <c r="B244" s="97"/>
      <c r="C244" s="98"/>
      <c r="D244" s="98"/>
      <c r="E244" s="98"/>
      <c r="F244"/>
      <c r="G244" s="99" t="s">
        <v>412</v>
      </c>
      <c r="H244" s="115">
        <f>SUM(H228:H242)</f>
        <v>353015.5</v>
      </c>
      <c r="I244" s="71"/>
    </row>
    <row r="245" spans="1:9" s="212" customFormat="1">
      <c r="A245" s="96"/>
      <c r="B245" s="97"/>
      <c r="C245" s="98"/>
      <c r="D245" s="98"/>
      <c r="E245" s="98"/>
      <c r="F245" s="101"/>
      <c r="G245" s="116"/>
      <c r="H245" s="70"/>
      <c r="I245" s="71"/>
    </row>
    <row r="246" spans="1:9" s="212" customFormat="1" ht="15.75" thickBot="1">
      <c r="A246" s="624" t="s">
        <v>746</v>
      </c>
      <c r="B246" s="625"/>
      <c r="C246" s="625"/>
      <c r="D246" s="625"/>
      <c r="E246" s="625"/>
      <c r="F246" s="625"/>
      <c r="G246" s="626"/>
      <c r="H246" s="117">
        <f>+ROUND(H244,0)</f>
        <v>353016</v>
      </c>
      <c r="I246" s="103"/>
    </row>
    <row r="247" spans="1:9" s="212" customFormat="1">
      <c r="A247" s="91"/>
      <c r="B247" s="91"/>
      <c r="C247" s="91"/>
      <c r="D247" s="91"/>
      <c r="E247" s="91"/>
      <c r="F247" s="65"/>
      <c r="G247" s="104"/>
      <c r="H247" s="145"/>
      <c r="I247" s="65"/>
    </row>
    <row r="248" spans="1:9" s="212" customFormat="1" ht="15.75" thickBot="1">
      <c r="A248" s="120"/>
      <c r="B248" s="73"/>
      <c r="C248" s="73"/>
      <c r="D248" s="73"/>
      <c r="E248" s="73"/>
      <c r="F248" s="65"/>
      <c r="G248" s="121"/>
      <c r="H248" s="140"/>
      <c r="I248" s="65"/>
    </row>
    <row r="249" spans="1:9" s="212" customFormat="1">
      <c r="A249" s="627"/>
      <c r="B249" s="629" t="s">
        <v>1000</v>
      </c>
      <c r="C249" s="630"/>
      <c r="D249" s="630"/>
      <c r="E249" s="630"/>
      <c r="F249" s="630"/>
      <c r="G249" s="630"/>
      <c r="H249" s="643"/>
      <c r="I249" s="66" t="s">
        <v>389</v>
      </c>
    </row>
    <row r="250" spans="1:9" s="212" customFormat="1">
      <c r="A250" s="628"/>
      <c r="B250" s="631"/>
      <c r="C250" s="632"/>
      <c r="D250" s="632"/>
      <c r="E250" s="632"/>
      <c r="F250" s="632"/>
      <c r="G250" s="632"/>
      <c r="H250" s="644"/>
      <c r="I250" s="67" t="s">
        <v>454</v>
      </c>
    </row>
    <row r="251" spans="1:9" s="212" customFormat="1">
      <c r="A251" s="68"/>
      <c r="B251" s="69"/>
      <c r="C251" s="69"/>
      <c r="D251" s="69"/>
      <c r="E251" s="69"/>
      <c r="F251" s="70"/>
      <c r="G251" s="70"/>
      <c r="H251" s="70"/>
      <c r="I251" s="71"/>
    </row>
    <row r="252" spans="1:9" s="212" customFormat="1">
      <c r="A252" s="72" t="s">
        <v>390</v>
      </c>
      <c r="B252" s="73"/>
      <c r="C252" s="73"/>
      <c r="D252" s="73"/>
      <c r="E252" s="73"/>
      <c r="F252" s="74"/>
      <c r="G252" s="74"/>
      <c r="H252" s="70"/>
      <c r="I252" s="71"/>
    </row>
    <row r="253" spans="1:9" s="212" customFormat="1">
      <c r="A253" s="75" t="s">
        <v>391</v>
      </c>
      <c r="B253" s="76" t="s">
        <v>392</v>
      </c>
      <c r="C253" s="76" t="s">
        <v>393</v>
      </c>
      <c r="D253" s="76" t="s">
        <v>394</v>
      </c>
      <c r="E253" s="76" t="s">
        <v>395</v>
      </c>
      <c r="F253" s="76" t="s">
        <v>396</v>
      </c>
      <c r="G253" s="76" t="s">
        <v>397</v>
      </c>
      <c r="H253" s="74"/>
      <c r="I253" s="71"/>
    </row>
    <row r="254" spans="1:9" s="212" customFormat="1">
      <c r="A254" s="77" t="s">
        <v>404</v>
      </c>
      <c r="B254" s="78" t="s">
        <v>405</v>
      </c>
      <c r="C254" s="79" t="s">
        <v>406</v>
      </c>
      <c r="D254" s="107">
        <v>1250</v>
      </c>
      <c r="E254" s="79">
        <v>1</v>
      </c>
      <c r="F254" s="79">
        <v>0</v>
      </c>
      <c r="G254" s="107">
        <f>(D254*E254)+((D254*E254)*F254/100)</f>
        <v>1250</v>
      </c>
      <c r="H254" s="74"/>
      <c r="I254" s="71"/>
    </row>
    <row r="255" spans="1:9" s="212" customFormat="1">
      <c r="A255" s="79" t="s">
        <v>435</v>
      </c>
      <c r="B255" s="78" t="s">
        <v>436</v>
      </c>
      <c r="C255" s="79" t="s">
        <v>437</v>
      </c>
      <c r="D255" s="107">
        <v>35000</v>
      </c>
      <c r="E255" s="79">
        <v>0.08</v>
      </c>
      <c r="F255" s="79">
        <v>0</v>
      </c>
      <c r="G255" s="107">
        <f>(D255*E255)+((D255*E255)*F255/100)</f>
        <v>2800</v>
      </c>
      <c r="H255" s="74"/>
      <c r="I255" s="71"/>
    </row>
    <row r="256" spans="1:9" s="212" customFormat="1">
      <c r="A256" s="82"/>
      <c r="B256" s="83"/>
      <c r="C256" s="84"/>
      <c r="D256" s="84"/>
      <c r="E256" s="84"/>
      <c r="F256"/>
      <c r="G256" s="93" t="s">
        <v>407</v>
      </c>
      <c r="H256" s="107">
        <f>SUM(G254:G255)</f>
        <v>4050</v>
      </c>
      <c r="I256" s="71"/>
    </row>
    <row r="257" spans="1:12" s="212" customFormat="1">
      <c r="A257" s="72" t="s">
        <v>408</v>
      </c>
      <c r="B257" s="73"/>
      <c r="C257" s="73"/>
      <c r="D257" s="73"/>
      <c r="E257" s="73"/>
      <c r="F257"/>
      <c r="G257" s="74"/>
      <c r="H257" s="108"/>
      <c r="I257" s="71"/>
    </row>
    <row r="258" spans="1:12" s="212" customFormat="1">
      <c r="A258" s="75" t="s">
        <v>391</v>
      </c>
      <c r="B258" s="76" t="s">
        <v>392</v>
      </c>
      <c r="C258" s="76" t="s">
        <v>393</v>
      </c>
      <c r="D258" s="76" t="s">
        <v>394</v>
      </c>
      <c r="E258" s="76" t="s">
        <v>395</v>
      </c>
      <c r="F258" s="76" t="s">
        <v>396</v>
      </c>
      <c r="G258" s="76" t="s">
        <v>397</v>
      </c>
      <c r="H258" s="108"/>
      <c r="I258" s="71"/>
    </row>
    <row r="259" spans="1:12" s="212" customFormat="1">
      <c r="A259" s="135"/>
      <c r="B259" s="78"/>
      <c r="C259" s="127"/>
      <c r="D259" s="107"/>
      <c r="E259" s="79"/>
      <c r="F259" s="79"/>
      <c r="G259" s="107"/>
      <c r="H259" s="108"/>
      <c r="I259" s="71"/>
    </row>
    <row r="260" spans="1:12" s="212" customFormat="1">
      <c r="A260" s="90"/>
      <c r="B260" s="91"/>
      <c r="C260" s="91"/>
      <c r="D260" s="91"/>
      <c r="E260" s="91"/>
      <c r="F260"/>
      <c r="G260" s="85" t="s">
        <v>407</v>
      </c>
      <c r="H260" s="107">
        <f>SUM(G259:G259)</f>
        <v>0</v>
      </c>
      <c r="I260" s="71"/>
    </row>
    <row r="261" spans="1:12" s="212" customFormat="1">
      <c r="A261" s="72" t="s">
        <v>410</v>
      </c>
      <c r="B261" s="73"/>
      <c r="C261" s="73"/>
      <c r="D261" s="73"/>
      <c r="E261" s="73"/>
      <c r="F261"/>
      <c r="G261" s="74"/>
      <c r="H261" s="108"/>
      <c r="I261" s="71"/>
    </row>
    <row r="262" spans="1:12" s="212" customFormat="1">
      <c r="A262" s="75" t="s">
        <v>391</v>
      </c>
      <c r="B262" s="76" t="s">
        <v>392</v>
      </c>
      <c r="C262" s="76" t="s">
        <v>393</v>
      </c>
      <c r="D262" s="76" t="s">
        <v>394</v>
      </c>
      <c r="E262" s="76" t="s">
        <v>395</v>
      </c>
      <c r="F262" s="76" t="s">
        <v>396</v>
      </c>
      <c r="G262" s="76" t="s">
        <v>397</v>
      </c>
      <c r="H262" s="108"/>
      <c r="I262" s="71"/>
    </row>
    <row r="263" spans="1:12" s="212" customFormat="1">
      <c r="A263" s="77" t="s">
        <v>438</v>
      </c>
      <c r="B263" s="78" t="s">
        <v>1002</v>
      </c>
      <c r="C263" s="79" t="s">
        <v>426</v>
      </c>
      <c r="D263" s="107">
        <f>16879*2</f>
        <v>33758</v>
      </c>
      <c r="E263" s="79">
        <v>0.5</v>
      </c>
      <c r="F263" s="79">
        <v>0</v>
      </c>
      <c r="G263" s="107">
        <f>(D263*E263)+((D263*E263)*F263/100)</f>
        <v>16879</v>
      </c>
      <c r="H263" s="108"/>
      <c r="I263" s="71"/>
    </row>
    <row r="264" spans="1:12" s="212" customFormat="1">
      <c r="A264" s="90"/>
      <c r="B264" s="91"/>
      <c r="C264" s="91"/>
      <c r="D264" s="91"/>
      <c r="E264" s="91"/>
      <c r="F264"/>
      <c r="G264" s="93" t="s">
        <v>407</v>
      </c>
      <c r="H264" s="107">
        <f>SUM(G263:G263)</f>
        <v>16879</v>
      </c>
      <c r="I264" s="71"/>
    </row>
    <row r="265" spans="1:12" s="212" customFormat="1">
      <c r="A265" s="72" t="s">
        <v>411</v>
      </c>
      <c r="B265" s="73"/>
      <c r="C265" s="73"/>
      <c r="D265" s="73"/>
      <c r="E265" s="73"/>
      <c r="F265"/>
      <c r="G265" s="74"/>
      <c r="H265" s="108"/>
      <c r="I265" s="71"/>
    </row>
    <row r="266" spans="1:12" s="212" customFormat="1">
      <c r="A266" s="75" t="s">
        <v>391</v>
      </c>
      <c r="B266" s="76" t="s">
        <v>392</v>
      </c>
      <c r="C266" s="76" t="s">
        <v>393</v>
      </c>
      <c r="D266" s="76" t="s">
        <v>394</v>
      </c>
      <c r="E266" s="76" t="s">
        <v>395</v>
      </c>
      <c r="F266" s="76" t="s">
        <v>396</v>
      </c>
      <c r="G266" s="76" t="s">
        <v>397</v>
      </c>
      <c r="H266" s="108"/>
      <c r="I266" s="71"/>
    </row>
    <row r="267" spans="1:12" s="212" customFormat="1">
      <c r="A267" s="87" t="s">
        <v>409</v>
      </c>
      <c r="B267" s="114" t="s">
        <v>409</v>
      </c>
      <c r="C267" s="114" t="s">
        <v>409</v>
      </c>
      <c r="D267" s="114" t="s">
        <v>409</v>
      </c>
      <c r="E267" s="114" t="s">
        <v>409</v>
      </c>
      <c r="F267" s="79" t="s">
        <v>409</v>
      </c>
      <c r="G267" s="89" t="s">
        <v>409</v>
      </c>
      <c r="H267" s="108"/>
      <c r="I267" s="71"/>
    </row>
    <row r="268" spans="1:12" s="212" customFormat="1">
      <c r="A268" s="94"/>
      <c r="B268" s="95"/>
      <c r="C268" s="95"/>
      <c r="D268" s="95"/>
      <c r="E268" s="95"/>
      <c r="F268"/>
      <c r="G268" s="93" t="s">
        <v>407</v>
      </c>
      <c r="H268" s="107">
        <f>SUM(G266:G267)</f>
        <v>0</v>
      </c>
      <c r="I268" s="71"/>
    </row>
    <row r="269" spans="1:12" s="212" customFormat="1">
      <c r="A269" s="94"/>
      <c r="B269" s="95"/>
      <c r="C269" s="95"/>
      <c r="D269" s="95"/>
      <c r="E269" s="95"/>
      <c r="F269"/>
      <c r="G269" s="74"/>
      <c r="H269" s="74"/>
      <c r="I269" s="71"/>
    </row>
    <row r="270" spans="1:12" s="212" customFormat="1">
      <c r="A270" s="96"/>
      <c r="B270" s="97"/>
      <c r="C270" s="98"/>
      <c r="D270" s="98"/>
      <c r="E270" s="98"/>
      <c r="F270"/>
      <c r="G270" s="99" t="s">
        <v>412</v>
      </c>
      <c r="H270" s="115">
        <f>SUM(H256:H268)</f>
        <v>20929</v>
      </c>
      <c r="I270" s="71"/>
      <c r="K270" s="212">
        <v>14310</v>
      </c>
      <c r="L270" s="212">
        <f>+K270*1.2</f>
        <v>17172</v>
      </c>
    </row>
    <row r="271" spans="1:12" s="212" customFormat="1">
      <c r="A271" s="96"/>
      <c r="B271" s="97"/>
      <c r="C271" s="98"/>
      <c r="D271" s="98"/>
      <c r="E271" s="98"/>
      <c r="F271" s="101"/>
      <c r="G271" s="116"/>
      <c r="H271" s="70"/>
      <c r="I271" s="71"/>
    </row>
    <row r="272" spans="1:12" s="212" customFormat="1" ht="15.75" thickBot="1">
      <c r="A272" s="624" t="s">
        <v>1001</v>
      </c>
      <c r="B272" s="625"/>
      <c r="C272" s="625"/>
      <c r="D272" s="625"/>
      <c r="E272" s="625"/>
      <c r="F272" s="625"/>
      <c r="G272" s="626"/>
      <c r="H272" s="117">
        <f>+ROUND(H270,0)</f>
        <v>20929</v>
      </c>
      <c r="I272" s="103"/>
    </row>
    <row r="273" spans="1:9" s="212" customFormat="1">
      <c r="A273" s="91"/>
      <c r="B273" s="91"/>
      <c r="C273" s="91"/>
      <c r="D273" s="91"/>
      <c r="E273" s="91"/>
      <c r="F273" s="65"/>
      <c r="G273" s="104"/>
      <c r="H273" s="145"/>
      <c r="I273" s="65"/>
    </row>
    <row r="274" spans="1:9" s="212" customFormat="1" ht="15.75" thickBot="1">
      <c r="A274" s="120"/>
      <c r="B274" s="73"/>
      <c r="C274" s="73"/>
      <c r="D274" s="73"/>
      <c r="E274" s="73"/>
      <c r="F274" s="65"/>
      <c r="G274" s="121"/>
      <c r="H274" s="140"/>
      <c r="I274" s="65"/>
    </row>
    <row r="275" spans="1:9" s="212" customFormat="1">
      <c r="A275" s="627"/>
      <c r="B275" s="634" t="s">
        <v>791</v>
      </c>
      <c r="C275" s="635"/>
      <c r="D275" s="635"/>
      <c r="E275" s="635"/>
      <c r="F275" s="635"/>
      <c r="G275" s="635"/>
      <c r="H275" s="636"/>
      <c r="I275" s="66" t="s">
        <v>389</v>
      </c>
    </row>
    <row r="276" spans="1:9" s="212" customFormat="1">
      <c r="A276" s="628"/>
      <c r="B276" s="637"/>
      <c r="C276" s="638"/>
      <c r="D276" s="638"/>
      <c r="E276" s="638"/>
      <c r="F276" s="638"/>
      <c r="G276" s="638"/>
      <c r="H276" s="639"/>
      <c r="I276" s="67" t="s">
        <v>406</v>
      </c>
    </row>
    <row r="277" spans="1:9" s="212" customFormat="1">
      <c r="A277" s="68"/>
      <c r="B277" s="69"/>
      <c r="C277" s="69"/>
      <c r="D277" s="69"/>
      <c r="E277" s="69"/>
      <c r="F277" s="70"/>
      <c r="G277" s="70"/>
      <c r="H277" s="70"/>
      <c r="I277" s="71"/>
    </row>
    <row r="278" spans="1:9" s="212" customFormat="1">
      <c r="A278" s="72" t="s">
        <v>390</v>
      </c>
      <c r="B278" s="73"/>
      <c r="C278" s="73"/>
      <c r="D278" s="73"/>
      <c r="E278" s="73"/>
      <c r="F278" s="74"/>
      <c r="G278" s="74"/>
      <c r="H278" s="70"/>
      <c r="I278" s="71"/>
    </row>
    <row r="279" spans="1:9" s="212" customFormat="1">
      <c r="A279" s="75" t="s">
        <v>391</v>
      </c>
      <c r="B279" s="76" t="s">
        <v>392</v>
      </c>
      <c r="C279" s="76" t="s">
        <v>393</v>
      </c>
      <c r="D279" s="76" t="s">
        <v>394</v>
      </c>
      <c r="E279" s="76" t="s">
        <v>395</v>
      </c>
      <c r="F279" s="76" t="s">
        <v>396</v>
      </c>
      <c r="G279" s="76" t="s">
        <v>397</v>
      </c>
      <c r="H279" s="74"/>
      <c r="I279" s="71"/>
    </row>
    <row r="280" spans="1:9" s="212" customFormat="1">
      <c r="A280" s="77"/>
      <c r="B280" s="78"/>
      <c r="C280" s="79"/>
      <c r="D280" s="107"/>
      <c r="E280" s="79"/>
      <c r="F280" s="79"/>
      <c r="G280" s="107"/>
      <c r="H280" s="74"/>
      <c r="I280" s="71"/>
    </row>
    <row r="281" spans="1:9" s="212" customFormat="1">
      <c r="A281" s="82"/>
      <c r="B281" s="83"/>
      <c r="C281" s="84"/>
      <c r="D281" s="84"/>
      <c r="E281" s="84"/>
      <c r="F281"/>
      <c r="G281" s="93" t="s">
        <v>407</v>
      </c>
      <c r="H281" s="107">
        <f>SUM(G280:G280)</f>
        <v>0</v>
      </c>
      <c r="I281" s="71"/>
    </row>
    <row r="282" spans="1:9" s="212" customFormat="1">
      <c r="A282" s="72" t="s">
        <v>408</v>
      </c>
      <c r="B282" s="73"/>
      <c r="C282" s="73"/>
      <c r="D282" s="73"/>
      <c r="E282" s="73"/>
      <c r="F282"/>
      <c r="G282" s="74"/>
      <c r="H282" s="108"/>
      <c r="I282" s="71"/>
    </row>
    <row r="283" spans="1:9" s="212" customFormat="1">
      <c r="A283" s="75" t="s">
        <v>391</v>
      </c>
      <c r="B283" s="76" t="s">
        <v>392</v>
      </c>
      <c r="C283" s="76" t="s">
        <v>393</v>
      </c>
      <c r="D283" s="76" t="s">
        <v>394</v>
      </c>
      <c r="E283" s="76" t="s">
        <v>395</v>
      </c>
      <c r="F283" s="76" t="s">
        <v>396</v>
      </c>
      <c r="G283" s="76" t="s">
        <v>397</v>
      </c>
      <c r="H283" s="108"/>
      <c r="I283" s="71"/>
    </row>
    <row r="284" spans="1:9" s="212" customFormat="1" ht="51">
      <c r="A284" s="135"/>
      <c r="B284" s="78" t="s">
        <v>791</v>
      </c>
      <c r="C284" s="127" t="s">
        <v>406</v>
      </c>
      <c r="D284" s="256">
        <v>25000000</v>
      </c>
      <c r="E284" s="79">
        <v>1</v>
      </c>
      <c r="F284" s="79">
        <v>0</v>
      </c>
      <c r="G284" s="107">
        <f>(D284*E284)+((D284*E284)*F284/100)</f>
        <v>25000000</v>
      </c>
      <c r="H284" s="108"/>
      <c r="I284" s="71"/>
    </row>
    <row r="285" spans="1:9" s="212" customFormat="1">
      <c r="A285" s="90"/>
      <c r="B285" s="91"/>
      <c r="C285" s="91"/>
      <c r="D285" s="91"/>
      <c r="E285" s="91"/>
      <c r="F285"/>
      <c r="G285" s="85" t="s">
        <v>407</v>
      </c>
      <c r="H285" s="107">
        <f>SUM(G284:G284)</f>
        <v>25000000</v>
      </c>
      <c r="I285" s="71"/>
    </row>
    <row r="286" spans="1:9" s="212" customFormat="1">
      <c r="A286" s="72" t="s">
        <v>410</v>
      </c>
      <c r="B286" s="73"/>
      <c r="C286" s="73"/>
      <c r="D286" s="73"/>
      <c r="E286" s="73"/>
      <c r="F286"/>
      <c r="G286" s="74"/>
      <c r="H286" s="108"/>
      <c r="I286" s="71"/>
    </row>
    <row r="287" spans="1:9" s="169" customFormat="1">
      <c r="A287" s="75" t="s">
        <v>391</v>
      </c>
      <c r="B287" s="76" t="s">
        <v>392</v>
      </c>
      <c r="C287" s="76" t="s">
        <v>393</v>
      </c>
      <c r="D287" s="76" t="s">
        <v>394</v>
      </c>
      <c r="E287" s="76" t="s">
        <v>395</v>
      </c>
      <c r="F287" s="76" t="s">
        <v>396</v>
      </c>
      <c r="G287" s="76" t="s">
        <v>397</v>
      </c>
      <c r="H287" s="108"/>
      <c r="I287" s="71"/>
    </row>
    <row r="288" spans="1:9" s="169" customFormat="1">
      <c r="A288" s="77"/>
      <c r="B288" s="78"/>
      <c r="C288" s="79"/>
      <c r="D288" s="107"/>
      <c r="E288" s="79"/>
      <c r="F288" s="79"/>
      <c r="G288" s="107"/>
      <c r="H288" s="108"/>
      <c r="I288" s="71"/>
    </row>
    <row r="289" spans="1:9" s="169" customFormat="1">
      <c r="A289" s="90"/>
      <c r="B289" s="91"/>
      <c r="C289" s="91"/>
      <c r="D289" s="91"/>
      <c r="E289" s="91"/>
      <c r="F289"/>
      <c r="G289" s="93" t="s">
        <v>407</v>
      </c>
      <c r="H289" s="107">
        <f>SUM(G288:G288)</f>
        <v>0</v>
      </c>
      <c r="I289" s="71"/>
    </row>
    <row r="290" spans="1:9" s="169" customFormat="1">
      <c r="A290" s="72" t="s">
        <v>411</v>
      </c>
      <c r="B290" s="73"/>
      <c r="C290" s="73"/>
      <c r="D290" s="73"/>
      <c r="E290" s="73"/>
      <c r="F290"/>
      <c r="G290" s="74"/>
      <c r="H290" s="108"/>
      <c r="I290" s="71"/>
    </row>
    <row r="291" spans="1:9" s="169" customFormat="1">
      <c r="A291" s="75" t="s">
        <v>391</v>
      </c>
      <c r="B291" s="76" t="s">
        <v>392</v>
      </c>
      <c r="C291" s="76" t="s">
        <v>393</v>
      </c>
      <c r="D291" s="76" t="s">
        <v>394</v>
      </c>
      <c r="E291" s="76" t="s">
        <v>395</v>
      </c>
      <c r="F291" s="76" t="s">
        <v>396</v>
      </c>
      <c r="G291" s="76" t="s">
        <v>397</v>
      </c>
      <c r="H291" s="108"/>
      <c r="I291" s="71"/>
    </row>
    <row r="292" spans="1:9" s="169" customFormat="1">
      <c r="A292" s="87" t="s">
        <v>409</v>
      </c>
      <c r="B292" s="114" t="s">
        <v>409</v>
      </c>
      <c r="C292" s="114" t="s">
        <v>409</v>
      </c>
      <c r="D292" s="114" t="s">
        <v>409</v>
      </c>
      <c r="E292" s="114" t="s">
        <v>409</v>
      </c>
      <c r="F292" s="79" t="s">
        <v>409</v>
      </c>
      <c r="G292" s="89" t="s">
        <v>409</v>
      </c>
      <c r="H292" s="108"/>
      <c r="I292" s="71"/>
    </row>
    <row r="293" spans="1:9" s="169" customFormat="1">
      <c r="A293" s="94"/>
      <c r="B293" s="95"/>
      <c r="C293" s="95"/>
      <c r="D293" s="95"/>
      <c r="E293" s="95"/>
      <c r="F293"/>
      <c r="G293" s="93" t="s">
        <v>407</v>
      </c>
      <c r="H293" s="107">
        <f>SUM(G291:G292)</f>
        <v>0</v>
      </c>
      <c r="I293" s="71"/>
    </row>
    <row r="294" spans="1:9" s="169" customFormat="1">
      <c r="A294" s="94"/>
      <c r="B294" s="95"/>
      <c r="C294" s="95"/>
      <c r="D294" s="95"/>
      <c r="E294" s="95"/>
      <c r="F294"/>
      <c r="G294" s="74"/>
      <c r="H294" s="74"/>
      <c r="I294" s="71"/>
    </row>
    <row r="295" spans="1:9" s="169" customFormat="1">
      <c r="A295" s="96"/>
      <c r="B295" s="97"/>
      <c r="C295" s="98"/>
      <c r="D295" s="98"/>
      <c r="E295" s="98"/>
      <c r="F295"/>
      <c r="G295" s="99" t="s">
        <v>412</v>
      </c>
      <c r="H295" s="115">
        <f>SUM(H281:H293)</f>
        <v>25000000</v>
      </c>
      <c r="I295" s="71"/>
    </row>
    <row r="296" spans="1:9" s="169" customFormat="1">
      <c r="A296" s="96"/>
      <c r="B296" s="97"/>
      <c r="C296" s="98"/>
      <c r="D296" s="98"/>
      <c r="E296" s="98"/>
      <c r="F296" s="101"/>
      <c r="G296" s="116"/>
      <c r="H296" s="70"/>
      <c r="I296" s="71"/>
    </row>
    <row r="297" spans="1:9" s="169" customFormat="1" ht="15.75" thickBot="1">
      <c r="A297" s="624" t="s">
        <v>1004</v>
      </c>
      <c r="B297" s="625"/>
      <c r="C297" s="625"/>
      <c r="D297" s="625"/>
      <c r="E297" s="625"/>
      <c r="F297" s="625"/>
      <c r="G297" s="626"/>
      <c r="H297" s="117">
        <f>+ROUND(H295,0)</f>
        <v>25000000</v>
      </c>
      <c r="I297" s="103"/>
    </row>
    <row r="298" spans="1:9" s="169" customFormat="1">
      <c r="A298" s="264"/>
      <c r="B298" s="264"/>
      <c r="C298" s="264"/>
      <c r="D298" s="264"/>
      <c r="E298" s="264"/>
      <c r="G298" s="259"/>
      <c r="H298" s="275"/>
    </row>
    <row r="299" spans="1:9" s="169" customFormat="1" ht="15.75" thickBot="1">
      <c r="A299" s="270"/>
      <c r="B299" s="260"/>
      <c r="C299" s="260"/>
      <c r="D299" s="260"/>
      <c r="E299" s="260"/>
      <c r="G299" s="260"/>
      <c r="H299" s="274"/>
    </row>
    <row r="300" spans="1:9" s="169" customFormat="1">
      <c r="A300" s="627"/>
      <c r="B300" s="629" t="s">
        <v>1008</v>
      </c>
      <c r="C300" s="630"/>
      <c r="D300" s="630"/>
      <c r="E300" s="630"/>
      <c r="F300" s="630"/>
      <c r="G300" s="630"/>
      <c r="H300" s="630"/>
      <c r="I300" s="66" t="s">
        <v>389</v>
      </c>
    </row>
    <row r="301" spans="1:9" s="169" customFormat="1">
      <c r="A301" s="628"/>
      <c r="B301" s="631"/>
      <c r="C301" s="632"/>
      <c r="D301" s="632"/>
      <c r="E301" s="632"/>
      <c r="F301" s="632"/>
      <c r="G301" s="632"/>
      <c r="H301" s="632"/>
      <c r="I301" s="67" t="s">
        <v>8</v>
      </c>
    </row>
    <row r="302" spans="1:9" s="169" customFormat="1">
      <c r="A302" s="68"/>
      <c r="B302" s="69"/>
      <c r="C302" s="69"/>
      <c r="D302" s="69"/>
      <c r="E302" s="69"/>
      <c r="F302" s="70"/>
      <c r="G302" s="70"/>
      <c r="H302" s="70"/>
      <c r="I302" s="71"/>
    </row>
    <row r="303" spans="1:9" s="169" customFormat="1">
      <c r="A303" s="72" t="s">
        <v>390</v>
      </c>
      <c r="B303" s="73"/>
      <c r="C303" s="73"/>
      <c r="D303" s="73"/>
      <c r="E303" s="73"/>
      <c r="F303" s="74"/>
      <c r="G303" s="74"/>
      <c r="H303" s="70"/>
      <c r="I303" s="71"/>
    </row>
    <row r="304" spans="1:9" s="169" customFormat="1">
      <c r="A304" s="75" t="s">
        <v>391</v>
      </c>
      <c r="B304" s="76" t="s">
        <v>392</v>
      </c>
      <c r="C304" s="76" t="s">
        <v>393</v>
      </c>
      <c r="D304" s="76" t="s">
        <v>394</v>
      </c>
      <c r="E304" s="76" t="s">
        <v>395</v>
      </c>
      <c r="F304" s="76" t="s">
        <v>396</v>
      </c>
      <c r="G304" s="76" t="s">
        <v>397</v>
      </c>
      <c r="H304" s="74"/>
      <c r="I304" s="71"/>
    </row>
    <row r="305" spans="1:9" s="169" customFormat="1">
      <c r="A305" s="77" t="s">
        <v>404</v>
      </c>
      <c r="B305" s="78" t="s">
        <v>416</v>
      </c>
      <c r="C305" s="79" t="s">
        <v>406</v>
      </c>
      <c r="D305" s="107">
        <v>1250</v>
      </c>
      <c r="E305" s="79">
        <v>1</v>
      </c>
      <c r="F305" s="79">
        <v>0</v>
      </c>
      <c r="G305" s="107">
        <f>(D305*E305)+((D305*E305)*F305/100)</f>
        <v>1250</v>
      </c>
      <c r="H305" s="74"/>
      <c r="I305" s="71"/>
    </row>
    <row r="306" spans="1:9" s="169" customFormat="1">
      <c r="A306" s="82"/>
      <c r="B306" s="83"/>
      <c r="C306" s="84"/>
      <c r="D306" s="84"/>
      <c r="E306" s="84"/>
      <c r="F306"/>
      <c r="G306" s="93" t="s">
        <v>407</v>
      </c>
      <c r="H306" s="107">
        <f>SUM(G305:G305)</f>
        <v>1250</v>
      </c>
      <c r="I306" s="71"/>
    </row>
    <row r="307" spans="1:9" s="169" customFormat="1">
      <c r="A307" s="72" t="s">
        <v>408</v>
      </c>
      <c r="B307" s="73"/>
      <c r="C307" s="73"/>
      <c r="D307" s="73"/>
      <c r="E307" s="73"/>
      <c r="F307"/>
      <c r="G307" s="74"/>
      <c r="H307" s="108"/>
      <c r="I307" s="71"/>
    </row>
    <row r="308" spans="1:9" s="169" customFormat="1">
      <c r="A308" s="75" t="s">
        <v>391</v>
      </c>
      <c r="B308" s="76" t="s">
        <v>392</v>
      </c>
      <c r="C308" s="76" t="s">
        <v>393</v>
      </c>
      <c r="D308" s="76" t="s">
        <v>394</v>
      </c>
      <c r="E308" s="76" t="s">
        <v>395</v>
      </c>
      <c r="F308" s="76" t="s">
        <v>396</v>
      </c>
      <c r="G308" s="76" t="s">
        <v>397</v>
      </c>
      <c r="H308" s="108"/>
      <c r="I308" s="71"/>
    </row>
    <row r="309" spans="1:9" s="169" customFormat="1">
      <c r="A309" s="87"/>
      <c r="B309" s="114"/>
      <c r="C309" s="114"/>
      <c r="D309" s="107"/>
      <c r="E309" s="114"/>
      <c r="F309" s="79"/>
      <c r="G309" s="107"/>
      <c r="H309" s="108"/>
      <c r="I309" s="71"/>
    </row>
    <row r="310" spans="1:9" s="169" customFormat="1">
      <c r="A310" s="88"/>
      <c r="B310" s="114"/>
      <c r="C310" s="114"/>
      <c r="D310" s="107"/>
      <c r="E310" s="114"/>
      <c r="F310" s="79"/>
      <c r="G310" s="107"/>
      <c r="H310" s="108"/>
      <c r="I310" s="71"/>
    </row>
    <row r="311" spans="1:9" s="169" customFormat="1">
      <c r="A311" s="88"/>
      <c r="B311" s="114"/>
      <c r="C311" s="114"/>
      <c r="D311" s="107"/>
      <c r="E311" s="114"/>
      <c r="F311" s="79"/>
      <c r="G311" s="107"/>
      <c r="H311" s="108"/>
      <c r="I311" s="71"/>
    </row>
    <row r="312" spans="1:9" s="169" customFormat="1">
      <c r="A312" s="90"/>
      <c r="B312" s="91"/>
      <c r="C312" s="91"/>
      <c r="D312" s="91"/>
      <c r="E312" s="91"/>
      <c r="F312"/>
      <c r="G312" s="85" t="s">
        <v>407</v>
      </c>
      <c r="H312" s="107">
        <f>SUM(G309:G311)</f>
        <v>0</v>
      </c>
      <c r="I312" s="71"/>
    </row>
    <row r="313" spans="1:9" s="169" customFormat="1">
      <c r="A313" s="72" t="s">
        <v>410</v>
      </c>
      <c r="B313" s="73"/>
      <c r="C313" s="73"/>
      <c r="D313" s="73"/>
      <c r="E313" s="73"/>
      <c r="F313"/>
      <c r="G313" s="74"/>
      <c r="H313" s="108"/>
      <c r="I313" s="71"/>
    </row>
    <row r="314" spans="1:9" s="169" customFormat="1">
      <c r="A314" s="75" t="s">
        <v>391</v>
      </c>
      <c r="B314" s="76" t="s">
        <v>392</v>
      </c>
      <c r="C314" s="76" t="s">
        <v>393</v>
      </c>
      <c r="D314" s="76" t="s">
        <v>394</v>
      </c>
      <c r="E314" s="76" t="s">
        <v>395</v>
      </c>
      <c r="F314" s="76" t="s">
        <v>396</v>
      </c>
      <c r="G314" s="76" t="s">
        <v>397</v>
      </c>
      <c r="H314" s="108"/>
      <c r="I314" s="71"/>
    </row>
    <row r="315" spans="1:9" s="169" customFormat="1">
      <c r="A315" s="77" t="s">
        <v>494</v>
      </c>
      <c r="B315" s="78" t="s">
        <v>495</v>
      </c>
      <c r="C315" s="79" t="s">
        <v>426</v>
      </c>
      <c r="D315" s="107">
        <v>15927</v>
      </c>
      <c r="E315" s="79">
        <v>2.8</v>
      </c>
      <c r="F315" s="79">
        <v>0</v>
      </c>
      <c r="G315" s="107">
        <f>(D315*E315)+((D315*E315)*F315/100)</f>
        <v>44595.6</v>
      </c>
      <c r="H315" s="108"/>
      <c r="I315" s="71"/>
    </row>
    <row r="316" spans="1:9" s="169" customFormat="1">
      <c r="A316" s="90"/>
      <c r="B316" s="91"/>
      <c r="C316" s="91"/>
      <c r="D316" s="91"/>
      <c r="E316" s="91"/>
      <c r="F316"/>
      <c r="G316" s="93" t="s">
        <v>407</v>
      </c>
      <c r="H316" s="107">
        <f>SUM(G315:G315)</f>
        <v>44595.6</v>
      </c>
      <c r="I316" s="71"/>
    </row>
    <row r="317" spans="1:9" s="169" customFormat="1">
      <c r="A317" s="72" t="s">
        <v>411</v>
      </c>
      <c r="B317" s="73"/>
      <c r="C317" s="73"/>
      <c r="D317" s="73"/>
      <c r="E317" s="73"/>
      <c r="F317"/>
      <c r="G317" s="74"/>
      <c r="H317" s="108"/>
      <c r="I317" s="71"/>
    </row>
    <row r="318" spans="1:9" s="169" customFormat="1">
      <c r="A318" s="75" t="s">
        <v>391</v>
      </c>
      <c r="B318" s="76" t="s">
        <v>392</v>
      </c>
      <c r="C318" s="76" t="s">
        <v>393</v>
      </c>
      <c r="D318" s="76" t="s">
        <v>394</v>
      </c>
      <c r="E318" s="76" t="s">
        <v>395</v>
      </c>
      <c r="F318" s="76" t="s">
        <v>396</v>
      </c>
      <c r="G318" s="76" t="s">
        <v>397</v>
      </c>
      <c r="H318" s="108"/>
      <c r="I318" s="71"/>
    </row>
    <row r="319" spans="1:9" s="169" customFormat="1">
      <c r="A319" s="87" t="s">
        <v>409</v>
      </c>
      <c r="B319" s="114" t="s">
        <v>409</v>
      </c>
      <c r="C319" s="114" t="s">
        <v>409</v>
      </c>
      <c r="D319" s="114" t="s">
        <v>409</v>
      </c>
      <c r="E319" s="114" t="s">
        <v>409</v>
      </c>
      <c r="F319" s="79" t="s">
        <v>409</v>
      </c>
      <c r="G319" s="89" t="s">
        <v>409</v>
      </c>
      <c r="H319" s="108"/>
      <c r="I319" s="71"/>
    </row>
    <row r="320" spans="1:9" s="169" customFormat="1">
      <c r="A320" s="94"/>
      <c r="B320" s="95"/>
      <c r="C320" s="95"/>
      <c r="D320" s="95"/>
      <c r="E320" s="95"/>
      <c r="F320"/>
      <c r="G320" s="93" t="s">
        <v>407</v>
      </c>
      <c r="H320" s="107">
        <f>SUM(G318:G319)</f>
        <v>0</v>
      </c>
      <c r="I320" s="71"/>
    </row>
    <row r="321" spans="1:9" s="169" customFormat="1">
      <c r="A321" s="94"/>
      <c r="B321" s="95"/>
      <c r="C321" s="95"/>
      <c r="D321" s="95"/>
      <c r="E321" s="95"/>
      <c r="F321"/>
      <c r="G321" s="74"/>
      <c r="H321" s="74"/>
      <c r="I321" s="71"/>
    </row>
    <row r="322" spans="1:9" s="169" customFormat="1">
      <c r="A322" s="96"/>
      <c r="B322" s="97"/>
      <c r="C322" s="98"/>
      <c r="D322" s="98"/>
      <c r="E322" s="98"/>
      <c r="F322"/>
      <c r="G322" s="99" t="s">
        <v>412</v>
      </c>
      <c r="H322" s="115">
        <f>SUM(H306:H320)</f>
        <v>45845.599999999999</v>
      </c>
      <c r="I322" s="71"/>
    </row>
    <row r="323" spans="1:9" s="169" customFormat="1">
      <c r="A323" s="96"/>
      <c r="B323" s="97"/>
      <c r="C323" s="98"/>
      <c r="D323" s="98"/>
      <c r="E323" s="98"/>
      <c r="F323" s="101"/>
      <c r="G323" s="116"/>
      <c r="H323" s="70"/>
      <c r="I323" s="71"/>
    </row>
    <row r="324" spans="1:9" s="169" customFormat="1" ht="15.75" thickBot="1">
      <c r="A324" s="624" t="s">
        <v>430</v>
      </c>
      <c r="B324" s="625"/>
      <c r="C324" s="625"/>
      <c r="D324" s="625"/>
      <c r="E324" s="625"/>
      <c r="F324" s="625"/>
      <c r="G324" s="626"/>
      <c r="H324" s="117">
        <f>+ROUND(H322,0)</f>
        <v>45846</v>
      </c>
      <c r="I324" s="103"/>
    </row>
    <row r="325" spans="1:9" s="169" customFormat="1">
      <c r="A325" s="268"/>
      <c r="B325" s="272"/>
      <c r="C325" s="272"/>
      <c r="D325" s="272"/>
      <c r="E325" s="272"/>
      <c r="F325" s="272"/>
      <c r="G325" s="272"/>
      <c r="H325" s="274"/>
    </row>
    <row r="326" spans="1:9" s="169" customFormat="1" ht="15.75" thickBot="1">
      <c r="A326" s="263"/>
      <c r="B326" s="262"/>
      <c r="C326" s="263"/>
      <c r="D326" s="275"/>
      <c r="E326" s="263"/>
      <c r="F326" s="263"/>
      <c r="G326" s="275"/>
      <c r="H326" s="274"/>
    </row>
    <row r="327" spans="1:9" s="169" customFormat="1">
      <c r="A327" s="627"/>
      <c r="B327" s="629" t="s">
        <v>1009</v>
      </c>
      <c r="C327" s="630"/>
      <c r="D327" s="630"/>
      <c r="E327" s="630"/>
      <c r="F327" s="630"/>
      <c r="G327" s="630"/>
      <c r="H327" s="630"/>
      <c r="I327" s="66" t="s">
        <v>389</v>
      </c>
    </row>
    <row r="328" spans="1:9" s="169" customFormat="1">
      <c r="A328" s="628"/>
      <c r="B328" s="631"/>
      <c r="C328" s="632"/>
      <c r="D328" s="632"/>
      <c r="E328" s="632"/>
      <c r="F328" s="632"/>
      <c r="G328" s="632"/>
      <c r="H328" s="632"/>
      <c r="I328" s="67" t="s">
        <v>8</v>
      </c>
    </row>
    <row r="329" spans="1:9" s="169" customFormat="1">
      <c r="A329" s="68"/>
      <c r="B329" s="69"/>
      <c r="C329" s="69"/>
      <c r="D329" s="69"/>
      <c r="E329" s="69"/>
      <c r="F329" s="70"/>
      <c r="G329" s="70"/>
      <c r="H329" s="70"/>
      <c r="I329" s="71"/>
    </row>
    <row r="330" spans="1:9" s="169" customFormat="1">
      <c r="A330" s="72" t="s">
        <v>390</v>
      </c>
      <c r="B330" s="73"/>
      <c r="C330" s="73"/>
      <c r="D330" s="73"/>
      <c r="E330" s="73"/>
      <c r="F330" s="74"/>
      <c r="G330" s="74"/>
      <c r="H330" s="70"/>
      <c r="I330" s="71"/>
    </row>
    <row r="331" spans="1:9" s="169" customFormat="1">
      <c r="A331" s="75" t="s">
        <v>391</v>
      </c>
      <c r="B331" s="76" t="s">
        <v>392</v>
      </c>
      <c r="C331" s="76" t="s">
        <v>393</v>
      </c>
      <c r="D331" s="76" t="s">
        <v>394</v>
      </c>
      <c r="E331" s="76" t="s">
        <v>395</v>
      </c>
      <c r="F331" s="76" t="s">
        <v>396</v>
      </c>
      <c r="G331" s="76" t="s">
        <v>397</v>
      </c>
      <c r="H331" s="74"/>
      <c r="I331" s="71"/>
    </row>
    <row r="332" spans="1:9" s="169" customFormat="1">
      <c r="A332" s="77" t="s">
        <v>404</v>
      </c>
      <c r="B332" s="78" t="s">
        <v>416</v>
      </c>
      <c r="C332" s="79" t="s">
        <v>406</v>
      </c>
      <c r="D332" s="107">
        <v>1250</v>
      </c>
      <c r="E332" s="79">
        <v>1</v>
      </c>
      <c r="F332" s="79">
        <v>0</v>
      </c>
      <c r="G332" s="107">
        <f>(D332*E332)+((D332*E332)*F332/100)</f>
        <v>1250</v>
      </c>
      <c r="H332" s="74"/>
      <c r="I332" s="71"/>
    </row>
    <row r="333" spans="1:9" s="169" customFormat="1">
      <c r="A333" s="82"/>
      <c r="B333" s="83"/>
      <c r="C333" s="84"/>
      <c r="D333" s="84"/>
      <c r="E333" s="84"/>
      <c r="F333"/>
      <c r="G333" s="93" t="s">
        <v>407</v>
      </c>
      <c r="H333" s="107">
        <f>SUM(G332:G332)</f>
        <v>1250</v>
      </c>
      <c r="I333" s="71"/>
    </row>
    <row r="334" spans="1:9" s="169" customFormat="1">
      <c r="A334" s="72" t="s">
        <v>408</v>
      </c>
      <c r="B334" s="73"/>
      <c r="C334" s="73"/>
      <c r="D334" s="73"/>
      <c r="E334" s="73"/>
      <c r="F334"/>
      <c r="G334" s="74"/>
      <c r="H334" s="108"/>
      <c r="I334" s="71"/>
    </row>
    <row r="335" spans="1:9" s="169" customFormat="1">
      <c r="A335" s="75" t="s">
        <v>391</v>
      </c>
      <c r="B335" s="76" t="s">
        <v>392</v>
      </c>
      <c r="C335" s="76" t="s">
        <v>393</v>
      </c>
      <c r="D335" s="76" t="s">
        <v>394</v>
      </c>
      <c r="E335" s="76" t="s">
        <v>395</v>
      </c>
      <c r="F335" s="76" t="s">
        <v>396</v>
      </c>
      <c r="G335" s="76" t="s">
        <v>397</v>
      </c>
      <c r="H335" s="108"/>
      <c r="I335" s="71"/>
    </row>
    <row r="336" spans="1:9" s="169" customFormat="1">
      <c r="A336" s="87"/>
      <c r="B336" s="114"/>
      <c r="C336" s="114"/>
      <c r="D336" s="107"/>
      <c r="E336" s="114"/>
      <c r="F336" s="79"/>
      <c r="G336" s="107"/>
      <c r="H336" s="108"/>
      <c r="I336" s="71"/>
    </row>
    <row r="337" spans="1:9" s="169" customFormat="1">
      <c r="A337" s="88"/>
      <c r="B337" s="114"/>
      <c r="C337" s="114"/>
      <c r="D337" s="107"/>
      <c r="E337" s="114"/>
      <c r="F337" s="79"/>
      <c r="G337" s="107"/>
      <c r="H337" s="108"/>
      <c r="I337" s="71"/>
    </row>
    <row r="338" spans="1:9" s="169" customFormat="1">
      <c r="A338" s="88"/>
      <c r="B338" s="114"/>
      <c r="C338" s="114"/>
      <c r="D338" s="107"/>
      <c r="E338" s="114"/>
      <c r="F338" s="79"/>
      <c r="G338" s="107"/>
      <c r="H338" s="108"/>
      <c r="I338" s="71"/>
    </row>
    <row r="339" spans="1:9" s="169" customFormat="1">
      <c r="A339" s="90"/>
      <c r="B339" s="91"/>
      <c r="C339" s="91"/>
      <c r="D339" s="91"/>
      <c r="E339" s="91"/>
      <c r="F339"/>
      <c r="G339" s="85" t="s">
        <v>407</v>
      </c>
      <c r="H339" s="107">
        <f>SUM(G336:G338)</f>
        <v>0</v>
      </c>
      <c r="I339" s="71"/>
    </row>
    <row r="340" spans="1:9" s="169" customFormat="1">
      <c r="A340" s="72" t="s">
        <v>410</v>
      </c>
      <c r="B340" s="73"/>
      <c r="C340" s="73"/>
      <c r="D340" s="73"/>
      <c r="E340" s="73"/>
      <c r="F340"/>
      <c r="G340" s="74"/>
      <c r="H340" s="108"/>
      <c r="I340" s="71"/>
    </row>
    <row r="341" spans="1:9" s="169" customFormat="1">
      <c r="A341" s="75" t="s">
        <v>391</v>
      </c>
      <c r="B341" s="76" t="s">
        <v>392</v>
      </c>
      <c r="C341" s="76" t="s">
        <v>393</v>
      </c>
      <c r="D341" s="76" t="s">
        <v>394</v>
      </c>
      <c r="E341" s="76" t="s">
        <v>395</v>
      </c>
      <c r="F341" s="76" t="s">
        <v>396</v>
      </c>
      <c r="G341" s="76" t="s">
        <v>397</v>
      </c>
      <c r="H341" s="108"/>
      <c r="I341" s="71"/>
    </row>
    <row r="342" spans="1:9" s="169" customFormat="1">
      <c r="A342" s="77" t="s">
        <v>494</v>
      </c>
      <c r="B342" s="78" t="s">
        <v>495</v>
      </c>
      <c r="C342" s="79" t="s">
        <v>426</v>
      </c>
      <c r="D342" s="107">
        <v>15927</v>
      </c>
      <c r="E342" s="79">
        <v>4</v>
      </c>
      <c r="F342" s="79">
        <v>0</v>
      </c>
      <c r="G342" s="107">
        <f>(D342*E342)+((D342*E342)*F342/100)</f>
        <v>63708</v>
      </c>
      <c r="H342" s="108"/>
      <c r="I342" s="71"/>
    </row>
    <row r="343" spans="1:9" s="169" customFormat="1">
      <c r="A343" s="90"/>
      <c r="B343" s="91"/>
      <c r="C343" s="91"/>
      <c r="D343" s="91"/>
      <c r="E343" s="91"/>
      <c r="F343"/>
      <c r="G343" s="93" t="s">
        <v>407</v>
      </c>
      <c r="H343" s="107">
        <f>SUM(G342:G342)</f>
        <v>63708</v>
      </c>
      <c r="I343" s="71"/>
    </row>
    <row r="344" spans="1:9" s="169" customFormat="1">
      <c r="A344" s="72" t="s">
        <v>411</v>
      </c>
      <c r="B344" s="73"/>
      <c r="C344" s="73"/>
      <c r="D344" s="73"/>
      <c r="E344" s="73"/>
      <c r="F344"/>
      <c r="G344" s="74"/>
      <c r="H344" s="108"/>
      <c r="I344" s="71"/>
    </row>
    <row r="345" spans="1:9" s="169" customFormat="1">
      <c r="A345" s="75" t="s">
        <v>391</v>
      </c>
      <c r="B345" s="76" t="s">
        <v>392</v>
      </c>
      <c r="C345" s="76" t="s">
        <v>393</v>
      </c>
      <c r="D345" s="76" t="s">
        <v>394</v>
      </c>
      <c r="E345" s="76" t="s">
        <v>395</v>
      </c>
      <c r="F345" s="76" t="s">
        <v>396</v>
      </c>
      <c r="G345" s="76" t="s">
        <v>397</v>
      </c>
      <c r="H345" s="108"/>
      <c r="I345" s="71"/>
    </row>
    <row r="346" spans="1:9" s="169" customFormat="1">
      <c r="A346" s="87" t="s">
        <v>409</v>
      </c>
      <c r="B346" s="114" t="s">
        <v>409</v>
      </c>
      <c r="C346" s="114" t="s">
        <v>409</v>
      </c>
      <c r="D346" s="114" t="s">
        <v>409</v>
      </c>
      <c r="E346" s="114" t="s">
        <v>409</v>
      </c>
      <c r="F346" s="79" t="s">
        <v>409</v>
      </c>
      <c r="G346" s="89" t="s">
        <v>409</v>
      </c>
      <c r="H346" s="108"/>
      <c r="I346" s="71"/>
    </row>
    <row r="347" spans="1:9" s="169" customFormat="1">
      <c r="A347" s="94"/>
      <c r="B347" s="95"/>
      <c r="C347" s="95"/>
      <c r="D347" s="95"/>
      <c r="E347" s="95"/>
      <c r="F347"/>
      <c r="G347" s="93" t="s">
        <v>407</v>
      </c>
      <c r="H347" s="107">
        <f>SUM(G345:G346)</f>
        <v>0</v>
      </c>
      <c r="I347" s="71"/>
    </row>
    <row r="348" spans="1:9" s="169" customFormat="1">
      <c r="A348" s="94"/>
      <c r="B348" s="95"/>
      <c r="C348" s="95"/>
      <c r="D348" s="95"/>
      <c r="E348" s="95"/>
      <c r="F348"/>
      <c r="G348" s="74"/>
      <c r="H348" s="74"/>
      <c r="I348" s="71"/>
    </row>
    <row r="349" spans="1:9" s="169" customFormat="1">
      <c r="A349" s="96"/>
      <c r="B349" s="97"/>
      <c r="C349" s="98"/>
      <c r="D349" s="98"/>
      <c r="E349" s="98"/>
      <c r="F349"/>
      <c r="G349" s="99" t="s">
        <v>412</v>
      </c>
      <c r="H349" s="115">
        <f>SUM(H333:H347)</f>
        <v>64958</v>
      </c>
      <c r="I349" s="71"/>
    </row>
    <row r="350" spans="1:9" s="169" customFormat="1">
      <c r="A350" s="96"/>
      <c r="B350" s="97"/>
      <c r="C350" s="98"/>
      <c r="D350" s="98"/>
      <c r="E350" s="98"/>
      <c r="F350" s="101"/>
      <c r="G350" s="116"/>
      <c r="H350" s="70"/>
      <c r="I350" s="71"/>
    </row>
    <row r="351" spans="1:9" s="169" customFormat="1" ht="15.75" thickBot="1">
      <c r="A351" s="624" t="s">
        <v>430</v>
      </c>
      <c r="B351" s="625"/>
      <c r="C351" s="625"/>
      <c r="D351" s="625"/>
      <c r="E351" s="625"/>
      <c r="F351" s="625"/>
      <c r="G351" s="626"/>
      <c r="H351" s="117">
        <f>+ROUND(H349,0)</f>
        <v>64958</v>
      </c>
      <c r="I351" s="103"/>
    </row>
    <row r="352" spans="1:9" s="169" customFormat="1">
      <c r="A352" s="264"/>
      <c r="B352" s="264"/>
      <c r="C352" s="264"/>
      <c r="D352" s="264"/>
      <c r="E352" s="264"/>
      <c r="G352" s="259"/>
      <c r="H352" s="275"/>
    </row>
    <row r="353" spans="1:9" s="169" customFormat="1" ht="15.75" thickBot="1">
      <c r="A353" s="270"/>
      <c r="B353" s="260"/>
      <c r="C353" s="260"/>
      <c r="D353" s="260"/>
      <c r="E353" s="260"/>
      <c r="G353" s="260"/>
      <c r="H353" s="274"/>
    </row>
    <row r="354" spans="1:9" s="169" customFormat="1">
      <c r="A354" s="627"/>
      <c r="B354" s="629" t="s">
        <v>1010</v>
      </c>
      <c r="C354" s="630"/>
      <c r="D354" s="630"/>
      <c r="E354" s="630"/>
      <c r="F354" s="630"/>
      <c r="G354" s="630"/>
      <c r="H354" s="630"/>
      <c r="I354" s="66" t="s">
        <v>389</v>
      </c>
    </row>
    <row r="355" spans="1:9" s="169" customFormat="1">
      <c r="A355" s="628"/>
      <c r="B355" s="631"/>
      <c r="C355" s="632"/>
      <c r="D355" s="632"/>
      <c r="E355" s="632"/>
      <c r="F355" s="632"/>
      <c r="G355" s="632"/>
      <c r="H355" s="632"/>
      <c r="I355" s="67" t="s">
        <v>7</v>
      </c>
    </row>
    <row r="356" spans="1:9" s="169" customFormat="1">
      <c r="A356" s="68"/>
      <c r="B356" s="69"/>
      <c r="C356" s="69"/>
      <c r="D356" s="69"/>
      <c r="E356" s="69"/>
      <c r="F356" s="70"/>
      <c r="G356" s="70"/>
      <c r="H356" s="70"/>
      <c r="I356" s="71"/>
    </row>
    <row r="357" spans="1:9" s="169" customFormat="1">
      <c r="A357" s="72" t="s">
        <v>390</v>
      </c>
      <c r="B357" s="73"/>
      <c r="C357" s="73"/>
      <c r="D357" s="73"/>
      <c r="E357" s="73"/>
      <c r="F357" s="74"/>
      <c r="G357" s="74"/>
      <c r="H357" s="70"/>
      <c r="I357" s="71"/>
    </row>
    <row r="358" spans="1:9" s="169" customFormat="1">
      <c r="A358" s="75" t="s">
        <v>391</v>
      </c>
      <c r="B358" s="76" t="s">
        <v>392</v>
      </c>
      <c r="C358" s="76" t="s">
        <v>393</v>
      </c>
      <c r="D358" s="76" t="s">
        <v>394</v>
      </c>
      <c r="E358" s="76" t="s">
        <v>395</v>
      </c>
      <c r="F358" s="76" t="s">
        <v>396</v>
      </c>
      <c r="G358" s="76" t="s">
        <v>397</v>
      </c>
      <c r="H358" s="74"/>
      <c r="I358" s="71"/>
    </row>
    <row r="359" spans="1:9" s="169" customFormat="1">
      <c r="A359" s="77" t="s">
        <v>404</v>
      </c>
      <c r="B359" s="78" t="s">
        <v>416</v>
      </c>
      <c r="C359" s="79" t="s">
        <v>406</v>
      </c>
      <c r="D359" s="107">
        <v>1250</v>
      </c>
      <c r="E359" s="79">
        <v>1</v>
      </c>
      <c r="F359" s="79">
        <v>0</v>
      </c>
      <c r="G359" s="107">
        <f>(D359*E359)+((D359*E359)*F359/100)</f>
        <v>1250</v>
      </c>
      <c r="H359" s="74"/>
      <c r="I359" s="71"/>
    </row>
    <row r="360" spans="1:9" s="169" customFormat="1">
      <c r="A360" s="82"/>
      <c r="B360" s="83"/>
      <c r="C360" s="84"/>
      <c r="D360" s="84"/>
      <c r="E360" s="84"/>
      <c r="F360"/>
      <c r="G360" s="93" t="s">
        <v>407</v>
      </c>
      <c r="H360" s="107">
        <f>SUM(G359:G359)</f>
        <v>1250</v>
      </c>
      <c r="I360" s="71"/>
    </row>
    <row r="361" spans="1:9" s="169" customFormat="1">
      <c r="A361" s="72" t="s">
        <v>408</v>
      </c>
      <c r="B361" s="73"/>
      <c r="C361" s="73"/>
      <c r="D361" s="73"/>
      <c r="E361" s="73"/>
      <c r="F361"/>
      <c r="G361" s="74"/>
      <c r="H361" s="108"/>
      <c r="I361" s="71"/>
    </row>
    <row r="362" spans="1:9" s="169" customFormat="1">
      <c r="A362" s="75" t="s">
        <v>391</v>
      </c>
      <c r="B362" s="76" t="s">
        <v>392</v>
      </c>
      <c r="C362" s="76" t="s">
        <v>393</v>
      </c>
      <c r="D362" s="76" t="s">
        <v>394</v>
      </c>
      <c r="E362" s="76" t="s">
        <v>395</v>
      </c>
      <c r="F362" s="76" t="s">
        <v>396</v>
      </c>
      <c r="G362" s="76" t="s">
        <v>397</v>
      </c>
      <c r="H362" s="108"/>
      <c r="I362" s="71"/>
    </row>
    <row r="363" spans="1:9" s="169" customFormat="1">
      <c r="A363" s="87"/>
      <c r="B363" s="114"/>
      <c r="C363" s="114"/>
      <c r="D363" s="107"/>
      <c r="E363" s="114"/>
      <c r="F363" s="79"/>
      <c r="G363" s="107"/>
      <c r="H363" s="108"/>
      <c r="I363" s="71"/>
    </row>
    <row r="364" spans="1:9" s="169" customFormat="1">
      <c r="A364" s="88"/>
      <c r="B364" s="114"/>
      <c r="C364" s="114"/>
      <c r="D364" s="107"/>
      <c r="E364" s="114"/>
      <c r="F364" s="79"/>
      <c r="G364" s="107"/>
      <c r="H364" s="108"/>
      <c r="I364" s="71"/>
    </row>
    <row r="365" spans="1:9" s="169" customFormat="1">
      <c r="A365" s="88"/>
      <c r="B365" s="114"/>
      <c r="C365" s="114"/>
      <c r="D365" s="107"/>
      <c r="E365" s="114"/>
      <c r="F365" s="79"/>
      <c r="G365" s="107"/>
      <c r="H365" s="108"/>
      <c r="I365" s="71"/>
    </row>
    <row r="366" spans="1:9" s="169" customFormat="1">
      <c r="A366" s="90"/>
      <c r="B366" s="91"/>
      <c r="C366" s="91"/>
      <c r="D366" s="91"/>
      <c r="E366" s="91"/>
      <c r="F366"/>
      <c r="G366" s="85" t="s">
        <v>407</v>
      </c>
      <c r="H366" s="107">
        <f>SUM(G363:G365)</f>
        <v>0</v>
      </c>
      <c r="I366" s="71"/>
    </row>
    <row r="367" spans="1:9" s="169" customFormat="1">
      <c r="A367" s="72" t="s">
        <v>410</v>
      </c>
      <c r="B367" s="73"/>
      <c r="C367" s="73"/>
      <c r="D367" s="73"/>
      <c r="E367" s="73"/>
      <c r="F367"/>
      <c r="G367" s="74"/>
      <c r="H367" s="108"/>
      <c r="I367" s="71"/>
    </row>
    <row r="368" spans="1:9" s="169" customFormat="1">
      <c r="A368" s="75" t="s">
        <v>391</v>
      </c>
      <c r="B368" s="76" t="s">
        <v>392</v>
      </c>
      <c r="C368" s="76" t="s">
        <v>393</v>
      </c>
      <c r="D368" s="76" t="s">
        <v>394</v>
      </c>
      <c r="E368" s="76" t="s">
        <v>395</v>
      </c>
      <c r="F368" s="76" t="s">
        <v>396</v>
      </c>
      <c r="G368" s="76" t="s">
        <v>397</v>
      </c>
      <c r="H368" s="108"/>
      <c r="I368" s="71"/>
    </row>
    <row r="369" spans="1:9" s="169" customFormat="1">
      <c r="A369" s="77" t="s">
        <v>494</v>
      </c>
      <c r="B369" s="78" t="s">
        <v>495</v>
      </c>
      <c r="C369" s="79" t="s">
        <v>426</v>
      </c>
      <c r="D369" s="107">
        <v>15927</v>
      </c>
      <c r="E369" s="79">
        <v>4</v>
      </c>
      <c r="F369" s="79">
        <v>0</v>
      </c>
      <c r="G369" s="107">
        <f>(D369*E369)+((D369*E369)*F369/100)</f>
        <v>63708</v>
      </c>
      <c r="H369" s="108"/>
      <c r="I369" s="71"/>
    </row>
    <row r="370" spans="1:9" s="169" customFormat="1">
      <c r="A370" s="90"/>
      <c r="B370" s="91"/>
      <c r="C370" s="91"/>
      <c r="D370" s="91"/>
      <c r="E370" s="91"/>
      <c r="F370"/>
      <c r="G370" s="93" t="s">
        <v>407</v>
      </c>
      <c r="H370" s="107">
        <f>SUM(G369:G369)</f>
        <v>63708</v>
      </c>
      <c r="I370" s="71"/>
    </row>
    <row r="371" spans="1:9" s="169" customFormat="1">
      <c r="A371" s="72" t="s">
        <v>411</v>
      </c>
      <c r="B371" s="73"/>
      <c r="C371" s="73"/>
      <c r="D371" s="73"/>
      <c r="E371" s="73"/>
      <c r="F371"/>
      <c r="G371" s="74"/>
      <c r="H371" s="108"/>
      <c r="I371" s="71"/>
    </row>
    <row r="372" spans="1:9" s="169" customFormat="1">
      <c r="A372" s="75" t="s">
        <v>391</v>
      </c>
      <c r="B372" s="76" t="s">
        <v>392</v>
      </c>
      <c r="C372" s="76" t="s">
        <v>393</v>
      </c>
      <c r="D372" s="76" t="s">
        <v>394</v>
      </c>
      <c r="E372" s="76" t="s">
        <v>395</v>
      </c>
      <c r="F372" s="76" t="s">
        <v>396</v>
      </c>
      <c r="G372" s="76" t="s">
        <v>397</v>
      </c>
      <c r="H372" s="108"/>
      <c r="I372" s="71"/>
    </row>
    <row r="373" spans="1:9" s="169" customFormat="1">
      <c r="A373" s="87" t="s">
        <v>409</v>
      </c>
      <c r="B373" s="114" t="s">
        <v>409</v>
      </c>
      <c r="C373" s="114" t="s">
        <v>409</v>
      </c>
      <c r="D373" s="114" t="s">
        <v>409</v>
      </c>
      <c r="E373" s="114" t="s">
        <v>409</v>
      </c>
      <c r="F373" s="79" t="s">
        <v>409</v>
      </c>
      <c r="G373" s="89" t="s">
        <v>409</v>
      </c>
      <c r="H373" s="108"/>
      <c r="I373" s="71"/>
    </row>
    <row r="374" spans="1:9" s="169" customFormat="1">
      <c r="A374" s="94"/>
      <c r="B374" s="95"/>
      <c r="C374" s="95"/>
      <c r="D374" s="95"/>
      <c r="E374" s="95"/>
      <c r="F374"/>
      <c r="G374" s="93" t="s">
        <v>407</v>
      </c>
      <c r="H374" s="107">
        <f>SUM(G372:G373)</f>
        <v>0</v>
      </c>
      <c r="I374" s="71"/>
    </row>
    <row r="375" spans="1:9" s="169" customFormat="1">
      <c r="A375" s="94"/>
      <c r="B375" s="95"/>
      <c r="C375" s="95"/>
      <c r="D375" s="95"/>
      <c r="E375" s="95"/>
      <c r="F375"/>
      <c r="G375" s="74"/>
      <c r="H375" s="74"/>
      <c r="I375" s="71"/>
    </row>
    <row r="376" spans="1:9" s="169" customFormat="1">
      <c r="A376" s="96"/>
      <c r="B376" s="97"/>
      <c r="C376" s="98"/>
      <c r="D376" s="98"/>
      <c r="E376" s="98"/>
      <c r="F376"/>
      <c r="G376" s="99" t="s">
        <v>412</v>
      </c>
      <c r="H376" s="115">
        <f>SUM(H360:H374)</f>
        <v>64958</v>
      </c>
      <c r="I376" s="71"/>
    </row>
    <row r="377" spans="1:9" s="169" customFormat="1">
      <c r="A377" s="96"/>
      <c r="B377" s="97"/>
      <c r="C377" s="98"/>
      <c r="D377" s="98"/>
      <c r="E377" s="98"/>
      <c r="F377" s="101"/>
      <c r="G377" s="116"/>
      <c r="H377" s="70"/>
      <c r="I377" s="71"/>
    </row>
    <row r="378" spans="1:9" s="169" customFormat="1" ht="15.75" thickBot="1">
      <c r="A378" s="624" t="s">
        <v>502</v>
      </c>
      <c r="B378" s="625"/>
      <c r="C378" s="625"/>
      <c r="D378" s="625"/>
      <c r="E378" s="625"/>
      <c r="F378" s="625"/>
      <c r="G378" s="626"/>
      <c r="H378" s="117">
        <f>+ROUND(H376,0)</f>
        <v>64958</v>
      </c>
      <c r="I378" s="103"/>
    </row>
    <row r="379" spans="1:9" s="169" customFormat="1">
      <c r="A379" s="268"/>
      <c r="B379" s="272"/>
      <c r="C379" s="272"/>
      <c r="D379" s="272"/>
      <c r="E379" s="272"/>
      <c r="F379" s="272"/>
      <c r="G379" s="272"/>
      <c r="H379" s="274"/>
    </row>
    <row r="380" spans="1:9" s="169" customFormat="1" ht="15.75" thickBot="1">
      <c r="A380" s="276"/>
      <c r="B380" s="277"/>
      <c r="C380" s="277"/>
      <c r="D380" s="277"/>
      <c r="E380" s="278"/>
      <c r="F380" s="263"/>
      <c r="G380" s="275"/>
      <c r="H380" s="274"/>
    </row>
    <row r="381" spans="1:9" s="169" customFormat="1">
      <c r="A381" s="627"/>
      <c r="B381" s="629" t="s">
        <v>1011</v>
      </c>
      <c r="C381" s="630"/>
      <c r="D381" s="630"/>
      <c r="E381" s="630"/>
      <c r="F381" s="630"/>
      <c r="G381" s="630"/>
      <c r="H381" s="630"/>
      <c r="I381" s="66" t="s">
        <v>389</v>
      </c>
    </row>
    <row r="382" spans="1:9" s="169" customFormat="1">
      <c r="A382" s="628"/>
      <c r="B382" s="631"/>
      <c r="C382" s="632"/>
      <c r="D382" s="632"/>
      <c r="E382" s="632"/>
      <c r="F382" s="632"/>
      <c r="G382" s="632"/>
      <c r="H382" s="632"/>
      <c r="I382" s="67" t="s">
        <v>7</v>
      </c>
    </row>
    <row r="383" spans="1:9" s="169" customFormat="1">
      <c r="A383" s="68"/>
      <c r="B383" s="69"/>
      <c r="C383" s="69"/>
      <c r="D383" s="69"/>
      <c r="E383" s="69"/>
      <c r="F383" s="70"/>
      <c r="G383" s="70"/>
      <c r="H383" s="70"/>
      <c r="I383" s="71"/>
    </row>
    <row r="384" spans="1:9" s="169" customFormat="1">
      <c r="A384" s="72" t="s">
        <v>390</v>
      </c>
      <c r="B384" s="73"/>
      <c r="C384" s="73"/>
      <c r="D384" s="73"/>
      <c r="E384" s="73"/>
      <c r="F384" s="74"/>
      <c r="G384" s="74"/>
      <c r="H384" s="70"/>
      <c r="I384" s="71"/>
    </row>
    <row r="385" spans="1:9" s="169" customFormat="1">
      <c r="A385" s="75" t="s">
        <v>391</v>
      </c>
      <c r="B385" s="76" t="s">
        <v>392</v>
      </c>
      <c r="C385" s="76" t="s">
        <v>393</v>
      </c>
      <c r="D385" s="76" t="s">
        <v>394</v>
      </c>
      <c r="E385" s="76" t="s">
        <v>395</v>
      </c>
      <c r="F385" s="76" t="s">
        <v>396</v>
      </c>
      <c r="G385" s="76" t="s">
        <v>397</v>
      </c>
      <c r="H385" s="74"/>
      <c r="I385" s="71"/>
    </row>
    <row r="386" spans="1:9" s="169" customFormat="1">
      <c r="A386" s="77" t="s">
        <v>404</v>
      </c>
      <c r="B386" s="78" t="s">
        <v>416</v>
      </c>
      <c r="C386" s="79" t="s">
        <v>406</v>
      </c>
      <c r="D386" s="107">
        <v>1250</v>
      </c>
      <c r="E386" s="79">
        <v>1</v>
      </c>
      <c r="F386" s="79">
        <v>0</v>
      </c>
      <c r="G386" s="107">
        <f>(D386*E386)+((D386*E386)*F386/100)</f>
        <v>1250</v>
      </c>
      <c r="H386" s="74"/>
      <c r="I386" s="71"/>
    </row>
    <row r="387" spans="1:9" s="169" customFormat="1">
      <c r="A387" s="82"/>
      <c r="B387" s="83"/>
      <c r="C387" s="84"/>
      <c r="D387" s="84"/>
      <c r="E387" s="84"/>
      <c r="F387"/>
      <c r="G387" s="93" t="s">
        <v>407</v>
      </c>
      <c r="H387" s="107">
        <f>SUM(G386:G386)</f>
        <v>1250</v>
      </c>
      <c r="I387" s="71"/>
    </row>
    <row r="388" spans="1:9" s="169" customFormat="1">
      <c r="A388" s="72" t="s">
        <v>408</v>
      </c>
      <c r="B388" s="73"/>
      <c r="C388" s="73"/>
      <c r="D388" s="73"/>
      <c r="E388" s="73"/>
      <c r="F388"/>
      <c r="G388" s="74"/>
      <c r="H388" s="108"/>
      <c r="I388" s="71"/>
    </row>
    <row r="389" spans="1:9" s="169" customFormat="1">
      <c r="A389" s="75" t="s">
        <v>391</v>
      </c>
      <c r="B389" s="76" t="s">
        <v>392</v>
      </c>
      <c r="C389" s="76" t="s">
        <v>393</v>
      </c>
      <c r="D389" s="76" t="s">
        <v>394</v>
      </c>
      <c r="E389" s="76" t="s">
        <v>395</v>
      </c>
      <c r="F389" s="76" t="s">
        <v>396</v>
      </c>
      <c r="G389" s="76" t="s">
        <v>397</v>
      </c>
      <c r="H389" s="108"/>
      <c r="I389" s="71"/>
    </row>
    <row r="390" spans="1:9" s="169" customFormat="1">
      <c r="A390" s="87"/>
      <c r="B390" s="114"/>
      <c r="C390" s="114"/>
      <c r="D390" s="107"/>
      <c r="E390" s="114"/>
      <c r="F390" s="79"/>
      <c r="G390" s="107"/>
      <c r="H390" s="108"/>
      <c r="I390" s="71"/>
    </row>
    <row r="391" spans="1:9" s="169" customFormat="1">
      <c r="A391" s="88"/>
      <c r="B391" s="114"/>
      <c r="C391" s="114"/>
      <c r="D391" s="107"/>
      <c r="E391" s="114"/>
      <c r="F391" s="79"/>
      <c r="G391" s="107"/>
      <c r="H391" s="108"/>
      <c r="I391" s="71"/>
    </row>
    <row r="392" spans="1:9" s="169" customFormat="1">
      <c r="A392" s="88"/>
      <c r="B392" s="114"/>
      <c r="C392" s="114"/>
      <c r="D392" s="107"/>
      <c r="E392" s="114"/>
      <c r="F392" s="79"/>
      <c r="G392" s="107"/>
      <c r="H392" s="108"/>
      <c r="I392" s="71"/>
    </row>
    <row r="393" spans="1:9" s="169" customFormat="1">
      <c r="A393" s="90"/>
      <c r="B393" s="91"/>
      <c r="C393" s="91"/>
      <c r="D393" s="91"/>
      <c r="E393" s="91"/>
      <c r="F393"/>
      <c r="G393" s="85" t="s">
        <v>407</v>
      </c>
      <c r="H393" s="107">
        <f>SUM(G390:G392)</f>
        <v>0</v>
      </c>
      <c r="I393" s="71"/>
    </row>
    <row r="394" spans="1:9" s="169" customFormat="1">
      <c r="A394" s="72" t="s">
        <v>410</v>
      </c>
      <c r="B394" s="73"/>
      <c r="C394" s="73"/>
      <c r="D394" s="73"/>
      <c r="E394" s="73"/>
      <c r="F394"/>
      <c r="G394" s="74"/>
      <c r="H394" s="108"/>
      <c r="I394" s="71"/>
    </row>
    <row r="395" spans="1:9" s="169" customFormat="1">
      <c r="A395" s="75" t="s">
        <v>391</v>
      </c>
      <c r="B395" s="76" t="s">
        <v>392</v>
      </c>
      <c r="C395" s="76" t="s">
        <v>393</v>
      </c>
      <c r="D395" s="76" t="s">
        <v>394</v>
      </c>
      <c r="E395" s="76" t="s">
        <v>395</v>
      </c>
      <c r="F395" s="76" t="s">
        <v>396</v>
      </c>
      <c r="G395" s="76" t="s">
        <v>397</v>
      </c>
      <c r="H395" s="108"/>
      <c r="I395" s="71"/>
    </row>
    <row r="396" spans="1:9" s="169" customFormat="1">
      <c r="A396" s="77" t="s">
        <v>494</v>
      </c>
      <c r="B396" s="78" t="s">
        <v>495</v>
      </c>
      <c r="C396" s="79" t="s">
        <v>426</v>
      </c>
      <c r="D396" s="107">
        <v>15927</v>
      </c>
      <c r="E396" s="79">
        <v>5.5</v>
      </c>
      <c r="F396" s="79">
        <v>0</v>
      </c>
      <c r="G396" s="107">
        <f>(D396*E396)+((D396*E396)*F396/100)</f>
        <v>87598.5</v>
      </c>
      <c r="H396" s="108"/>
      <c r="I396" s="71"/>
    </row>
    <row r="397" spans="1:9" s="169" customFormat="1">
      <c r="A397" s="90"/>
      <c r="B397" s="91"/>
      <c r="C397" s="91"/>
      <c r="D397" s="91"/>
      <c r="E397" s="91"/>
      <c r="F397"/>
      <c r="G397" s="93" t="s">
        <v>407</v>
      </c>
      <c r="H397" s="107">
        <f>SUM(G396:G396)</f>
        <v>87598.5</v>
      </c>
      <c r="I397" s="71"/>
    </row>
    <row r="398" spans="1:9" s="169" customFormat="1">
      <c r="A398" s="72" t="s">
        <v>411</v>
      </c>
      <c r="B398" s="73"/>
      <c r="C398" s="73"/>
      <c r="D398" s="73"/>
      <c r="E398" s="73"/>
      <c r="F398"/>
      <c r="G398" s="74"/>
      <c r="H398" s="108"/>
      <c r="I398" s="71"/>
    </row>
    <row r="399" spans="1:9" s="169" customFormat="1">
      <c r="A399" s="75" t="s">
        <v>391</v>
      </c>
      <c r="B399" s="76" t="s">
        <v>392</v>
      </c>
      <c r="C399" s="76" t="s">
        <v>393</v>
      </c>
      <c r="D399" s="76" t="s">
        <v>394</v>
      </c>
      <c r="E399" s="76" t="s">
        <v>395</v>
      </c>
      <c r="F399" s="76" t="s">
        <v>396</v>
      </c>
      <c r="G399" s="76" t="s">
        <v>397</v>
      </c>
      <c r="H399" s="108"/>
      <c r="I399" s="71"/>
    </row>
    <row r="400" spans="1:9" s="169" customFormat="1">
      <c r="A400" s="87" t="s">
        <v>409</v>
      </c>
      <c r="B400" s="114" t="s">
        <v>409</v>
      </c>
      <c r="C400" s="114" t="s">
        <v>409</v>
      </c>
      <c r="D400" s="114" t="s">
        <v>409</v>
      </c>
      <c r="E400" s="114" t="s">
        <v>409</v>
      </c>
      <c r="F400" s="79" t="s">
        <v>409</v>
      </c>
      <c r="G400" s="89" t="s">
        <v>409</v>
      </c>
      <c r="H400" s="108"/>
      <c r="I400" s="71"/>
    </row>
    <row r="401" spans="1:9" s="169" customFormat="1">
      <c r="A401" s="94"/>
      <c r="B401" s="95"/>
      <c r="C401" s="95"/>
      <c r="D401" s="95"/>
      <c r="E401" s="95"/>
      <c r="F401"/>
      <c r="G401" s="93" t="s">
        <v>407</v>
      </c>
      <c r="H401" s="107">
        <f>SUM(G399:G400)</f>
        <v>0</v>
      </c>
      <c r="I401" s="71"/>
    </row>
    <row r="402" spans="1:9" s="169" customFormat="1">
      <c r="A402" s="94"/>
      <c r="B402" s="95"/>
      <c r="C402" s="95"/>
      <c r="D402" s="95"/>
      <c r="E402" s="95"/>
      <c r="F402"/>
      <c r="G402" s="74"/>
      <c r="H402" s="74"/>
      <c r="I402" s="71"/>
    </row>
    <row r="403" spans="1:9" s="169" customFormat="1">
      <c r="A403" s="96"/>
      <c r="B403" s="97"/>
      <c r="C403" s="98"/>
      <c r="D403" s="98"/>
      <c r="E403" s="98"/>
      <c r="F403"/>
      <c r="G403" s="99" t="s">
        <v>412</v>
      </c>
      <c r="H403" s="115">
        <f>SUM(H387:H401)</f>
        <v>88848.5</v>
      </c>
      <c r="I403" s="71"/>
    </row>
    <row r="404" spans="1:9" s="169" customFormat="1">
      <c r="A404" s="96"/>
      <c r="B404" s="97"/>
      <c r="C404" s="98"/>
      <c r="D404" s="98"/>
      <c r="E404" s="98"/>
      <c r="F404" s="101"/>
      <c r="G404" s="116"/>
      <c r="H404" s="70"/>
      <c r="I404" s="71"/>
    </row>
    <row r="405" spans="1:9" s="169" customFormat="1" ht="15.75" thickBot="1">
      <c r="A405" s="624" t="s">
        <v>502</v>
      </c>
      <c r="B405" s="625"/>
      <c r="C405" s="625"/>
      <c r="D405" s="625"/>
      <c r="E405" s="625"/>
      <c r="F405" s="625"/>
      <c r="G405" s="626"/>
      <c r="H405" s="117">
        <f>+ROUND(H403,0)</f>
        <v>88849</v>
      </c>
      <c r="I405" s="103"/>
    </row>
    <row r="406" spans="1:9" s="169" customFormat="1" ht="15.75" thickBot="1">
      <c r="A406" s="257"/>
      <c r="B406" s="258"/>
      <c r="C406" s="258"/>
      <c r="D406" s="258"/>
      <c r="E406" s="258"/>
      <c r="G406" s="259"/>
      <c r="H406" s="275"/>
    </row>
    <row r="407" spans="1:9" s="169" customFormat="1">
      <c r="A407" s="627"/>
      <c r="B407" s="629" t="s">
        <v>1016</v>
      </c>
      <c r="C407" s="630"/>
      <c r="D407" s="630"/>
      <c r="E407" s="630"/>
      <c r="F407" s="630"/>
      <c r="G407" s="630"/>
      <c r="H407" s="630"/>
      <c r="I407" s="66" t="s">
        <v>389</v>
      </c>
    </row>
    <row r="408" spans="1:9" s="169" customFormat="1">
      <c r="A408" s="628"/>
      <c r="B408" s="631"/>
      <c r="C408" s="632"/>
      <c r="D408" s="632"/>
      <c r="E408" s="632"/>
      <c r="F408" s="632"/>
      <c r="G408" s="632"/>
      <c r="H408" s="632"/>
      <c r="I408" s="67" t="s">
        <v>7</v>
      </c>
    </row>
    <row r="409" spans="1:9" s="169" customFormat="1">
      <c r="A409" s="68"/>
      <c r="B409" s="69"/>
      <c r="C409" s="69"/>
      <c r="D409" s="69"/>
      <c r="E409" s="69"/>
      <c r="F409" s="70"/>
      <c r="G409" s="70"/>
      <c r="H409" s="70"/>
      <c r="I409" s="71"/>
    </row>
    <row r="410" spans="1:9" s="169" customFormat="1">
      <c r="A410" s="72" t="s">
        <v>390</v>
      </c>
      <c r="B410" s="73"/>
      <c r="C410" s="73"/>
      <c r="D410" s="73"/>
      <c r="E410" s="73"/>
      <c r="F410" s="74"/>
      <c r="G410" s="74"/>
      <c r="H410" s="70"/>
      <c r="I410" s="71"/>
    </row>
    <row r="411" spans="1:9" s="169" customFormat="1">
      <c r="A411" s="75" t="s">
        <v>391</v>
      </c>
      <c r="B411" s="76" t="s">
        <v>392</v>
      </c>
      <c r="C411" s="76" t="s">
        <v>393</v>
      </c>
      <c r="D411" s="76" t="s">
        <v>394</v>
      </c>
      <c r="E411" s="76" t="s">
        <v>395</v>
      </c>
      <c r="F411" s="76" t="s">
        <v>396</v>
      </c>
      <c r="G411" s="76" t="s">
        <v>397</v>
      </c>
      <c r="H411" s="74"/>
      <c r="I411" s="71"/>
    </row>
    <row r="412" spans="1:9" s="169" customFormat="1">
      <c r="A412" s="77" t="s">
        <v>404</v>
      </c>
      <c r="B412" s="78" t="s">
        <v>416</v>
      </c>
      <c r="C412" s="79" t="s">
        <v>406</v>
      </c>
      <c r="D412" s="107">
        <v>1250</v>
      </c>
      <c r="E412" s="79">
        <v>1</v>
      </c>
      <c r="F412" s="79">
        <v>0</v>
      </c>
      <c r="G412" s="107">
        <f>(D412*E412)+((D412*E412)*F412/100)</f>
        <v>1250</v>
      </c>
      <c r="H412" s="74"/>
      <c r="I412" s="71"/>
    </row>
    <row r="413" spans="1:9" s="169" customFormat="1">
      <c r="A413" s="82"/>
      <c r="B413" s="83"/>
      <c r="C413" s="84"/>
      <c r="D413" s="84"/>
      <c r="E413" s="84"/>
      <c r="F413"/>
      <c r="G413" s="93" t="s">
        <v>407</v>
      </c>
      <c r="H413" s="107">
        <f>SUM(G412:G412)</f>
        <v>1250</v>
      </c>
      <c r="I413" s="71"/>
    </row>
    <row r="414" spans="1:9" s="169" customFormat="1">
      <c r="A414" s="72" t="s">
        <v>408</v>
      </c>
      <c r="B414" s="73"/>
      <c r="C414" s="73"/>
      <c r="D414" s="73"/>
      <c r="E414" s="73"/>
      <c r="F414"/>
      <c r="G414" s="74"/>
      <c r="H414" s="108"/>
      <c r="I414" s="71"/>
    </row>
    <row r="415" spans="1:9" s="169" customFormat="1">
      <c r="A415" s="75" t="s">
        <v>391</v>
      </c>
      <c r="B415" s="76" t="s">
        <v>392</v>
      </c>
      <c r="C415" s="76" t="s">
        <v>393</v>
      </c>
      <c r="D415" s="76" t="s">
        <v>394</v>
      </c>
      <c r="E415" s="76" t="s">
        <v>395</v>
      </c>
      <c r="F415" s="76" t="s">
        <v>396</v>
      </c>
      <c r="G415" s="76" t="s">
        <v>397</v>
      </c>
      <c r="H415" s="108"/>
      <c r="I415" s="71"/>
    </row>
    <row r="416" spans="1:9" s="169" customFormat="1">
      <c r="A416" s="87"/>
      <c r="B416" s="114"/>
      <c r="C416" s="114"/>
      <c r="D416" s="107"/>
      <c r="E416" s="114"/>
      <c r="F416" s="79"/>
      <c r="G416" s="107"/>
      <c r="H416" s="108"/>
      <c r="I416" s="71"/>
    </row>
    <row r="417" spans="1:9" s="169" customFormat="1">
      <c r="A417" s="88"/>
      <c r="B417" s="114"/>
      <c r="C417" s="114"/>
      <c r="D417" s="107"/>
      <c r="E417" s="114"/>
      <c r="F417" s="79"/>
      <c r="G417" s="107"/>
      <c r="H417" s="108"/>
      <c r="I417" s="71"/>
    </row>
    <row r="418" spans="1:9" s="169" customFormat="1">
      <c r="A418" s="88"/>
      <c r="B418" s="114"/>
      <c r="C418" s="114"/>
      <c r="D418" s="107"/>
      <c r="E418" s="114"/>
      <c r="F418" s="79"/>
      <c r="G418" s="107"/>
      <c r="H418" s="108"/>
      <c r="I418" s="71"/>
    </row>
    <row r="419" spans="1:9" s="169" customFormat="1">
      <c r="A419" s="90"/>
      <c r="B419" s="91"/>
      <c r="C419" s="91"/>
      <c r="D419" s="91"/>
      <c r="E419" s="91"/>
      <c r="F419"/>
      <c r="G419" s="85" t="s">
        <v>407</v>
      </c>
      <c r="H419" s="107">
        <f>SUM(G416:G418)</f>
        <v>0</v>
      </c>
      <c r="I419" s="71"/>
    </row>
    <row r="420" spans="1:9" s="169" customFormat="1">
      <c r="A420" s="72" t="s">
        <v>410</v>
      </c>
      <c r="B420" s="73"/>
      <c r="C420" s="73"/>
      <c r="D420" s="73"/>
      <c r="E420" s="73"/>
      <c r="F420"/>
      <c r="G420" s="74"/>
      <c r="H420" s="108"/>
      <c r="I420" s="71"/>
    </row>
    <row r="421" spans="1:9" s="169" customFormat="1">
      <c r="A421" s="75" t="s">
        <v>391</v>
      </c>
      <c r="B421" s="76" t="s">
        <v>392</v>
      </c>
      <c r="C421" s="76" t="s">
        <v>393</v>
      </c>
      <c r="D421" s="76" t="s">
        <v>394</v>
      </c>
      <c r="E421" s="76" t="s">
        <v>395</v>
      </c>
      <c r="F421" s="76" t="s">
        <v>396</v>
      </c>
      <c r="G421" s="76" t="s">
        <v>397</v>
      </c>
      <c r="H421" s="108"/>
      <c r="I421" s="71"/>
    </row>
    <row r="422" spans="1:9" s="169" customFormat="1">
      <c r="A422" s="77" t="s">
        <v>494</v>
      </c>
      <c r="B422" s="78" t="s">
        <v>495</v>
      </c>
      <c r="C422" s="79" t="s">
        <v>426</v>
      </c>
      <c r="D422" s="107">
        <v>15927</v>
      </c>
      <c r="E422" s="79">
        <v>4.5999999999999996</v>
      </c>
      <c r="F422" s="79">
        <v>0</v>
      </c>
      <c r="G422" s="107">
        <f>(D422*E422)+((D422*E422)*F422/100)</f>
        <v>73264.2</v>
      </c>
      <c r="H422" s="108"/>
      <c r="I422" s="71"/>
    </row>
    <row r="423" spans="1:9" s="169" customFormat="1">
      <c r="A423" s="90"/>
      <c r="B423" s="91"/>
      <c r="C423" s="91"/>
      <c r="D423" s="91"/>
      <c r="E423" s="91"/>
      <c r="F423"/>
      <c r="G423" s="93" t="s">
        <v>407</v>
      </c>
      <c r="H423" s="107">
        <f>SUM(G422:G422)</f>
        <v>73264.2</v>
      </c>
      <c r="I423" s="71"/>
    </row>
    <row r="424" spans="1:9" s="169" customFormat="1">
      <c r="A424" s="72" t="s">
        <v>411</v>
      </c>
      <c r="B424" s="73"/>
      <c r="C424" s="73"/>
      <c r="D424" s="73"/>
      <c r="E424" s="73"/>
      <c r="F424"/>
      <c r="G424" s="74"/>
      <c r="H424" s="108"/>
      <c r="I424" s="71"/>
    </row>
    <row r="425" spans="1:9" s="169" customFormat="1">
      <c r="A425" s="75" t="s">
        <v>391</v>
      </c>
      <c r="B425" s="76" t="s">
        <v>392</v>
      </c>
      <c r="C425" s="76" t="s">
        <v>393</v>
      </c>
      <c r="D425" s="76" t="s">
        <v>394</v>
      </c>
      <c r="E425" s="76" t="s">
        <v>395</v>
      </c>
      <c r="F425" s="76" t="s">
        <v>396</v>
      </c>
      <c r="G425" s="76" t="s">
        <v>397</v>
      </c>
      <c r="H425" s="108"/>
      <c r="I425" s="71"/>
    </row>
    <row r="426" spans="1:9" s="169" customFormat="1">
      <c r="A426" s="87" t="s">
        <v>409</v>
      </c>
      <c r="B426" s="114" t="s">
        <v>409</v>
      </c>
      <c r="C426" s="114" t="s">
        <v>409</v>
      </c>
      <c r="D426" s="114" t="s">
        <v>409</v>
      </c>
      <c r="E426" s="114" t="s">
        <v>409</v>
      </c>
      <c r="F426" s="79" t="s">
        <v>409</v>
      </c>
      <c r="G426" s="89" t="s">
        <v>409</v>
      </c>
      <c r="H426" s="108"/>
      <c r="I426" s="71"/>
    </row>
    <row r="427" spans="1:9" s="169" customFormat="1">
      <c r="A427" s="94"/>
      <c r="B427" s="95"/>
      <c r="C427" s="95"/>
      <c r="D427" s="95"/>
      <c r="E427" s="95"/>
      <c r="F427"/>
      <c r="G427" s="93" t="s">
        <v>407</v>
      </c>
      <c r="H427" s="107">
        <f>SUM(G425:G426)</f>
        <v>0</v>
      </c>
      <c r="I427" s="71"/>
    </row>
    <row r="428" spans="1:9" s="169" customFormat="1">
      <c r="A428" s="94"/>
      <c r="B428" s="95"/>
      <c r="C428" s="95"/>
      <c r="D428" s="95"/>
      <c r="E428" s="95"/>
      <c r="F428"/>
      <c r="G428" s="74"/>
      <c r="H428" s="74"/>
      <c r="I428" s="71"/>
    </row>
    <row r="429" spans="1:9" s="169" customFormat="1">
      <c r="A429" s="96"/>
      <c r="B429" s="97"/>
      <c r="C429" s="98"/>
      <c r="D429" s="98"/>
      <c r="E429" s="98"/>
      <c r="F429"/>
      <c r="G429" s="99" t="s">
        <v>412</v>
      </c>
      <c r="H429" s="115">
        <f>SUM(H413:H427)</f>
        <v>74514.2</v>
      </c>
      <c r="I429" s="71"/>
    </row>
    <row r="430" spans="1:9" s="169" customFormat="1">
      <c r="A430" s="96"/>
      <c r="B430" s="97"/>
      <c r="C430" s="98"/>
      <c r="D430" s="98"/>
      <c r="E430" s="98"/>
      <c r="F430" s="101"/>
      <c r="G430" s="116"/>
      <c r="H430" s="70"/>
      <c r="I430" s="71"/>
    </row>
    <row r="431" spans="1:9" s="169" customFormat="1" ht="15.75" thickBot="1">
      <c r="A431" s="624" t="s">
        <v>502</v>
      </c>
      <c r="B431" s="625"/>
      <c r="C431" s="625"/>
      <c r="D431" s="625"/>
      <c r="E431" s="625"/>
      <c r="F431" s="625"/>
      <c r="G431" s="626"/>
      <c r="H431" s="117">
        <f>+ROUND(H429,0)</f>
        <v>74514</v>
      </c>
      <c r="I431" s="103"/>
    </row>
    <row r="432" spans="1:9" s="169" customFormat="1" ht="15.75" thickBot="1">
      <c r="A432" s="257"/>
      <c r="B432" s="258"/>
      <c r="C432" s="258"/>
      <c r="D432" s="258"/>
      <c r="E432" s="258"/>
      <c r="G432" s="260"/>
      <c r="H432" s="260"/>
    </row>
    <row r="433" spans="1:9" s="169" customFormat="1">
      <c r="A433" s="627"/>
      <c r="B433" s="629" t="s">
        <v>792</v>
      </c>
      <c r="C433" s="630"/>
      <c r="D433" s="630"/>
      <c r="E433" s="630"/>
      <c r="F433" s="630"/>
      <c r="G433" s="630"/>
      <c r="H433" s="643"/>
      <c r="I433" s="66" t="s">
        <v>389</v>
      </c>
    </row>
    <row r="434" spans="1:9" s="169" customFormat="1">
      <c r="A434" s="628"/>
      <c r="B434" s="631"/>
      <c r="C434" s="632"/>
      <c r="D434" s="632"/>
      <c r="E434" s="632"/>
      <c r="F434" s="632"/>
      <c r="G434" s="632"/>
      <c r="H434" s="644"/>
      <c r="I434" s="67" t="s">
        <v>7</v>
      </c>
    </row>
    <row r="435" spans="1:9" s="169" customFormat="1">
      <c r="A435" s="68"/>
      <c r="B435" s="69"/>
      <c r="C435" s="69"/>
      <c r="D435" s="69"/>
      <c r="E435" s="69"/>
      <c r="F435" s="70"/>
      <c r="G435" s="70"/>
      <c r="H435" s="70"/>
      <c r="I435" s="71"/>
    </row>
    <row r="436" spans="1:9" s="169" customFormat="1">
      <c r="A436" s="72" t="s">
        <v>390</v>
      </c>
      <c r="B436" s="73"/>
      <c r="C436" s="73"/>
      <c r="D436" s="73"/>
      <c r="E436" s="73"/>
      <c r="F436" s="74"/>
      <c r="G436" s="74"/>
      <c r="H436" s="70"/>
      <c r="I436" s="71"/>
    </row>
    <row r="437" spans="1:9" s="169" customFormat="1">
      <c r="A437" s="75" t="s">
        <v>391</v>
      </c>
      <c r="B437" s="76" t="s">
        <v>392</v>
      </c>
      <c r="C437" s="76" t="s">
        <v>393</v>
      </c>
      <c r="D437" s="76" t="s">
        <v>394</v>
      </c>
      <c r="E437" s="76" t="s">
        <v>395</v>
      </c>
      <c r="F437" s="76" t="s">
        <v>396</v>
      </c>
      <c r="G437" s="76" t="s">
        <v>397</v>
      </c>
      <c r="H437" s="74"/>
      <c r="I437" s="71"/>
    </row>
    <row r="438" spans="1:9" s="169" customFormat="1">
      <c r="A438" s="77" t="s">
        <v>404</v>
      </c>
      <c r="B438" s="78" t="s">
        <v>416</v>
      </c>
      <c r="C438" s="79" t="s">
        <v>406</v>
      </c>
      <c r="D438" s="107">
        <v>1250</v>
      </c>
      <c r="E438" s="79">
        <v>2</v>
      </c>
      <c r="F438" s="79">
        <v>0</v>
      </c>
      <c r="G438" s="107">
        <f>(D438*E438)+((D438*E438)*F438/100)</f>
        <v>2500</v>
      </c>
      <c r="H438" s="74"/>
      <c r="I438" s="71"/>
    </row>
    <row r="439" spans="1:9" s="169" customFormat="1">
      <c r="A439" s="82"/>
      <c r="B439" s="83"/>
      <c r="C439" s="84"/>
      <c r="D439" s="84"/>
      <c r="E439" s="84"/>
      <c r="F439"/>
      <c r="G439" s="93" t="s">
        <v>407</v>
      </c>
      <c r="H439" s="107">
        <f>SUM(G438:G438)</f>
        <v>2500</v>
      </c>
      <c r="I439" s="71"/>
    </row>
    <row r="440" spans="1:9" s="169" customFormat="1">
      <c r="A440" s="72" t="s">
        <v>408</v>
      </c>
      <c r="B440" s="73"/>
      <c r="C440" s="73"/>
      <c r="D440" s="73"/>
      <c r="E440" s="73"/>
      <c r="F440"/>
      <c r="G440" s="74"/>
      <c r="H440" s="108"/>
      <c r="I440" s="71"/>
    </row>
    <row r="441" spans="1:9" s="169" customFormat="1">
      <c r="A441" s="75" t="s">
        <v>391</v>
      </c>
      <c r="B441" s="76" t="s">
        <v>392</v>
      </c>
      <c r="C441" s="76" t="s">
        <v>393</v>
      </c>
      <c r="D441" s="76" t="s">
        <v>394</v>
      </c>
      <c r="E441" s="76" t="s">
        <v>395</v>
      </c>
      <c r="F441" s="76" t="s">
        <v>396</v>
      </c>
      <c r="G441" s="76" t="s">
        <v>397</v>
      </c>
      <c r="H441" s="108"/>
      <c r="I441" s="71"/>
    </row>
    <row r="442" spans="1:9" s="169" customFormat="1" ht="39">
      <c r="A442" s="87"/>
      <c r="B442" s="126" t="s">
        <v>1012</v>
      </c>
      <c r="C442" s="114" t="s">
        <v>7</v>
      </c>
      <c r="D442" s="256">
        <f>38000*1.2*1.16</f>
        <v>52895.999999999993</v>
      </c>
      <c r="E442" s="127">
        <v>1</v>
      </c>
      <c r="F442" s="79">
        <v>0</v>
      </c>
      <c r="G442" s="256">
        <f>(D442*E442)+((D442*E442)*F442/100)</f>
        <v>52895.999999999993</v>
      </c>
      <c r="H442" s="108"/>
      <c r="I442" s="71"/>
    </row>
    <row r="443" spans="1:9" s="169" customFormat="1">
      <c r="A443" s="88"/>
      <c r="B443" s="114"/>
      <c r="C443" s="114"/>
      <c r="D443" s="107"/>
      <c r="E443" s="114"/>
      <c r="F443" s="79"/>
      <c r="G443" s="107"/>
      <c r="H443" s="108"/>
      <c r="I443" s="71"/>
    </row>
    <row r="444" spans="1:9" s="169" customFormat="1">
      <c r="A444" s="88"/>
      <c r="B444" s="114"/>
      <c r="C444" s="114"/>
      <c r="D444" s="107"/>
      <c r="E444" s="114"/>
      <c r="F444" s="79"/>
      <c r="G444" s="107"/>
      <c r="H444" s="108"/>
      <c r="I444" s="71"/>
    </row>
    <row r="445" spans="1:9" s="169" customFormat="1">
      <c r="A445" s="90"/>
      <c r="B445" s="91"/>
      <c r="C445" s="91"/>
      <c r="D445" s="91"/>
      <c r="E445" s="91"/>
      <c r="F445"/>
      <c r="G445" s="85" t="s">
        <v>407</v>
      </c>
      <c r="H445" s="107">
        <f>SUM(G442:G444)</f>
        <v>52895.999999999993</v>
      </c>
      <c r="I445" s="71"/>
    </row>
    <row r="446" spans="1:9" s="169" customFormat="1">
      <c r="A446" s="72" t="s">
        <v>410</v>
      </c>
      <c r="B446" s="73"/>
      <c r="C446" s="73"/>
      <c r="D446" s="73"/>
      <c r="E446" s="73"/>
      <c r="F446"/>
      <c r="G446" s="74"/>
      <c r="H446" s="108"/>
      <c r="I446" s="71"/>
    </row>
    <row r="447" spans="1:9" s="169" customFormat="1">
      <c r="A447" s="75" t="s">
        <v>391</v>
      </c>
      <c r="B447" s="76" t="s">
        <v>392</v>
      </c>
      <c r="C447" s="76" t="s">
        <v>393</v>
      </c>
      <c r="D447" s="76" t="s">
        <v>394</v>
      </c>
      <c r="E447" s="76" t="s">
        <v>395</v>
      </c>
      <c r="F447" s="76" t="s">
        <v>396</v>
      </c>
      <c r="G447" s="76" t="s">
        <v>397</v>
      </c>
      <c r="H447" s="108"/>
      <c r="I447" s="71"/>
    </row>
    <row r="448" spans="1:9" s="169" customFormat="1">
      <c r="A448" s="77" t="s">
        <v>494</v>
      </c>
      <c r="B448" s="78" t="s">
        <v>495</v>
      </c>
      <c r="C448" s="79" t="s">
        <v>426</v>
      </c>
      <c r="D448" s="107">
        <v>15927</v>
      </c>
      <c r="E448" s="79">
        <v>1.7</v>
      </c>
      <c r="F448" s="79">
        <v>0</v>
      </c>
      <c r="G448" s="107">
        <f>(D448*E448)+((D448*E448)*F448/100)</f>
        <v>27075.899999999998</v>
      </c>
      <c r="H448" s="108"/>
      <c r="I448" s="71"/>
    </row>
    <row r="449" spans="1:9" s="169" customFormat="1">
      <c r="A449" s="90"/>
      <c r="B449" s="91"/>
      <c r="C449" s="91"/>
      <c r="D449" s="91"/>
      <c r="E449" s="91"/>
      <c r="F449"/>
      <c r="G449" s="93" t="s">
        <v>407</v>
      </c>
      <c r="H449" s="107">
        <f>SUM(G448:G448)</f>
        <v>27075.899999999998</v>
      </c>
      <c r="I449" s="71"/>
    </row>
    <row r="450" spans="1:9" s="169" customFormat="1">
      <c r="A450" s="72" t="s">
        <v>411</v>
      </c>
      <c r="B450" s="73"/>
      <c r="C450" s="73"/>
      <c r="D450" s="73"/>
      <c r="E450" s="73"/>
      <c r="F450"/>
      <c r="G450" s="74"/>
      <c r="H450" s="108"/>
      <c r="I450" s="71"/>
    </row>
    <row r="451" spans="1:9" s="169" customFormat="1">
      <c r="A451" s="75" t="s">
        <v>391</v>
      </c>
      <c r="B451" s="76" t="s">
        <v>392</v>
      </c>
      <c r="C451" s="76" t="s">
        <v>393</v>
      </c>
      <c r="D451" s="76" t="s">
        <v>394</v>
      </c>
      <c r="E451" s="76" t="s">
        <v>395</v>
      </c>
      <c r="F451" s="76" t="s">
        <v>396</v>
      </c>
      <c r="G451" s="76" t="s">
        <v>397</v>
      </c>
      <c r="H451" s="108"/>
      <c r="I451" s="71"/>
    </row>
    <row r="452" spans="1:9" s="169" customFormat="1">
      <c r="A452" s="87" t="s">
        <v>409</v>
      </c>
      <c r="B452" s="114" t="s">
        <v>409</v>
      </c>
      <c r="C452" s="114" t="s">
        <v>409</v>
      </c>
      <c r="D452" s="114" t="s">
        <v>409</v>
      </c>
      <c r="E452" s="114" t="s">
        <v>409</v>
      </c>
      <c r="F452" s="79" t="s">
        <v>409</v>
      </c>
      <c r="G452" s="89" t="s">
        <v>409</v>
      </c>
      <c r="H452" s="108"/>
      <c r="I452" s="71"/>
    </row>
    <row r="453" spans="1:9" s="169" customFormat="1">
      <c r="A453" s="94"/>
      <c r="B453" s="95"/>
      <c r="C453" s="95"/>
      <c r="D453" s="95"/>
      <c r="E453" s="95"/>
      <c r="F453"/>
      <c r="G453" s="93" t="s">
        <v>407</v>
      </c>
      <c r="H453" s="107">
        <f>SUM(G451:G452)</f>
        <v>0</v>
      </c>
      <c r="I453" s="71"/>
    </row>
    <row r="454" spans="1:9" s="169" customFormat="1">
      <c r="A454" s="94"/>
      <c r="B454" s="95"/>
      <c r="C454" s="95"/>
      <c r="D454" s="95"/>
      <c r="E454" s="95"/>
      <c r="F454"/>
      <c r="G454" s="74"/>
      <c r="H454" s="74"/>
      <c r="I454" s="71"/>
    </row>
    <row r="455" spans="1:9" s="169" customFormat="1">
      <c r="A455" s="96"/>
      <c r="B455" s="97"/>
      <c r="C455" s="98"/>
      <c r="D455" s="98"/>
      <c r="E455" s="98"/>
      <c r="F455"/>
      <c r="G455" s="99" t="s">
        <v>412</v>
      </c>
      <c r="H455" s="115">
        <f>SUM(H439:H453)</f>
        <v>82471.899999999994</v>
      </c>
      <c r="I455" s="71"/>
    </row>
    <row r="456" spans="1:9" s="169" customFormat="1">
      <c r="A456" s="96"/>
      <c r="B456" s="97"/>
      <c r="C456" s="98"/>
      <c r="D456" s="98"/>
      <c r="E456" s="98"/>
      <c r="F456" s="101"/>
      <c r="G456" s="116"/>
      <c r="H456" s="70"/>
      <c r="I456" s="71"/>
    </row>
    <row r="457" spans="1:9" s="169" customFormat="1" ht="15.75" thickBot="1">
      <c r="A457" s="624" t="s">
        <v>502</v>
      </c>
      <c r="B457" s="625"/>
      <c r="C457" s="625"/>
      <c r="D457" s="625"/>
      <c r="E457" s="625"/>
      <c r="F457" s="625"/>
      <c r="G457" s="626"/>
      <c r="H457" s="117">
        <f>+ROUND(H455,0)</f>
        <v>82472</v>
      </c>
      <c r="I457" s="103"/>
    </row>
    <row r="458" spans="1:9" s="169" customFormat="1">
      <c r="B458" s="265"/>
      <c r="C458" s="266"/>
      <c r="D458" s="266"/>
      <c r="E458" s="266"/>
      <c r="G458" s="268"/>
      <c r="H458" s="267"/>
    </row>
    <row r="459" spans="1:9" s="169" customFormat="1" ht="15.75" thickBot="1">
      <c r="B459" s="265"/>
      <c r="C459" s="266"/>
      <c r="D459" s="266"/>
      <c r="E459" s="266"/>
      <c r="F459" s="268"/>
      <c r="G459" s="267"/>
    </row>
    <row r="460" spans="1:9" s="169" customFormat="1">
      <c r="A460" s="627"/>
      <c r="B460" s="629" t="s">
        <v>793</v>
      </c>
      <c r="C460" s="630"/>
      <c r="D460" s="630"/>
      <c r="E460" s="630"/>
      <c r="F460" s="630"/>
      <c r="G460" s="630"/>
      <c r="H460" s="643"/>
      <c r="I460" s="66" t="s">
        <v>389</v>
      </c>
    </row>
    <row r="461" spans="1:9" s="169" customFormat="1">
      <c r="A461" s="628"/>
      <c r="B461" s="631"/>
      <c r="C461" s="632"/>
      <c r="D461" s="632"/>
      <c r="E461" s="632"/>
      <c r="F461" s="632"/>
      <c r="G461" s="632"/>
      <c r="H461" s="644"/>
      <c r="I461" s="67" t="s">
        <v>7</v>
      </c>
    </row>
    <row r="462" spans="1:9" s="169" customFormat="1">
      <c r="A462" s="68"/>
      <c r="B462" s="69"/>
      <c r="C462" s="69"/>
      <c r="D462" s="69"/>
      <c r="E462" s="69"/>
      <c r="F462" s="70"/>
      <c r="G462" s="70"/>
      <c r="H462" s="70"/>
      <c r="I462" s="71"/>
    </row>
    <row r="463" spans="1:9" s="169" customFormat="1">
      <c r="A463" s="72" t="s">
        <v>390</v>
      </c>
      <c r="B463" s="73"/>
      <c r="C463" s="73"/>
      <c r="D463" s="73"/>
      <c r="E463" s="73"/>
      <c r="F463" s="74"/>
      <c r="G463" s="74"/>
      <c r="H463" s="70"/>
      <c r="I463" s="71"/>
    </row>
    <row r="464" spans="1:9" s="169" customFormat="1">
      <c r="A464" s="75" t="s">
        <v>391</v>
      </c>
      <c r="B464" s="76" t="s">
        <v>392</v>
      </c>
      <c r="C464" s="76" t="s">
        <v>393</v>
      </c>
      <c r="D464" s="76" t="s">
        <v>394</v>
      </c>
      <c r="E464" s="76" t="s">
        <v>395</v>
      </c>
      <c r="F464" s="76" t="s">
        <v>396</v>
      </c>
      <c r="G464" s="76" t="s">
        <v>397</v>
      </c>
      <c r="H464" s="74"/>
      <c r="I464" s="71"/>
    </row>
    <row r="465" spans="1:9" s="169" customFormat="1">
      <c r="A465" s="77" t="s">
        <v>404</v>
      </c>
      <c r="B465" s="78" t="s">
        <v>416</v>
      </c>
      <c r="C465" s="79" t="s">
        <v>406</v>
      </c>
      <c r="D465" s="107">
        <v>1250</v>
      </c>
      <c r="E465" s="79">
        <v>3</v>
      </c>
      <c r="F465" s="79">
        <v>0</v>
      </c>
      <c r="G465" s="107">
        <f>(D465*E465)+((D465*E465)*F465/100)</f>
        <v>3750</v>
      </c>
      <c r="H465" s="74"/>
      <c r="I465" s="71"/>
    </row>
    <row r="466" spans="1:9" s="169" customFormat="1">
      <c r="A466" s="82"/>
      <c r="B466" s="83"/>
      <c r="C466" s="84"/>
      <c r="D466" s="84"/>
      <c r="E466" s="84"/>
      <c r="F466"/>
      <c r="G466" s="93" t="s">
        <v>407</v>
      </c>
      <c r="H466" s="107">
        <f>SUM(G465:G465)</f>
        <v>3750</v>
      </c>
      <c r="I466" s="71"/>
    </row>
    <row r="467" spans="1:9" s="169" customFormat="1">
      <c r="A467" s="72" t="s">
        <v>408</v>
      </c>
      <c r="B467" s="73"/>
      <c r="C467" s="73"/>
      <c r="D467" s="73"/>
      <c r="E467" s="73"/>
      <c r="F467"/>
      <c r="G467" s="74"/>
      <c r="H467" s="108"/>
      <c r="I467" s="71"/>
    </row>
    <row r="468" spans="1:9" s="169" customFormat="1">
      <c r="A468" s="75" t="s">
        <v>391</v>
      </c>
      <c r="B468" s="76" t="s">
        <v>392</v>
      </c>
      <c r="C468" s="76" t="s">
        <v>393</v>
      </c>
      <c r="D468" s="76" t="s">
        <v>394</v>
      </c>
      <c r="E468" s="76" t="s">
        <v>395</v>
      </c>
      <c r="F468" s="76" t="s">
        <v>396</v>
      </c>
      <c r="G468" s="76" t="s">
        <v>397</v>
      </c>
      <c r="H468" s="108"/>
      <c r="I468" s="71"/>
    </row>
    <row r="469" spans="1:9" s="169" customFormat="1" ht="39">
      <c r="A469" s="87"/>
      <c r="B469" s="126" t="s">
        <v>1013</v>
      </c>
      <c r="C469" s="114" t="s">
        <v>7</v>
      </c>
      <c r="D469" s="256">
        <f>58000*1.2*1.16</f>
        <v>80736</v>
      </c>
      <c r="E469" s="127">
        <v>1</v>
      </c>
      <c r="F469" s="79">
        <v>0</v>
      </c>
      <c r="G469" s="256">
        <f>(D469*E469)+((D469*E469)*F469/100)</f>
        <v>80736</v>
      </c>
      <c r="H469" s="108"/>
      <c r="I469" s="71"/>
    </row>
    <row r="470" spans="1:9" s="169" customFormat="1">
      <c r="A470" s="88"/>
      <c r="B470" s="114"/>
      <c r="C470" s="114"/>
      <c r="D470" s="107"/>
      <c r="E470" s="114"/>
      <c r="F470" s="79"/>
      <c r="G470" s="107"/>
      <c r="H470" s="108"/>
      <c r="I470" s="71"/>
    </row>
    <row r="471" spans="1:9" s="169" customFormat="1">
      <c r="A471" s="88"/>
      <c r="B471" s="114"/>
      <c r="C471" s="114"/>
      <c r="D471" s="107"/>
      <c r="E471" s="114"/>
      <c r="F471" s="79"/>
      <c r="G471" s="107"/>
      <c r="H471" s="108"/>
      <c r="I471" s="71"/>
    </row>
    <row r="472" spans="1:9" s="169" customFormat="1">
      <c r="A472" s="90"/>
      <c r="B472" s="91"/>
      <c r="C472" s="91"/>
      <c r="D472" s="91"/>
      <c r="E472" s="91"/>
      <c r="F472"/>
      <c r="G472" s="85" t="s">
        <v>407</v>
      </c>
      <c r="H472" s="107">
        <f>SUM(G469:G471)</f>
        <v>80736</v>
      </c>
      <c r="I472" s="71"/>
    </row>
    <row r="473" spans="1:9" s="169" customFormat="1">
      <c r="A473" s="72" t="s">
        <v>410</v>
      </c>
      <c r="B473" s="73"/>
      <c r="C473" s="73"/>
      <c r="D473" s="73"/>
      <c r="E473" s="73"/>
      <c r="F473"/>
      <c r="G473" s="74"/>
      <c r="H473" s="108"/>
      <c r="I473" s="71"/>
    </row>
    <row r="474" spans="1:9" s="169" customFormat="1">
      <c r="A474" s="75" t="s">
        <v>391</v>
      </c>
      <c r="B474" s="76" t="s">
        <v>392</v>
      </c>
      <c r="C474" s="76" t="s">
        <v>393</v>
      </c>
      <c r="D474" s="76" t="s">
        <v>394</v>
      </c>
      <c r="E474" s="76" t="s">
        <v>395</v>
      </c>
      <c r="F474" s="76" t="s">
        <v>396</v>
      </c>
      <c r="G474" s="76" t="s">
        <v>397</v>
      </c>
      <c r="H474" s="108"/>
      <c r="I474" s="71"/>
    </row>
    <row r="475" spans="1:9" s="169" customFormat="1">
      <c r="A475" s="77" t="s">
        <v>494</v>
      </c>
      <c r="B475" s="78" t="s">
        <v>495</v>
      </c>
      <c r="C475" s="79" t="s">
        <v>426</v>
      </c>
      <c r="D475" s="107">
        <v>15927</v>
      </c>
      <c r="E475" s="79">
        <v>3.2</v>
      </c>
      <c r="F475" s="79">
        <v>0</v>
      </c>
      <c r="G475" s="107">
        <f>(D475*E475)+((D475*E475)*F475/100)</f>
        <v>50966.400000000001</v>
      </c>
      <c r="H475" s="108"/>
      <c r="I475" s="71"/>
    </row>
    <row r="476" spans="1:9" s="169" customFormat="1">
      <c r="A476" s="90"/>
      <c r="B476" s="91"/>
      <c r="C476" s="91"/>
      <c r="D476" s="91"/>
      <c r="E476" s="91"/>
      <c r="F476"/>
      <c r="G476" s="93" t="s">
        <v>407</v>
      </c>
      <c r="H476" s="107">
        <f>SUM(G475:G475)</f>
        <v>50966.400000000001</v>
      </c>
      <c r="I476" s="71"/>
    </row>
    <row r="477" spans="1:9" s="169" customFormat="1">
      <c r="A477" s="72" t="s">
        <v>411</v>
      </c>
      <c r="B477" s="73"/>
      <c r="C477" s="73"/>
      <c r="D477" s="73"/>
      <c r="E477" s="73"/>
      <c r="F477"/>
      <c r="G477" s="74"/>
      <c r="H477" s="108"/>
      <c r="I477" s="71"/>
    </row>
    <row r="478" spans="1:9" s="169" customFormat="1">
      <c r="A478" s="75" t="s">
        <v>391</v>
      </c>
      <c r="B478" s="76" t="s">
        <v>392</v>
      </c>
      <c r="C478" s="76" t="s">
        <v>393</v>
      </c>
      <c r="D478" s="76" t="s">
        <v>394</v>
      </c>
      <c r="E478" s="76" t="s">
        <v>395</v>
      </c>
      <c r="F478" s="76" t="s">
        <v>396</v>
      </c>
      <c r="G478" s="76" t="s">
        <v>397</v>
      </c>
      <c r="H478" s="108"/>
      <c r="I478" s="71"/>
    </row>
    <row r="479" spans="1:9" s="169" customFormat="1">
      <c r="A479" s="87" t="s">
        <v>409</v>
      </c>
      <c r="B479" s="114" t="s">
        <v>409</v>
      </c>
      <c r="C479" s="114" t="s">
        <v>409</v>
      </c>
      <c r="D479" s="114" t="s">
        <v>409</v>
      </c>
      <c r="E479" s="114" t="s">
        <v>409</v>
      </c>
      <c r="F479" s="79" t="s">
        <v>409</v>
      </c>
      <c r="G479" s="89" t="s">
        <v>409</v>
      </c>
      <c r="H479" s="108"/>
      <c r="I479" s="71"/>
    </row>
    <row r="480" spans="1:9" s="169" customFormat="1">
      <c r="A480" s="94"/>
      <c r="B480" s="95"/>
      <c r="C480" s="95"/>
      <c r="D480" s="95"/>
      <c r="E480" s="95"/>
      <c r="F480"/>
      <c r="G480" s="93" t="s">
        <v>407</v>
      </c>
      <c r="H480" s="107">
        <f>SUM(G478:G479)</f>
        <v>0</v>
      </c>
      <c r="I480" s="71"/>
    </row>
    <row r="481" spans="1:9" s="169" customFormat="1">
      <c r="A481" s="94"/>
      <c r="B481" s="95"/>
      <c r="C481" s="95"/>
      <c r="D481" s="95"/>
      <c r="E481" s="95"/>
      <c r="F481"/>
      <c r="G481" s="74"/>
      <c r="H481" s="74"/>
      <c r="I481" s="71"/>
    </row>
    <row r="482" spans="1:9" s="169" customFormat="1">
      <c r="A482" s="96"/>
      <c r="B482" s="97"/>
      <c r="C482" s="98"/>
      <c r="D482" s="98"/>
      <c r="E482" s="98"/>
      <c r="F482"/>
      <c r="G482" s="99" t="s">
        <v>412</v>
      </c>
      <c r="H482" s="115">
        <f>SUM(H466:H480)</f>
        <v>135452.4</v>
      </c>
      <c r="I482" s="71"/>
    </row>
    <row r="483" spans="1:9" s="169" customFormat="1">
      <c r="A483" s="96"/>
      <c r="B483" s="97"/>
      <c r="C483" s="98"/>
      <c r="D483" s="98"/>
      <c r="E483" s="98"/>
      <c r="F483" s="101"/>
      <c r="G483" s="116"/>
      <c r="H483" s="70"/>
      <c r="I483" s="71"/>
    </row>
    <row r="484" spans="1:9" s="169" customFormat="1" ht="15.75" thickBot="1">
      <c r="A484" s="624" t="s">
        <v>502</v>
      </c>
      <c r="B484" s="625"/>
      <c r="C484" s="625"/>
      <c r="D484" s="625"/>
      <c r="E484" s="625"/>
      <c r="F484" s="625"/>
      <c r="G484" s="626"/>
      <c r="H484" s="117">
        <f>+ROUND(H482,0)</f>
        <v>135452</v>
      </c>
      <c r="I484" s="103"/>
    </row>
    <row r="485" spans="1:9" s="169" customFormat="1">
      <c r="A485" s="688"/>
      <c r="B485" s="688"/>
      <c r="C485" s="688"/>
      <c r="D485" s="688"/>
      <c r="E485" s="688"/>
      <c r="F485" s="688"/>
      <c r="G485" s="688"/>
      <c r="H485" s="269"/>
    </row>
    <row r="486" spans="1:9" s="169" customFormat="1">
      <c r="A486" s="653"/>
      <c r="B486" s="157"/>
      <c r="C486" s="157"/>
      <c r="D486" s="157"/>
      <c r="E486" s="157"/>
      <c r="F486" s="157"/>
      <c r="G486" s="157"/>
      <c r="H486" s="157"/>
      <c r="I486" s="159"/>
    </row>
    <row r="487" spans="1:9" s="169" customFormat="1" ht="15.75" thickBot="1">
      <c r="A487" s="653"/>
      <c r="B487" s="157"/>
      <c r="C487" s="157"/>
      <c r="D487" s="157"/>
      <c r="E487" s="157"/>
      <c r="F487" s="157"/>
      <c r="G487" s="157"/>
    </row>
    <row r="488" spans="1:9" s="169" customFormat="1">
      <c r="A488" s="627"/>
      <c r="B488" s="634" t="s">
        <v>1132</v>
      </c>
      <c r="C488" s="635"/>
      <c r="D488" s="635"/>
      <c r="E488" s="635"/>
      <c r="F488" s="635"/>
      <c r="G488" s="635"/>
      <c r="H488" s="636"/>
      <c r="I488" s="66" t="s">
        <v>389</v>
      </c>
    </row>
    <row r="489" spans="1:9" s="169" customFormat="1">
      <c r="A489" s="628"/>
      <c r="B489" s="637"/>
      <c r="C489" s="638"/>
      <c r="D489" s="638"/>
      <c r="E489" s="638"/>
      <c r="F489" s="638"/>
      <c r="G489" s="638"/>
      <c r="H489" s="639"/>
      <c r="I489" s="67" t="s">
        <v>8</v>
      </c>
    </row>
    <row r="490" spans="1:9" s="169" customFormat="1">
      <c r="A490" s="68"/>
      <c r="B490" s="69"/>
      <c r="C490" s="69"/>
      <c r="D490" s="69"/>
      <c r="E490" s="69"/>
      <c r="F490" s="70"/>
      <c r="G490" s="70"/>
      <c r="H490" s="70"/>
      <c r="I490" s="71"/>
    </row>
    <row r="491" spans="1:9" s="169" customFormat="1">
      <c r="A491" s="72" t="s">
        <v>390</v>
      </c>
      <c r="B491" s="73"/>
      <c r="C491" s="73"/>
      <c r="D491" s="73"/>
      <c r="E491" s="73"/>
      <c r="F491" s="74"/>
      <c r="G491" s="74"/>
      <c r="H491" s="70"/>
      <c r="I491" s="71"/>
    </row>
    <row r="492" spans="1:9" s="169" customFormat="1">
      <c r="A492" s="75" t="s">
        <v>391</v>
      </c>
      <c r="B492" s="76" t="s">
        <v>392</v>
      </c>
      <c r="C492" s="76" t="s">
        <v>393</v>
      </c>
      <c r="D492" s="76" t="s">
        <v>394</v>
      </c>
      <c r="E492" s="76" t="s">
        <v>395</v>
      </c>
      <c r="F492" s="76" t="s">
        <v>396</v>
      </c>
      <c r="G492" s="76" t="s">
        <v>397</v>
      </c>
      <c r="H492" s="74"/>
      <c r="I492" s="71"/>
    </row>
    <row r="493" spans="1:9" s="169" customFormat="1">
      <c r="A493" s="77" t="s">
        <v>404</v>
      </c>
      <c r="B493" s="78" t="s">
        <v>416</v>
      </c>
      <c r="C493" s="79" t="s">
        <v>406</v>
      </c>
      <c r="D493" s="107">
        <v>1250</v>
      </c>
      <c r="E493" s="79">
        <v>7</v>
      </c>
      <c r="F493" s="79">
        <v>0</v>
      </c>
      <c r="G493" s="107">
        <f>(D493*E493)+((D493*E493)*F493/100)</f>
        <v>8750</v>
      </c>
      <c r="H493" s="74"/>
      <c r="I493" s="71"/>
    </row>
    <row r="494" spans="1:9" s="169" customFormat="1">
      <c r="A494" s="82"/>
      <c r="B494" s="83"/>
      <c r="C494" s="84"/>
      <c r="D494" s="84"/>
      <c r="E494" s="84"/>
      <c r="F494"/>
      <c r="G494" s="93" t="s">
        <v>407</v>
      </c>
      <c r="H494" s="107">
        <f>SUM(G493:G493)</f>
        <v>8750</v>
      </c>
      <c r="I494" s="71"/>
    </row>
    <row r="495" spans="1:9" s="169" customFormat="1">
      <c r="A495" s="72" t="s">
        <v>408</v>
      </c>
      <c r="B495" s="73"/>
      <c r="C495" s="73"/>
      <c r="D495" s="73"/>
      <c r="E495" s="73"/>
      <c r="F495"/>
      <c r="G495" s="74"/>
      <c r="H495" s="108"/>
      <c r="I495" s="71"/>
    </row>
    <row r="496" spans="1:9" s="169" customFormat="1">
      <c r="A496" s="75" t="s">
        <v>391</v>
      </c>
      <c r="B496" s="76" t="s">
        <v>392</v>
      </c>
      <c r="C496" s="76" t="s">
        <v>393</v>
      </c>
      <c r="D496" s="76" t="s">
        <v>394</v>
      </c>
      <c r="E496" s="76" t="s">
        <v>395</v>
      </c>
      <c r="F496" s="76" t="s">
        <v>396</v>
      </c>
      <c r="G496" s="76" t="s">
        <v>397</v>
      </c>
      <c r="H496" s="108"/>
      <c r="I496" s="71"/>
    </row>
    <row r="497" spans="1:9" s="169" customFormat="1" ht="64.5">
      <c r="A497" s="87"/>
      <c r="B497" s="126" t="s">
        <v>1132</v>
      </c>
      <c r="C497" s="127" t="s">
        <v>7</v>
      </c>
      <c r="D497" s="256">
        <f>116000*1.2*1.16</f>
        <v>161472</v>
      </c>
      <c r="E497" s="127">
        <v>1</v>
      </c>
      <c r="F497" s="79">
        <v>0</v>
      </c>
      <c r="G497" s="256">
        <f>(D497*E497)+((D497*E497)*F497/100)</f>
        <v>161472</v>
      </c>
      <c r="H497" s="108"/>
      <c r="I497" s="71"/>
    </row>
    <row r="498" spans="1:9" s="169" customFormat="1">
      <c r="A498" s="88"/>
      <c r="B498" s="114"/>
      <c r="C498" s="114"/>
      <c r="D498" s="107"/>
      <c r="E498" s="114"/>
      <c r="F498" s="79"/>
      <c r="G498" s="107"/>
      <c r="H498" s="108"/>
      <c r="I498" s="71"/>
    </row>
    <row r="499" spans="1:9" s="169" customFormat="1">
      <c r="A499" s="88"/>
      <c r="B499" s="114"/>
      <c r="C499" s="114"/>
      <c r="D499" s="107"/>
      <c r="E499" s="114"/>
      <c r="F499" s="79"/>
      <c r="G499" s="107"/>
      <c r="H499" s="108"/>
      <c r="I499" s="71"/>
    </row>
    <row r="500" spans="1:9" s="169" customFormat="1">
      <c r="A500" s="90"/>
      <c r="B500" s="91"/>
      <c r="C500" s="91"/>
      <c r="D500" s="91"/>
      <c r="E500" s="91"/>
      <c r="F500"/>
      <c r="G500" s="85" t="s">
        <v>407</v>
      </c>
      <c r="H500" s="107">
        <f>SUM(G497:G499)</f>
        <v>161472</v>
      </c>
      <c r="I500" s="71"/>
    </row>
    <row r="501" spans="1:9" s="169" customFormat="1">
      <c r="A501" s="72" t="s">
        <v>410</v>
      </c>
      <c r="B501" s="73"/>
      <c r="C501" s="73"/>
      <c r="D501" s="73"/>
      <c r="E501" s="73"/>
      <c r="F501"/>
      <c r="G501" s="74"/>
      <c r="H501" s="108"/>
      <c r="I501" s="71"/>
    </row>
    <row r="502" spans="1:9" s="169" customFormat="1">
      <c r="A502" s="75" t="s">
        <v>391</v>
      </c>
      <c r="B502" s="76" t="s">
        <v>392</v>
      </c>
      <c r="C502" s="76" t="s">
        <v>393</v>
      </c>
      <c r="D502" s="76" t="s">
        <v>394</v>
      </c>
      <c r="E502" s="76" t="s">
        <v>395</v>
      </c>
      <c r="F502" s="76" t="s">
        <v>396</v>
      </c>
      <c r="G502" s="76" t="s">
        <v>397</v>
      </c>
      <c r="H502" s="108"/>
      <c r="I502" s="71"/>
    </row>
    <row r="503" spans="1:9" s="169" customFormat="1">
      <c r="A503" s="77" t="s">
        <v>494</v>
      </c>
      <c r="B503" s="78" t="s">
        <v>495</v>
      </c>
      <c r="C503" s="79" t="s">
        <v>426</v>
      </c>
      <c r="D503" s="107">
        <v>15927</v>
      </c>
      <c r="E503" s="79">
        <v>3</v>
      </c>
      <c r="F503" s="79">
        <v>0</v>
      </c>
      <c r="G503" s="107">
        <f>(D503*E503)+((D503*E503)*F503/100)</f>
        <v>47781</v>
      </c>
      <c r="H503" s="108"/>
      <c r="I503" s="71"/>
    </row>
    <row r="504" spans="1:9" s="169" customFormat="1">
      <c r="A504" s="90"/>
      <c r="B504" s="91"/>
      <c r="C504" s="91"/>
      <c r="D504" s="91"/>
      <c r="E504" s="91"/>
      <c r="F504"/>
      <c r="G504" s="93" t="s">
        <v>407</v>
      </c>
      <c r="H504" s="107">
        <f>SUM(G503:G503)</f>
        <v>47781</v>
      </c>
      <c r="I504" s="71"/>
    </row>
    <row r="505" spans="1:9" s="169" customFormat="1">
      <c r="A505" s="72" t="s">
        <v>411</v>
      </c>
      <c r="B505" s="73"/>
      <c r="C505" s="73"/>
      <c r="D505" s="73"/>
      <c r="E505" s="73"/>
      <c r="F505"/>
      <c r="G505" s="74"/>
      <c r="H505" s="108"/>
      <c r="I505" s="71"/>
    </row>
    <row r="506" spans="1:9" s="169" customFormat="1">
      <c r="A506" s="75" t="s">
        <v>391</v>
      </c>
      <c r="B506" s="76" t="s">
        <v>392</v>
      </c>
      <c r="C506" s="76" t="s">
        <v>393</v>
      </c>
      <c r="D506" s="76" t="s">
        <v>394</v>
      </c>
      <c r="E506" s="76" t="s">
        <v>395</v>
      </c>
      <c r="F506" s="76" t="s">
        <v>396</v>
      </c>
      <c r="G506" s="76" t="s">
        <v>397</v>
      </c>
      <c r="H506" s="108"/>
      <c r="I506" s="71"/>
    </row>
    <row r="507" spans="1:9" s="169" customFormat="1">
      <c r="A507" s="87" t="s">
        <v>409</v>
      </c>
      <c r="B507" s="114" t="s">
        <v>409</v>
      </c>
      <c r="C507" s="114" t="s">
        <v>409</v>
      </c>
      <c r="D507" s="114" t="s">
        <v>409</v>
      </c>
      <c r="E507" s="114" t="s">
        <v>409</v>
      </c>
      <c r="F507" s="79" t="s">
        <v>409</v>
      </c>
      <c r="G507" s="89" t="s">
        <v>409</v>
      </c>
      <c r="H507" s="108"/>
      <c r="I507" s="71"/>
    </row>
    <row r="508" spans="1:9" s="169" customFormat="1">
      <c r="A508" s="94"/>
      <c r="B508" s="95"/>
      <c r="C508" s="95"/>
      <c r="D508" s="95"/>
      <c r="E508" s="95"/>
      <c r="F508"/>
      <c r="G508" s="93" t="s">
        <v>407</v>
      </c>
      <c r="H508" s="107">
        <f>SUM(G506:G507)</f>
        <v>0</v>
      </c>
      <c r="I508" s="71"/>
    </row>
    <row r="509" spans="1:9" s="169" customFormat="1">
      <c r="A509" s="94"/>
      <c r="B509" s="95"/>
      <c r="C509" s="95"/>
      <c r="D509" s="95"/>
      <c r="E509" s="95"/>
      <c r="F509"/>
      <c r="G509" s="74"/>
      <c r="H509" s="74"/>
      <c r="I509" s="71"/>
    </row>
    <row r="510" spans="1:9" s="169" customFormat="1">
      <c r="A510" s="96"/>
      <c r="B510" s="97"/>
      <c r="C510" s="98"/>
      <c r="D510" s="98"/>
      <c r="E510" s="98"/>
      <c r="F510"/>
      <c r="G510" s="99" t="s">
        <v>412</v>
      </c>
      <c r="H510" s="115">
        <f>SUM(H494:H508)</f>
        <v>218003</v>
      </c>
      <c r="I510" s="71"/>
    </row>
    <row r="511" spans="1:9" s="169" customFormat="1">
      <c r="A511" s="96"/>
      <c r="B511" s="97"/>
      <c r="C511" s="98"/>
      <c r="D511" s="98"/>
      <c r="E511" s="98"/>
      <c r="F511" s="101"/>
      <c r="G511" s="116"/>
      <c r="H511" s="70"/>
      <c r="I511" s="71"/>
    </row>
    <row r="512" spans="1:9" s="169" customFormat="1" ht="15.75" thickBot="1">
      <c r="A512" s="624" t="s">
        <v>430</v>
      </c>
      <c r="B512" s="625"/>
      <c r="C512" s="625"/>
      <c r="D512" s="625"/>
      <c r="E512" s="625"/>
      <c r="F512" s="625"/>
      <c r="G512" s="626"/>
      <c r="H512" s="117">
        <f>+ROUND(H510,0)</f>
        <v>218003</v>
      </c>
      <c r="I512" s="103"/>
    </row>
    <row r="513" spans="1:11" s="169" customFormat="1">
      <c r="A513" s="255"/>
      <c r="B513" s="687"/>
      <c r="C513" s="687"/>
      <c r="D513" s="687"/>
      <c r="E513" s="687"/>
      <c r="F513" s="687"/>
      <c r="G513" s="687"/>
      <c r="H513" s="687"/>
      <c r="I513" s="158"/>
      <c r="K513" s="271"/>
    </row>
    <row r="514" spans="1:11" s="169" customFormat="1" ht="15.75" thickBot="1">
      <c r="A514" s="255"/>
      <c r="B514" s="687"/>
      <c r="C514" s="687"/>
      <c r="D514" s="687"/>
      <c r="E514" s="687"/>
      <c r="F514" s="687"/>
      <c r="G514" s="687"/>
      <c r="H514" s="687"/>
      <c r="I514" s="159"/>
    </row>
    <row r="515" spans="1:11" s="169" customFormat="1">
      <c r="A515" s="627"/>
      <c r="B515" s="634" t="s">
        <v>171</v>
      </c>
      <c r="C515" s="635"/>
      <c r="D515" s="635"/>
      <c r="E515" s="635"/>
      <c r="F515" s="635"/>
      <c r="G515" s="635"/>
      <c r="H515" s="636"/>
      <c r="I515" s="66" t="s">
        <v>389</v>
      </c>
    </row>
    <row r="516" spans="1:11" s="169" customFormat="1">
      <c r="A516" s="628"/>
      <c r="B516" s="637"/>
      <c r="C516" s="638"/>
      <c r="D516" s="638"/>
      <c r="E516" s="638"/>
      <c r="F516" s="638"/>
      <c r="G516" s="638"/>
      <c r="H516" s="639"/>
      <c r="I516" s="67" t="s">
        <v>8</v>
      </c>
    </row>
    <row r="517" spans="1:11" s="169" customFormat="1">
      <c r="A517" s="68"/>
      <c r="B517" s="69"/>
      <c r="C517" s="69"/>
      <c r="D517" s="69"/>
      <c r="E517" s="69"/>
      <c r="F517" s="70"/>
      <c r="G517" s="70"/>
      <c r="H517" s="70"/>
      <c r="I517" s="71"/>
    </row>
    <row r="518" spans="1:11" s="169" customFormat="1">
      <c r="A518" s="72" t="s">
        <v>390</v>
      </c>
      <c r="B518" s="73"/>
      <c r="C518" s="73"/>
      <c r="D518" s="73"/>
      <c r="E518" s="73"/>
      <c r="F518" s="74"/>
      <c r="G518" s="74"/>
      <c r="H518" s="70"/>
      <c r="I518" s="71"/>
    </row>
    <row r="519" spans="1:11" s="169" customFormat="1">
      <c r="A519" s="75" t="s">
        <v>391</v>
      </c>
      <c r="B519" s="76" t="s">
        <v>392</v>
      </c>
      <c r="C519" s="76" t="s">
        <v>393</v>
      </c>
      <c r="D519" s="76" t="s">
        <v>394</v>
      </c>
      <c r="E519" s="76" t="s">
        <v>395</v>
      </c>
      <c r="F519" s="76" t="s">
        <v>396</v>
      </c>
      <c r="G519" s="76" t="s">
        <v>397</v>
      </c>
      <c r="H519" s="74"/>
      <c r="I519" s="71"/>
    </row>
    <row r="520" spans="1:11" s="169" customFormat="1">
      <c r="A520" s="77" t="s">
        <v>404</v>
      </c>
      <c r="B520" s="78" t="s">
        <v>416</v>
      </c>
      <c r="C520" s="79" t="s">
        <v>406</v>
      </c>
      <c r="D520" s="107">
        <v>1250</v>
      </c>
      <c r="E520" s="79">
        <v>9</v>
      </c>
      <c r="F520" s="79">
        <v>0</v>
      </c>
      <c r="G520" s="107">
        <f>(D520*E520)+((D520*E520)*F520/100)</f>
        <v>11250</v>
      </c>
      <c r="H520" s="74"/>
      <c r="I520" s="71"/>
    </row>
    <row r="521" spans="1:11" s="169" customFormat="1">
      <c r="A521" s="82"/>
      <c r="B521" s="83"/>
      <c r="C521" s="84"/>
      <c r="D521" s="84"/>
      <c r="E521" s="84"/>
      <c r="F521"/>
      <c r="G521" s="93" t="s">
        <v>407</v>
      </c>
      <c r="H521" s="107">
        <f>SUM(G520:G520)</f>
        <v>11250</v>
      </c>
      <c r="I521" s="71"/>
    </row>
    <row r="522" spans="1:11" s="169" customFormat="1">
      <c r="A522" s="72" t="s">
        <v>408</v>
      </c>
      <c r="B522" s="73"/>
      <c r="C522" s="73"/>
      <c r="D522" s="73"/>
      <c r="E522" s="73"/>
      <c r="F522"/>
      <c r="G522" s="74"/>
      <c r="H522" s="108"/>
      <c r="I522" s="71"/>
    </row>
    <row r="523" spans="1:11" s="169" customFormat="1">
      <c r="A523" s="75" t="s">
        <v>391</v>
      </c>
      <c r="B523" s="76" t="s">
        <v>392</v>
      </c>
      <c r="C523" s="76" t="s">
        <v>393</v>
      </c>
      <c r="D523" s="76" t="s">
        <v>394</v>
      </c>
      <c r="E523" s="76" t="s">
        <v>395</v>
      </c>
      <c r="F523" s="76" t="s">
        <v>396</v>
      </c>
      <c r="G523" s="76" t="s">
        <v>397</v>
      </c>
      <c r="H523" s="108"/>
      <c r="I523" s="71"/>
    </row>
    <row r="524" spans="1:11" s="169" customFormat="1" ht="77.25">
      <c r="A524" s="87"/>
      <c r="B524" s="126" t="s">
        <v>171</v>
      </c>
      <c r="C524" s="127" t="s">
        <v>7</v>
      </c>
      <c r="D524" s="256">
        <f>96600*1.2*1.16</f>
        <v>134467.19999999998</v>
      </c>
      <c r="E524" s="127">
        <v>1</v>
      </c>
      <c r="F524" s="79">
        <v>0</v>
      </c>
      <c r="G524" s="256">
        <f>(D524*E524)+((D524*E524)*F524/100)</f>
        <v>134467.19999999998</v>
      </c>
      <c r="H524" s="108"/>
      <c r="I524" s="71"/>
    </row>
    <row r="525" spans="1:11" s="169" customFormat="1">
      <c r="A525" s="88"/>
      <c r="B525" s="114"/>
      <c r="C525" s="114"/>
      <c r="D525" s="107"/>
      <c r="E525" s="114"/>
      <c r="F525" s="79"/>
      <c r="G525" s="107"/>
      <c r="H525" s="108"/>
      <c r="I525" s="71"/>
    </row>
    <row r="526" spans="1:11" s="169" customFormat="1">
      <c r="A526" s="88"/>
      <c r="B526" s="114"/>
      <c r="C526" s="114"/>
      <c r="D526" s="107"/>
      <c r="E526" s="114"/>
      <c r="F526" s="79"/>
      <c r="G526" s="107"/>
      <c r="H526" s="108"/>
      <c r="I526" s="71"/>
    </row>
    <row r="527" spans="1:11" s="169" customFormat="1">
      <c r="A527" s="90"/>
      <c r="B527" s="91"/>
      <c r="C527" s="91"/>
      <c r="D527" s="91"/>
      <c r="E527" s="91"/>
      <c r="F527"/>
      <c r="G527" s="85" t="s">
        <v>407</v>
      </c>
      <c r="H527" s="107">
        <f>SUM(G524:G526)</f>
        <v>134467.19999999998</v>
      </c>
      <c r="I527" s="71"/>
    </row>
    <row r="528" spans="1:11" s="169" customFormat="1">
      <c r="A528" s="72" t="s">
        <v>410</v>
      </c>
      <c r="B528" s="73"/>
      <c r="C528" s="73"/>
      <c r="D528" s="73"/>
      <c r="E528" s="73"/>
      <c r="F528"/>
      <c r="G528" s="74"/>
      <c r="H528" s="108"/>
      <c r="I528" s="71"/>
    </row>
    <row r="529" spans="1:9" s="169" customFormat="1">
      <c r="A529" s="75" t="s">
        <v>391</v>
      </c>
      <c r="B529" s="76" t="s">
        <v>392</v>
      </c>
      <c r="C529" s="76" t="s">
        <v>393</v>
      </c>
      <c r="D529" s="76" t="s">
        <v>394</v>
      </c>
      <c r="E529" s="76" t="s">
        <v>395</v>
      </c>
      <c r="F529" s="76" t="s">
        <v>396</v>
      </c>
      <c r="G529" s="76" t="s">
        <v>397</v>
      </c>
      <c r="H529" s="108"/>
      <c r="I529" s="71"/>
    </row>
    <row r="530" spans="1:9" s="169" customFormat="1">
      <c r="A530" s="77" t="s">
        <v>494</v>
      </c>
      <c r="B530" s="78" t="s">
        <v>495</v>
      </c>
      <c r="C530" s="79" t="s">
        <v>426</v>
      </c>
      <c r="D530" s="107">
        <v>15927</v>
      </c>
      <c r="E530" s="79">
        <v>3.5</v>
      </c>
      <c r="F530" s="79">
        <v>0</v>
      </c>
      <c r="G530" s="107">
        <f>(D530*E530)+((D530*E530)*F530/100)</f>
        <v>55744.5</v>
      </c>
      <c r="H530" s="108"/>
      <c r="I530" s="71"/>
    </row>
    <row r="531" spans="1:9" s="169" customFormat="1">
      <c r="A531" s="90"/>
      <c r="B531" s="91"/>
      <c r="C531" s="91"/>
      <c r="D531" s="91"/>
      <c r="E531" s="91"/>
      <c r="F531"/>
      <c r="G531" s="93" t="s">
        <v>407</v>
      </c>
      <c r="H531" s="107">
        <f>SUM(G530:G530)</f>
        <v>55744.5</v>
      </c>
      <c r="I531" s="71"/>
    </row>
    <row r="532" spans="1:9" s="169" customFormat="1">
      <c r="A532" s="72" t="s">
        <v>411</v>
      </c>
      <c r="B532" s="73"/>
      <c r="C532" s="73"/>
      <c r="D532" s="73"/>
      <c r="E532" s="73"/>
      <c r="F532"/>
      <c r="G532" s="74"/>
      <c r="H532" s="108"/>
      <c r="I532" s="71"/>
    </row>
    <row r="533" spans="1:9" s="169" customFormat="1">
      <c r="A533" s="75" t="s">
        <v>391</v>
      </c>
      <c r="B533" s="76" t="s">
        <v>392</v>
      </c>
      <c r="C533" s="76" t="s">
        <v>393</v>
      </c>
      <c r="D533" s="76" t="s">
        <v>394</v>
      </c>
      <c r="E533" s="76" t="s">
        <v>395</v>
      </c>
      <c r="F533" s="76" t="s">
        <v>396</v>
      </c>
      <c r="G533" s="76" t="s">
        <v>397</v>
      </c>
      <c r="H533" s="108"/>
      <c r="I533" s="71"/>
    </row>
    <row r="534" spans="1:9" s="169" customFormat="1">
      <c r="A534" s="87" t="s">
        <v>409</v>
      </c>
      <c r="B534" s="114" t="s">
        <v>409</v>
      </c>
      <c r="C534" s="114" t="s">
        <v>409</v>
      </c>
      <c r="D534" s="114" t="s">
        <v>409</v>
      </c>
      <c r="E534" s="114" t="s">
        <v>409</v>
      </c>
      <c r="F534" s="79" t="s">
        <v>409</v>
      </c>
      <c r="G534" s="89" t="s">
        <v>409</v>
      </c>
      <c r="H534" s="108"/>
      <c r="I534" s="71"/>
    </row>
    <row r="535" spans="1:9" s="169" customFormat="1">
      <c r="A535" s="94"/>
      <c r="B535" s="95"/>
      <c r="C535" s="95"/>
      <c r="D535" s="95"/>
      <c r="E535" s="95"/>
      <c r="F535"/>
      <c r="G535" s="93" t="s">
        <v>407</v>
      </c>
      <c r="H535" s="107">
        <f>SUM(G533:G534)</f>
        <v>0</v>
      </c>
      <c r="I535" s="71"/>
    </row>
    <row r="536" spans="1:9" s="169" customFormat="1">
      <c r="A536" s="94"/>
      <c r="B536" s="95"/>
      <c r="C536" s="95"/>
      <c r="D536" s="95"/>
      <c r="E536" s="95"/>
      <c r="F536"/>
      <c r="G536" s="74"/>
      <c r="H536" s="74"/>
      <c r="I536" s="71"/>
    </row>
    <row r="537" spans="1:9" s="169" customFormat="1">
      <c r="A537" s="96"/>
      <c r="B537" s="97"/>
      <c r="C537" s="98"/>
      <c r="D537" s="98"/>
      <c r="E537" s="98"/>
      <c r="F537"/>
      <c r="G537" s="99" t="s">
        <v>412</v>
      </c>
      <c r="H537" s="115">
        <f>SUM(H521:H535)</f>
        <v>201461.69999999998</v>
      </c>
      <c r="I537" s="71"/>
    </row>
    <row r="538" spans="1:9" s="169" customFormat="1">
      <c r="A538" s="96"/>
      <c r="B538" s="97"/>
      <c r="C538" s="98"/>
      <c r="D538" s="98"/>
      <c r="E538" s="98"/>
      <c r="F538" s="101"/>
      <c r="G538" s="116"/>
      <c r="H538" s="70"/>
      <c r="I538" s="71"/>
    </row>
    <row r="539" spans="1:9" s="169" customFormat="1" ht="15.75" thickBot="1">
      <c r="A539" s="624" t="s">
        <v>430</v>
      </c>
      <c r="B539" s="625"/>
      <c r="C539" s="625"/>
      <c r="D539" s="625"/>
      <c r="E539" s="625"/>
      <c r="F539" s="625"/>
      <c r="G539" s="626"/>
      <c r="H539" s="117">
        <f>+ROUND(H537,0)</f>
        <v>201462</v>
      </c>
      <c r="I539" s="103"/>
    </row>
    <row r="540" spans="1:9" s="169" customFormat="1">
      <c r="A540" s="261"/>
      <c r="B540" s="261"/>
      <c r="C540" s="261"/>
      <c r="D540" s="261"/>
      <c r="E540" s="261"/>
    </row>
    <row r="541" spans="1:9" s="169" customFormat="1" ht="15.75" thickBot="1">
      <c r="A541" s="270"/>
      <c r="B541" s="260"/>
      <c r="C541" s="260"/>
      <c r="D541" s="260"/>
      <c r="E541" s="260"/>
      <c r="F541" s="260"/>
      <c r="G541" s="260"/>
    </row>
    <row r="542" spans="1:9" s="169" customFormat="1">
      <c r="A542" s="627"/>
      <c r="B542" s="634" t="s">
        <v>59</v>
      </c>
      <c r="C542" s="635"/>
      <c r="D542" s="635"/>
      <c r="E542" s="635"/>
      <c r="F542" s="635"/>
      <c r="G542" s="635"/>
      <c r="H542" s="636"/>
      <c r="I542" s="66" t="s">
        <v>389</v>
      </c>
    </row>
    <row r="543" spans="1:9" s="169" customFormat="1">
      <c r="A543" s="628"/>
      <c r="B543" s="637"/>
      <c r="C543" s="638"/>
      <c r="D543" s="638"/>
      <c r="E543" s="638"/>
      <c r="F543" s="638"/>
      <c r="G543" s="638"/>
      <c r="H543" s="639"/>
      <c r="I543" s="67" t="s">
        <v>7</v>
      </c>
    </row>
    <row r="544" spans="1:9" s="169" customFormat="1">
      <c r="A544" s="68"/>
      <c r="B544" s="69"/>
      <c r="C544" s="69"/>
      <c r="D544" s="69"/>
      <c r="E544" s="69"/>
      <c r="F544" s="70"/>
      <c r="G544" s="70"/>
      <c r="H544" s="70"/>
      <c r="I544" s="71"/>
    </row>
    <row r="545" spans="1:9" s="169" customFormat="1" ht="42.75" customHeight="1">
      <c r="A545" s="72" t="s">
        <v>390</v>
      </c>
      <c r="B545" s="73"/>
      <c r="C545" s="73"/>
      <c r="D545" s="73"/>
      <c r="E545" s="73"/>
      <c r="F545" s="74"/>
      <c r="G545" s="74"/>
      <c r="H545" s="70"/>
      <c r="I545" s="71"/>
    </row>
    <row r="546" spans="1:9" s="169" customFormat="1">
      <c r="A546" s="75" t="s">
        <v>391</v>
      </c>
      <c r="B546" s="76" t="s">
        <v>392</v>
      </c>
      <c r="C546" s="76" t="s">
        <v>393</v>
      </c>
      <c r="D546" s="76" t="s">
        <v>394</v>
      </c>
      <c r="E546" s="76" t="s">
        <v>395</v>
      </c>
      <c r="F546" s="76" t="s">
        <v>396</v>
      </c>
      <c r="G546" s="76" t="s">
        <v>397</v>
      </c>
      <c r="H546" s="74"/>
      <c r="I546" s="71"/>
    </row>
    <row r="547" spans="1:9" s="169" customFormat="1">
      <c r="A547" s="77" t="s">
        <v>404</v>
      </c>
      <c r="B547" s="78" t="s">
        <v>416</v>
      </c>
      <c r="C547" s="79" t="s">
        <v>406</v>
      </c>
      <c r="D547" s="107">
        <v>1250</v>
      </c>
      <c r="E547" s="79">
        <v>9</v>
      </c>
      <c r="F547" s="79">
        <v>0</v>
      </c>
      <c r="G547" s="107">
        <f>(D547*E547)+((D547*E547)*F547/100)</f>
        <v>11250</v>
      </c>
      <c r="H547" s="74"/>
      <c r="I547" s="71"/>
    </row>
    <row r="548" spans="1:9" s="169" customFormat="1">
      <c r="A548" s="82"/>
      <c r="B548" s="83"/>
      <c r="C548" s="84"/>
      <c r="D548" s="84"/>
      <c r="E548" s="84"/>
      <c r="F548"/>
      <c r="G548" s="93" t="s">
        <v>407</v>
      </c>
      <c r="H548" s="107">
        <f>SUM(G547:G547)</f>
        <v>11250</v>
      </c>
      <c r="I548" s="71"/>
    </row>
    <row r="549" spans="1:9" s="169" customFormat="1">
      <c r="A549" s="72" t="s">
        <v>408</v>
      </c>
      <c r="B549" s="73"/>
      <c r="C549" s="73"/>
      <c r="D549" s="73"/>
      <c r="E549" s="73"/>
      <c r="F549"/>
      <c r="G549" s="74"/>
      <c r="H549" s="108"/>
      <c r="I549" s="71"/>
    </row>
    <row r="550" spans="1:9" s="169" customFormat="1">
      <c r="A550" s="75" t="s">
        <v>391</v>
      </c>
      <c r="B550" s="76" t="s">
        <v>392</v>
      </c>
      <c r="C550" s="76" t="s">
        <v>393</v>
      </c>
      <c r="D550" s="76" t="s">
        <v>394</v>
      </c>
      <c r="E550" s="76" t="s">
        <v>395</v>
      </c>
      <c r="F550" s="76" t="s">
        <v>396</v>
      </c>
      <c r="G550" s="76" t="s">
        <v>397</v>
      </c>
      <c r="H550" s="108"/>
      <c r="I550" s="71"/>
    </row>
    <row r="551" spans="1:9" s="169" customFormat="1" ht="77.25">
      <c r="A551" s="87"/>
      <c r="B551" s="126" t="s">
        <v>59</v>
      </c>
      <c r="C551" s="127" t="s">
        <v>7</v>
      </c>
      <c r="D551" s="256">
        <f>6500000*1.16</f>
        <v>7539999.9999999991</v>
      </c>
      <c r="E551" s="127">
        <v>1</v>
      </c>
      <c r="F551" s="79">
        <v>0</v>
      </c>
      <c r="G551" s="256">
        <f>(D551*E551)+((D551*E551)*F551/100)</f>
        <v>7539999.9999999991</v>
      </c>
      <c r="H551" s="108"/>
      <c r="I551" s="71"/>
    </row>
    <row r="552" spans="1:9" s="169" customFormat="1">
      <c r="A552" s="88"/>
      <c r="B552" s="114"/>
      <c r="C552" s="114"/>
      <c r="D552" s="107"/>
      <c r="E552" s="114"/>
      <c r="F552" s="79"/>
      <c r="G552" s="107"/>
      <c r="H552" s="108"/>
      <c r="I552" s="71"/>
    </row>
    <row r="553" spans="1:9" s="169" customFormat="1" ht="30" customHeight="1">
      <c r="A553" s="88"/>
      <c r="B553" s="114"/>
      <c r="C553" s="114"/>
      <c r="D553" s="107"/>
      <c r="E553" s="114"/>
      <c r="F553" s="79"/>
      <c r="G553" s="107"/>
      <c r="H553" s="108"/>
      <c r="I553" s="71"/>
    </row>
    <row r="554" spans="1:9" s="169" customFormat="1">
      <c r="A554" s="90"/>
      <c r="B554" s="91"/>
      <c r="C554" s="91"/>
      <c r="D554" s="91"/>
      <c r="E554" s="91"/>
      <c r="F554"/>
      <c r="G554" s="85" t="s">
        <v>407</v>
      </c>
      <c r="H554" s="107">
        <f>SUM(G551:G553)</f>
        <v>7539999.9999999991</v>
      </c>
      <c r="I554" s="71"/>
    </row>
    <row r="555" spans="1:9" s="169" customFormat="1">
      <c r="A555" s="72" t="s">
        <v>410</v>
      </c>
      <c r="B555" s="73"/>
      <c r="C555" s="73"/>
      <c r="D555" s="73"/>
      <c r="E555" s="73"/>
      <c r="F555"/>
      <c r="G555" s="74"/>
      <c r="H555" s="108"/>
      <c r="I555" s="71"/>
    </row>
    <row r="556" spans="1:9" s="169" customFormat="1">
      <c r="A556" s="75" t="s">
        <v>391</v>
      </c>
      <c r="B556" s="76" t="s">
        <v>392</v>
      </c>
      <c r="C556" s="76" t="s">
        <v>393</v>
      </c>
      <c r="D556" s="76" t="s">
        <v>394</v>
      </c>
      <c r="E556" s="76" t="s">
        <v>395</v>
      </c>
      <c r="F556" s="76" t="s">
        <v>396</v>
      </c>
      <c r="G556" s="76" t="s">
        <v>397</v>
      </c>
      <c r="H556" s="108"/>
      <c r="I556" s="71"/>
    </row>
    <row r="557" spans="1:9" s="169" customFormat="1">
      <c r="A557" s="77" t="s">
        <v>494</v>
      </c>
      <c r="B557" s="78" t="s">
        <v>1014</v>
      </c>
      <c r="C557" s="79" t="s">
        <v>426</v>
      </c>
      <c r="D557" s="107">
        <f>15927+5627</f>
        <v>21554</v>
      </c>
      <c r="E557" s="79">
        <v>5</v>
      </c>
      <c r="F557" s="79">
        <v>0</v>
      </c>
      <c r="G557" s="107">
        <f>(D557*E557)+((D557*E557)*F557/100)</f>
        <v>107770</v>
      </c>
      <c r="H557" s="108"/>
      <c r="I557" s="71"/>
    </row>
    <row r="558" spans="1:9" s="169" customFormat="1">
      <c r="A558" s="90"/>
      <c r="B558" s="91"/>
      <c r="C558" s="91"/>
      <c r="D558" s="91"/>
      <c r="E558" s="91"/>
      <c r="F558"/>
      <c r="G558" s="93" t="s">
        <v>407</v>
      </c>
      <c r="H558" s="107">
        <f>SUM(G557:G557)</f>
        <v>107770</v>
      </c>
      <c r="I558" s="71"/>
    </row>
    <row r="559" spans="1:9" s="169" customFormat="1">
      <c r="A559" s="72" t="s">
        <v>411</v>
      </c>
      <c r="B559" s="73"/>
      <c r="C559" s="73"/>
      <c r="D559" s="73"/>
      <c r="E559" s="73"/>
      <c r="F559"/>
      <c r="G559" s="74"/>
      <c r="H559" s="108"/>
      <c r="I559" s="71"/>
    </row>
    <row r="560" spans="1:9" s="169" customFormat="1">
      <c r="A560" s="75" t="s">
        <v>391</v>
      </c>
      <c r="B560" s="76" t="s">
        <v>392</v>
      </c>
      <c r="C560" s="76" t="s">
        <v>393</v>
      </c>
      <c r="D560" s="76" t="s">
        <v>394</v>
      </c>
      <c r="E560" s="76" t="s">
        <v>395</v>
      </c>
      <c r="F560" s="76" t="s">
        <v>396</v>
      </c>
      <c r="G560" s="76" t="s">
        <v>397</v>
      </c>
      <c r="H560" s="108"/>
      <c r="I560" s="71"/>
    </row>
    <row r="561" spans="1:9" s="212" customFormat="1">
      <c r="A561" s="87" t="s">
        <v>409</v>
      </c>
      <c r="B561" s="114" t="s">
        <v>409</v>
      </c>
      <c r="C561" s="114" t="s">
        <v>409</v>
      </c>
      <c r="D561" s="114" t="s">
        <v>409</v>
      </c>
      <c r="E561" s="114" t="s">
        <v>409</v>
      </c>
      <c r="F561" s="79" t="s">
        <v>409</v>
      </c>
      <c r="G561" s="89" t="s">
        <v>409</v>
      </c>
      <c r="H561" s="108"/>
      <c r="I561" s="71"/>
    </row>
    <row r="562" spans="1:9" s="212" customFormat="1">
      <c r="A562" s="94"/>
      <c r="B562" s="95"/>
      <c r="C562" s="95"/>
      <c r="D562" s="95"/>
      <c r="E562" s="95"/>
      <c r="F562"/>
      <c r="G562" s="93" t="s">
        <v>407</v>
      </c>
      <c r="H562" s="107">
        <f>SUM(G560:G561)</f>
        <v>0</v>
      </c>
      <c r="I562" s="71"/>
    </row>
    <row r="563" spans="1:9" s="212" customFormat="1">
      <c r="A563" s="94"/>
      <c r="B563" s="95"/>
      <c r="C563" s="95"/>
      <c r="D563" s="95"/>
      <c r="E563" s="95"/>
      <c r="F563"/>
      <c r="G563" s="74"/>
      <c r="H563" s="74"/>
      <c r="I563" s="71"/>
    </row>
    <row r="564" spans="1:9" s="212" customFormat="1">
      <c r="A564" s="96"/>
      <c r="B564" s="97"/>
      <c r="C564" s="98"/>
      <c r="D564" s="98"/>
      <c r="E564" s="98"/>
      <c r="F564"/>
      <c r="G564" s="99" t="s">
        <v>412</v>
      </c>
      <c r="H564" s="115">
        <f>SUM(H548:H562)</f>
        <v>7659019.9999999991</v>
      </c>
      <c r="I564" s="71"/>
    </row>
    <row r="565" spans="1:9" s="212" customFormat="1">
      <c r="A565" s="96"/>
      <c r="B565" s="97"/>
      <c r="C565" s="98"/>
      <c r="D565" s="98"/>
      <c r="E565" s="98"/>
      <c r="F565" s="101"/>
      <c r="G565" s="116"/>
      <c r="H565" s="70"/>
      <c r="I565" s="71"/>
    </row>
    <row r="566" spans="1:9" s="212" customFormat="1" ht="15.75" thickBot="1">
      <c r="A566" s="624" t="s">
        <v>502</v>
      </c>
      <c r="B566" s="625"/>
      <c r="C566" s="625"/>
      <c r="D566" s="625"/>
      <c r="E566" s="625"/>
      <c r="F566" s="625"/>
      <c r="G566" s="626"/>
      <c r="H566" s="117">
        <f>+ROUND(H564,0)</f>
        <v>7659020</v>
      </c>
      <c r="I566" s="103"/>
    </row>
    <row r="567" spans="1:9" s="212" customFormat="1">
      <c r="A567" s="268"/>
      <c r="B567" s="272"/>
      <c r="C567" s="272"/>
      <c r="D567" s="272"/>
      <c r="E567" s="272"/>
      <c r="F567" s="272"/>
      <c r="G567" s="272"/>
      <c r="H567" s="260"/>
      <c r="I567" s="169"/>
    </row>
    <row r="568" spans="1:9" s="212" customFormat="1" ht="15.75" thickBot="1">
      <c r="A568" s="263"/>
      <c r="B568" s="263"/>
      <c r="C568" s="263"/>
      <c r="D568" s="275"/>
      <c r="E568" s="263"/>
      <c r="F568" s="263"/>
      <c r="G568" s="275"/>
      <c r="H568" s="260"/>
      <c r="I568" s="169"/>
    </row>
    <row r="569" spans="1:9" s="212" customFormat="1">
      <c r="A569" s="627"/>
      <c r="B569" s="634" t="s">
        <v>172</v>
      </c>
      <c r="C569" s="635"/>
      <c r="D569" s="635"/>
      <c r="E569" s="635"/>
      <c r="F569" s="635"/>
      <c r="G569" s="635"/>
      <c r="H569" s="636"/>
      <c r="I569" s="66" t="s">
        <v>389</v>
      </c>
    </row>
    <row r="570" spans="1:9" s="212" customFormat="1">
      <c r="A570" s="628"/>
      <c r="B570" s="637"/>
      <c r="C570" s="638"/>
      <c r="D570" s="638"/>
      <c r="E570" s="638"/>
      <c r="F570" s="638"/>
      <c r="G570" s="638"/>
      <c r="H570" s="639"/>
      <c r="I570" s="67" t="s">
        <v>7</v>
      </c>
    </row>
    <row r="571" spans="1:9" s="212" customFormat="1">
      <c r="A571" s="68"/>
      <c r="B571" s="69"/>
      <c r="C571" s="69"/>
      <c r="D571" s="69"/>
      <c r="E571" s="69"/>
      <c r="F571" s="70"/>
      <c r="G571" s="70"/>
      <c r="H571" s="70"/>
      <c r="I571" s="71"/>
    </row>
    <row r="572" spans="1:9" s="212" customFormat="1">
      <c r="A572" s="72" t="s">
        <v>390</v>
      </c>
      <c r="B572" s="73"/>
      <c r="C572" s="73"/>
      <c r="D572" s="73"/>
      <c r="E572" s="73"/>
      <c r="F572" s="74"/>
      <c r="G572" s="74"/>
      <c r="H572" s="70"/>
      <c r="I572" s="71"/>
    </row>
    <row r="573" spans="1:9" s="212" customFormat="1">
      <c r="A573" s="75" t="s">
        <v>391</v>
      </c>
      <c r="B573" s="76" t="s">
        <v>392</v>
      </c>
      <c r="C573" s="76" t="s">
        <v>393</v>
      </c>
      <c r="D573" s="76" t="s">
        <v>394</v>
      </c>
      <c r="E573" s="76" t="s">
        <v>395</v>
      </c>
      <c r="F573" s="76" t="s">
        <v>396</v>
      </c>
      <c r="G573" s="76" t="s">
        <v>397</v>
      </c>
      <c r="H573" s="74"/>
      <c r="I573" s="71"/>
    </row>
    <row r="574" spans="1:9" s="212" customFormat="1">
      <c r="A574" s="77" t="s">
        <v>404</v>
      </c>
      <c r="B574" s="78" t="s">
        <v>416</v>
      </c>
      <c r="C574" s="79" t="s">
        <v>406</v>
      </c>
      <c r="D574" s="107">
        <v>1250</v>
      </c>
      <c r="E574" s="79">
        <v>10</v>
      </c>
      <c r="F574" s="79">
        <v>0</v>
      </c>
      <c r="G574" s="107">
        <f>(D574*E574)+((D574*E574)*F574/100)</f>
        <v>12500</v>
      </c>
      <c r="H574" s="74"/>
      <c r="I574" s="71"/>
    </row>
    <row r="575" spans="1:9" s="212" customFormat="1">
      <c r="A575" s="82"/>
      <c r="B575" s="83"/>
      <c r="C575" s="84"/>
      <c r="D575" s="84"/>
      <c r="E575" s="84"/>
      <c r="F575"/>
      <c r="G575" s="93" t="s">
        <v>407</v>
      </c>
      <c r="H575" s="107">
        <f>SUM(G574:G574)</f>
        <v>12500</v>
      </c>
      <c r="I575" s="71"/>
    </row>
    <row r="576" spans="1:9" s="212" customFormat="1">
      <c r="A576" s="72" t="s">
        <v>408</v>
      </c>
      <c r="B576" s="73"/>
      <c r="C576" s="73"/>
      <c r="D576" s="73"/>
      <c r="E576" s="73"/>
      <c r="F576"/>
      <c r="G576" s="74"/>
      <c r="H576" s="108"/>
      <c r="I576" s="71"/>
    </row>
    <row r="577" spans="1:9" s="212" customFormat="1">
      <c r="A577" s="75" t="s">
        <v>391</v>
      </c>
      <c r="B577" s="76" t="s">
        <v>392</v>
      </c>
      <c r="C577" s="76" t="s">
        <v>393</v>
      </c>
      <c r="D577" s="76" t="s">
        <v>394</v>
      </c>
      <c r="E577" s="76" t="s">
        <v>395</v>
      </c>
      <c r="F577" s="76" t="s">
        <v>396</v>
      </c>
      <c r="G577" s="76" t="s">
        <v>397</v>
      </c>
      <c r="H577" s="108"/>
      <c r="I577" s="71"/>
    </row>
    <row r="578" spans="1:9" s="212" customFormat="1">
      <c r="A578" s="87"/>
      <c r="B578" s="209" t="s">
        <v>1015</v>
      </c>
      <c r="C578" s="127" t="s">
        <v>7</v>
      </c>
      <c r="D578" s="256">
        <v>2535000</v>
      </c>
      <c r="E578" s="127">
        <v>1</v>
      </c>
      <c r="F578" s="79">
        <v>0</v>
      </c>
      <c r="G578" s="256">
        <f>(D578*E578)+((D578*E578)*F578/100)</f>
        <v>2535000</v>
      </c>
      <c r="H578" s="108"/>
      <c r="I578" s="71"/>
    </row>
    <row r="579" spans="1:9" s="212" customFormat="1">
      <c r="A579" s="88"/>
      <c r="B579" s="114"/>
      <c r="C579" s="114"/>
      <c r="D579" s="107"/>
      <c r="E579" s="114"/>
      <c r="F579" s="79"/>
      <c r="G579" s="107"/>
      <c r="H579" s="108"/>
      <c r="I579" s="71"/>
    </row>
    <row r="580" spans="1:9" s="212" customFormat="1">
      <c r="A580" s="88"/>
      <c r="B580" s="114"/>
      <c r="C580" s="114"/>
      <c r="D580" s="107"/>
      <c r="E580" s="114"/>
      <c r="F580" s="79"/>
      <c r="G580" s="107"/>
      <c r="H580" s="108"/>
      <c r="I580" s="71"/>
    </row>
    <row r="581" spans="1:9" s="212" customFormat="1">
      <c r="A581" s="90"/>
      <c r="B581" s="91"/>
      <c r="C581" s="91"/>
      <c r="D581" s="91"/>
      <c r="E581" s="91"/>
      <c r="F581"/>
      <c r="G581" s="85" t="s">
        <v>407</v>
      </c>
      <c r="H581" s="107">
        <f>SUM(G578:G580)</f>
        <v>2535000</v>
      </c>
      <c r="I581" s="71"/>
    </row>
    <row r="582" spans="1:9" s="212" customFormat="1">
      <c r="A582" s="72" t="s">
        <v>410</v>
      </c>
      <c r="B582" s="73"/>
      <c r="C582" s="73"/>
      <c r="D582" s="73"/>
      <c r="E582" s="73"/>
      <c r="F582"/>
      <c r="G582" s="74"/>
      <c r="H582" s="108"/>
      <c r="I582" s="71"/>
    </row>
    <row r="583" spans="1:9" s="212" customFormat="1" ht="20.25" customHeight="1">
      <c r="A583" s="75" t="s">
        <v>391</v>
      </c>
      <c r="B583" s="76" t="s">
        <v>392</v>
      </c>
      <c r="C583" s="76" t="s">
        <v>393</v>
      </c>
      <c r="D583" s="76" t="s">
        <v>394</v>
      </c>
      <c r="E583" s="76" t="s">
        <v>395</v>
      </c>
      <c r="F583" s="76" t="s">
        <v>396</v>
      </c>
      <c r="G583" s="76" t="s">
        <v>397</v>
      </c>
      <c r="H583" s="108"/>
      <c r="I583" s="71"/>
    </row>
    <row r="584" spans="1:9" s="212" customFormat="1">
      <c r="A584" s="77" t="s">
        <v>494</v>
      </c>
      <c r="B584" s="78" t="s">
        <v>1014</v>
      </c>
      <c r="C584" s="79" t="s">
        <v>426</v>
      </c>
      <c r="D584" s="107">
        <f>15927+5627</f>
        <v>21554</v>
      </c>
      <c r="E584" s="79">
        <v>8</v>
      </c>
      <c r="F584" s="79">
        <v>0</v>
      </c>
      <c r="G584" s="107">
        <f>(D584*E584)+((D584*E584)*F584/100)</f>
        <v>172432</v>
      </c>
      <c r="H584" s="108"/>
      <c r="I584" s="71"/>
    </row>
    <row r="585" spans="1:9" s="212" customFormat="1">
      <c r="A585" s="90"/>
      <c r="B585" s="91"/>
      <c r="C585" s="91"/>
      <c r="D585" s="91"/>
      <c r="E585" s="91"/>
      <c r="F585"/>
      <c r="G585" s="93" t="s">
        <v>407</v>
      </c>
      <c r="H585" s="107">
        <f>SUM(G584:G584)</f>
        <v>172432</v>
      </c>
      <c r="I585" s="71"/>
    </row>
    <row r="586" spans="1:9" s="212" customFormat="1">
      <c r="A586" s="72" t="s">
        <v>411</v>
      </c>
      <c r="B586" s="73"/>
      <c r="C586" s="73"/>
      <c r="D586" s="73"/>
      <c r="E586" s="73"/>
      <c r="F586"/>
      <c r="G586" s="74"/>
      <c r="H586" s="108"/>
      <c r="I586" s="71"/>
    </row>
    <row r="587" spans="1:9" s="212" customFormat="1">
      <c r="A587" s="75" t="s">
        <v>391</v>
      </c>
      <c r="B587" s="76" t="s">
        <v>392</v>
      </c>
      <c r="C587" s="76" t="s">
        <v>393</v>
      </c>
      <c r="D587" s="76" t="s">
        <v>394</v>
      </c>
      <c r="E587" s="76" t="s">
        <v>395</v>
      </c>
      <c r="F587" s="76" t="s">
        <v>396</v>
      </c>
      <c r="G587" s="76" t="s">
        <v>397</v>
      </c>
      <c r="H587" s="108"/>
      <c r="I587" s="71"/>
    </row>
    <row r="588" spans="1:9" s="212" customFormat="1">
      <c r="A588" s="87" t="s">
        <v>409</v>
      </c>
      <c r="B588" s="114" t="s">
        <v>409</v>
      </c>
      <c r="C588" s="114" t="s">
        <v>409</v>
      </c>
      <c r="D588" s="114" t="s">
        <v>409</v>
      </c>
      <c r="E588" s="114" t="s">
        <v>409</v>
      </c>
      <c r="F588" s="79" t="s">
        <v>409</v>
      </c>
      <c r="G588" s="89" t="s">
        <v>409</v>
      </c>
      <c r="H588" s="108"/>
      <c r="I588" s="71"/>
    </row>
    <row r="589" spans="1:9" s="212" customFormat="1">
      <c r="A589" s="94"/>
      <c r="B589" s="95"/>
      <c r="C589" s="95"/>
      <c r="D589" s="95"/>
      <c r="E589" s="95"/>
      <c r="F589"/>
      <c r="G589" s="93" t="s">
        <v>407</v>
      </c>
      <c r="H589" s="107">
        <f>SUM(G587:G588)</f>
        <v>0</v>
      </c>
      <c r="I589" s="71"/>
    </row>
    <row r="590" spans="1:9" s="212" customFormat="1">
      <c r="A590" s="94"/>
      <c r="B590" s="95"/>
      <c r="C590" s="95"/>
      <c r="D590" s="95"/>
      <c r="E590" s="95"/>
      <c r="F590"/>
      <c r="G590" s="74"/>
      <c r="H590" s="74"/>
      <c r="I590" s="71"/>
    </row>
    <row r="591" spans="1:9" s="212" customFormat="1">
      <c r="A591" s="96"/>
      <c r="B591" s="97"/>
      <c r="C591" s="98"/>
      <c r="D591" s="98"/>
      <c r="E591" s="98"/>
      <c r="F591"/>
      <c r="G591" s="99" t="s">
        <v>412</v>
      </c>
      <c r="H591" s="115">
        <f>SUM(H575:H589)</f>
        <v>2719932</v>
      </c>
      <c r="I591" s="71"/>
    </row>
    <row r="592" spans="1:9" s="212" customFormat="1">
      <c r="A592" s="96"/>
      <c r="B592" s="97"/>
      <c r="C592" s="98"/>
      <c r="D592" s="98"/>
      <c r="E592" s="98"/>
      <c r="F592" s="101"/>
      <c r="G592" s="116"/>
      <c r="H592" s="70"/>
      <c r="I592" s="71"/>
    </row>
    <row r="593" spans="1:9" s="212" customFormat="1" ht="15.75" thickBot="1">
      <c r="A593" s="624" t="s">
        <v>502</v>
      </c>
      <c r="B593" s="625"/>
      <c r="C593" s="625"/>
      <c r="D593" s="625"/>
      <c r="E593" s="625"/>
      <c r="F593" s="625"/>
      <c r="G593" s="626"/>
      <c r="H593" s="117">
        <f>+ROUND(H591,0)</f>
        <v>2719932</v>
      </c>
      <c r="I593" s="103"/>
    </row>
    <row r="594" spans="1:9" s="212" customFormat="1">
      <c r="B594" s="97"/>
      <c r="C594" s="98"/>
      <c r="D594" s="98"/>
      <c r="E594" s="98"/>
      <c r="F594" s="220"/>
      <c r="G594" s="225"/>
      <c r="H594" s="226"/>
    </row>
    <row r="595" spans="1:9" s="212" customFormat="1" ht="15.75" thickBot="1">
      <c r="A595" s="633"/>
      <c r="B595" s="633"/>
      <c r="C595" s="633"/>
      <c r="D595" s="633"/>
      <c r="E595" s="633"/>
      <c r="F595" s="633"/>
      <c r="G595" s="633"/>
    </row>
    <row r="596" spans="1:9" s="212" customFormat="1">
      <c r="A596" s="627"/>
      <c r="B596" s="634" t="s">
        <v>377</v>
      </c>
      <c r="C596" s="635"/>
      <c r="D596" s="635"/>
      <c r="E596" s="635"/>
      <c r="F596" s="635"/>
      <c r="G596" s="635"/>
      <c r="H596" s="636"/>
      <c r="I596" s="66" t="s">
        <v>389</v>
      </c>
    </row>
    <row r="597" spans="1:9" s="212" customFormat="1">
      <c r="A597" s="628"/>
      <c r="B597" s="637"/>
      <c r="C597" s="638"/>
      <c r="D597" s="638"/>
      <c r="E597" s="638"/>
      <c r="F597" s="638"/>
      <c r="G597" s="638"/>
      <c r="H597" s="639"/>
      <c r="I597" s="67" t="s">
        <v>7</v>
      </c>
    </row>
    <row r="598" spans="1:9" s="212" customFormat="1">
      <c r="A598" s="68"/>
      <c r="B598" s="69"/>
      <c r="C598" s="69"/>
      <c r="D598" s="69"/>
      <c r="E598" s="69"/>
      <c r="F598" s="70"/>
      <c r="G598" s="70"/>
      <c r="H598" s="70"/>
      <c r="I598" s="71"/>
    </row>
    <row r="599" spans="1:9" s="212" customFormat="1">
      <c r="A599" s="72" t="s">
        <v>390</v>
      </c>
      <c r="B599" s="73"/>
      <c r="C599" s="73"/>
      <c r="D599" s="73"/>
      <c r="E599" s="73"/>
      <c r="F599" s="74"/>
      <c r="G599" s="74"/>
      <c r="H599" s="70"/>
      <c r="I599" s="71"/>
    </row>
    <row r="600" spans="1:9" s="212" customFormat="1" ht="40.5" customHeight="1">
      <c r="A600" s="75" t="s">
        <v>391</v>
      </c>
      <c r="B600" s="76" t="s">
        <v>392</v>
      </c>
      <c r="C600" s="76" t="s">
        <v>393</v>
      </c>
      <c r="D600" s="76" t="s">
        <v>394</v>
      </c>
      <c r="E600" s="76" t="s">
        <v>395</v>
      </c>
      <c r="F600" s="76" t="s">
        <v>396</v>
      </c>
      <c r="G600" s="76" t="s">
        <v>397</v>
      </c>
      <c r="H600" s="74"/>
      <c r="I600" s="71"/>
    </row>
    <row r="601" spans="1:9" s="212" customFormat="1">
      <c r="A601" s="77" t="s">
        <v>404</v>
      </c>
      <c r="B601" s="78" t="s">
        <v>416</v>
      </c>
      <c r="C601" s="79" t="s">
        <v>406</v>
      </c>
      <c r="D601" s="107">
        <v>1250</v>
      </c>
      <c r="E601" s="79">
        <v>12</v>
      </c>
      <c r="F601" s="79">
        <v>0</v>
      </c>
      <c r="G601" s="107">
        <f>(D601*E601)+((D601*E601)*F601/100)</f>
        <v>15000</v>
      </c>
      <c r="H601" s="74"/>
      <c r="I601" s="71"/>
    </row>
    <row r="602" spans="1:9" s="212" customFormat="1">
      <c r="A602" s="82"/>
      <c r="B602" s="83"/>
      <c r="C602" s="84"/>
      <c r="D602" s="84"/>
      <c r="E602" s="84"/>
      <c r="F602"/>
      <c r="G602" s="93" t="s">
        <v>407</v>
      </c>
      <c r="H602" s="107">
        <f>SUM(G601:G601)</f>
        <v>15000</v>
      </c>
      <c r="I602" s="71"/>
    </row>
    <row r="603" spans="1:9" s="212" customFormat="1">
      <c r="A603" s="72" t="s">
        <v>408</v>
      </c>
      <c r="B603" s="73"/>
      <c r="C603" s="73"/>
      <c r="D603" s="73"/>
      <c r="E603" s="73"/>
      <c r="F603"/>
      <c r="G603" s="74"/>
      <c r="H603" s="108"/>
      <c r="I603" s="71"/>
    </row>
    <row r="604" spans="1:9" s="212" customFormat="1">
      <c r="A604" s="75" t="s">
        <v>391</v>
      </c>
      <c r="B604" s="76" t="s">
        <v>392</v>
      </c>
      <c r="C604" s="76" t="s">
        <v>393</v>
      </c>
      <c r="D604" s="76" t="s">
        <v>394</v>
      </c>
      <c r="E604" s="76" t="s">
        <v>395</v>
      </c>
      <c r="F604" s="76" t="s">
        <v>396</v>
      </c>
      <c r="G604" s="76" t="s">
        <v>397</v>
      </c>
      <c r="H604" s="108"/>
      <c r="I604" s="71"/>
    </row>
    <row r="605" spans="1:9" s="212" customFormat="1" ht="76.5">
      <c r="A605" s="87"/>
      <c r="B605" s="209" t="s">
        <v>377</v>
      </c>
      <c r="C605" s="127" t="s">
        <v>7</v>
      </c>
      <c r="D605" s="256">
        <f>3100000*1.2*1.16</f>
        <v>4315200</v>
      </c>
      <c r="E605" s="127">
        <v>1</v>
      </c>
      <c r="F605" s="79">
        <v>0</v>
      </c>
      <c r="G605" s="256">
        <f>(D605*E605)+((D605*E605)*F605/100)</f>
        <v>4315200</v>
      </c>
      <c r="H605" s="108"/>
      <c r="I605" s="71"/>
    </row>
    <row r="606" spans="1:9" s="212" customFormat="1">
      <c r="A606" s="88"/>
      <c r="B606" s="114"/>
      <c r="C606" s="114"/>
      <c r="D606" s="107"/>
      <c r="E606" s="114"/>
      <c r="F606" s="79"/>
      <c r="G606" s="107"/>
      <c r="H606" s="108"/>
      <c r="I606" s="71"/>
    </row>
    <row r="607" spans="1:9" s="212" customFormat="1">
      <c r="A607" s="88"/>
      <c r="B607" s="114"/>
      <c r="C607" s="114"/>
      <c r="D607" s="107"/>
      <c r="E607" s="114"/>
      <c r="F607" s="79"/>
      <c r="G607" s="107"/>
      <c r="H607" s="108"/>
      <c r="I607" s="71"/>
    </row>
    <row r="608" spans="1:9" s="212" customFormat="1">
      <c r="A608" s="90"/>
      <c r="B608" s="91"/>
      <c r="C608" s="91"/>
      <c r="D608" s="91"/>
      <c r="E608" s="91"/>
      <c r="F608"/>
      <c r="G608" s="85" t="s">
        <v>407</v>
      </c>
      <c r="H608" s="107">
        <f>SUM(G605:G607)</f>
        <v>4315200</v>
      </c>
      <c r="I608" s="71"/>
    </row>
    <row r="609" spans="1:9" s="212" customFormat="1">
      <c r="A609" s="72" t="s">
        <v>410</v>
      </c>
      <c r="B609" s="73"/>
      <c r="C609" s="73"/>
      <c r="D609" s="73"/>
      <c r="E609" s="73"/>
      <c r="F609"/>
      <c r="G609" s="74"/>
      <c r="H609" s="108"/>
      <c r="I609" s="71"/>
    </row>
    <row r="610" spans="1:9" s="212" customFormat="1">
      <c r="A610" s="75" t="s">
        <v>391</v>
      </c>
      <c r="B610" s="76" t="s">
        <v>392</v>
      </c>
      <c r="C610" s="76" t="s">
        <v>393</v>
      </c>
      <c r="D610" s="76" t="s">
        <v>394</v>
      </c>
      <c r="E610" s="76" t="s">
        <v>395</v>
      </c>
      <c r="F610" s="76" t="s">
        <v>396</v>
      </c>
      <c r="G610" s="76" t="s">
        <v>397</v>
      </c>
      <c r="H610" s="108"/>
      <c r="I610" s="71"/>
    </row>
    <row r="611" spans="1:9" s="212" customFormat="1">
      <c r="A611" s="77" t="s">
        <v>494</v>
      </c>
      <c r="B611" s="78" t="s">
        <v>1014</v>
      </c>
      <c r="C611" s="79" t="s">
        <v>426</v>
      </c>
      <c r="D611" s="107">
        <f>15927+5627</f>
        <v>21554</v>
      </c>
      <c r="E611" s="79">
        <v>10</v>
      </c>
      <c r="F611" s="79">
        <v>0</v>
      </c>
      <c r="G611" s="107">
        <f>(D611*E611)+((D611*E611)*F611/100)</f>
        <v>215540</v>
      </c>
      <c r="H611" s="108"/>
      <c r="I611" s="71"/>
    </row>
    <row r="612" spans="1:9" s="212" customFormat="1">
      <c r="A612" s="90"/>
      <c r="B612" s="91"/>
      <c r="C612" s="91"/>
      <c r="D612" s="91"/>
      <c r="E612" s="91"/>
      <c r="F612"/>
      <c r="G612" s="93" t="s">
        <v>407</v>
      </c>
      <c r="H612" s="107">
        <f>SUM(G611:G611)</f>
        <v>215540</v>
      </c>
      <c r="I612" s="71"/>
    </row>
    <row r="613" spans="1:9" s="212" customFormat="1">
      <c r="A613" s="72" t="s">
        <v>411</v>
      </c>
      <c r="B613" s="73"/>
      <c r="C613" s="73"/>
      <c r="D613" s="73"/>
      <c r="E613" s="73"/>
      <c r="F613"/>
      <c r="G613" s="74"/>
      <c r="H613" s="108"/>
      <c r="I613" s="71"/>
    </row>
    <row r="614" spans="1:9" s="212" customFormat="1">
      <c r="A614" s="75" t="s">
        <v>391</v>
      </c>
      <c r="B614" s="76" t="s">
        <v>392</v>
      </c>
      <c r="C614" s="76" t="s">
        <v>393</v>
      </c>
      <c r="D614" s="76" t="s">
        <v>394</v>
      </c>
      <c r="E614" s="76" t="s">
        <v>395</v>
      </c>
      <c r="F614" s="76" t="s">
        <v>396</v>
      </c>
      <c r="G614" s="76" t="s">
        <v>397</v>
      </c>
      <c r="H614" s="108"/>
      <c r="I614" s="71"/>
    </row>
    <row r="615" spans="1:9" s="212" customFormat="1">
      <c r="A615" s="87" t="s">
        <v>409</v>
      </c>
      <c r="B615" s="114" t="s">
        <v>409</v>
      </c>
      <c r="C615" s="114" t="s">
        <v>409</v>
      </c>
      <c r="D615" s="114" t="s">
        <v>409</v>
      </c>
      <c r="E615" s="114" t="s">
        <v>409</v>
      </c>
      <c r="F615" s="79" t="s">
        <v>409</v>
      </c>
      <c r="G615" s="89" t="s">
        <v>409</v>
      </c>
      <c r="H615" s="108"/>
      <c r="I615" s="71"/>
    </row>
    <row r="616" spans="1:9" s="212" customFormat="1">
      <c r="A616" s="94"/>
      <c r="B616" s="95"/>
      <c r="C616" s="95"/>
      <c r="D616" s="95"/>
      <c r="E616" s="95"/>
      <c r="F616"/>
      <c r="G616" s="93" t="s">
        <v>407</v>
      </c>
      <c r="H616" s="107">
        <f>SUM(G614:G615)</f>
        <v>0</v>
      </c>
      <c r="I616" s="71"/>
    </row>
    <row r="617" spans="1:9" s="212" customFormat="1">
      <c r="A617" s="94"/>
      <c r="B617" s="95"/>
      <c r="C617" s="95"/>
      <c r="D617" s="95"/>
      <c r="E617" s="95"/>
      <c r="F617"/>
      <c r="G617" s="74"/>
      <c r="H617" s="74"/>
      <c r="I617" s="71"/>
    </row>
    <row r="618" spans="1:9" s="212" customFormat="1">
      <c r="A618" s="96"/>
      <c r="B618" s="97"/>
      <c r="C618" s="98"/>
      <c r="D618" s="98"/>
      <c r="E618" s="98"/>
      <c r="F618"/>
      <c r="G618" s="99" t="s">
        <v>412</v>
      </c>
      <c r="H618" s="115">
        <f>SUM(H602:H616)</f>
        <v>4545740</v>
      </c>
      <c r="I618" s="71"/>
    </row>
    <row r="619" spans="1:9" s="212" customFormat="1">
      <c r="A619" s="96"/>
      <c r="B619" s="97"/>
      <c r="C619" s="98"/>
      <c r="D619" s="98"/>
      <c r="E619" s="98"/>
      <c r="F619" s="101"/>
      <c r="G619" s="116"/>
      <c r="H619" s="70"/>
      <c r="I619" s="71"/>
    </row>
    <row r="620" spans="1:9" s="212" customFormat="1" ht="15.75" thickBot="1">
      <c r="A620" s="624" t="s">
        <v>502</v>
      </c>
      <c r="B620" s="625"/>
      <c r="C620" s="625"/>
      <c r="D620" s="625"/>
      <c r="E620" s="625"/>
      <c r="F620" s="625"/>
      <c r="G620" s="626"/>
      <c r="H620" s="117">
        <f>+ROUND(H618,0)</f>
        <v>4545740</v>
      </c>
      <c r="I620" s="103"/>
    </row>
    <row r="621" spans="1:9" s="212" customFormat="1">
      <c r="A621" s="658"/>
      <c r="B621" s="227"/>
      <c r="C621" s="227"/>
      <c r="D621" s="227"/>
      <c r="E621" s="227"/>
      <c r="F621" s="227"/>
      <c r="G621" s="227"/>
      <c r="H621" s="227"/>
      <c r="I621" s="229"/>
    </row>
    <row r="622" spans="1:9" s="212" customFormat="1">
      <c r="A622" s="658"/>
      <c r="B622" s="227"/>
      <c r="C622" s="227"/>
      <c r="D622" s="227"/>
      <c r="E622" s="227"/>
      <c r="F622" s="227"/>
      <c r="G622" s="227"/>
    </row>
    <row r="623" spans="1:9" s="212" customFormat="1" ht="15.75" thickBot="1">
      <c r="A623" s="69"/>
      <c r="B623" s="69"/>
      <c r="C623" s="69"/>
      <c r="D623" s="69"/>
      <c r="E623" s="69"/>
    </row>
    <row r="624" spans="1:9" s="212" customFormat="1" ht="41.25" customHeight="1">
      <c r="A624" s="627"/>
      <c r="B624" s="634" t="s">
        <v>794</v>
      </c>
      <c r="C624" s="635"/>
      <c r="D624" s="635"/>
      <c r="E624" s="635"/>
      <c r="F624" s="635"/>
      <c r="G624" s="635"/>
      <c r="H624" s="636"/>
      <c r="I624" s="66" t="s">
        <v>389</v>
      </c>
    </row>
    <row r="625" spans="1:9" s="212" customFormat="1">
      <c r="A625" s="628"/>
      <c r="B625" s="637"/>
      <c r="C625" s="638"/>
      <c r="D625" s="638"/>
      <c r="E625" s="638"/>
      <c r="F625" s="638"/>
      <c r="G625" s="638"/>
      <c r="H625" s="639"/>
      <c r="I625" s="67" t="s">
        <v>7</v>
      </c>
    </row>
    <row r="626" spans="1:9" s="212" customFormat="1">
      <c r="A626" s="68"/>
      <c r="B626" s="69"/>
      <c r="C626" s="69"/>
      <c r="D626" s="69"/>
      <c r="E626" s="69"/>
      <c r="F626" s="70"/>
      <c r="G626" s="70"/>
      <c r="H626" s="70"/>
      <c r="I626" s="71"/>
    </row>
    <row r="627" spans="1:9" s="212" customFormat="1">
      <c r="A627" s="72" t="s">
        <v>390</v>
      </c>
      <c r="B627" s="73"/>
      <c r="C627" s="73"/>
      <c r="D627" s="73"/>
      <c r="E627" s="73"/>
      <c r="F627" s="74"/>
      <c r="G627" s="74"/>
      <c r="H627" s="70"/>
      <c r="I627" s="71"/>
    </row>
    <row r="628" spans="1:9" s="212" customFormat="1">
      <c r="A628" s="75" t="s">
        <v>391</v>
      </c>
      <c r="B628" s="76" t="s">
        <v>392</v>
      </c>
      <c r="C628" s="76" t="s">
        <v>393</v>
      </c>
      <c r="D628" s="76" t="s">
        <v>394</v>
      </c>
      <c r="E628" s="76" t="s">
        <v>395</v>
      </c>
      <c r="F628" s="76" t="s">
        <v>396</v>
      </c>
      <c r="G628" s="76" t="s">
        <v>397</v>
      </c>
      <c r="H628" s="74"/>
      <c r="I628" s="71"/>
    </row>
    <row r="629" spans="1:9" s="212" customFormat="1">
      <c r="A629" s="77" t="s">
        <v>404</v>
      </c>
      <c r="B629" s="78" t="s">
        <v>416</v>
      </c>
      <c r="C629" s="79" t="s">
        <v>406</v>
      </c>
      <c r="D629" s="107">
        <v>1250</v>
      </c>
      <c r="E629" s="79">
        <v>12</v>
      </c>
      <c r="F629" s="79">
        <v>0</v>
      </c>
      <c r="G629" s="107">
        <f>(D629*E629)+((D629*E629)*F629/100)</f>
        <v>15000</v>
      </c>
      <c r="H629" s="74"/>
      <c r="I629" s="71"/>
    </row>
    <row r="630" spans="1:9" s="212" customFormat="1">
      <c r="A630" s="82"/>
      <c r="B630" s="83"/>
      <c r="C630" s="84"/>
      <c r="D630" s="84"/>
      <c r="E630" s="84"/>
      <c r="F630"/>
      <c r="G630" s="93" t="s">
        <v>407</v>
      </c>
      <c r="H630" s="107">
        <f>SUM(G629:G629)</f>
        <v>15000</v>
      </c>
      <c r="I630" s="71"/>
    </row>
    <row r="631" spans="1:9" s="212" customFormat="1">
      <c r="A631" s="72" t="s">
        <v>408</v>
      </c>
      <c r="B631" s="73"/>
      <c r="C631" s="73"/>
      <c r="D631" s="73"/>
      <c r="E631" s="73"/>
      <c r="F631"/>
      <c r="G631" s="74"/>
      <c r="H631" s="108"/>
      <c r="I631" s="71"/>
    </row>
    <row r="632" spans="1:9" s="212" customFormat="1">
      <c r="A632" s="75" t="s">
        <v>391</v>
      </c>
      <c r="B632" s="76" t="s">
        <v>392</v>
      </c>
      <c r="C632" s="76" t="s">
        <v>393</v>
      </c>
      <c r="D632" s="76" t="s">
        <v>394</v>
      </c>
      <c r="E632" s="76" t="s">
        <v>395</v>
      </c>
      <c r="F632" s="76" t="s">
        <v>396</v>
      </c>
      <c r="G632" s="76" t="s">
        <v>397</v>
      </c>
      <c r="H632" s="108"/>
      <c r="I632" s="71"/>
    </row>
    <row r="633" spans="1:9" s="212" customFormat="1" ht="76.5">
      <c r="A633" s="87"/>
      <c r="B633" s="209" t="s">
        <v>794</v>
      </c>
      <c r="C633" s="127" t="s">
        <v>7</v>
      </c>
      <c r="D633" s="256">
        <f>2800000*1.2*1.16</f>
        <v>3897599.9999999995</v>
      </c>
      <c r="E633" s="127">
        <v>1</v>
      </c>
      <c r="F633" s="79">
        <v>0</v>
      </c>
      <c r="G633" s="256">
        <f>(D633*E633)+((D633*E633)*F633/100)</f>
        <v>3897599.9999999995</v>
      </c>
      <c r="H633" s="108"/>
      <c r="I633" s="71"/>
    </row>
    <row r="634" spans="1:9" s="212" customFormat="1">
      <c r="A634" s="88"/>
      <c r="B634" s="114"/>
      <c r="C634" s="114"/>
      <c r="D634" s="107"/>
      <c r="E634" s="114"/>
      <c r="F634" s="79"/>
      <c r="G634" s="107"/>
      <c r="H634" s="108"/>
      <c r="I634" s="71"/>
    </row>
    <row r="635" spans="1:9" s="212" customFormat="1">
      <c r="A635" s="88"/>
      <c r="B635" s="114"/>
      <c r="C635" s="114"/>
      <c r="D635" s="107"/>
      <c r="E635" s="114"/>
      <c r="F635" s="79"/>
      <c r="G635" s="107"/>
      <c r="H635" s="108"/>
      <c r="I635" s="71"/>
    </row>
    <row r="636" spans="1:9" s="212" customFormat="1">
      <c r="A636" s="90"/>
      <c r="B636" s="91"/>
      <c r="C636" s="91"/>
      <c r="D636" s="91"/>
      <c r="E636" s="91"/>
      <c r="F636"/>
      <c r="G636" s="85" t="s">
        <v>407</v>
      </c>
      <c r="H636" s="107">
        <f>SUM(G633:G635)</f>
        <v>3897599.9999999995</v>
      </c>
      <c r="I636" s="71"/>
    </row>
    <row r="637" spans="1:9" s="212" customFormat="1">
      <c r="A637" s="72" t="s">
        <v>410</v>
      </c>
      <c r="B637" s="73"/>
      <c r="C637" s="73"/>
      <c r="D637" s="73"/>
      <c r="E637" s="73"/>
      <c r="F637"/>
      <c r="G637" s="74"/>
      <c r="H637" s="108"/>
      <c r="I637" s="71"/>
    </row>
    <row r="638" spans="1:9" s="212" customFormat="1">
      <c r="A638" s="75" t="s">
        <v>391</v>
      </c>
      <c r="B638" s="76" t="s">
        <v>392</v>
      </c>
      <c r="C638" s="76" t="s">
        <v>393</v>
      </c>
      <c r="D638" s="76" t="s">
        <v>394</v>
      </c>
      <c r="E638" s="76" t="s">
        <v>395</v>
      </c>
      <c r="F638" s="76" t="s">
        <v>396</v>
      </c>
      <c r="G638" s="76" t="s">
        <v>397</v>
      </c>
      <c r="H638" s="108"/>
      <c r="I638" s="71"/>
    </row>
    <row r="639" spans="1:9" s="212" customFormat="1">
      <c r="A639" s="77" t="s">
        <v>494</v>
      </c>
      <c r="B639" s="78" t="s">
        <v>1014</v>
      </c>
      <c r="C639" s="79" t="s">
        <v>426</v>
      </c>
      <c r="D639" s="107">
        <f>15927+5627</f>
        <v>21554</v>
      </c>
      <c r="E639" s="79">
        <v>10</v>
      </c>
      <c r="F639" s="79">
        <v>0</v>
      </c>
      <c r="G639" s="107">
        <f>(D639*E639)+((D639*E639)*F639/100)</f>
        <v>215540</v>
      </c>
      <c r="H639" s="108"/>
      <c r="I639" s="71"/>
    </row>
    <row r="640" spans="1:9" s="212" customFormat="1">
      <c r="A640" s="90"/>
      <c r="B640" s="91"/>
      <c r="C640" s="91"/>
      <c r="D640" s="91"/>
      <c r="E640" s="91"/>
      <c r="F640"/>
      <c r="G640" s="93" t="s">
        <v>407</v>
      </c>
      <c r="H640" s="107">
        <f>SUM(G639:G639)</f>
        <v>215540</v>
      </c>
      <c r="I640" s="71"/>
    </row>
    <row r="641" spans="1:9" s="212" customFormat="1">
      <c r="A641" s="72" t="s">
        <v>411</v>
      </c>
      <c r="B641" s="73"/>
      <c r="C641" s="73"/>
      <c r="D641" s="73"/>
      <c r="E641" s="73"/>
      <c r="F641"/>
      <c r="G641" s="74"/>
      <c r="H641" s="108"/>
      <c r="I641" s="71"/>
    </row>
    <row r="642" spans="1:9" s="212" customFormat="1">
      <c r="A642" s="75" t="s">
        <v>391</v>
      </c>
      <c r="B642" s="76" t="s">
        <v>392</v>
      </c>
      <c r="C642" s="76" t="s">
        <v>393</v>
      </c>
      <c r="D642" s="76" t="s">
        <v>394</v>
      </c>
      <c r="E642" s="76" t="s">
        <v>395</v>
      </c>
      <c r="F642" s="76" t="s">
        <v>396</v>
      </c>
      <c r="G642" s="76" t="s">
        <v>397</v>
      </c>
      <c r="H642" s="108"/>
      <c r="I642" s="71"/>
    </row>
    <row r="643" spans="1:9" s="212" customFormat="1">
      <c r="A643" s="87" t="s">
        <v>409</v>
      </c>
      <c r="B643" s="114" t="s">
        <v>409</v>
      </c>
      <c r="C643" s="114" t="s">
        <v>409</v>
      </c>
      <c r="D643" s="114" t="s">
        <v>409</v>
      </c>
      <c r="E643" s="114" t="s">
        <v>409</v>
      </c>
      <c r="F643" s="79" t="s">
        <v>409</v>
      </c>
      <c r="G643" s="89" t="s">
        <v>409</v>
      </c>
      <c r="H643" s="108"/>
      <c r="I643" s="71"/>
    </row>
    <row r="644" spans="1:9" s="212" customFormat="1">
      <c r="A644" s="94"/>
      <c r="B644" s="95"/>
      <c r="C644" s="95"/>
      <c r="D644" s="95"/>
      <c r="E644" s="95"/>
      <c r="F644"/>
      <c r="G644" s="93" t="s">
        <v>407</v>
      </c>
      <c r="H644" s="107">
        <f>SUM(G642:G643)</f>
        <v>0</v>
      </c>
      <c r="I644" s="71"/>
    </row>
    <row r="645" spans="1:9" s="212" customFormat="1">
      <c r="A645" s="94"/>
      <c r="B645" s="95"/>
      <c r="C645" s="95"/>
      <c r="D645" s="95"/>
      <c r="E645" s="95"/>
      <c r="F645"/>
      <c r="G645" s="74"/>
      <c r="H645" s="74"/>
      <c r="I645" s="71"/>
    </row>
    <row r="646" spans="1:9" s="212" customFormat="1">
      <c r="A646" s="96"/>
      <c r="B646" s="97"/>
      <c r="C646" s="98"/>
      <c r="D646" s="98"/>
      <c r="E646" s="98"/>
      <c r="F646"/>
      <c r="G646" s="99" t="s">
        <v>412</v>
      </c>
      <c r="H646" s="115">
        <f>SUM(H630:H644)</f>
        <v>4128139.9999999995</v>
      </c>
      <c r="I646" s="71"/>
    </row>
    <row r="647" spans="1:9" s="212" customFormat="1">
      <c r="A647" s="96"/>
      <c r="B647" s="97"/>
      <c r="C647" s="98"/>
      <c r="D647" s="98"/>
      <c r="E647" s="98"/>
      <c r="F647" s="101"/>
      <c r="G647" s="116"/>
      <c r="H647" s="70"/>
      <c r="I647" s="71"/>
    </row>
    <row r="648" spans="1:9" s="212" customFormat="1" ht="15.75" thickBot="1">
      <c r="A648" s="624" t="s">
        <v>502</v>
      </c>
      <c r="B648" s="625"/>
      <c r="C648" s="625"/>
      <c r="D648" s="625"/>
      <c r="E648" s="625"/>
      <c r="F648" s="625"/>
      <c r="G648" s="626"/>
      <c r="H648" s="117">
        <f>+ROUND(H646,0)</f>
        <v>4128140</v>
      </c>
      <c r="I648" s="103"/>
    </row>
    <row r="649" spans="1:9" s="212" customFormat="1">
      <c r="A649" s="220"/>
      <c r="B649" s="141"/>
      <c r="C649" s="141"/>
      <c r="D649" s="141"/>
      <c r="E649" s="141"/>
      <c r="F649" s="141"/>
      <c r="G649" s="141"/>
      <c r="H649" s="73"/>
    </row>
    <row r="650" spans="1:9" s="212" customFormat="1" ht="15.75" thickBot="1">
      <c r="A650" s="142"/>
      <c r="B650" s="143"/>
      <c r="C650" s="143"/>
      <c r="D650" s="143"/>
      <c r="E650" s="143"/>
      <c r="F650" s="84"/>
      <c r="G650" s="146"/>
      <c r="H650" s="221"/>
    </row>
    <row r="651" spans="1:9" s="212" customFormat="1">
      <c r="A651" s="627"/>
      <c r="B651" s="629" t="s">
        <v>1134</v>
      </c>
      <c r="C651" s="630"/>
      <c r="D651" s="630"/>
      <c r="E651" s="630"/>
      <c r="F651" s="630"/>
      <c r="G651" s="630"/>
      <c r="H651" s="630"/>
      <c r="I651" s="66" t="s">
        <v>389</v>
      </c>
    </row>
    <row r="652" spans="1:9" s="212" customFormat="1">
      <c r="A652" s="628"/>
      <c r="B652" s="631"/>
      <c r="C652" s="632"/>
      <c r="D652" s="632"/>
      <c r="E652" s="632"/>
      <c r="F652" s="632"/>
      <c r="G652" s="632"/>
      <c r="H652" s="632"/>
      <c r="I652" s="67" t="s">
        <v>8</v>
      </c>
    </row>
    <row r="653" spans="1:9" s="212" customFormat="1">
      <c r="A653" s="68"/>
      <c r="B653" s="69"/>
      <c r="C653" s="69"/>
      <c r="D653" s="69"/>
      <c r="E653" s="69"/>
      <c r="F653" s="70"/>
      <c r="G653" s="70"/>
      <c r="H653" s="70"/>
      <c r="I653" s="71"/>
    </row>
    <row r="654" spans="1:9" s="212" customFormat="1">
      <c r="A654" s="72" t="s">
        <v>390</v>
      </c>
      <c r="B654" s="73"/>
      <c r="C654" s="73"/>
      <c r="D654" s="73"/>
      <c r="E654" s="73"/>
      <c r="F654" s="74"/>
      <c r="G654" s="74"/>
      <c r="H654" s="70"/>
      <c r="I654" s="71"/>
    </row>
    <row r="655" spans="1:9" s="212" customFormat="1">
      <c r="A655" s="75" t="s">
        <v>391</v>
      </c>
      <c r="B655" s="76" t="s">
        <v>392</v>
      </c>
      <c r="C655" s="76" t="s">
        <v>393</v>
      </c>
      <c r="D655" s="76" t="s">
        <v>394</v>
      </c>
      <c r="E655" s="76" t="s">
        <v>395</v>
      </c>
      <c r="F655" s="76" t="s">
        <v>396</v>
      </c>
      <c r="G655" s="76" t="s">
        <v>397</v>
      </c>
      <c r="H655" s="74"/>
      <c r="I655" s="71"/>
    </row>
    <row r="656" spans="1:9" s="212" customFormat="1">
      <c r="A656" s="77" t="s">
        <v>404</v>
      </c>
      <c r="B656" s="78" t="s">
        <v>416</v>
      </c>
      <c r="C656" s="79" t="s">
        <v>406</v>
      </c>
      <c r="D656" s="107">
        <v>1250</v>
      </c>
      <c r="E656" s="79">
        <v>1</v>
      </c>
      <c r="F656" s="79">
        <v>0</v>
      </c>
      <c r="G656" s="107">
        <f>(D656*E656)+((D656*E656)*F656/100)</f>
        <v>1250</v>
      </c>
      <c r="H656" s="74"/>
      <c r="I656" s="71"/>
    </row>
    <row r="657" spans="1:9" s="212" customFormat="1">
      <c r="A657" s="82"/>
      <c r="B657" s="83"/>
      <c r="C657" s="84"/>
      <c r="D657" s="84"/>
      <c r="E657" s="84"/>
      <c r="F657"/>
      <c r="G657" s="93" t="s">
        <v>407</v>
      </c>
      <c r="H657" s="107">
        <f>SUM(G656:G656)</f>
        <v>1250</v>
      </c>
      <c r="I657" s="71"/>
    </row>
    <row r="658" spans="1:9" s="212" customFormat="1">
      <c r="A658" s="72" t="s">
        <v>408</v>
      </c>
      <c r="B658" s="73"/>
      <c r="C658" s="73"/>
      <c r="D658" s="73"/>
      <c r="E658" s="73"/>
      <c r="F658"/>
      <c r="G658" s="74"/>
      <c r="H658" s="108"/>
      <c r="I658" s="71"/>
    </row>
    <row r="659" spans="1:9" s="212" customFormat="1">
      <c r="A659" s="75" t="s">
        <v>391</v>
      </c>
      <c r="B659" s="76" t="s">
        <v>392</v>
      </c>
      <c r="C659" s="76" t="s">
        <v>393</v>
      </c>
      <c r="D659" s="76" t="s">
        <v>394</v>
      </c>
      <c r="E659" s="76" t="s">
        <v>395</v>
      </c>
      <c r="F659" s="76" t="s">
        <v>396</v>
      </c>
      <c r="G659" s="76" t="s">
        <v>397</v>
      </c>
      <c r="H659" s="108"/>
      <c r="I659" s="71"/>
    </row>
    <row r="660" spans="1:9" s="212" customFormat="1">
      <c r="A660" s="87"/>
      <c r="B660" s="114"/>
      <c r="C660" s="114"/>
      <c r="D660" s="107"/>
      <c r="E660" s="114"/>
      <c r="F660" s="79"/>
      <c r="G660" s="107"/>
      <c r="H660" s="108"/>
      <c r="I660" s="71"/>
    </row>
    <row r="661" spans="1:9" s="212" customFormat="1">
      <c r="A661" s="88"/>
      <c r="B661" s="114"/>
      <c r="C661" s="114"/>
      <c r="D661" s="107"/>
      <c r="E661" s="114"/>
      <c r="F661" s="79"/>
      <c r="G661" s="107"/>
      <c r="H661" s="108"/>
      <c r="I661" s="71"/>
    </row>
    <row r="662" spans="1:9" s="212" customFormat="1">
      <c r="A662" s="88"/>
      <c r="B662" s="114"/>
      <c r="C662" s="114"/>
      <c r="D662" s="107"/>
      <c r="E662" s="114"/>
      <c r="F662" s="79"/>
      <c r="G662" s="107"/>
      <c r="H662" s="108"/>
      <c r="I662" s="71"/>
    </row>
    <row r="663" spans="1:9" s="212" customFormat="1">
      <c r="A663" s="90"/>
      <c r="B663" s="91"/>
      <c r="C663" s="91"/>
      <c r="D663" s="91"/>
      <c r="E663" s="91"/>
      <c r="F663"/>
      <c r="G663" s="85" t="s">
        <v>407</v>
      </c>
      <c r="H663" s="107">
        <f>SUM(G660:G662)</f>
        <v>0</v>
      </c>
      <c r="I663" s="71"/>
    </row>
    <row r="664" spans="1:9" s="212" customFormat="1">
      <c r="A664" s="72" t="s">
        <v>410</v>
      </c>
      <c r="B664" s="73"/>
      <c r="C664" s="73"/>
      <c r="D664" s="73"/>
      <c r="E664" s="73"/>
      <c r="F664"/>
      <c r="G664" s="74"/>
      <c r="H664" s="108"/>
      <c r="I664" s="71"/>
    </row>
    <row r="665" spans="1:9" s="212" customFormat="1">
      <c r="A665" s="75" t="s">
        <v>391</v>
      </c>
      <c r="B665" s="76" t="s">
        <v>392</v>
      </c>
      <c r="C665" s="76" t="s">
        <v>393</v>
      </c>
      <c r="D665" s="76" t="s">
        <v>394</v>
      </c>
      <c r="E665" s="76" t="s">
        <v>395</v>
      </c>
      <c r="F665" s="76" t="s">
        <v>396</v>
      </c>
      <c r="G665" s="76" t="s">
        <v>397</v>
      </c>
      <c r="H665" s="108"/>
      <c r="I665" s="71"/>
    </row>
    <row r="666" spans="1:9" s="212" customFormat="1">
      <c r="A666" s="77" t="s">
        <v>494</v>
      </c>
      <c r="B666" s="78" t="s">
        <v>495</v>
      </c>
      <c r="C666" s="79" t="s">
        <v>426</v>
      </c>
      <c r="D666" s="107">
        <v>15927</v>
      </c>
      <c r="E666" s="79">
        <v>0.85</v>
      </c>
      <c r="F666" s="79">
        <v>0</v>
      </c>
      <c r="G666" s="107">
        <f>(D666*E666)+((D666*E666)*F666/100)</f>
        <v>13537.949999999999</v>
      </c>
      <c r="H666" s="108"/>
      <c r="I666" s="71"/>
    </row>
    <row r="667" spans="1:9" s="212" customFormat="1">
      <c r="A667" s="90"/>
      <c r="B667" s="91"/>
      <c r="C667" s="91"/>
      <c r="D667" s="91"/>
      <c r="E667" s="91"/>
      <c r="F667"/>
      <c r="G667" s="93" t="s">
        <v>407</v>
      </c>
      <c r="H667" s="107">
        <f>SUM(G666:G666)</f>
        <v>13537.949999999999</v>
      </c>
      <c r="I667" s="71"/>
    </row>
    <row r="668" spans="1:9" s="212" customFormat="1">
      <c r="A668" s="72" t="s">
        <v>411</v>
      </c>
      <c r="B668" s="73"/>
      <c r="C668" s="73"/>
      <c r="D668" s="73"/>
      <c r="E668" s="73"/>
      <c r="F668"/>
      <c r="G668" s="74"/>
      <c r="H668" s="108"/>
      <c r="I668" s="71"/>
    </row>
    <row r="669" spans="1:9" s="212" customFormat="1">
      <c r="A669" s="75" t="s">
        <v>391</v>
      </c>
      <c r="B669" s="76" t="s">
        <v>392</v>
      </c>
      <c r="C669" s="76" t="s">
        <v>393</v>
      </c>
      <c r="D669" s="76" t="s">
        <v>394</v>
      </c>
      <c r="E669" s="76" t="s">
        <v>395</v>
      </c>
      <c r="F669" s="76" t="s">
        <v>396</v>
      </c>
      <c r="G669" s="76" t="s">
        <v>397</v>
      </c>
      <c r="H669" s="108"/>
      <c r="I669" s="71"/>
    </row>
    <row r="670" spans="1:9" s="212" customFormat="1">
      <c r="A670" s="87" t="s">
        <v>409</v>
      </c>
      <c r="B670" s="114" t="s">
        <v>409</v>
      </c>
      <c r="C670" s="114" t="s">
        <v>409</v>
      </c>
      <c r="D670" s="114" t="s">
        <v>409</v>
      </c>
      <c r="E670" s="114" t="s">
        <v>409</v>
      </c>
      <c r="F670" s="79" t="s">
        <v>409</v>
      </c>
      <c r="G670" s="89" t="s">
        <v>409</v>
      </c>
      <c r="H670" s="108"/>
      <c r="I670" s="71"/>
    </row>
    <row r="671" spans="1:9" s="212" customFormat="1">
      <c r="A671" s="94"/>
      <c r="B671" s="95"/>
      <c r="C671" s="95"/>
      <c r="D671" s="95"/>
      <c r="E671" s="95"/>
      <c r="F671"/>
      <c r="G671" s="93" t="s">
        <v>407</v>
      </c>
      <c r="H671" s="107">
        <f>SUM(G669:G670)</f>
        <v>0</v>
      </c>
      <c r="I671" s="71"/>
    </row>
    <row r="672" spans="1:9" s="212" customFormat="1">
      <c r="A672" s="94"/>
      <c r="B672" s="95"/>
      <c r="C672" s="95"/>
      <c r="D672" s="95"/>
      <c r="E672" s="95"/>
      <c r="F672"/>
      <c r="G672" s="74"/>
      <c r="H672" s="74"/>
      <c r="I672" s="71"/>
    </row>
    <row r="673" spans="1:9" s="212" customFormat="1">
      <c r="A673" s="96"/>
      <c r="B673" s="97"/>
      <c r="C673" s="98"/>
      <c r="D673" s="98"/>
      <c r="E673" s="98"/>
      <c r="F673"/>
      <c r="G673" s="99" t="s">
        <v>412</v>
      </c>
      <c r="H673" s="115">
        <f>SUM(H657:H671)</f>
        <v>14787.949999999999</v>
      </c>
      <c r="I673" s="71"/>
    </row>
    <row r="674" spans="1:9" s="212" customFormat="1">
      <c r="A674" s="96"/>
      <c r="B674" s="97"/>
      <c r="C674" s="98"/>
      <c r="D674" s="98"/>
      <c r="E674" s="98"/>
      <c r="F674" s="101"/>
      <c r="G674" s="116"/>
      <c r="H674" s="70"/>
      <c r="I674" s="71"/>
    </row>
    <row r="675" spans="1:9" s="212" customFormat="1" ht="15.75" thickBot="1">
      <c r="A675" s="624" t="s">
        <v>430</v>
      </c>
      <c r="B675" s="625"/>
      <c r="C675" s="625"/>
      <c r="D675" s="625"/>
      <c r="E675" s="625"/>
      <c r="F675" s="625"/>
      <c r="G675" s="626"/>
      <c r="H675" s="117">
        <f>+ROUND(H673,0)</f>
        <v>14788</v>
      </c>
      <c r="I675" s="103"/>
    </row>
    <row r="676" spans="1:9" s="212" customFormat="1">
      <c r="A676" s="120"/>
      <c r="B676" s="73"/>
      <c r="C676" s="73"/>
      <c r="D676" s="73"/>
      <c r="E676" s="73"/>
      <c r="G676" s="73"/>
      <c r="H676" s="222"/>
    </row>
    <row r="677" spans="1:9" s="212" customFormat="1" ht="15.75" thickBot="1">
      <c r="A677" s="220"/>
      <c r="B677" s="141"/>
      <c r="C677" s="141"/>
      <c r="D677" s="141"/>
      <c r="E677" s="141"/>
      <c r="F677" s="141"/>
      <c r="G677" s="141"/>
      <c r="H677" s="222"/>
    </row>
    <row r="678" spans="1:9" s="212" customFormat="1">
      <c r="A678" s="627"/>
      <c r="B678" s="629" t="s">
        <v>1135</v>
      </c>
      <c r="C678" s="630"/>
      <c r="D678" s="630"/>
      <c r="E678" s="630"/>
      <c r="F678" s="630"/>
      <c r="G678" s="630"/>
      <c r="H678" s="630"/>
      <c r="I678" s="66" t="s">
        <v>389</v>
      </c>
    </row>
    <row r="679" spans="1:9" s="212" customFormat="1">
      <c r="A679" s="628"/>
      <c r="B679" s="631"/>
      <c r="C679" s="632"/>
      <c r="D679" s="632"/>
      <c r="E679" s="632"/>
      <c r="F679" s="632"/>
      <c r="G679" s="632"/>
      <c r="H679" s="632"/>
      <c r="I679" s="67" t="s">
        <v>8</v>
      </c>
    </row>
    <row r="680" spans="1:9" s="212" customFormat="1">
      <c r="A680" s="68"/>
      <c r="B680" s="69"/>
      <c r="C680" s="69"/>
      <c r="D680" s="69"/>
      <c r="E680" s="69"/>
      <c r="F680" s="70"/>
      <c r="G680" s="70"/>
      <c r="H680" s="70"/>
      <c r="I680" s="71"/>
    </row>
    <row r="681" spans="1:9" s="212" customFormat="1">
      <c r="A681" s="72" t="s">
        <v>390</v>
      </c>
      <c r="B681" s="73"/>
      <c r="C681" s="73"/>
      <c r="D681" s="73"/>
      <c r="E681" s="73"/>
      <c r="F681" s="74"/>
      <c r="G681" s="74"/>
      <c r="H681" s="70"/>
      <c r="I681" s="71"/>
    </row>
    <row r="682" spans="1:9" s="212" customFormat="1">
      <c r="A682" s="75" t="s">
        <v>391</v>
      </c>
      <c r="B682" s="76" t="s">
        <v>392</v>
      </c>
      <c r="C682" s="76" t="s">
        <v>393</v>
      </c>
      <c r="D682" s="76" t="s">
        <v>394</v>
      </c>
      <c r="E682" s="76" t="s">
        <v>395</v>
      </c>
      <c r="F682" s="76" t="s">
        <v>396</v>
      </c>
      <c r="G682" s="76" t="s">
        <v>397</v>
      </c>
      <c r="H682" s="74"/>
      <c r="I682" s="71"/>
    </row>
    <row r="683" spans="1:9" s="212" customFormat="1">
      <c r="A683" s="77" t="s">
        <v>404</v>
      </c>
      <c r="B683" s="78" t="s">
        <v>416</v>
      </c>
      <c r="C683" s="79" t="s">
        <v>406</v>
      </c>
      <c r="D683" s="107">
        <v>1250</v>
      </c>
      <c r="E683" s="79">
        <v>1</v>
      </c>
      <c r="F683" s="79">
        <v>0</v>
      </c>
      <c r="G683" s="107">
        <f>(D683*E683)+((D683*E683)*F683/100)</f>
        <v>1250</v>
      </c>
      <c r="H683" s="74"/>
      <c r="I683" s="71"/>
    </row>
    <row r="684" spans="1:9" s="212" customFormat="1">
      <c r="A684" s="82"/>
      <c r="B684" s="83"/>
      <c r="C684" s="84"/>
      <c r="D684" s="84"/>
      <c r="E684" s="84"/>
      <c r="F684"/>
      <c r="G684" s="93" t="s">
        <v>407</v>
      </c>
      <c r="H684" s="107">
        <f>SUM(G683:G683)</f>
        <v>1250</v>
      </c>
      <c r="I684" s="71"/>
    </row>
    <row r="685" spans="1:9" s="212" customFormat="1">
      <c r="A685" s="72" t="s">
        <v>408</v>
      </c>
      <c r="B685" s="73"/>
      <c r="C685" s="73"/>
      <c r="D685" s="73"/>
      <c r="E685" s="73"/>
      <c r="F685"/>
      <c r="G685" s="74"/>
      <c r="H685" s="108"/>
      <c r="I685" s="71"/>
    </row>
    <row r="686" spans="1:9" s="212" customFormat="1">
      <c r="A686" s="75" t="s">
        <v>391</v>
      </c>
      <c r="B686" s="76" t="s">
        <v>392</v>
      </c>
      <c r="C686" s="76" t="s">
        <v>393</v>
      </c>
      <c r="D686" s="76" t="s">
        <v>394</v>
      </c>
      <c r="E686" s="76" t="s">
        <v>395</v>
      </c>
      <c r="F686" s="76" t="s">
        <v>396</v>
      </c>
      <c r="G686" s="76" t="s">
        <v>397</v>
      </c>
      <c r="H686" s="108"/>
      <c r="I686" s="71"/>
    </row>
    <row r="687" spans="1:9" s="212" customFormat="1">
      <c r="A687" s="87"/>
      <c r="B687" s="114"/>
      <c r="C687" s="114"/>
      <c r="D687" s="107"/>
      <c r="E687" s="114"/>
      <c r="F687" s="79"/>
      <c r="G687" s="107"/>
      <c r="H687" s="108"/>
      <c r="I687" s="71"/>
    </row>
    <row r="688" spans="1:9" s="212" customFormat="1">
      <c r="A688" s="88"/>
      <c r="B688" s="114"/>
      <c r="C688" s="114"/>
      <c r="D688" s="107"/>
      <c r="E688" s="114"/>
      <c r="F688" s="79"/>
      <c r="G688" s="107"/>
      <c r="H688" s="108"/>
      <c r="I688" s="71"/>
    </row>
    <row r="689" spans="1:9" s="212" customFormat="1">
      <c r="A689" s="88"/>
      <c r="B689" s="114"/>
      <c r="C689" s="114"/>
      <c r="D689" s="107"/>
      <c r="E689" s="114"/>
      <c r="F689" s="79"/>
      <c r="G689" s="107"/>
      <c r="H689" s="108"/>
      <c r="I689" s="71"/>
    </row>
    <row r="690" spans="1:9" s="212" customFormat="1">
      <c r="A690" s="90"/>
      <c r="B690" s="91"/>
      <c r="C690" s="91"/>
      <c r="D690" s="91"/>
      <c r="E690" s="91"/>
      <c r="F690"/>
      <c r="G690" s="85" t="s">
        <v>407</v>
      </c>
      <c r="H690" s="107">
        <f>SUM(G687:G689)</f>
        <v>0</v>
      </c>
      <c r="I690" s="71"/>
    </row>
    <row r="691" spans="1:9" s="212" customFormat="1">
      <c r="A691" s="72" t="s">
        <v>410</v>
      </c>
      <c r="B691" s="73"/>
      <c r="C691" s="73"/>
      <c r="D691" s="73"/>
      <c r="E691" s="73"/>
      <c r="F691"/>
      <c r="G691" s="74"/>
      <c r="H691" s="108"/>
      <c r="I691" s="71"/>
    </row>
    <row r="692" spans="1:9" s="212" customFormat="1">
      <c r="A692" s="75" t="s">
        <v>391</v>
      </c>
      <c r="B692" s="76" t="s">
        <v>392</v>
      </c>
      <c r="C692" s="76" t="s">
        <v>393</v>
      </c>
      <c r="D692" s="76" t="s">
        <v>394</v>
      </c>
      <c r="E692" s="76" t="s">
        <v>395</v>
      </c>
      <c r="F692" s="76" t="s">
        <v>396</v>
      </c>
      <c r="G692" s="76" t="s">
        <v>397</v>
      </c>
      <c r="H692" s="108"/>
      <c r="I692" s="71"/>
    </row>
    <row r="693" spans="1:9" s="212" customFormat="1">
      <c r="A693" s="77" t="s">
        <v>494</v>
      </c>
      <c r="B693" s="78" t="s">
        <v>495</v>
      </c>
      <c r="C693" s="79" t="s">
        <v>426</v>
      </c>
      <c r="D693" s="107">
        <v>15927</v>
      </c>
      <c r="E693" s="79">
        <v>1.1000000000000001</v>
      </c>
      <c r="F693" s="79">
        <v>0</v>
      </c>
      <c r="G693" s="107">
        <f>(D693*E693)+((D693*E693)*F693/100)</f>
        <v>17519.7</v>
      </c>
      <c r="H693" s="108"/>
      <c r="I693" s="71"/>
    </row>
    <row r="694" spans="1:9" s="212" customFormat="1">
      <c r="A694" s="90"/>
      <c r="B694" s="91"/>
      <c r="C694" s="91"/>
      <c r="D694" s="91"/>
      <c r="E694" s="91"/>
      <c r="F694"/>
      <c r="G694" s="93" t="s">
        <v>407</v>
      </c>
      <c r="H694" s="107">
        <f>SUM(G693:G693)</f>
        <v>17519.7</v>
      </c>
      <c r="I694" s="71"/>
    </row>
    <row r="695" spans="1:9" s="212" customFormat="1">
      <c r="A695" s="72" t="s">
        <v>411</v>
      </c>
      <c r="B695" s="73"/>
      <c r="C695" s="73"/>
      <c r="D695" s="73"/>
      <c r="E695" s="73"/>
      <c r="F695"/>
      <c r="G695" s="74"/>
      <c r="H695" s="108"/>
      <c r="I695" s="71"/>
    </row>
    <row r="696" spans="1:9" s="212" customFormat="1">
      <c r="A696" s="75" t="s">
        <v>391</v>
      </c>
      <c r="B696" s="76" t="s">
        <v>392</v>
      </c>
      <c r="C696" s="76" t="s">
        <v>393</v>
      </c>
      <c r="D696" s="76" t="s">
        <v>394</v>
      </c>
      <c r="E696" s="76" t="s">
        <v>395</v>
      </c>
      <c r="F696" s="76" t="s">
        <v>396</v>
      </c>
      <c r="G696" s="76" t="s">
        <v>397</v>
      </c>
      <c r="H696" s="108"/>
      <c r="I696" s="71"/>
    </row>
    <row r="697" spans="1:9" s="212" customFormat="1">
      <c r="A697" s="87" t="s">
        <v>409</v>
      </c>
      <c r="B697" s="114" t="s">
        <v>409</v>
      </c>
      <c r="C697" s="114" t="s">
        <v>409</v>
      </c>
      <c r="D697" s="114" t="s">
        <v>409</v>
      </c>
      <c r="E697" s="114" t="s">
        <v>409</v>
      </c>
      <c r="F697" s="79" t="s">
        <v>409</v>
      </c>
      <c r="G697" s="89" t="s">
        <v>409</v>
      </c>
      <c r="H697" s="108"/>
      <c r="I697" s="71"/>
    </row>
    <row r="698" spans="1:9" s="212" customFormat="1">
      <c r="A698" s="94"/>
      <c r="B698" s="95"/>
      <c r="C698" s="95"/>
      <c r="D698" s="95"/>
      <c r="E698" s="95"/>
      <c r="F698"/>
      <c r="G698" s="93" t="s">
        <v>407</v>
      </c>
      <c r="H698" s="107">
        <f>SUM(G696:G697)</f>
        <v>0</v>
      </c>
      <c r="I698" s="71"/>
    </row>
    <row r="699" spans="1:9" s="212" customFormat="1">
      <c r="A699" s="94"/>
      <c r="B699" s="95"/>
      <c r="C699" s="95"/>
      <c r="D699" s="95"/>
      <c r="E699" s="95"/>
      <c r="F699"/>
      <c r="G699" s="74"/>
      <c r="H699" s="74"/>
      <c r="I699" s="71"/>
    </row>
    <row r="700" spans="1:9" s="212" customFormat="1">
      <c r="A700" s="96"/>
      <c r="B700" s="97"/>
      <c r="C700" s="98"/>
      <c r="D700" s="98"/>
      <c r="E700" s="98"/>
      <c r="F700"/>
      <c r="G700" s="99" t="s">
        <v>412</v>
      </c>
      <c r="H700" s="115">
        <f>SUM(H684:H698)</f>
        <v>18769.7</v>
      </c>
      <c r="I700" s="71"/>
    </row>
    <row r="701" spans="1:9" s="212" customFormat="1">
      <c r="A701" s="96"/>
      <c r="B701" s="97"/>
      <c r="C701" s="98"/>
      <c r="D701" s="98"/>
      <c r="E701" s="98"/>
      <c r="F701" s="101"/>
      <c r="G701" s="116"/>
      <c r="H701" s="70"/>
      <c r="I701" s="71"/>
    </row>
    <row r="702" spans="1:9" s="212" customFormat="1" ht="15.75" thickBot="1">
      <c r="A702" s="624" t="s">
        <v>430</v>
      </c>
      <c r="B702" s="625"/>
      <c r="C702" s="625"/>
      <c r="D702" s="625"/>
      <c r="E702" s="625"/>
      <c r="F702" s="625"/>
      <c r="G702" s="626"/>
      <c r="H702" s="117">
        <f>+ROUND(H700,0)</f>
        <v>18770</v>
      </c>
      <c r="I702" s="103"/>
    </row>
    <row r="703" spans="1:9" s="212" customFormat="1">
      <c r="A703" s="91"/>
      <c r="B703" s="91"/>
      <c r="C703" s="91"/>
      <c r="D703" s="91"/>
      <c r="E703" s="91"/>
      <c r="G703" s="213"/>
      <c r="H703" s="222"/>
    </row>
    <row r="704" spans="1:9" s="212" customFormat="1" ht="15.75" thickBot="1">
      <c r="A704" s="120"/>
      <c r="B704" s="73"/>
      <c r="C704" s="73"/>
      <c r="D704" s="73"/>
      <c r="E704" s="73"/>
      <c r="G704" s="73"/>
      <c r="H704" s="222"/>
    </row>
    <row r="705" spans="1:9" s="212" customFormat="1">
      <c r="A705" s="627"/>
      <c r="B705" s="629" t="s">
        <v>1136</v>
      </c>
      <c r="C705" s="630"/>
      <c r="D705" s="630"/>
      <c r="E705" s="630"/>
      <c r="F705" s="630"/>
      <c r="G705" s="630"/>
      <c r="H705" s="630"/>
      <c r="I705" s="66" t="s">
        <v>389</v>
      </c>
    </row>
    <row r="706" spans="1:9" s="212" customFormat="1">
      <c r="A706" s="628"/>
      <c r="B706" s="631"/>
      <c r="C706" s="632"/>
      <c r="D706" s="632"/>
      <c r="E706" s="632"/>
      <c r="F706" s="632"/>
      <c r="G706" s="632"/>
      <c r="H706" s="632"/>
      <c r="I706" s="67" t="s">
        <v>8</v>
      </c>
    </row>
    <row r="707" spans="1:9" s="212" customFormat="1">
      <c r="A707" s="68"/>
      <c r="B707" s="69"/>
      <c r="C707" s="69"/>
      <c r="D707" s="69"/>
      <c r="E707" s="69"/>
      <c r="F707" s="70"/>
      <c r="G707" s="70"/>
      <c r="H707" s="70"/>
      <c r="I707" s="71"/>
    </row>
    <row r="708" spans="1:9" s="212" customFormat="1">
      <c r="A708" s="72" t="s">
        <v>390</v>
      </c>
      <c r="B708" s="73"/>
      <c r="C708" s="73"/>
      <c r="D708" s="73"/>
      <c r="E708" s="73"/>
      <c r="F708" s="74"/>
      <c r="G708" s="74"/>
      <c r="H708" s="70"/>
      <c r="I708" s="71"/>
    </row>
    <row r="709" spans="1:9" s="212" customFormat="1">
      <c r="A709" s="75" t="s">
        <v>391</v>
      </c>
      <c r="B709" s="76" t="s">
        <v>392</v>
      </c>
      <c r="C709" s="76" t="s">
        <v>393</v>
      </c>
      <c r="D709" s="76" t="s">
        <v>394</v>
      </c>
      <c r="E709" s="76" t="s">
        <v>395</v>
      </c>
      <c r="F709" s="76" t="s">
        <v>396</v>
      </c>
      <c r="G709" s="76" t="s">
        <v>397</v>
      </c>
      <c r="H709" s="74"/>
      <c r="I709" s="71"/>
    </row>
    <row r="710" spans="1:9" s="212" customFormat="1">
      <c r="A710" s="77" t="s">
        <v>404</v>
      </c>
      <c r="B710" s="78" t="s">
        <v>416</v>
      </c>
      <c r="C710" s="79" t="s">
        <v>406</v>
      </c>
      <c r="D710" s="107">
        <v>1250</v>
      </c>
      <c r="E710" s="79">
        <v>1</v>
      </c>
      <c r="F710" s="79">
        <v>0</v>
      </c>
      <c r="G710" s="107">
        <f>(D710*E710)+((D710*E710)*F710/100)</f>
        <v>1250</v>
      </c>
      <c r="H710" s="74"/>
      <c r="I710" s="71"/>
    </row>
    <row r="711" spans="1:9" s="212" customFormat="1">
      <c r="A711" s="82"/>
      <c r="B711" s="83"/>
      <c r="C711" s="84"/>
      <c r="D711" s="84"/>
      <c r="E711" s="84"/>
      <c r="F711"/>
      <c r="G711" s="93" t="s">
        <v>407</v>
      </c>
      <c r="H711" s="107">
        <f>SUM(G710:G710)</f>
        <v>1250</v>
      </c>
      <c r="I711" s="71"/>
    </row>
    <row r="712" spans="1:9" s="212" customFormat="1">
      <c r="A712" s="72" t="s">
        <v>408</v>
      </c>
      <c r="B712" s="73"/>
      <c r="C712" s="73"/>
      <c r="D712" s="73"/>
      <c r="E712" s="73"/>
      <c r="F712"/>
      <c r="G712" s="74"/>
      <c r="H712" s="108"/>
      <c r="I712" s="71"/>
    </row>
    <row r="713" spans="1:9" s="212" customFormat="1">
      <c r="A713" s="75" t="s">
        <v>391</v>
      </c>
      <c r="B713" s="76" t="s">
        <v>392</v>
      </c>
      <c r="C713" s="76" t="s">
        <v>393</v>
      </c>
      <c r="D713" s="76" t="s">
        <v>394</v>
      </c>
      <c r="E713" s="76" t="s">
        <v>395</v>
      </c>
      <c r="F713" s="76" t="s">
        <v>396</v>
      </c>
      <c r="G713" s="76" t="s">
        <v>397</v>
      </c>
      <c r="H713" s="108"/>
      <c r="I713" s="71"/>
    </row>
    <row r="714" spans="1:9" s="212" customFormat="1">
      <c r="A714" s="87"/>
      <c r="B714" s="114"/>
      <c r="C714" s="114"/>
      <c r="D714" s="107"/>
      <c r="E714" s="114"/>
      <c r="F714" s="79"/>
      <c r="G714" s="107"/>
      <c r="H714" s="108"/>
      <c r="I714" s="71"/>
    </row>
    <row r="715" spans="1:9" s="212" customFormat="1">
      <c r="A715" s="88"/>
      <c r="B715" s="114"/>
      <c r="C715" s="114"/>
      <c r="D715" s="107"/>
      <c r="E715" s="114"/>
      <c r="F715" s="79"/>
      <c r="G715" s="107"/>
      <c r="H715" s="108"/>
      <c r="I715" s="71"/>
    </row>
    <row r="716" spans="1:9" s="212" customFormat="1">
      <c r="A716" s="88"/>
      <c r="B716" s="114"/>
      <c r="C716" s="114"/>
      <c r="D716" s="107"/>
      <c r="E716" s="114"/>
      <c r="F716" s="79"/>
      <c r="G716" s="107"/>
      <c r="H716" s="108"/>
      <c r="I716" s="71"/>
    </row>
    <row r="717" spans="1:9" s="212" customFormat="1">
      <c r="A717" s="90"/>
      <c r="B717" s="91"/>
      <c r="C717" s="91"/>
      <c r="D717" s="91"/>
      <c r="E717" s="91"/>
      <c r="F717"/>
      <c r="G717" s="85" t="s">
        <v>407</v>
      </c>
      <c r="H717" s="107">
        <f>SUM(G714:G716)</f>
        <v>0</v>
      </c>
      <c r="I717" s="71"/>
    </row>
    <row r="718" spans="1:9" s="212" customFormat="1">
      <c r="A718" s="72" t="s">
        <v>410</v>
      </c>
      <c r="B718" s="73"/>
      <c r="C718" s="73"/>
      <c r="D718" s="73"/>
      <c r="E718" s="73"/>
      <c r="F718"/>
      <c r="G718" s="74"/>
      <c r="H718" s="108"/>
      <c r="I718" s="71"/>
    </row>
    <row r="719" spans="1:9" s="212" customFormat="1">
      <c r="A719" s="75" t="s">
        <v>391</v>
      </c>
      <c r="B719" s="76" t="s">
        <v>392</v>
      </c>
      <c r="C719" s="76" t="s">
        <v>393</v>
      </c>
      <c r="D719" s="76" t="s">
        <v>394</v>
      </c>
      <c r="E719" s="76" t="s">
        <v>395</v>
      </c>
      <c r="F719" s="76" t="s">
        <v>396</v>
      </c>
      <c r="G719" s="76" t="s">
        <v>397</v>
      </c>
      <c r="H719" s="108"/>
      <c r="I719" s="71"/>
    </row>
    <row r="720" spans="1:9" s="212" customFormat="1">
      <c r="A720" s="77" t="s">
        <v>494</v>
      </c>
      <c r="B720" s="78" t="s">
        <v>495</v>
      </c>
      <c r="C720" s="79" t="s">
        <v>426</v>
      </c>
      <c r="D720" s="107">
        <v>15927</v>
      </c>
      <c r="E720" s="79">
        <v>3.4</v>
      </c>
      <c r="F720" s="79">
        <v>0</v>
      </c>
      <c r="G720" s="107">
        <f>(D720*E720)+((D720*E720)*F720/100)</f>
        <v>54151.799999999996</v>
      </c>
      <c r="H720" s="108"/>
      <c r="I720" s="71"/>
    </row>
    <row r="721" spans="1:9" s="212" customFormat="1">
      <c r="A721" s="90"/>
      <c r="B721" s="91"/>
      <c r="C721" s="91"/>
      <c r="D721" s="91"/>
      <c r="E721" s="91"/>
      <c r="F721"/>
      <c r="G721" s="93" t="s">
        <v>407</v>
      </c>
      <c r="H721" s="107">
        <f>SUM(G720:G720)</f>
        <v>54151.799999999996</v>
      </c>
      <c r="I721" s="71"/>
    </row>
    <row r="722" spans="1:9" s="212" customFormat="1">
      <c r="A722" s="72" t="s">
        <v>411</v>
      </c>
      <c r="B722" s="73"/>
      <c r="C722" s="73"/>
      <c r="D722" s="73"/>
      <c r="E722" s="73"/>
      <c r="F722"/>
      <c r="G722" s="74"/>
      <c r="H722" s="108"/>
      <c r="I722" s="71"/>
    </row>
    <row r="723" spans="1:9" s="212" customFormat="1">
      <c r="A723" s="75" t="s">
        <v>391</v>
      </c>
      <c r="B723" s="76" t="s">
        <v>392</v>
      </c>
      <c r="C723" s="76" t="s">
        <v>393</v>
      </c>
      <c r="D723" s="76" t="s">
        <v>394</v>
      </c>
      <c r="E723" s="76" t="s">
        <v>395</v>
      </c>
      <c r="F723" s="76" t="s">
        <v>396</v>
      </c>
      <c r="G723" s="76" t="s">
        <v>397</v>
      </c>
      <c r="H723" s="108"/>
      <c r="I723" s="71"/>
    </row>
    <row r="724" spans="1:9" s="212" customFormat="1">
      <c r="A724" s="87" t="s">
        <v>409</v>
      </c>
      <c r="B724" s="114" t="s">
        <v>409</v>
      </c>
      <c r="C724" s="114" t="s">
        <v>409</v>
      </c>
      <c r="D724" s="114" t="s">
        <v>409</v>
      </c>
      <c r="E724" s="114" t="s">
        <v>409</v>
      </c>
      <c r="F724" s="79" t="s">
        <v>409</v>
      </c>
      <c r="G724" s="89" t="s">
        <v>409</v>
      </c>
      <c r="H724" s="108"/>
      <c r="I724" s="71"/>
    </row>
    <row r="725" spans="1:9" s="212" customFormat="1">
      <c r="A725" s="94"/>
      <c r="B725" s="95"/>
      <c r="C725" s="95"/>
      <c r="D725" s="95"/>
      <c r="E725" s="95"/>
      <c r="F725"/>
      <c r="G725" s="93" t="s">
        <v>407</v>
      </c>
      <c r="H725" s="107">
        <f>SUM(G723:G724)</f>
        <v>0</v>
      </c>
      <c r="I725" s="71"/>
    </row>
    <row r="726" spans="1:9" s="212" customFormat="1">
      <c r="A726" s="94"/>
      <c r="B726" s="95"/>
      <c r="C726" s="95"/>
      <c r="D726" s="95"/>
      <c r="E726" s="95"/>
      <c r="F726"/>
      <c r="G726" s="74"/>
      <c r="H726" s="74"/>
      <c r="I726" s="71"/>
    </row>
    <row r="727" spans="1:9" s="212" customFormat="1">
      <c r="A727" s="96"/>
      <c r="B727" s="97"/>
      <c r="C727" s="98"/>
      <c r="D727" s="98"/>
      <c r="E727" s="98"/>
      <c r="F727"/>
      <c r="G727" s="99" t="s">
        <v>412</v>
      </c>
      <c r="H727" s="115">
        <f>SUM(H711:H725)</f>
        <v>55401.799999999996</v>
      </c>
      <c r="I727" s="71"/>
    </row>
    <row r="728" spans="1:9" s="212" customFormat="1">
      <c r="A728" s="96"/>
      <c r="B728" s="97"/>
      <c r="C728" s="98"/>
      <c r="D728" s="98"/>
      <c r="E728" s="98"/>
      <c r="F728" s="101"/>
      <c r="G728" s="116"/>
      <c r="H728" s="70"/>
      <c r="I728" s="71"/>
    </row>
    <row r="729" spans="1:9" s="212" customFormat="1" ht="15.75" thickBot="1">
      <c r="A729" s="624" t="s">
        <v>430</v>
      </c>
      <c r="B729" s="625"/>
      <c r="C729" s="625"/>
      <c r="D729" s="625"/>
      <c r="E729" s="625"/>
      <c r="F729" s="625"/>
      <c r="G729" s="626"/>
      <c r="H729" s="117">
        <f>+ROUND(H727,0)</f>
        <v>55402</v>
      </c>
      <c r="I729" s="103"/>
    </row>
    <row r="730" spans="1:9" s="212" customFormat="1">
      <c r="A730" s="142"/>
      <c r="B730" s="143"/>
      <c r="C730" s="143"/>
      <c r="D730" s="143"/>
      <c r="E730" s="143"/>
      <c r="F730" s="84"/>
      <c r="G730" s="146"/>
      <c r="H730" s="221"/>
    </row>
    <row r="731" spans="1:9" s="212" customFormat="1" ht="15.75" thickBot="1">
      <c r="A731" s="91"/>
      <c r="B731" s="91"/>
      <c r="C731" s="91"/>
      <c r="D731" s="91"/>
      <c r="E731" s="91"/>
      <c r="G731" s="213"/>
      <c r="H731" s="222"/>
    </row>
    <row r="732" spans="1:9" s="212" customFormat="1">
      <c r="A732" s="627"/>
      <c r="B732" s="629" t="s">
        <v>1016</v>
      </c>
      <c r="C732" s="630"/>
      <c r="D732" s="630"/>
      <c r="E732" s="630"/>
      <c r="F732" s="630"/>
      <c r="G732" s="630"/>
      <c r="H732" s="630"/>
      <c r="I732" s="66" t="s">
        <v>389</v>
      </c>
    </row>
    <row r="733" spans="1:9" s="212" customFormat="1">
      <c r="A733" s="628"/>
      <c r="B733" s="631"/>
      <c r="C733" s="632"/>
      <c r="D733" s="632"/>
      <c r="E733" s="632"/>
      <c r="F733" s="632"/>
      <c r="G733" s="632"/>
      <c r="H733" s="632"/>
      <c r="I733" s="67" t="s">
        <v>8</v>
      </c>
    </row>
    <row r="734" spans="1:9" s="212" customFormat="1">
      <c r="A734" s="68"/>
      <c r="B734" s="69"/>
      <c r="C734" s="69"/>
      <c r="D734" s="69"/>
      <c r="E734" s="69"/>
      <c r="F734" s="70"/>
      <c r="G734" s="70"/>
      <c r="H734" s="70"/>
      <c r="I734" s="71"/>
    </row>
    <row r="735" spans="1:9" s="212" customFormat="1">
      <c r="A735" s="72" t="s">
        <v>390</v>
      </c>
      <c r="B735" s="73"/>
      <c r="C735" s="73"/>
      <c r="D735" s="73"/>
      <c r="E735" s="73"/>
      <c r="F735" s="74"/>
      <c r="G735" s="74"/>
      <c r="H735" s="70"/>
      <c r="I735" s="71"/>
    </row>
    <row r="736" spans="1:9" s="212" customFormat="1">
      <c r="A736" s="75" t="s">
        <v>391</v>
      </c>
      <c r="B736" s="76" t="s">
        <v>392</v>
      </c>
      <c r="C736" s="76" t="s">
        <v>393</v>
      </c>
      <c r="D736" s="76" t="s">
        <v>394</v>
      </c>
      <c r="E736" s="76" t="s">
        <v>395</v>
      </c>
      <c r="F736" s="76" t="s">
        <v>396</v>
      </c>
      <c r="G736" s="76" t="s">
        <v>397</v>
      </c>
      <c r="H736" s="74"/>
      <c r="I736" s="71"/>
    </row>
    <row r="737" spans="1:9" s="212" customFormat="1">
      <c r="A737" s="77" t="s">
        <v>404</v>
      </c>
      <c r="B737" s="78" t="s">
        <v>416</v>
      </c>
      <c r="C737" s="79" t="s">
        <v>406</v>
      </c>
      <c r="D737" s="107">
        <v>1250</v>
      </c>
      <c r="E737" s="79">
        <v>1</v>
      </c>
      <c r="F737" s="79">
        <v>0</v>
      </c>
      <c r="G737" s="107">
        <f>(D737*E737)+((D737*E737)*F737/100)</f>
        <v>1250</v>
      </c>
      <c r="H737" s="74"/>
      <c r="I737" s="71"/>
    </row>
    <row r="738" spans="1:9" s="212" customFormat="1">
      <c r="A738" s="82"/>
      <c r="B738" s="83"/>
      <c r="C738" s="84"/>
      <c r="D738" s="84"/>
      <c r="E738" s="84"/>
      <c r="F738"/>
      <c r="G738" s="93" t="s">
        <v>407</v>
      </c>
      <c r="H738" s="107">
        <f>SUM(G737:G737)</f>
        <v>1250</v>
      </c>
      <c r="I738" s="71"/>
    </row>
    <row r="739" spans="1:9" s="212" customFormat="1">
      <c r="A739" s="72" t="s">
        <v>408</v>
      </c>
      <c r="B739" s="73"/>
      <c r="C739" s="73"/>
      <c r="D739" s="73"/>
      <c r="E739" s="73"/>
      <c r="F739"/>
      <c r="G739" s="74"/>
      <c r="H739" s="108"/>
      <c r="I739" s="71"/>
    </row>
    <row r="740" spans="1:9" s="212" customFormat="1">
      <c r="A740" s="75" t="s">
        <v>391</v>
      </c>
      <c r="B740" s="76" t="s">
        <v>392</v>
      </c>
      <c r="C740" s="76" t="s">
        <v>393</v>
      </c>
      <c r="D740" s="76" t="s">
        <v>394</v>
      </c>
      <c r="E740" s="76" t="s">
        <v>395</v>
      </c>
      <c r="F740" s="76" t="s">
        <v>396</v>
      </c>
      <c r="G740" s="76" t="s">
        <v>397</v>
      </c>
      <c r="H740" s="108"/>
      <c r="I740" s="71"/>
    </row>
    <row r="741" spans="1:9" s="212" customFormat="1">
      <c r="A741" s="87"/>
      <c r="B741" s="114"/>
      <c r="C741" s="114"/>
      <c r="D741" s="107"/>
      <c r="E741" s="114"/>
      <c r="F741" s="79"/>
      <c r="G741" s="107"/>
      <c r="H741" s="108"/>
      <c r="I741" s="71"/>
    </row>
    <row r="742" spans="1:9" s="212" customFormat="1">
      <c r="A742" s="88"/>
      <c r="B742" s="114"/>
      <c r="C742" s="114"/>
      <c r="D742" s="107"/>
      <c r="E742" s="114"/>
      <c r="F742" s="79"/>
      <c r="G742" s="107"/>
      <c r="H742" s="108"/>
      <c r="I742" s="71"/>
    </row>
    <row r="743" spans="1:9" s="212" customFormat="1">
      <c r="A743" s="88"/>
      <c r="B743" s="114"/>
      <c r="C743" s="114"/>
      <c r="D743" s="107"/>
      <c r="E743" s="114"/>
      <c r="F743" s="79"/>
      <c r="G743" s="107"/>
      <c r="H743" s="108"/>
      <c r="I743" s="71"/>
    </row>
    <row r="744" spans="1:9" s="212" customFormat="1">
      <c r="A744" s="90"/>
      <c r="B744" s="91"/>
      <c r="C744" s="91"/>
      <c r="D744" s="91"/>
      <c r="E744" s="91"/>
      <c r="F744"/>
      <c r="G744" s="85" t="s">
        <v>407</v>
      </c>
      <c r="H744" s="107">
        <f>SUM(G741:G743)</f>
        <v>0</v>
      </c>
      <c r="I744" s="71"/>
    </row>
    <row r="745" spans="1:9" s="212" customFormat="1">
      <c r="A745" s="72" t="s">
        <v>410</v>
      </c>
      <c r="B745" s="73"/>
      <c r="C745" s="73"/>
      <c r="D745" s="73"/>
      <c r="E745" s="73"/>
      <c r="F745"/>
      <c r="G745" s="74"/>
      <c r="H745" s="108"/>
      <c r="I745" s="71"/>
    </row>
    <row r="746" spans="1:9" s="212" customFormat="1">
      <c r="A746" s="75" t="s">
        <v>391</v>
      </c>
      <c r="B746" s="76" t="s">
        <v>392</v>
      </c>
      <c r="C746" s="76" t="s">
        <v>393</v>
      </c>
      <c r="D746" s="76" t="s">
        <v>394</v>
      </c>
      <c r="E746" s="76" t="s">
        <v>395</v>
      </c>
      <c r="F746" s="76" t="s">
        <v>396</v>
      </c>
      <c r="G746" s="76" t="s">
        <v>397</v>
      </c>
      <c r="H746" s="108"/>
      <c r="I746" s="71"/>
    </row>
    <row r="747" spans="1:9" s="212" customFormat="1">
      <c r="A747" s="77" t="s">
        <v>494</v>
      </c>
      <c r="B747" s="78" t="s">
        <v>495</v>
      </c>
      <c r="C747" s="79" t="s">
        <v>426</v>
      </c>
      <c r="D747" s="107">
        <v>15927</v>
      </c>
      <c r="E747" s="79">
        <v>4.6500000000000004</v>
      </c>
      <c r="F747" s="79">
        <v>0</v>
      </c>
      <c r="G747" s="107">
        <f>(D747*E747)+((D747*E747)*F747/100)</f>
        <v>74060.55</v>
      </c>
      <c r="H747" s="108"/>
      <c r="I747" s="71"/>
    </row>
    <row r="748" spans="1:9" s="212" customFormat="1">
      <c r="A748" s="90"/>
      <c r="B748" s="91"/>
      <c r="C748" s="91"/>
      <c r="D748" s="91"/>
      <c r="E748" s="91"/>
      <c r="F748"/>
      <c r="G748" s="93" t="s">
        <v>407</v>
      </c>
      <c r="H748" s="107">
        <f>SUM(G747:G747)</f>
        <v>74060.55</v>
      </c>
      <c r="I748" s="71"/>
    </row>
    <row r="749" spans="1:9" s="212" customFormat="1">
      <c r="A749" s="72" t="s">
        <v>411</v>
      </c>
      <c r="B749" s="73"/>
      <c r="C749" s="73"/>
      <c r="D749" s="73"/>
      <c r="E749" s="73"/>
      <c r="F749"/>
      <c r="G749" s="74"/>
      <c r="H749" s="108"/>
      <c r="I749" s="71"/>
    </row>
    <row r="750" spans="1:9" s="212" customFormat="1">
      <c r="A750" s="75" t="s">
        <v>391</v>
      </c>
      <c r="B750" s="76" t="s">
        <v>392</v>
      </c>
      <c r="C750" s="76" t="s">
        <v>393</v>
      </c>
      <c r="D750" s="76" t="s">
        <v>394</v>
      </c>
      <c r="E750" s="76" t="s">
        <v>395</v>
      </c>
      <c r="F750" s="76" t="s">
        <v>396</v>
      </c>
      <c r="G750" s="76" t="s">
        <v>397</v>
      </c>
      <c r="H750" s="108"/>
      <c r="I750" s="71"/>
    </row>
    <row r="751" spans="1:9" s="212" customFormat="1">
      <c r="A751" s="87" t="s">
        <v>409</v>
      </c>
      <c r="B751" s="114" t="s">
        <v>409</v>
      </c>
      <c r="C751" s="114" t="s">
        <v>409</v>
      </c>
      <c r="D751" s="114" t="s">
        <v>409</v>
      </c>
      <c r="E751" s="114" t="s">
        <v>409</v>
      </c>
      <c r="F751" s="79" t="s">
        <v>409</v>
      </c>
      <c r="G751" s="89" t="s">
        <v>409</v>
      </c>
      <c r="H751" s="108"/>
      <c r="I751" s="71"/>
    </row>
    <row r="752" spans="1:9" s="212" customFormat="1">
      <c r="A752" s="94"/>
      <c r="B752" s="95"/>
      <c r="C752" s="95"/>
      <c r="D752" s="95"/>
      <c r="E752" s="95"/>
      <c r="F752"/>
      <c r="G752" s="93" t="s">
        <v>407</v>
      </c>
      <c r="H752" s="107">
        <f>SUM(G750:G751)</f>
        <v>0</v>
      </c>
      <c r="I752" s="71"/>
    </row>
    <row r="753" spans="1:9" s="212" customFormat="1">
      <c r="A753" s="94"/>
      <c r="B753" s="95"/>
      <c r="C753" s="95"/>
      <c r="D753" s="95"/>
      <c r="E753" s="95"/>
      <c r="F753"/>
      <c r="G753" s="74"/>
      <c r="H753" s="74"/>
      <c r="I753" s="71"/>
    </row>
    <row r="754" spans="1:9" s="212" customFormat="1">
      <c r="A754" s="96"/>
      <c r="B754" s="97"/>
      <c r="C754" s="98"/>
      <c r="D754" s="98"/>
      <c r="E754" s="98"/>
      <c r="F754"/>
      <c r="G754" s="99" t="s">
        <v>412</v>
      </c>
      <c r="H754" s="115">
        <f>SUM(H738:H752)</f>
        <v>75310.55</v>
      </c>
      <c r="I754" s="71"/>
    </row>
    <row r="755" spans="1:9" s="212" customFormat="1">
      <c r="A755" s="96"/>
      <c r="B755" s="97"/>
      <c r="C755" s="98"/>
      <c r="D755" s="98"/>
      <c r="E755" s="98"/>
      <c r="F755" s="101"/>
      <c r="G755" s="116"/>
      <c r="H755" s="70"/>
      <c r="I755" s="71"/>
    </row>
    <row r="756" spans="1:9" s="212" customFormat="1" ht="15.75" thickBot="1">
      <c r="A756" s="624" t="s">
        <v>430</v>
      </c>
      <c r="B756" s="625"/>
      <c r="C756" s="625"/>
      <c r="D756" s="625"/>
      <c r="E756" s="625"/>
      <c r="F756" s="625"/>
      <c r="G756" s="626"/>
      <c r="H756" s="117">
        <f>+ROUND(H754,0)</f>
        <v>75311</v>
      </c>
      <c r="I756" s="103"/>
    </row>
    <row r="757" spans="1:9" s="212" customFormat="1">
      <c r="A757" s="220"/>
      <c r="B757" s="141"/>
      <c r="C757" s="141"/>
      <c r="D757" s="141"/>
      <c r="E757" s="141"/>
      <c r="F757" s="141"/>
      <c r="G757" s="141"/>
      <c r="H757" s="222"/>
    </row>
    <row r="758" spans="1:9" s="212" customFormat="1" ht="15.75" thickBot="1">
      <c r="A758" s="142"/>
      <c r="B758" s="143"/>
      <c r="C758" s="143"/>
      <c r="D758" s="143"/>
      <c r="E758" s="143"/>
      <c r="F758" s="84"/>
      <c r="G758" s="146"/>
      <c r="H758" s="221"/>
    </row>
    <row r="759" spans="1:9" s="212" customFormat="1">
      <c r="A759" s="627"/>
      <c r="B759" s="629" t="s">
        <v>1137</v>
      </c>
      <c r="C759" s="630"/>
      <c r="D759" s="630"/>
      <c r="E759" s="630"/>
      <c r="F759" s="630"/>
      <c r="G759" s="630"/>
      <c r="H759" s="630"/>
      <c r="I759" s="66" t="s">
        <v>389</v>
      </c>
    </row>
    <row r="760" spans="1:9" s="212" customFormat="1">
      <c r="A760" s="628"/>
      <c r="B760" s="631"/>
      <c r="C760" s="632"/>
      <c r="D760" s="632"/>
      <c r="E760" s="632"/>
      <c r="F760" s="632"/>
      <c r="G760" s="632"/>
      <c r="H760" s="632"/>
      <c r="I760" s="67" t="s">
        <v>8</v>
      </c>
    </row>
    <row r="761" spans="1:9" s="212" customFormat="1">
      <c r="A761" s="68"/>
      <c r="B761" s="69"/>
      <c r="C761" s="69"/>
      <c r="D761" s="69"/>
      <c r="E761" s="69"/>
      <c r="F761" s="70"/>
      <c r="G761" s="70"/>
      <c r="H761" s="70"/>
      <c r="I761" s="71"/>
    </row>
    <row r="762" spans="1:9" s="212" customFormat="1">
      <c r="A762" s="72" t="s">
        <v>390</v>
      </c>
      <c r="B762" s="73"/>
      <c r="C762" s="73"/>
      <c r="D762" s="73"/>
      <c r="E762" s="73"/>
      <c r="F762" s="74"/>
      <c r="G762" s="74"/>
      <c r="H762" s="70"/>
      <c r="I762" s="71"/>
    </row>
    <row r="763" spans="1:9" s="212" customFormat="1">
      <c r="A763" s="75" t="s">
        <v>391</v>
      </c>
      <c r="B763" s="76" t="s">
        <v>392</v>
      </c>
      <c r="C763" s="76" t="s">
        <v>393</v>
      </c>
      <c r="D763" s="76" t="s">
        <v>394</v>
      </c>
      <c r="E763" s="76" t="s">
        <v>395</v>
      </c>
      <c r="F763" s="76" t="s">
        <v>396</v>
      </c>
      <c r="G763" s="76" t="s">
        <v>397</v>
      </c>
      <c r="H763" s="74"/>
      <c r="I763" s="71"/>
    </row>
    <row r="764" spans="1:9" s="212" customFormat="1">
      <c r="A764" s="77" t="s">
        <v>404</v>
      </c>
      <c r="B764" s="78" t="s">
        <v>416</v>
      </c>
      <c r="C764" s="79" t="s">
        <v>406</v>
      </c>
      <c r="D764" s="107">
        <v>1250</v>
      </c>
      <c r="E764" s="79">
        <v>1</v>
      </c>
      <c r="F764" s="79">
        <v>0</v>
      </c>
      <c r="G764" s="107">
        <f>(D764*E764)+((D764*E764)*F764/100)</f>
        <v>1250</v>
      </c>
      <c r="H764" s="74"/>
      <c r="I764" s="71"/>
    </row>
    <row r="765" spans="1:9" s="212" customFormat="1">
      <c r="A765" s="82"/>
      <c r="B765" s="83"/>
      <c r="C765" s="84"/>
      <c r="D765" s="84"/>
      <c r="E765" s="84"/>
      <c r="F765"/>
      <c r="G765" s="93" t="s">
        <v>407</v>
      </c>
      <c r="H765" s="107">
        <f>SUM(G764:G764)</f>
        <v>1250</v>
      </c>
      <c r="I765" s="71"/>
    </row>
    <row r="766" spans="1:9" s="212" customFormat="1">
      <c r="A766" s="72" t="s">
        <v>408</v>
      </c>
      <c r="B766" s="73"/>
      <c r="C766" s="73"/>
      <c r="D766" s="73"/>
      <c r="E766" s="73"/>
      <c r="F766"/>
      <c r="G766" s="74"/>
      <c r="H766" s="108"/>
      <c r="I766" s="71"/>
    </row>
    <row r="767" spans="1:9" s="212" customFormat="1">
      <c r="A767" s="75" t="s">
        <v>391</v>
      </c>
      <c r="B767" s="76" t="s">
        <v>392</v>
      </c>
      <c r="C767" s="76" t="s">
        <v>393</v>
      </c>
      <c r="D767" s="76" t="s">
        <v>394</v>
      </c>
      <c r="E767" s="76" t="s">
        <v>395</v>
      </c>
      <c r="F767" s="76" t="s">
        <v>396</v>
      </c>
      <c r="G767" s="76" t="s">
        <v>397</v>
      </c>
      <c r="H767" s="108"/>
      <c r="I767" s="71"/>
    </row>
    <row r="768" spans="1:9" s="212" customFormat="1">
      <c r="A768" s="87"/>
      <c r="B768" s="114"/>
      <c r="C768" s="114"/>
      <c r="D768" s="107"/>
      <c r="E768" s="114"/>
      <c r="F768" s="79"/>
      <c r="G768" s="107"/>
      <c r="H768" s="108"/>
      <c r="I768" s="71"/>
    </row>
    <row r="769" spans="1:9" s="212" customFormat="1">
      <c r="A769" s="88"/>
      <c r="B769" s="114"/>
      <c r="C769" s="114"/>
      <c r="D769" s="107"/>
      <c r="E769" s="114"/>
      <c r="F769" s="79"/>
      <c r="G769" s="107"/>
      <c r="H769" s="108"/>
      <c r="I769" s="71"/>
    </row>
    <row r="770" spans="1:9" s="212" customFormat="1">
      <c r="A770" s="88"/>
      <c r="B770" s="114"/>
      <c r="C770" s="114"/>
      <c r="D770" s="107"/>
      <c r="E770" s="114"/>
      <c r="F770" s="79"/>
      <c r="G770" s="107"/>
      <c r="H770" s="108"/>
      <c r="I770" s="71"/>
    </row>
    <row r="771" spans="1:9" s="212" customFormat="1">
      <c r="A771" s="90"/>
      <c r="B771" s="91"/>
      <c r="C771" s="91"/>
      <c r="D771" s="91"/>
      <c r="E771" s="91"/>
      <c r="F771"/>
      <c r="G771" s="85" t="s">
        <v>407</v>
      </c>
      <c r="H771" s="107">
        <f>SUM(G768:G770)</f>
        <v>0</v>
      </c>
      <c r="I771" s="71"/>
    </row>
    <row r="772" spans="1:9" s="212" customFormat="1">
      <c r="A772" s="72" t="s">
        <v>410</v>
      </c>
      <c r="B772" s="73"/>
      <c r="C772" s="73"/>
      <c r="D772" s="73"/>
      <c r="E772" s="73"/>
      <c r="F772"/>
      <c r="G772" s="74"/>
      <c r="H772" s="108"/>
      <c r="I772" s="71"/>
    </row>
    <row r="773" spans="1:9" s="212" customFormat="1">
      <c r="A773" s="75" t="s">
        <v>391</v>
      </c>
      <c r="B773" s="76" t="s">
        <v>392</v>
      </c>
      <c r="C773" s="76" t="s">
        <v>393</v>
      </c>
      <c r="D773" s="76" t="s">
        <v>394</v>
      </c>
      <c r="E773" s="76" t="s">
        <v>395</v>
      </c>
      <c r="F773" s="76" t="s">
        <v>396</v>
      </c>
      <c r="G773" s="76" t="s">
        <v>397</v>
      </c>
      <c r="H773" s="108"/>
      <c r="I773" s="71"/>
    </row>
    <row r="774" spans="1:9" s="212" customFormat="1">
      <c r="A774" s="77" t="s">
        <v>494</v>
      </c>
      <c r="B774" s="78" t="s">
        <v>495</v>
      </c>
      <c r="C774" s="79" t="s">
        <v>426</v>
      </c>
      <c r="D774" s="107">
        <v>15927</v>
      </c>
      <c r="E774" s="79">
        <v>1.1000000000000001</v>
      </c>
      <c r="F774" s="79">
        <v>0</v>
      </c>
      <c r="G774" s="107">
        <f>(D774*E774)+((D774*E774)*F774/100)</f>
        <v>17519.7</v>
      </c>
      <c r="H774" s="108"/>
      <c r="I774" s="71"/>
    </row>
    <row r="775" spans="1:9" s="212" customFormat="1">
      <c r="A775" s="90"/>
      <c r="B775" s="91"/>
      <c r="C775" s="91"/>
      <c r="D775" s="91"/>
      <c r="E775" s="91"/>
      <c r="F775"/>
      <c r="G775" s="93" t="s">
        <v>407</v>
      </c>
      <c r="H775" s="107">
        <f>SUM(G774:G774)</f>
        <v>17519.7</v>
      </c>
      <c r="I775" s="71"/>
    </row>
    <row r="776" spans="1:9" s="212" customFormat="1">
      <c r="A776" s="72" t="s">
        <v>411</v>
      </c>
      <c r="B776" s="73"/>
      <c r="C776" s="73"/>
      <c r="D776" s="73"/>
      <c r="E776" s="73"/>
      <c r="F776"/>
      <c r="G776" s="74"/>
      <c r="H776" s="108"/>
      <c r="I776" s="71"/>
    </row>
    <row r="777" spans="1:9" s="212" customFormat="1">
      <c r="A777" s="75" t="s">
        <v>391</v>
      </c>
      <c r="B777" s="76" t="s">
        <v>392</v>
      </c>
      <c r="C777" s="76" t="s">
        <v>393</v>
      </c>
      <c r="D777" s="76" t="s">
        <v>394</v>
      </c>
      <c r="E777" s="76" t="s">
        <v>395</v>
      </c>
      <c r="F777" s="76" t="s">
        <v>396</v>
      </c>
      <c r="G777" s="76" t="s">
        <v>397</v>
      </c>
      <c r="H777" s="108"/>
      <c r="I777" s="71"/>
    </row>
    <row r="778" spans="1:9" s="212" customFormat="1">
      <c r="A778" s="87" t="s">
        <v>409</v>
      </c>
      <c r="B778" s="114" t="s">
        <v>409</v>
      </c>
      <c r="C778" s="114" t="s">
        <v>409</v>
      </c>
      <c r="D778" s="114" t="s">
        <v>409</v>
      </c>
      <c r="E778" s="114" t="s">
        <v>409</v>
      </c>
      <c r="F778" s="79" t="s">
        <v>409</v>
      </c>
      <c r="G778" s="89" t="s">
        <v>409</v>
      </c>
      <c r="H778" s="108"/>
      <c r="I778" s="71"/>
    </row>
    <row r="779" spans="1:9" s="212" customFormat="1">
      <c r="A779" s="94"/>
      <c r="B779" s="95"/>
      <c r="C779" s="95"/>
      <c r="D779" s="95"/>
      <c r="E779" s="95"/>
      <c r="F779"/>
      <c r="G779" s="93" t="s">
        <v>407</v>
      </c>
      <c r="H779" s="107">
        <f>SUM(G777:G778)</f>
        <v>0</v>
      </c>
      <c r="I779" s="71"/>
    </row>
    <row r="780" spans="1:9" s="212" customFormat="1">
      <c r="A780" s="94"/>
      <c r="B780" s="95"/>
      <c r="C780" s="95"/>
      <c r="D780" s="95"/>
      <c r="E780" s="95"/>
      <c r="F780"/>
      <c r="G780" s="74"/>
      <c r="H780" s="74"/>
      <c r="I780" s="71"/>
    </row>
    <row r="781" spans="1:9" s="212" customFormat="1">
      <c r="A781" s="96"/>
      <c r="B781" s="97"/>
      <c r="C781" s="98"/>
      <c r="D781" s="98"/>
      <c r="E781" s="98"/>
      <c r="F781"/>
      <c r="G781" s="99" t="s">
        <v>412</v>
      </c>
      <c r="H781" s="115">
        <f>SUM(H765:H779)</f>
        <v>18769.7</v>
      </c>
      <c r="I781" s="71"/>
    </row>
    <row r="782" spans="1:9" s="212" customFormat="1">
      <c r="A782" s="96"/>
      <c r="B782" s="97"/>
      <c r="C782" s="98"/>
      <c r="D782" s="98"/>
      <c r="E782" s="98"/>
      <c r="F782" s="101"/>
      <c r="G782" s="116"/>
      <c r="H782" s="70"/>
      <c r="I782" s="71"/>
    </row>
    <row r="783" spans="1:9" s="212" customFormat="1" ht="15.75" thickBot="1">
      <c r="A783" s="624" t="s">
        <v>430</v>
      </c>
      <c r="B783" s="625"/>
      <c r="C783" s="625"/>
      <c r="D783" s="625"/>
      <c r="E783" s="625"/>
      <c r="F783" s="625"/>
      <c r="G783" s="626"/>
      <c r="H783" s="117">
        <f>+ROUND(H781,0)</f>
        <v>18770</v>
      </c>
      <c r="I783" s="103"/>
    </row>
    <row r="784" spans="1:9" s="212" customFormat="1">
      <c r="A784" s="123"/>
      <c r="B784" s="95"/>
      <c r="C784" s="95"/>
      <c r="D784" s="95"/>
      <c r="E784" s="95"/>
      <c r="G784" s="73"/>
      <c r="H784" s="225"/>
    </row>
    <row r="785" spans="1:9" s="212" customFormat="1" ht="15.75" thickBot="1">
      <c r="B785" s="97"/>
      <c r="C785" s="98"/>
      <c r="D785" s="98"/>
      <c r="E785" s="98"/>
      <c r="G785" s="220"/>
    </row>
    <row r="786" spans="1:9" s="212" customFormat="1">
      <c r="A786" s="627"/>
      <c r="B786" s="629" t="s">
        <v>1138</v>
      </c>
      <c r="C786" s="630"/>
      <c r="D786" s="630"/>
      <c r="E786" s="630"/>
      <c r="F786" s="630"/>
      <c r="G786" s="630"/>
      <c r="H786" s="630"/>
      <c r="I786" s="66" t="s">
        <v>389</v>
      </c>
    </row>
    <row r="787" spans="1:9" s="212" customFormat="1">
      <c r="A787" s="628"/>
      <c r="B787" s="631"/>
      <c r="C787" s="632"/>
      <c r="D787" s="632"/>
      <c r="E787" s="632"/>
      <c r="F787" s="632"/>
      <c r="G787" s="632"/>
      <c r="H787" s="632"/>
      <c r="I787" s="67" t="s">
        <v>8</v>
      </c>
    </row>
    <row r="788" spans="1:9" s="212" customFormat="1">
      <c r="A788" s="68"/>
      <c r="B788" s="69"/>
      <c r="C788" s="69"/>
      <c r="D788" s="69"/>
      <c r="E788" s="69"/>
      <c r="F788" s="70"/>
      <c r="G788" s="70"/>
      <c r="H788" s="70"/>
      <c r="I788" s="71"/>
    </row>
    <row r="789" spans="1:9" s="212" customFormat="1">
      <c r="A789" s="72" t="s">
        <v>390</v>
      </c>
      <c r="B789" s="73"/>
      <c r="C789" s="73"/>
      <c r="D789" s="73"/>
      <c r="E789" s="73"/>
      <c r="F789" s="74"/>
      <c r="G789" s="74"/>
      <c r="H789" s="70"/>
      <c r="I789" s="71"/>
    </row>
    <row r="790" spans="1:9" s="212" customFormat="1">
      <c r="A790" s="75" t="s">
        <v>391</v>
      </c>
      <c r="B790" s="76" t="s">
        <v>392</v>
      </c>
      <c r="C790" s="76" t="s">
        <v>393</v>
      </c>
      <c r="D790" s="76" t="s">
        <v>394</v>
      </c>
      <c r="E790" s="76" t="s">
        <v>395</v>
      </c>
      <c r="F790" s="76" t="s">
        <v>396</v>
      </c>
      <c r="G790" s="76" t="s">
        <v>397</v>
      </c>
      <c r="H790" s="74"/>
      <c r="I790" s="71"/>
    </row>
    <row r="791" spans="1:9" s="212" customFormat="1">
      <c r="A791" s="77" t="s">
        <v>404</v>
      </c>
      <c r="B791" s="78" t="s">
        <v>416</v>
      </c>
      <c r="C791" s="79" t="s">
        <v>406</v>
      </c>
      <c r="D791" s="107">
        <v>1250</v>
      </c>
      <c r="E791" s="79">
        <v>1</v>
      </c>
      <c r="F791" s="79">
        <v>0</v>
      </c>
      <c r="G791" s="107">
        <f>(D791*E791)+((D791*E791)*F791/100)</f>
        <v>1250</v>
      </c>
      <c r="H791" s="74"/>
      <c r="I791" s="71"/>
    </row>
    <row r="792" spans="1:9" s="212" customFormat="1">
      <c r="A792" s="82"/>
      <c r="B792" s="83"/>
      <c r="C792" s="84"/>
      <c r="D792" s="84"/>
      <c r="E792" s="84"/>
      <c r="F792"/>
      <c r="G792" s="93" t="s">
        <v>407</v>
      </c>
      <c r="H792" s="107">
        <f>SUM(G791:G791)</f>
        <v>1250</v>
      </c>
      <c r="I792" s="71"/>
    </row>
    <row r="793" spans="1:9" s="212" customFormat="1">
      <c r="A793" s="72" t="s">
        <v>408</v>
      </c>
      <c r="B793" s="73"/>
      <c r="C793" s="73"/>
      <c r="D793" s="73"/>
      <c r="E793" s="73"/>
      <c r="F793"/>
      <c r="G793" s="74"/>
      <c r="H793" s="108"/>
      <c r="I793" s="71"/>
    </row>
    <row r="794" spans="1:9" s="212" customFormat="1">
      <c r="A794" s="75" t="s">
        <v>391</v>
      </c>
      <c r="B794" s="76" t="s">
        <v>392</v>
      </c>
      <c r="C794" s="76" t="s">
        <v>393</v>
      </c>
      <c r="D794" s="76" t="s">
        <v>394</v>
      </c>
      <c r="E794" s="76" t="s">
        <v>395</v>
      </c>
      <c r="F794" s="76" t="s">
        <v>396</v>
      </c>
      <c r="G794" s="76" t="s">
        <v>397</v>
      </c>
      <c r="H794" s="108"/>
      <c r="I794" s="71"/>
    </row>
    <row r="795" spans="1:9" s="212" customFormat="1">
      <c r="A795" s="87"/>
      <c r="B795" s="114"/>
      <c r="C795" s="114"/>
      <c r="D795" s="107"/>
      <c r="E795" s="114"/>
      <c r="F795" s="79"/>
      <c r="G795" s="107"/>
      <c r="H795" s="108"/>
      <c r="I795" s="71"/>
    </row>
    <row r="796" spans="1:9" s="212" customFormat="1">
      <c r="A796" s="88"/>
      <c r="B796" s="114"/>
      <c r="C796" s="114"/>
      <c r="D796" s="107"/>
      <c r="E796" s="114"/>
      <c r="F796" s="79"/>
      <c r="G796" s="107"/>
      <c r="H796" s="108"/>
      <c r="I796" s="71"/>
    </row>
    <row r="797" spans="1:9" s="212" customFormat="1">
      <c r="A797" s="88"/>
      <c r="B797" s="114"/>
      <c r="C797" s="114"/>
      <c r="D797" s="107"/>
      <c r="E797" s="114"/>
      <c r="F797" s="79"/>
      <c r="G797" s="107"/>
      <c r="H797" s="108"/>
      <c r="I797" s="71"/>
    </row>
    <row r="798" spans="1:9" s="212" customFormat="1">
      <c r="A798" s="90"/>
      <c r="B798" s="91"/>
      <c r="C798" s="91"/>
      <c r="D798" s="91"/>
      <c r="E798" s="91"/>
      <c r="F798"/>
      <c r="G798" s="85" t="s">
        <v>407</v>
      </c>
      <c r="H798" s="107">
        <f>SUM(G795:G797)</f>
        <v>0</v>
      </c>
      <c r="I798" s="71"/>
    </row>
    <row r="799" spans="1:9" s="212" customFormat="1">
      <c r="A799" s="72" t="s">
        <v>410</v>
      </c>
      <c r="B799" s="73"/>
      <c r="C799" s="73"/>
      <c r="D799" s="73"/>
      <c r="E799" s="73"/>
      <c r="F799"/>
      <c r="G799" s="74"/>
      <c r="H799" s="108"/>
      <c r="I799" s="71"/>
    </row>
    <row r="800" spans="1:9" s="212" customFormat="1">
      <c r="A800" s="75" t="s">
        <v>391</v>
      </c>
      <c r="B800" s="76" t="s">
        <v>392</v>
      </c>
      <c r="C800" s="76" t="s">
        <v>393</v>
      </c>
      <c r="D800" s="76" t="s">
        <v>394</v>
      </c>
      <c r="E800" s="76" t="s">
        <v>395</v>
      </c>
      <c r="F800" s="76" t="s">
        <v>396</v>
      </c>
      <c r="G800" s="76" t="s">
        <v>397</v>
      </c>
      <c r="H800" s="108"/>
      <c r="I800" s="71"/>
    </row>
    <row r="801" spans="1:9" s="212" customFormat="1">
      <c r="A801" s="77" t="s">
        <v>494</v>
      </c>
      <c r="B801" s="78" t="s">
        <v>495</v>
      </c>
      <c r="C801" s="79" t="s">
        <v>426</v>
      </c>
      <c r="D801" s="107">
        <v>15927</v>
      </c>
      <c r="E801" s="79">
        <v>1.5</v>
      </c>
      <c r="F801" s="79">
        <v>0</v>
      </c>
      <c r="G801" s="107">
        <f>(D801*E801)+((D801*E801)*F801/100)</f>
        <v>23890.5</v>
      </c>
      <c r="H801" s="108"/>
      <c r="I801" s="71"/>
    </row>
    <row r="802" spans="1:9" s="212" customFormat="1">
      <c r="A802" s="90"/>
      <c r="B802" s="91"/>
      <c r="C802" s="91"/>
      <c r="D802" s="91"/>
      <c r="E802" s="91"/>
      <c r="F802"/>
      <c r="G802" s="93" t="s">
        <v>407</v>
      </c>
      <c r="H802" s="107">
        <f>SUM(G801:G801)</f>
        <v>23890.5</v>
      </c>
      <c r="I802" s="71"/>
    </row>
    <row r="803" spans="1:9" s="212" customFormat="1">
      <c r="A803" s="72" t="s">
        <v>411</v>
      </c>
      <c r="B803" s="73"/>
      <c r="C803" s="73"/>
      <c r="D803" s="73"/>
      <c r="E803" s="73"/>
      <c r="F803"/>
      <c r="G803" s="74"/>
      <c r="H803" s="108"/>
      <c r="I803" s="71"/>
    </row>
    <row r="804" spans="1:9" s="212" customFormat="1">
      <c r="A804" s="75" t="s">
        <v>391</v>
      </c>
      <c r="B804" s="76" t="s">
        <v>392</v>
      </c>
      <c r="C804" s="76" t="s">
        <v>393</v>
      </c>
      <c r="D804" s="76" t="s">
        <v>394</v>
      </c>
      <c r="E804" s="76" t="s">
        <v>395</v>
      </c>
      <c r="F804" s="76" t="s">
        <v>396</v>
      </c>
      <c r="G804" s="76" t="s">
        <v>397</v>
      </c>
      <c r="H804" s="108"/>
      <c r="I804" s="71"/>
    </row>
    <row r="805" spans="1:9" s="212" customFormat="1">
      <c r="A805" s="87" t="s">
        <v>409</v>
      </c>
      <c r="B805" s="114" t="s">
        <v>409</v>
      </c>
      <c r="C805" s="114" t="s">
        <v>409</v>
      </c>
      <c r="D805" s="114" t="s">
        <v>409</v>
      </c>
      <c r="E805" s="114" t="s">
        <v>409</v>
      </c>
      <c r="F805" s="79" t="s">
        <v>409</v>
      </c>
      <c r="G805" s="89" t="s">
        <v>409</v>
      </c>
      <c r="H805" s="108"/>
      <c r="I805" s="71"/>
    </row>
    <row r="806" spans="1:9" s="212" customFormat="1">
      <c r="A806" s="94"/>
      <c r="B806" s="95"/>
      <c r="C806" s="95"/>
      <c r="D806" s="95"/>
      <c r="E806" s="95"/>
      <c r="F806"/>
      <c r="G806" s="93" t="s">
        <v>407</v>
      </c>
      <c r="H806" s="107">
        <f>SUM(G804:G805)</f>
        <v>0</v>
      </c>
      <c r="I806" s="71"/>
    </row>
    <row r="807" spans="1:9" s="212" customFormat="1">
      <c r="A807" s="94"/>
      <c r="B807" s="95"/>
      <c r="C807" s="95"/>
      <c r="D807" s="95"/>
      <c r="E807" s="95"/>
      <c r="F807"/>
      <c r="G807" s="74"/>
      <c r="H807" s="74"/>
      <c r="I807" s="71"/>
    </row>
    <row r="808" spans="1:9" s="212" customFormat="1">
      <c r="A808" s="96"/>
      <c r="B808" s="97"/>
      <c r="C808" s="98"/>
      <c r="D808" s="98"/>
      <c r="E808" s="98"/>
      <c r="F808"/>
      <c r="G808" s="99" t="s">
        <v>412</v>
      </c>
      <c r="H808" s="115">
        <f>SUM(H792:H806)</f>
        <v>25140.5</v>
      </c>
      <c r="I808" s="71"/>
    </row>
    <row r="809" spans="1:9" s="212" customFormat="1">
      <c r="A809" s="96"/>
      <c r="B809" s="97"/>
      <c r="C809" s="98"/>
      <c r="D809" s="98"/>
      <c r="E809" s="98"/>
      <c r="F809" s="101"/>
      <c r="G809" s="116"/>
      <c r="H809" s="70"/>
      <c r="I809" s="71"/>
    </row>
    <row r="810" spans="1:9" s="212" customFormat="1" ht="15.75" thickBot="1">
      <c r="A810" s="624" t="s">
        <v>430</v>
      </c>
      <c r="B810" s="625"/>
      <c r="C810" s="625"/>
      <c r="D810" s="625"/>
      <c r="E810" s="625"/>
      <c r="F810" s="625"/>
      <c r="G810" s="626"/>
      <c r="H810" s="117">
        <f>+ROUND(H808,0)</f>
        <v>25141</v>
      </c>
      <c r="I810" s="103"/>
    </row>
    <row r="811" spans="1:9" s="212" customFormat="1" ht="15.75" thickBot="1">
      <c r="A811" s="633"/>
      <c r="B811" s="633"/>
      <c r="C811" s="633"/>
      <c r="D811" s="633"/>
      <c r="E811" s="633"/>
      <c r="F811" s="633"/>
      <c r="G811" s="633"/>
    </row>
    <row r="812" spans="1:9" s="212" customFormat="1">
      <c r="A812" s="627"/>
      <c r="B812" s="629" t="s">
        <v>1154</v>
      </c>
      <c r="C812" s="630"/>
      <c r="D812" s="630"/>
      <c r="E812" s="630"/>
      <c r="F812" s="630"/>
      <c r="G812" s="630"/>
      <c r="H812" s="630"/>
      <c r="I812" s="66" t="s">
        <v>389</v>
      </c>
    </row>
    <row r="813" spans="1:9" s="212" customFormat="1">
      <c r="A813" s="628"/>
      <c r="B813" s="631"/>
      <c r="C813" s="632"/>
      <c r="D813" s="632"/>
      <c r="E813" s="632"/>
      <c r="F813" s="632"/>
      <c r="G813" s="632"/>
      <c r="H813" s="632"/>
      <c r="I813" s="67" t="s">
        <v>8</v>
      </c>
    </row>
    <row r="814" spans="1:9" s="212" customFormat="1">
      <c r="A814" s="68"/>
      <c r="B814" s="69"/>
      <c r="C814" s="69"/>
      <c r="D814" s="69"/>
      <c r="E814" s="69"/>
      <c r="F814" s="70"/>
      <c r="G814" s="70"/>
      <c r="H814" s="70"/>
      <c r="I814" s="71"/>
    </row>
    <row r="815" spans="1:9" s="212" customFormat="1">
      <c r="A815" s="72" t="s">
        <v>390</v>
      </c>
      <c r="B815" s="73"/>
      <c r="C815" s="73"/>
      <c r="D815" s="73"/>
      <c r="E815" s="73"/>
      <c r="F815" s="74"/>
      <c r="G815" s="74"/>
      <c r="H815" s="70"/>
      <c r="I815" s="71"/>
    </row>
    <row r="816" spans="1:9" s="212" customFormat="1">
      <c r="A816" s="75" t="s">
        <v>391</v>
      </c>
      <c r="B816" s="76" t="s">
        <v>392</v>
      </c>
      <c r="C816" s="76" t="s">
        <v>393</v>
      </c>
      <c r="D816" s="76" t="s">
        <v>394</v>
      </c>
      <c r="E816" s="76" t="s">
        <v>395</v>
      </c>
      <c r="F816" s="76" t="s">
        <v>396</v>
      </c>
      <c r="G816" s="76" t="s">
        <v>397</v>
      </c>
      <c r="H816" s="74"/>
      <c r="I816" s="71"/>
    </row>
    <row r="817" spans="1:9" s="212" customFormat="1">
      <c r="A817" s="77" t="s">
        <v>404</v>
      </c>
      <c r="B817" s="78" t="s">
        <v>416</v>
      </c>
      <c r="C817" s="79" t="s">
        <v>406</v>
      </c>
      <c r="D817" s="107">
        <v>1250</v>
      </c>
      <c r="E817" s="79">
        <v>0.5</v>
      </c>
      <c r="F817" s="79">
        <v>0</v>
      </c>
      <c r="G817" s="107">
        <f>(D817*E817)+((D817*E817)*F817/100)</f>
        <v>625</v>
      </c>
      <c r="H817" s="74"/>
      <c r="I817" s="71"/>
    </row>
    <row r="818" spans="1:9" s="212" customFormat="1">
      <c r="A818" s="82"/>
      <c r="B818" s="83"/>
      <c r="C818" s="84"/>
      <c r="D818" s="84"/>
      <c r="E818" s="84"/>
      <c r="F818"/>
      <c r="G818" s="93" t="s">
        <v>407</v>
      </c>
      <c r="H818" s="107">
        <f>SUM(G817:G817)</f>
        <v>625</v>
      </c>
      <c r="I818" s="71"/>
    </row>
    <row r="819" spans="1:9" s="212" customFormat="1">
      <c r="A819" s="72" t="s">
        <v>408</v>
      </c>
      <c r="B819" s="73"/>
      <c r="C819" s="73"/>
      <c r="D819" s="73"/>
      <c r="E819" s="73"/>
      <c r="F819"/>
      <c r="G819" s="74"/>
      <c r="H819" s="108"/>
      <c r="I819" s="71"/>
    </row>
    <row r="820" spans="1:9" s="212" customFormat="1">
      <c r="A820" s="75" t="s">
        <v>391</v>
      </c>
      <c r="B820" s="76" t="s">
        <v>392</v>
      </c>
      <c r="C820" s="76" t="s">
        <v>393</v>
      </c>
      <c r="D820" s="76" t="s">
        <v>394</v>
      </c>
      <c r="E820" s="76" t="s">
        <v>395</v>
      </c>
      <c r="F820" s="76" t="s">
        <v>396</v>
      </c>
      <c r="G820" s="76" t="s">
        <v>397</v>
      </c>
      <c r="H820" s="108"/>
      <c r="I820" s="71"/>
    </row>
    <row r="821" spans="1:9" s="212" customFormat="1">
      <c r="A821" s="87"/>
      <c r="B821" s="114"/>
      <c r="C821" s="114"/>
      <c r="D821" s="107"/>
      <c r="E821" s="114"/>
      <c r="F821" s="79"/>
      <c r="G821" s="107"/>
      <c r="H821" s="108"/>
      <c r="I821" s="71"/>
    </row>
    <row r="822" spans="1:9" s="212" customFormat="1">
      <c r="A822" s="88"/>
      <c r="B822" s="114"/>
      <c r="C822" s="114"/>
      <c r="D822" s="107"/>
      <c r="E822" s="114"/>
      <c r="F822" s="79"/>
      <c r="G822" s="107"/>
      <c r="H822" s="108"/>
      <c r="I822" s="71"/>
    </row>
    <row r="823" spans="1:9" s="212" customFormat="1">
      <c r="A823" s="88"/>
      <c r="B823" s="114"/>
      <c r="C823" s="114"/>
      <c r="D823" s="107"/>
      <c r="E823" s="114"/>
      <c r="F823" s="79"/>
      <c r="G823" s="107"/>
      <c r="H823" s="108"/>
      <c r="I823" s="71"/>
    </row>
    <row r="824" spans="1:9" s="212" customFormat="1">
      <c r="A824" s="90"/>
      <c r="B824" s="91"/>
      <c r="C824" s="91"/>
      <c r="D824" s="91"/>
      <c r="E824" s="91"/>
      <c r="F824"/>
      <c r="G824" s="85" t="s">
        <v>407</v>
      </c>
      <c r="H824" s="107">
        <f>SUM(G821:G823)</f>
        <v>0</v>
      </c>
      <c r="I824" s="71"/>
    </row>
    <row r="825" spans="1:9" s="212" customFormat="1">
      <c r="A825" s="72" t="s">
        <v>410</v>
      </c>
      <c r="B825" s="73"/>
      <c r="C825" s="73"/>
      <c r="D825" s="73"/>
      <c r="E825" s="73"/>
      <c r="F825"/>
      <c r="G825" s="74"/>
      <c r="H825" s="108"/>
      <c r="I825" s="71"/>
    </row>
    <row r="826" spans="1:9" s="212" customFormat="1">
      <c r="A826" s="75" t="s">
        <v>391</v>
      </c>
      <c r="B826" s="76" t="s">
        <v>392</v>
      </c>
      <c r="C826" s="76" t="s">
        <v>393</v>
      </c>
      <c r="D826" s="76" t="s">
        <v>394</v>
      </c>
      <c r="E826" s="76" t="s">
        <v>395</v>
      </c>
      <c r="F826" s="76" t="s">
        <v>396</v>
      </c>
      <c r="G826" s="76" t="s">
        <v>397</v>
      </c>
      <c r="H826" s="108"/>
      <c r="I826" s="71"/>
    </row>
    <row r="827" spans="1:9" s="212" customFormat="1">
      <c r="A827" s="77" t="s">
        <v>494</v>
      </c>
      <c r="B827" s="78" t="s">
        <v>495</v>
      </c>
      <c r="C827" s="79" t="s">
        <v>426</v>
      </c>
      <c r="D827" s="107">
        <v>15927</v>
      </c>
      <c r="E827" s="79">
        <v>0.5</v>
      </c>
      <c r="F827" s="79">
        <v>0</v>
      </c>
      <c r="G827" s="107">
        <f>(D827*E827)+((D827*E827)*F827/100)</f>
        <v>7963.5</v>
      </c>
      <c r="H827" s="108"/>
      <c r="I827" s="71"/>
    </row>
    <row r="828" spans="1:9" s="212" customFormat="1">
      <c r="A828" s="90"/>
      <c r="B828" s="91"/>
      <c r="C828" s="91"/>
      <c r="D828" s="91"/>
      <c r="E828" s="91"/>
      <c r="F828"/>
      <c r="G828" s="93" t="s">
        <v>407</v>
      </c>
      <c r="H828" s="107">
        <f>SUM(G827:G827)</f>
        <v>7963.5</v>
      </c>
      <c r="I828" s="71"/>
    </row>
    <row r="829" spans="1:9" s="212" customFormat="1">
      <c r="A829" s="72" t="s">
        <v>411</v>
      </c>
      <c r="B829" s="73"/>
      <c r="C829" s="73"/>
      <c r="D829" s="73"/>
      <c r="E829" s="73"/>
      <c r="F829"/>
      <c r="G829" s="74"/>
      <c r="H829" s="108"/>
      <c r="I829" s="71"/>
    </row>
    <row r="830" spans="1:9" s="212" customFormat="1">
      <c r="A830" s="75" t="s">
        <v>391</v>
      </c>
      <c r="B830" s="76" t="s">
        <v>392</v>
      </c>
      <c r="C830" s="76" t="s">
        <v>393</v>
      </c>
      <c r="D830" s="76" t="s">
        <v>394</v>
      </c>
      <c r="E830" s="76" t="s">
        <v>395</v>
      </c>
      <c r="F830" s="76" t="s">
        <v>396</v>
      </c>
      <c r="G830" s="76" t="s">
        <v>397</v>
      </c>
      <c r="H830" s="108"/>
      <c r="I830" s="71"/>
    </row>
    <row r="831" spans="1:9" s="212" customFormat="1">
      <c r="A831" s="87" t="s">
        <v>409</v>
      </c>
      <c r="B831" s="114" t="s">
        <v>409</v>
      </c>
      <c r="C831" s="114" t="s">
        <v>409</v>
      </c>
      <c r="D831" s="114" t="s">
        <v>409</v>
      </c>
      <c r="E831" s="114" t="s">
        <v>409</v>
      </c>
      <c r="F831" s="79" t="s">
        <v>409</v>
      </c>
      <c r="G831" s="89" t="s">
        <v>409</v>
      </c>
      <c r="H831" s="108"/>
      <c r="I831" s="71"/>
    </row>
    <row r="832" spans="1:9" s="212" customFormat="1">
      <c r="A832" s="94"/>
      <c r="B832" s="95"/>
      <c r="C832" s="95"/>
      <c r="D832" s="95"/>
      <c r="E832" s="95"/>
      <c r="F832"/>
      <c r="G832" s="93" t="s">
        <v>407</v>
      </c>
      <c r="H832" s="107">
        <f>SUM(G830:G831)</f>
        <v>0</v>
      </c>
      <c r="I832" s="71"/>
    </row>
    <row r="833" spans="1:9" s="212" customFormat="1">
      <c r="A833" s="94"/>
      <c r="B833" s="95"/>
      <c r="C833" s="95"/>
      <c r="D833" s="95"/>
      <c r="E833" s="95"/>
      <c r="F833"/>
      <c r="G833" s="74"/>
      <c r="H833" s="74"/>
      <c r="I833" s="71"/>
    </row>
    <row r="834" spans="1:9" s="212" customFormat="1">
      <c r="A834" s="96"/>
      <c r="B834" s="97"/>
      <c r="C834" s="98"/>
      <c r="D834" s="98"/>
      <c r="E834" s="98"/>
      <c r="F834"/>
      <c r="G834" s="99" t="s">
        <v>412</v>
      </c>
      <c r="H834" s="115">
        <f>SUM(H818:H832)</f>
        <v>8588.5</v>
      </c>
      <c r="I834" s="71"/>
    </row>
    <row r="835" spans="1:9" s="212" customFormat="1">
      <c r="A835" s="96"/>
      <c r="B835" s="97"/>
      <c r="C835" s="98"/>
      <c r="D835" s="98"/>
      <c r="E835" s="98"/>
      <c r="F835" s="101"/>
      <c r="G835" s="116"/>
      <c r="H835" s="70"/>
      <c r="I835" s="71"/>
    </row>
    <row r="836" spans="1:9" s="212" customFormat="1" ht="15.75" thickBot="1">
      <c r="A836" s="624" t="s">
        <v>430</v>
      </c>
      <c r="B836" s="625"/>
      <c r="C836" s="625"/>
      <c r="D836" s="625"/>
      <c r="E836" s="625"/>
      <c r="F836" s="625"/>
      <c r="G836" s="626"/>
      <c r="H836" s="117">
        <f>+ROUND(H834,0)</f>
        <v>8589</v>
      </c>
      <c r="I836" s="103"/>
    </row>
    <row r="837" spans="1:9" s="212" customFormat="1">
      <c r="A837" s="658"/>
      <c r="B837" s="227"/>
      <c r="C837" s="227"/>
      <c r="D837" s="227"/>
      <c r="E837" s="227"/>
      <c r="F837" s="227"/>
      <c r="G837" s="227"/>
      <c r="H837" s="227"/>
      <c r="I837" s="229"/>
    </row>
    <row r="838" spans="1:9" s="212" customFormat="1" ht="15.75" thickBot="1">
      <c r="A838" s="658"/>
      <c r="B838" s="227"/>
      <c r="C838" s="227"/>
      <c r="D838" s="227"/>
      <c r="E838" s="227"/>
      <c r="F838" s="227"/>
      <c r="G838" s="227"/>
    </row>
    <row r="839" spans="1:9" s="212" customFormat="1">
      <c r="A839" s="627"/>
      <c r="B839" s="629" t="s">
        <v>1157</v>
      </c>
      <c r="C839" s="630"/>
      <c r="D839" s="630"/>
      <c r="E839" s="630"/>
      <c r="F839" s="630"/>
      <c r="G839" s="630"/>
      <c r="H839" s="630"/>
      <c r="I839" s="66" t="s">
        <v>389</v>
      </c>
    </row>
    <row r="840" spans="1:9" s="212" customFormat="1">
      <c r="A840" s="628"/>
      <c r="B840" s="631"/>
      <c r="C840" s="632"/>
      <c r="D840" s="632"/>
      <c r="E840" s="632"/>
      <c r="F840" s="632"/>
      <c r="G840" s="632"/>
      <c r="H840" s="632"/>
      <c r="I840" s="67" t="s">
        <v>7</v>
      </c>
    </row>
    <row r="841" spans="1:9" s="212" customFormat="1">
      <c r="A841" s="68"/>
      <c r="B841" s="69"/>
      <c r="C841" s="69"/>
      <c r="D841" s="69"/>
      <c r="E841" s="69"/>
      <c r="F841" s="70"/>
      <c r="G841" s="70"/>
      <c r="H841" s="70"/>
      <c r="I841" s="71"/>
    </row>
    <row r="842" spans="1:9" s="212" customFormat="1">
      <c r="A842" s="72" t="s">
        <v>390</v>
      </c>
      <c r="B842" s="73"/>
      <c r="C842" s="73"/>
      <c r="D842" s="73"/>
      <c r="E842" s="73"/>
      <c r="F842" s="74"/>
      <c r="G842" s="74"/>
      <c r="H842" s="70"/>
      <c r="I842" s="71"/>
    </row>
    <row r="843" spans="1:9" s="212" customFormat="1">
      <c r="A843" s="75" t="s">
        <v>391</v>
      </c>
      <c r="B843" s="76" t="s">
        <v>392</v>
      </c>
      <c r="C843" s="76" t="s">
        <v>393</v>
      </c>
      <c r="D843" s="76" t="s">
        <v>394</v>
      </c>
      <c r="E843" s="76" t="s">
        <v>395</v>
      </c>
      <c r="F843" s="76" t="s">
        <v>396</v>
      </c>
      <c r="G843" s="76" t="s">
        <v>397</v>
      </c>
      <c r="H843" s="74"/>
      <c r="I843" s="71"/>
    </row>
    <row r="844" spans="1:9" s="212" customFormat="1">
      <c r="A844" s="77" t="s">
        <v>404</v>
      </c>
      <c r="B844" s="78" t="s">
        <v>416</v>
      </c>
      <c r="C844" s="79" t="s">
        <v>406</v>
      </c>
      <c r="D844" s="107">
        <v>1250</v>
      </c>
      <c r="E844" s="79">
        <v>0.3</v>
      </c>
      <c r="F844" s="79">
        <v>0</v>
      </c>
      <c r="G844" s="107">
        <f>(D844*E844)+((D844*E844)*F844/100)</f>
        <v>375</v>
      </c>
      <c r="H844" s="74"/>
      <c r="I844" s="71"/>
    </row>
    <row r="845" spans="1:9" s="212" customFormat="1">
      <c r="A845" s="82"/>
      <c r="B845" s="83"/>
      <c r="C845" s="84"/>
      <c r="D845" s="84"/>
      <c r="E845" s="84"/>
      <c r="F845"/>
      <c r="G845" s="93" t="s">
        <v>407</v>
      </c>
      <c r="H845" s="107">
        <f>SUM(G844:G844)</f>
        <v>375</v>
      </c>
      <c r="I845" s="71"/>
    </row>
    <row r="846" spans="1:9" s="212" customFormat="1">
      <c r="A846" s="72" t="s">
        <v>408</v>
      </c>
      <c r="B846" s="73"/>
      <c r="C846" s="73"/>
      <c r="D846" s="73"/>
      <c r="E846" s="73"/>
      <c r="F846"/>
      <c r="G846" s="74"/>
      <c r="H846" s="108"/>
      <c r="I846" s="71"/>
    </row>
    <row r="847" spans="1:9" s="212" customFormat="1">
      <c r="A847" s="75" t="s">
        <v>391</v>
      </c>
      <c r="B847" s="76" t="s">
        <v>392</v>
      </c>
      <c r="C847" s="76" t="s">
        <v>393</v>
      </c>
      <c r="D847" s="76" t="s">
        <v>394</v>
      </c>
      <c r="E847" s="76" t="s">
        <v>395</v>
      </c>
      <c r="F847" s="76" t="s">
        <v>396</v>
      </c>
      <c r="G847" s="76" t="s">
        <v>397</v>
      </c>
      <c r="H847" s="108"/>
      <c r="I847" s="71"/>
    </row>
    <row r="848" spans="1:9" s="212" customFormat="1" ht="26.25">
      <c r="A848" s="87"/>
      <c r="B848" s="199" t="s">
        <v>1157</v>
      </c>
      <c r="C848" s="114" t="s">
        <v>7</v>
      </c>
      <c r="D848" s="107">
        <f>1890*1.2</f>
        <v>2268</v>
      </c>
      <c r="E848" s="114">
        <v>1</v>
      </c>
      <c r="F848" s="79">
        <v>0</v>
      </c>
      <c r="G848" s="107">
        <f>(D848*E848)+((D848*E848)*F848/100)</f>
        <v>2268</v>
      </c>
      <c r="H848" s="108"/>
      <c r="I848" s="71"/>
    </row>
    <row r="849" spans="1:11" s="212" customFormat="1">
      <c r="A849" s="88"/>
      <c r="B849" s="114"/>
      <c r="C849" s="114"/>
      <c r="D849" s="107"/>
      <c r="E849" s="114"/>
      <c r="F849" s="79"/>
      <c r="G849" s="107"/>
      <c r="H849" s="108"/>
      <c r="I849" s="71"/>
    </row>
    <row r="850" spans="1:11" s="212" customFormat="1">
      <c r="A850" s="88"/>
      <c r="B850" s="114"/>
      <c r="C850" s="114"/>
      <c r="D850" s="107"/>
      <c r="E850" s="114"/>
      <c r="F850" s="79"/>
      <c r="G850" s="107"/>
      <c r="H850" s="108"/>
      <c r="I850" s="71"/>
    </row>
    <row r="851" spans="1:11" s="212" customFormat="1">
      <c r="A851" s="90"/>
      <c r="B851" s="91"/>
      <c r="C851" s="91"/>
      <c r="D851" s="91"/>
      <c r="E851" s="91"/>
      <c r="F851"/>
      <c r="G851" s="85" t="s">
        <v>407</v>
      </c>
      <c r="H851" s="107">
        <f>SUM(G848:G850)</f>
        <v>2268</v>
      </c>
      <c r="I851" s="71"/>
    </row>
    <row r="852" spans="1:11" s="212" customFormat="1">
      <c r="A852" s="72" t="s">
        <v>410</v>
      </c>
      <c r="B852" s="73"/>
      <c r="C852" s="73"/>
      <c r="D852" s="73"/>
      <c r="E852" s="73"/>
      <c r="F852"/>
      <c r="G852" s="74"/>
      <c r="H852" s="108"/>
      <c r="I852" s="71"/>
    </row>
    <row r="853" spans="1:11" s="212" customFormat="1">
      <c r="A853" s="75" t="s">
        <v>391</v>
      </c>
      <c r="B853" s="76" t="s">
        <v>392</v>
      </c>
      <c r="C853" s="76" t="s">
        <v>393</v>
      </c>
      <c r="D853" s="76" t="s">
        <v>394</v>
      </c>
      <c r="E853" s="76" t="s">
        <v>395</v>
      </c>
      <c r="F853" s="76" t="s">
        <v>396</v>
      </c>
      <c r="G853" s="76" t="s">
        <v>397</v>
      </c>
      <c r="H853" s="108"/>
      <c r="I853" s="71"/>
    </row>
    <row r="854" spans="1:11" s="212" customFormat="1">
      <c r="A854" s="77" t="s">
        <v>494</v>
      </c>
      <c r="B854" s="78" t="s">
        <v>495</v>
      </c>
      <c r="C854" s="79" t="s">
        <v>426</v>
      </c>
      <c r="D854" s="107">
        <v>15927</v>
      </c>
      <c r="E854" s="79">
        <v>0.05</v>
      </c>
      <c r="F854" s="79">
        <v>0</v>
      </c>
      <c r="G854" s="107">
        <f>(D854*E854)+((D854*E854)*F854/100)</f>
        <v>796.35</v>
      </c>
      <c r="H854" s="108"/>
      <c r="I854" s="71"/>
    </row>
    <row r="855" spans="1:11" s="212" customFormat="1">
      <c r="A855" s="90"/>
      <c r="B855" s="91"/>
      <c r="C855" s="91"/>
      <c r="D855" s="91"/>
      <c r="E855" s="91"/>
      <c r="F855"/>
      <c r="G855" s="93" t="s">
        <v>407</v>
      </c>
      <c r="H855" s="107">
        <f>SUM(G854:G854)</f>
        <v>796.35</v>
      </c>
      <c r="I855" s="71"/>
    </row>
    <row r="856" spans="1:11" s="212" customFormat="1">
      <c r="A856" s="72" t="s">
        <v>411</v>
      </c>
      <c r="B856" s="73"/>
      <c r="C856" s="73"/>
      <c r="D856" s="73"/>
      <c r="E856" s="73"/>
      <c r="F856"/>
      <c r="G856" s="74"/>
      <c r="H856" s="108"/>
      <c r="I856" s="71"/>
    </row>
    <row r="857" spans="1:11" s="212" customFormat="1">
      <c r="A857" s="75" t="s">
        <v>391</v>
      </c>
      <c r="B857" s="76" t="s">
        <v>392</v>
      </c>
      <c r="C857" s="76" t="s">
        <v>393</v>
      </c>
      <c r="D857" s="76" t="s">
        <v>394</v>
      </c>
      <c r="E857" s="76" t="s">
        <v>395</v>
      </c>
      <c r="F857" s="76" t="s">
        <v>396</v>
      </c>
      <c r="G857" s="76" t="s">
        <v>397</v>
      </c>
      <c r="H857" s="108"/>
      <c r="I857" s="71"/>
    </row>
    <row r="858" spans="1:11" s="212" customFormat="1">
      <c r="A858" s="87" t="s">
        <v>409</v>
      </c>
      <c r="B858" s="114" t="s">
        <v>409</v>
      </c>
      <c r="C858" s="114" t="s">
        <v>409</v>
      </c>
      <c r="D858" s="114" t="s">
        <v>409</v>
      </c>
      <c r="E858" s="114" t="s">
        <v>409</v>
      </c>
      <c r="F858" s="79" t="s">
        <v>409</v>
      </c>
      <c r="G858" s="89" t="s">
        <v>409</v>
      </c>
      <c r="H858" s="108"/>
      <c r="I858" s="71"/>
    </row>
    <row r="859" spans="1:11" s="212" customFormat="1">
      <c r="A859" s="94"/>
      <c r="B859" s="95"/>
      <c r="C859" s="95"/>
      <c r="D859" s="95"/>
      <c r="E859" s="95"/>
      <c r="F859"/>
      <c r="G859" s="93" t="s">
        <v>407</v>
      </c>
      <c r="H859" s="107">
        <f>SUM(G857:G858)</f>
        <v>0</v>
      </c>
      <c r="I859" s="71"/>
    </row>
    <row r="860" spans="1:11" s="212" customFormat="1">
      <c r="A860" s="94"/>
      <c r="B860" s="95"/>
      <c r="C860" s="95"/>
      <c r="D860" s="95"/>
      <c r="E860" s="95"/>
      <c r="F860"/>
      <c r="G860" s="74"/>
      <c r="H860" s="74"/>
      <c r="I860" s="71"/>
    </row>
    <row r="861" spans="1:11" s="212" customFormat="1">
      <c r="A861" s="96"/>
      <c r="B861" s="97"/>
      <c r="C861" s="98"/>
      <c r="D861" s="98"/>
      <c r="E861" s="98"/>
      <c r="F861"/>
      <c r="G861" s="99" t="s">
        <v>412</v>
      </c>
      <c r="H861" s="115">
        <f>SUM(H845:H859)</f>
        <v>3439.35</v>
      </c>
      <c r="I861" s="71"/>
    </row>
    <row r="862" spans="1:11" s="212" customFormat="1">
      <c r="A862" s="96"/>
      <c r="B862" s="97"/>
      <c r="C862" s="98"/>
      <c r="D862" s="98"/>
      <c r="E862" s="98"/>
      <c r="F862" s="101"/>
      <c r="G862" s="116"/>
      <c r="H862" s="70"/>
      <c r="I862" s="71"/>
    </row>
    <row r="863" spans="1:11" s="212" customFormat="1" ht="15.75" thickBot="1">
      <c r="A863" s="624" t="s">
        <v>502</v>
      </c>
      <c r="B863" s="625"/>
      <c r="C863" s="625"/>
      <c r="D863" s="625"/>
      <c r="E863" s="625"/>
      <c r="F863" s="625"/>
      <c r="G863" s="626"/>
      <c r="H863" s="117">
        <f>+ROUND(H861,0)</f>
        <v>3439</v>
      </c>
      <c r="I863" s="103"/>
    </row>
    <row r="864" spans="1:11" s="212" customFormat="1" ht="15.75" thickBot="1">
      <c r="A864" s="120"/>
      <c r="B864" s="73"/>
      <c r="C864" s="73"/>
      <c r="D864" s="73"/>
      <c r="E864" s="73"/>
      <c r="F864" s="73"/>
      <c r="G864" s="73"/>
      <c r="H864" s="73"/>
      <c r="K864" s="230"/>
    </row>
    <row r="865" spans="1:9" s="212" customFormat="1">
      <c r="A865" s="627"/>
      <c r="B865" s="629" t="s">
        <v>1158</v>
      </c>
      <c r="C865" s="630"/>
      <c r="D865" s="630"/>
      <c r="E865" s="630"/>
      <c r="F865" s="630"/>
      <c r="G865" s="630"/>
      <c r="H865" s="630"/>
      <c r="I865" s="66" t="s">
        <v>389</v>
      </c>
    </row>
    <row r="866" spans="1:9" s="212" customFormat="1">
      <c r="A866" s="628"/>
      <c r="B866" s="631"/>
      <c r="C866" s="632"/>
      <c r="D866" s="632"/>
      <c r="E866" s="632"/>
      <c r="F866" s="632"/>
      <c r="G866" s="632"/>
      <c r="H866" s="632"/>
      <c r="I866" s="67" t="s">
        <v>291</v>
      </c>
    </row>
    <row r="867" spans="1:9" s="212" customFormat="1">
      <c r="A867" s="68"/>
      <c r="B867" s="69"/>
      <c r="C867" s="69"/>
      <c r="D867" s="69"/>
      <c r="E867" s="69"/>
      <c r="F867" s="70"/>
      <c r="G867" s="70"/>
      <c r="H867" s="70"/>
      <c r="I867" s="71"/>
    </row>
    <row r="868" spans="1:9" s="212" customFormat="1">
      <c r="A868" s="72" t="s">
        <v>390</v>
      </c>
      <c r="B868" s="73"/>
      <c r="C868" s="73"/>
      <c r="D868" s="73"/>
      <c r="E868" s="73"/>
      <c r="F868" s="74"/>
      <c r="G868" s="74"/>
      <c r="H868" s="70"/>
      <c r="I868" s="71"/>
    </row>
    <row r="869" spans="1:9" s="212" customFormat="1">
      <c r="A869" s="75" t="s">
        <v>391</v>
      </c>
      <c r="B869" s="76" t="s">
        <v>392</v>
      </c>
      <c r="C869" s="76" t="s">
        <v>393</v>
      </c>
      <c r="D869" s="76" t="s">
        <v>394</v>
      </c>
      <c r="E869" s="76" t="s">
        <v>395</v>
      </c>
      <c r="F869" s="76" t="s">
        <v>396</v>
      </c>
      <c r="G869" s="76" t="s">
        <v>397</v>
      </c>
      <c r="H869" s="74"/>
      <c r="I869" s="71"/>
    </row>
    <row r="870" spans="1:9" s="212" customFormat="1" ht="16.5">
      <c r="A870" s="135" t="s">
        <v>404</v>
      </c>
      <c r="B870" s="204" t="s">
        <v>405</v>
      </c>
      <c r="C870" s="127" t="s">
        <v>523</v>
      </c>
      <c r="D870" s="107">
        <v>1250</v>
      </c>
      <c r="E870" s="79">
        <v>0.2</v>
      </c>
      <c r="F870" s="79">
        <v>0</v>
      </c>
      <c r="G870" s="107">
        <f>(D870*E870)+((D870*E870)*F870/100)</f>
        <v>250</v>
      </c>
      <c r="H870" s="74"/>
      <c r="I870" s="71"/>
    </row>
    <row r="871" spans="1:9" s="212" customFormat="1">
      <c r="A871" s="82"/>
      <c r="B871" s="83"/>
      <c r="C871" s="84"/>
      <c r="D871" s="84"/>
      <c r="E871" s="84"/>
      <c r="F871"/>
      <c r="G871" s="93" t="s">
        <v>407</v>
      </c>
      <c r="H871" s="107">
        <f>SUM(G870:G870)</f>
        <v>250</v>
      </c>
      <c r="I871" s="71"/>
    </row>
    <row r="872" spans="1:9" s="212" customFormat="1">
      <c r="A872" s="72" t="s">
        <v>408</v>
      </c>
      <c r="B872" s="73"/>
      <c r="C872" s="73"/>
      <c r="D872" s="73"/>
      <c r="E872" s="73"/>
      <c r="F872"/>
      <c r="G872" s="74"/>
      <c r="H872" s="108"/>
      <c r="I872" s="71"/>
    </row>
    <row r="873" spans="1:9" s="212" customFormat="1">
      <c r="A873" s="75" t="s">
        <v>391</v>
      </c>
      <c r="B873" s="76" t="s">
        <v>392</v>
      </c>
      <c r="C873" s="76" t="s">
        <v>393</v>
      </c>
      <c r="D873" s="76" t="s">
        <v>394</v>
      </c>
      <c r="E873" s="76" t="s">
        <v>395</v>
      </c>
      <c r="F873" s="76" t="s">
        <v>396</v>
      </c>
      <c r="G873" s="76" t="s">
        <v>397</v>
      </c>
      <c r="H873" s="108"/>
      <c r="I873" s="71"/>
    </row>
    <row r="874" spans="1:9" s="212" customFormat="1">
      <c r="A874" s="125">
        <v>1465</v>
      </c>
      <c r="B874" s="78" t="s">
        <v>525</v>
      </c>
      <c r="C874" s="127" t="s">
        <v>157</v>
      </c>
      <c r="D874" s="107">
        <v>450</v>
      </c>
      <c r="E874" s="79">
        <v>60</v>
      </c>
      <c r="F874" s="79">
        <v>2</v>
      </c>
      <c r="G874" s="107">
        <f>(D874*E874)+((D874*E874)*F874/100)</f>
        <v>27540</v>
      </c>
      <c r="H874" s="108"/>
      <c r="I874" s="71"/>
    </row>
    <row r="875" spans="1:9" s="212" customFormat="1">
      <c r="A875" s="125" t="s">
        <v>553</v>
      </c>
      <c r="B875" s="78" t="s">
        <v>554</v>
      </c>
      <c r="C875" s="127" t="s">
        <v>454</v>
      </c>
      <c r="D875" s="107">
        <v>217381.5</v>
      </c>
      <c r="E875" s="79">
        <v>3.5000000000000003E-2</v>
      </c>
      <c r="F875" s="79">
        <v>0</v>
      </c>
      <c r="G875" s="107">
        <f>(D875*E875)+((D875*E875)*F875/100)</f>
        <v>7608.3525000000009</v>
      </c>
      <c r="H875" s="108"/>
      <c r="I875" s="71"/>
    </row>
    <row r="876" spans="1:9" s="212" customFormat="1">
      <c r="A876" s="90"/>
      <c r="B876" s="91"/>
      <c r="C876" s="91"/>
      <c r="D876" s="91"/>
      <c r="E876" s="91"/>
      <c r="F876"/>
      <c r="G876" s="85" t="s">
        <v>407</v>
      </c>
      <c r="H876" s="107">
        <f>SUM(G874:G875)</f>
        <v>35148.352500000001</v>
      </c>
      <c r="I876" s="71"/>
    </row>
    <row r="877" spans="1:9" s="212" customFormat="1">
      <c r="A877" s="72" t="s">
        <v>410</v>
      </c>
      <c r="B877" s="73"/>
      <c r="C877" s="73"/>
      <c r="D877" s="73"/>
      <c r="E877" s="73"/>
      <c r="F877"/>
      <c r="G877" s="74"/>
      <c r="H877" s="108"/>
      <c r="I877" s="71"/>
    </row>
    <row r="878" spans="1:9" s="212" customFormat="1">
      <c r="A878" s="75" t="s">
        <v>391</v>
      </c>
      <c r="B878" s="76" t="s">
        <v>392</v>
      </c>
      <c r="C878" s="76" t="s">
        <v>393</v>
      </c>
      <c r="D878" s="76" t="s">
        <v>394</v>
      </c>
      <c r="E878" s="76" t="s">
        <v>395</v>
      </c>
      <c r="F878" s="76" t="s">
        <v>396</v>
      </c>
      <c r="G878" s="76" t="s">
        <v>397</v>
      </c>
      <c r="H878" s="108"/>
      <c r="I878" s="71"/>
    </row>
    <row r="879" spans="1:9" s="212" customFormat="1" ht="25.5">
      <c r="A879" s="125" t="s">
        <v>461</v>
      </c>
      <c r="B879" s="78" t="s">
        <v>522</v>
      </c>
      <c r="C879" s="127" t="s">
        <v>426</v>
      </c>
      <c r="D879" s="107">
        <v>15927</v>
      </c>
      <c r="E879" s="79">
        <v>0.53</v>
      </c>
      <c r="F879" s="79">
        <v>0</v>
      </c>
      <c r="G879" s="107">
        <f>(D879*E879)+((D879*E879)*F879/100)</f>
        <v>8441.3100000000013</v>
      </c>
      <c r="H879" s="108"/>
      <c r="I879" s="71"/>
    </row>
    <row r="880" spans="1:9" s="212" customFormat="1">
      <c r="A880" s="90"/>
      <c r="B880" s="91"/>
      <c r="C880" s="91"/>
      <c r="D880" s="107"/>
      <c r="E880" s="91"/>
      <c r="F880"/>
      <c r="G880" s="107" t="s">
        <v>407</v>
      </c>
      <c r="H880" s="107">
        <f>SUM(G879:G879)</f>
        <v>8441.3100000000013</v>
      </c>
      <c r="I880" s="71"/>
    </row>
    <row r="881" spans="1:9" s="212" customFormat="1">
      <c r="A881" s="72" t="s">
        <v>411</v>
      </c>
      <c r="B881" s="73"/>
      <c r="C881" s="73"/>
      <c r="D881" s="73"/>
      <c r="E881" s="73"/>
      <c r="F881"/>
      <c r="G881" s="74"/>
      <c r="H881" s="108"/>
      <c r="I881" s="71"/>
    </row>
    <row r="882" spans="1:9" s="212" customFormat="1">
      <c r="A882" s="75" t="s">
        <v>391</v>
      </c>
      <c r="B882" s="76" t="s">
        <v>392</v>
      </c>
      <c r="C882" s="76" t="s">
        <v>393</v>
      </c>
      <c r="D882" s="76" t="s">
        <v>394</v>
      </c>
      <c r="E882" s="76" t="s">
        <v>395</v>
      </c>
      <c r="F882" s="76" t="s">
        <v>396</v>
      </c>
      <c r="G882" s="76" t="s">
        <v>397</v>
      </c>
      <c r="H882" s="108"/>
      <c r="I882" s="71"/>
    </row>
    <row r="883" spans="1:9" s="212" customFormat="1">
      <c r="A883" s="87" t="s">
        <v>409</v>
      </c>
      <c r="B883" s="114" t="s">
        <v>409</v>
      </c>
      <c r="C883" s="114" t="s">
        <v>409</v>
      </c>
      <c r="D883" s="114" t="s">
        <v>409</v>
      </c>
      <c r="E883" s="114" t="s">
        <v>409</v>
      </c>
      <c r="F883" s="79" t="s">
        <v>409</v>
      </c>
      <c r="G883" s="89" t="s">
        <v>409</v>
      </c>
      <c r="H883" s="108"/>
      <c r="I883" s="71"/>
    </row>
    <row r="884" spans="1:9" s="212" customFormat="1">
      <c r="A884" s="94"/>
      <c r="B884" s="95"/>
      <c r="C884" s="95"/>
      <c r="D884" s="95"/>
      <c r="E884" s="95"/>
      <c r="F884"/>
      <c r="G884" s="93" t="s">
        <v>407</v>
      </c>
      <c r="H884" s="107">
        <f>SUM(G882:G883)</f>
        <v>0</v>
      </c>
      <c r="I884" s="71"/>
    </row>
    <row r="885" spans="1:9" s="212" customFormat="1">
      <c r="A885" s="94"/>
      <c r="B885" s="95"/>
      <c r="C885" s="95"/>
      <c r="D885" s="95"/>
      <c r="E885" s="95"/>
      <c r="F885"/>
      <c r="G885" s="74"/>
      <c r="H885" s="74"/>
      <c r="I885" s="71"/>
    </row>
    <row r="886" spans="1:9" s="212" customFormat="1">
      <c r="A886" s="96"/>
      <c r="B886" s="97"/>
      <c r="C886" s="98"/>
      <c r="D886" s="98"/>
      <c r="E886" s="98"/>
      <c r="F886"/>
      <c r="G886" s="99" t="s">
        <v>412</v>
      </c>
      <c r="H886" s="115">
        <f>SUM(H871:H884)</f>
        <v>43839.662500000006</v>
      </c>
      <c r="I886" s="71"/>
    </row>
    <row r="887" spans="1:9" s="212" customFormat="1">
      <c r="A887" s="96"/>
      <c r="B887" s="97"/>
      <c r="C887" s="98"/>
      <c r="D887" s="98"/>
      <c r="E887" s="98"/>
      <c r="F887" s="101"/>
      <c r="G887" s="116"/>
      <c r="H887" s="70"/>
      <c r="I887" s="71"/>
    </row>
    <row r="888" spans="1:9" s="212" customFormat="1" ht="15.75" thickBot="1">
      <c r="A888" s="624" t="s">
        <v>414</v>
      </c>
      <c r="B888" s="625"/>
      <c r="C888" s="625"/>
      <c r="D888" s="625"/>
      <c r="E888" s="625"/>
      <c r="F888" s="625"/>
      <c r="G888" s="626"/>
      <c r="H888" s="117">
        <f>+ROUND(H886,0)</f>
        <v>43840</v>
      </c>
      <c r="I888" s="103"/>
    </row>
    <row r="889" spans="1:9" s="212" customFormat="1">
      <c r="A889" s="142"/>
      <c r="B889" s="143"/>
      <c r="C889" s="143"/>
      <c r="D889" s="143"/>
      <c r="E889" s="143"/>
      <c r="F889" s="84"/>
      <c r="G889" s="146"/>
      <c r="H889" s="221"/>
    </row>
    <row r="890" spans="1:9" s="212" customFormat="1" ht="15.75" thickBot="1">
      <c r="A890" s="84"/>
      <c r="B890" s="83"/>
      <c r="C890" s="84"/>
      <c r="D890" s="84"/>
      <c r="E890" s="84"/>
      <c r="G890" s="213"/>
      <c r="H890" s="222"/>
    </row>
    <row r="891" spans="1:9" s="212" customFormat="1">
      <c r="A891" s="627"/>
      <c r="B891" s="629" t="s">
        <v>1159</v>
      </c>
      <c r="C891" s="630"/>
      <c r="D891" s="630"/>
      <c r="E891" s="630"/>
      <c r="F891" s="630"/>
      <c r="G891" s="630"/>
      <c r="H891" s="630"/>
      <c r="I891" s="66" t="s">
        <v>389</v>
      </c>
    </row>
    <row r="892" spans="1:9" s="212" customFormat="1">
      <c r="A892" s="628"/>
      <c r="B892" s="631"/>
      <c r="C892" s="632"/>
      <c r="D892" s="632"/>
      <c r="E892" s="632"/>
      <c r="F892" s="632"/>
      <c r="G892" s="632"/>
      <c r="H892" s="632"/>
      <c r="I892" s="67" t="s">
        <v>454</v>
      </c>
    </row>
    <row r="893" spans="1:9" s="212" customFormat="1">
      <c r="A893" s="68"/>
      <c r="B893" s="69"/>
      <c r="C893" s="69"/>
      <c r="D893" s="69"/>
      <c r="E893" s="69"/>
      <c r="F893" s="70"/>
      <c r="G893" s="70"/>
      <c r="H893" s="70"/>
      <c r="I893" s="71"/>
    </row>
    <row r="894" spans="1:9" s="212" customFormat="1">
      <c r="A894" s="72" t="s">
        <v>390</v>
      </c>
      <c r="B894" s="73"/>
      <c r="C894" s="73"/>
      <c r="D894" s="73"/>
      <c r="E894" s="73"/>
      <c r="F894" s="74"/>
      <c r="G894" s="74"/>
      <c r="H894" s="70"/>
      <c r="I894" s="71"/>
    </row>
    <row r="895" spans="1:9" s="212" customFormat="1">
      <c r="A895" s="75" t="s">
        <v>391</v>
      </c>
      <c r="B895" s="76" t="s">
        <v>392</v>
      </c>
      <c r="C895" s="76" t="s">
        <v>393</v>
      </c>
      <c r="D895" s="76" t="s">
        <v>394</v>
      </c>
      <c r="E895" s="76" t="s">
        <v>395</v>
      </c>
      <c r="F895" s="76" t="s">
        <v>396</v>
      </c>
      <c r="G895" s="76" t="s">
        <v>397</v>
      </c>
      <c r="H895" s="74"/>
      <c r="I895" s="71"/>
    </row>
    <row r="896" spans="1:9" s="212" customFormat="1">
      <c r="A896" s="135" t="s">
        <v>404</v>
      </c>
      <c r="B896" s="78" t="s">
        <v>405</v>
      </c>
      <c r="C896" s="127" t="s">
        <v>523</v>
      </c>
      <c r="D896" s="107">
        <v>1250</v>
      </c>
      <c r="E896" s="79">
        <v>1</v>
      </c>
      <c r="F896" s="79">
        <v>0</v>
      </c>
      <c r="G896" s="107">
        <f>(D896*E896)+((D896*E896)*F896/100)</f>
        <v>1250</v>
      </c>
      <c r="H896" s="74"/>
      <c r="I896" s="71"/>
    </row>
    <row r="897" spans="1:9" s="212" customFormat="1">
      <c r="A897" s="82"/>
      <c r="B897" s="83"/>
      <c r="C897" s="84"/>
      <c r="D897" s="84"/>
      <c r="E897" s="84"/>
      <c r="F897"/>
      <c r="G897" s="93" t="s">
        <v>407</v>
      </c>
      <c r="H897" s="107">
        <f>SUM(G896:G896)</f>
        <v>1250</v>
      </c>
      <c r="I897" s="71"/>
    </row>
    <row r="898" spans="1:9" s="212" customFormat="1">
      <c r="A898" s="72" t="s">
        <v>408</v>
      </c>
      <c r="B898" s="73"/>
      <c r="C898" s="73"/>
      <c r="D898" s="73"/>
      <c r="E898" s="73"/>
      <c r="F898"/>
      <c r="G898" s="74"/>
      <c r="H898" s="108"/>
      <c r="I898" s="71"/>
    </row>
    <row r="899" spans="1:9" s="212" customFormat="1">
      <c r="A899" s="75" t="s">
        <v>391</v>
      </c>
      <c r="B899" s="76" t="s">
        <v>392</v>
      </c>
      <c r="C899" s="76" t="s">
        <v>393</v>
      </c>
      <c r="D899" s="76" t="s">
        <v>394</v>
      </c>
      <c r="E899" s="76" t="s">
        <v>395</v>
      </c>
      <c r="F899" s="76" t="s">
        <v>396</v>
      </c>
      <c r="G899" s="76" t="s">
        <v>397</v>
      </c>
      <c r="H899" s="108"/>
      <c r="I899" s="71"/>
    </row>
    <row r="900" spans="1:9" s="212" customFormat="1">
      <c r="A900" s="135">
        <v>239</v>
      </c>
      <c r="B900" s="78" t="s">
        <v>1160</v>
      </c>
      <c r="C900" s="127" t="s">
        <v>454</v>
      </c>
      <c r="D900" s="107">
        <v>45000</v>
      </c>
      <c r="E900" s="79">
        <v>1</v>
      </c>
      <c r="F900" s="79">
        <v>0</v>
      </c>
      <c r="G900" s="107">
        <f>(D900*E900)+((D900*E900)*F900/100)</f>
        <v>45000</v>
      </c>
      <c r="H900" s="108"/>
      <c r="I900" s="71"/>
    </row>
    <row r="901" spans="1:9" s="212" customFormat="1">
      <c r="A901" s="90"/>
      <c r="B901" s="91"/>
      <c r="C901" s="91"/>
      <c r="D901" s="91"/>
      <c r="E901" s="91"/>
      <c r="F901"/>
      <c r="G901" s="85" t="s">
        <v>407</v>
      </c>
      <c r="H901" s="107">
        <f>SUM(G900:G900)</f>
        <v>45000</v>
      </c>
      <c r="I901" s="71"/>
    </row>
    <row r="902" spans="1:9" s="212" customFormat="1">
      <c r="A902" s="72" t="s">
        <v>410</v>
      </c>
      <c r="B902" s="73"/>
      <c r="C902" s="73"/>
      <c r="D902" s="73"/>
      <c r="E902" s="73"/>
      <c r="F902"/>
      <c r="G902" s="74"/>
      <c r="H902" s="108"/>
      <c r="I902" s="71"/>
    </row>
    <row r="903" spans="1:9" s="212" customFormat="1">
      <c r="A903" s="75" t="s">
        <v>391</v>
      </c>
      <c r="B903" s="76" t="s">
        <v>392</v>
      </c>
      <c r="C903" s="76" t="s">
        <v>393</v>
      </c>
      <c r="D903" s="76" t="s">
        <v>394</v>
      </c>
      <c r="E903" s="76" t="s">
        <v>395</v>
      </c>
      <c r="F903" s="76" t="s">
        <v>396</v>
      </c>
      <c r="G903" s="76" t="s">
        <v>397</v>
      </c>
      <c r="H903" s="108"/>
      <c r="I903" s="71"/>
    </row>
    <row r="904" spans="1:9" s="212" customFormat="1">
      <c r="A904" s="125" t="s">
        <v>450</v>
      </c>
      <c r="B904" s="78" t="s">
        <v>524</v>
      </c>
      <c r="C904" s="127" t="s">
        <v>426</v>
      </c>
      <c r="D904" s="107">
        <f>5627*3</f>
        <v>16881</v>
      </c>
      <c r="E904" s="79">
        <v>0.25</v>
      </c>
      <c r="F904" s="79">
        <v>0</v>
      </c>
      <c r="G904" s="107">
        <f>(D904*E904)+((D904*E904)*F904/100)</f>
        <v>4220.25</v>
      </c>
      <c r="H904" s="108"/>
      <c r="I904" s="71"/>
    </row>
    <row r="905" spans="1:9" s="212" customFormat="1">
      <c r="A905" s="90"/>
      <c r="B905" s="91"/>
      <c r="C905" s="91"/>
      <c r="D905" s="91"/>
      <c r="E905" s="91"/>
      <c r="F905"/>
      <c r="G905" s="93" t="s">
        <v>407</v>
      </c>
      <c r="H905" s="107">
        <f>SUM(G904:G904)</f>
        <v>4220.25</v>
      </c>
      <c r="I905" s="71"/>
    </row>
    <row r="906" spans="1:9" s="212" customFormat="1">
      <c r="A906" s="72" t="s">
        <v>411</v>
      </c>
      <c r="B906" s="73"/>
      <c r="C906" s="73"/>
      <c r="D906" s="73"/>
      <c r="E906" s="73"/>
      <c r="F906"/>
      <c r="G906" s="74"/>
      <c r="H906" s="108"/>
      <c r="I906" s="71"/>
    </row>
    <row r="907" spans="1:9" s="212" customFormat="1">
      <c r="A907" s="75" t="s">
        <v>391</v>
      </c>
      <c r="B907" s="76" t="s">
        <v>392</v>
      </c>
      <c r="C907" s="76" t="s">
        <v>393</v>
      </c>
      <c r="D907" s="76" t="s">
        <v>394</v>
      </c>
      <c r="E907" s="76" t="s">
        <v>395</v>
      </c>
      <c r="F907" s="76" t="s">
        <v>396</v>
      </c>
      <c r="G907" s="76" t="s">
        <v>397</v>
      </c>
      <c r="H907" s="108"/>
      <c r="I907" s="71"/>
    </row>
    <row r="908" spans="1:9" s="212" customFormat="1">
      <c r="A908" s="87" t="s">
        <v>409</v>
      </c>
      <c r="B908" s="114" t="s">
        <v>409</v>
      </c>
      <c r="C908" s="114" t="s">
        <v>409</v>
      </c>
      <c r="D908" s="114" t="s">
        <v>409</v>
      </c>
      <c r="E908" s="114" t="s">
        <v>409</v>
      </c>
      <c r="F908" s="79" t="s">
        <v>409</v>
      </c>
      <c r="G908" s="89" t="s">
        <v>409</v>
      </c>
      <c r="H908" s="108"/>
      <c r="I908" s="71"/>
    </row>
    <row r="909" spans="1:9" s="212" customFormat="1">
      <c r="A909" s="94"/>
      <c r="B909" s="95"/>
      <c r="C909" s="95"/>
      <c r="D909" s="95"/>
      <c r="E909" s="95"/>
      <c r="F909"/>
      <c r="G909" s="93" t="s">
        <v>407</v>
      </c>
      <c r="H909" s="107">
        <f>SUM(G907:G908)</f>
        <v>0</v>
      </c>
      <c r="I909" s="71"/>
    </row>
    <row r="910" spans="1:9" s="212" customFormat="1">
      <c r="A910" s="94"/>
      <c r="B910" s="95"/>
      <c r="C910" s="95"/>
      <c r="D910" s="95"/>
      <c r="E910" s="95"/>
      <c r="F910"/>
      <c r="G910" s="74"/>
      <c r="H910" s="74"/>
      <c r="I910" s="71"/>
    </row>
    <row r="911" spans="1:9" s="212" customFormat="1">
      <c r="A911" s="96"/>
      <c r="B911" s="97"/>
      <c r="C911" s="98"/>
      <c r="D911" s="98"/>
      <c r="E911" s="98"/>
      <c r="F911"/>
      <c r="G911" s="99" t="s">
        <v>412</v>
      </c>
      <c r="H911" s="115">
        <f>SUM(H897:H909)</f>
        <v>50470.25</v>
      </c>
      <c r="I911" s="71"/>
    </row>
    <row r="912" spans="1:9" s="212" customFormat="1">
      <c r="A912" s="96"/>
      <c r="B912" s="97"/>
      <c r="C912" s="98"/>
      <c r="D912" s="98"/>
      <c r="E912" s="98"/>
      <c r="F912" s="101"/>
      <c r="G912" s="116"/>
      <c r="H912" s="70"/>
      <c r="I912" s="71"/>
    </row>
    <row r="913" spans="1:9" s="212" customFormat="1" ht="15.75" thickBot="1">
      <c r="A913" s="624" t="s">
        <v>441</v>
      </c>
      <c r="B913" s="625"/>
      <c r="C913" s="625"/>
      <c r="D913" s="625"/>
      <c r="E913" s="625"/>
      <c r="F913" s="625"/>
      <c r="G913" s="626"/>
      <c r="H913" s="117">
        <f>+ROUND(H911,0)</f>
        <v>50470</v>
      </c>
      <c r="I913" s="103"/>
    </row>
    <row r="914" spans="1:9" s="212" customFormat="1">
      <c r="A914" s="84"/>
      <c r="B914" s="83"/>
      <c r="C914" s="84"/>
      <c r="D914" s="84"/>
      <c r="E914" s="84"/>
      <c r="G914" s="213"/>
      <c r="H914" s="222"/>
    </row>
    <row r="915" spans="1:9" s="212" customFormat="1" ht="15.75" thickBot="1">
      <c r="A915" s="120"/>
      <c r="B915" s="73"/>
      <c r="C915" s="73"/>
      <c r="D915" s="73"/>
      <c r="E915" s="73"/>
      <c r="G915" s="73"/>
      <c r="H915" s="222"/>
    </row>
    <row r="916" spans="1:9" s="212" customFormat="1">
      <c r="A916" s="627"/>
      <c r="B916" s="629" t="s">
        <v>1161</v>
      </c>
      <c r="C916" s="630"/>
      <c r="D916" s="630"/>
      <c r="E916" s="630"/>
      <c r="F916" s="630"/>
      <c r="G916" s="630"/>
      <c r="H916" s="630"/>
      <c r="I916" s="66" t="s">
        <v>389</v>
      </c>
    </row>
    <row r="917" spans="1:9" s="212" customFormat="1">
      <c r="A917" s="628"/>
      <c r="B917" s="631"/>
      <c r="C917" s="632"/>
      <c r="D917" s="632"/>
      <c r="E917" s="632"/>
      <c r="F917" s="632"/>
      <c r="G917" s="632"/>
      <c r="H917" s="632"/>
      <c r="I917" s="67" t="s">
        <v>454</v>
      </c>
    </row>
    <row r="918" spans="1:9" s="212" customFormat="1">
      <c r="A918" s="68"/>
      <c r="B918" s="69"/>
      <c r="C918" s="69"/>
      <c r="D918" s="69"/>
      <c r="E918" s="69"/>
      <c r="F918" s="70"/>
      <c r="G918" s="70"/>
      <c r="H918" s="70"/>
      <c r="I918" s="71"/>
    </row>
    <row r="919" spans="1:9" s="212" customFormat="1">
      <c r="A919" s="72" t="s">
        <v>390</v>
      </c>
      <c r="B919" s="73"/>
      <c r="C919" s="73"/>
      <c r="D919" s="73"/>
      <c r="E919" s="73"/>
      <c r="F919" s="74"/>
      <c r="G919" s="74"/>
      <c r="H919" s="70"/>
      <c r="I919" s="71"/>
    </row>
    <row r="920" spans="1:9" s="212" customFormat="1">
      <c r="A920" s="75" t="s">
        <v>391</v>
      </c>
      <c r="B920" s="76" t="s">
        <v>392</v>
      </c>
      <c r="C920" s="76" t="s">
        <v>393</v>
      </c>
      <c r="D920" s="76" t="s">
        <v>394</v>
      </c>
      <c r="E920" s="76" t="s">
        <v>395</v>
      </c>
      <c r="F920" s="76" t="s">
        <v>396</v>
      </c>
      <c r="G920" s="76" t="s">
        <v>397</v>
      </c>
      <c r="H920" s="74"/>
      <c r="I920" s="71"/>
    </row>
    <row r="921" spans="1:9" s="212" customFormat="1">
      <c r="A921" s="135" t="s">
        <v>404</v>
      </c>
      <c r="B921" s="78" t="s">
        <v>405</v>
      </c>
      <c r="C921" s="127" t="s">
        <v>523</v>
      </c>
      <c r="D921" s="107">
        <v>1250</v>
      </c>
      <c r="E921" s="79">
        <v>1</v>
      </c>
      <c r="F921" s="79">
        <v>0</v>
      </c>
      <c r="G921" s="107">
        <f>(D921*E921)+((D921*E921)*F921/100)</f>
        <v>1250</v>
      </c>
      <c r="H921" s="74"/>
      <c r="I921" s="71"/>
    </row>
    <row r="922" spans="1:9" s="212" customFormat="1">
      <c r="A922" s="82"/>
      <c r="B922" s="83"/>
      <c r="C922" s="84"/>
      <c r="D922" s="84"/>
      <c r="E922" s="84"/>
      <c r="F922"/>
      <c r="G922" s="93" t="s">
        <v>407</v>
      </c>
      <c r="H922" s="107">
        <f>SUM(G921:G921)</f>
        <v>1250</v>
      </c>
      <c r="I922" s="71"/>
    </row>
    <row r="923" spans="1:9" s="212" customFormat="1">
      <c r="A923" s="72" t="s">
        <v>408</v>
      </c>
      <c r="B923" s="73"/>
      <c r="C923" s="73"/>
      <c r="D923" s="73"/>
      <c r="E923" s="73"/>
      <c r="F923"/>
      <c r="G923" s="74"/>
      <c r="H923" s="108"/>
      <c r="I923" s="71"/>
    </row>
    <row r="924" spans="1:9" s="212" customFormat="1">
      <c r="A924" s="75" t="s">
        <v>391</v>
      </c>
      <c r="B924" s="76" t="s">
        <v>392</v>
      </c>
      <c r="C924" s="76" t="s">
        <v>393</v>
      </c>
      <c r="D924" s="76" t="s">
        <v>394</v>
      </c>
      <c r="E924" s="76" t="s">
        <v>395</v>
      </c>
      <c r="F924" s="76" t="s">
        <v>396</v>
      </c>
      <c r="G924" s="76" t="s">
        <v>397</v>
      </c>
      <c r="H924" s="108"/>
      <c r="I924" s="71"/>
    </row>
    <row r="925" spans="1:9" s="212" customFormat="1">
      <c r="A925" s="135">
        <v>239</v>
      </c>
      <c r="B925" s="78" t="s">
        <v>1162</v>
      </c>
      <c r="C925" s="127" t="s">
        <v>454</v>
      </c>
      <c r="D925" s="107">
        <v>50000</v>
      </c>
      <c r="E925" s="79">
        <v>1</v>
      </c>
      <c r="F925" s="79">
        <v>0</v>
      </c>
      <c r="G925" s="107">
        <f>(D925*E925)+((D925*E925)*F925/100)</f>
        <v>50000</v>
      </c>
      <c r="H925" s="108"/>
      <c r="I925" s="71"/>
    </row>
    <row r="926" spans="1:9" s="212" customFormat="1">
      <c r="A926" s="90"/>
      <c r="B926" s="91"/>
      <c r="C926" s="91"/>
      <c r="D926" s="91"/>
      <c r="E926" s="91"/>
      <c r="F926"/>
      <c r="G926" s="85" t="s">
        <v>407</v>
      </c>
      <c r="H926" s="107">
        <f>SUM(G925:G925)</f>
        <v>50000</v>
      </c>
      <c r="I926" s="71"/>
    </row>
    <row r="927" spans="1:9" s="212" customFormat="1">
      <c r="A927" s="72" t="s">
        <v>410</v>
      </c>
      <c r="B927" s="73"/>
      <c r="C927" s="73"/>
      <c r="D927" s="73"/>
      <c r="E927" s="73"/>
      <c r="F927"/>
      <c r="G927" s="74"/>
      <c r="H927" s="108"/>
      <c r="I927" s="71"/>
    </row>
    <row r="928" spans="1:9" s="212" customFormat="1">
      <c r="A928" s="75" t="s">
        <v>391</v>
      </c>
      <c r="B928" s="76" t="s">
        <v>392</v>
      </c>
      <c r="C928" s="76" t="s">
        <v>393</v>
      </c>
      <c r="D928" s="76" t="s">
        <v>394</v>
      </c>
      <c r="E928" s="76" t="s">
        <v>395</v>
      </c>
      <c r="F928" s="76" t="s">
        <v>396</v>
      </c>
      <c r="G928" s="76" t="s">
        <v>397</v>
      </c>
      <c r="H928" s="108"/>
      <c r="I928" s="71"/>
    </row>
    <row r="929" spans="1:9" s="212" customFormat="1">
      <c r="A929" s="125" t="s">
        <v>450</v>
      </c>
      <c r="B929" s="78" t="s">
        <v>524</v>
      </c>
      <c r="C929" s="127" t="s">
        <v>426</v>
      </c>
      <c r="D929" s="107">
        <f>5627*3</f>
        <v>16881</v>
      </c>
      <c r="E929" s="79">
        <v>0.25</v>
      </c>
      <c r="F929" s="79">
        <v>0</v>
      </c>
      <c r="G929" s="107">
        <f>(D929*E929)+((D929*E929)*F929/100)</f>
        <v>4220.25</v>
      </c>
      <c r="H929" s="108"/>
      <c r="I929" s="71"/>
    </row>
    <row r="930" spans="1:9" s="212" customFormat="1">
      <c r="A930" s="90"/>
      <c r="B930" s="91"/>
      <c r="C930" s="91"/>
      <c r="D930" s="91"/>
      <c r="E930" s="91"/>
      <c r="F930"/>
      <c r="G930" s="93" t="s">
        <v>407</v>
      </c>
      <c r="H930" s="107">
        <f>SUM(G929:G929)</f>
        <v>4220.25</v>
      </c>
      <c r="I930" s="71"/>
    </row>
    <row r="931" spans="1:9" s="212" customFormat="1">
      <c r="A931" s="72" t="s">
        <v>411</v>
      </c>
      <c r="B931" s="73"/>
      <c r="C931" s="73"/>
      <c r="D931" s="73"/>
      <c r="E931" s="73"/>
      <c r="F931"/>
      <c r="G931" s="74"/>
      <c r="H931" s="108"/>
      <c r="I931" s="71"/>
    </row>
    <row r="932" spans="1:9" s="212" customFormat="1">
      <c r="A932" s="75" t="s">
        <v>391</v>
      </c>
      <c r="B932" s="76" t="s">
        <v>392</v>
      </c>
      <c r="C932" s="76" t="s">
        <v>393</v>
      </c>
      <c r="D932" s="76" t="s">
        <v>394</v>
      </c>
      <c r="E932" s="76" t="s">
        <v>395</v>
      </c>
      <c r="F932" s="76" t="s">
        <v>396</v>
      </c>
      <c r="G932" s="76" t="s">
        <v>397</v>
      </c>
      <c r="H932" s="108"/>
      <c r="I932" s="71"/>
    </row>
    <row r="933" spans="1:9" s="212" customFormat="1">
      <c r="A933" s="87" t="s">
        <v>409</v>
      </c>
      <c r="B933" s="114" t="s">
        <v>409</v>
      </c>
      <c r="C933" s="114" t="s">
        <v>409</v>
      </c>
      <c r="D933" s="114" t="s">
        <v>409</v>
      </c>
      <c r="E933" s="114" t="s">
        <v>409</v>
      </c>
      <c r="F933" s="79" t="s">
        <v>409</v>
      </c>
      <c r="G933" s="89" t="s">
        <v>409</v>
      </c>
      <c r="H933" s="108"/>
      <c r="I933" s="71"/>
    </row>
    <row r="934" spans="1:9" s="212" customFormat="1">
      <c r="A934" s="94"/>
      <c r="B934" s="95"/>
      <c r="C934" s="95"/>
      <c r="D934" s="95"/>
      <c r="E934" s="95"/>
      <c r="F934"/>
      <c r="G934" s="93" t="s">
        <v>407</v>
      </c>
      <c r="H934" s="107">
        <f>SUM(G932:G933)</f>
        <v>0</v>
      </c>
      <c r="I934" s="71"/>
    </row>
    <row r="935" spans="1:9" s="212" customFormat="1">
      <c r="A935" s="94"/>
      <c r="B935" s="95"/>
      <c r="C935" s="95"/>
      <c r="D935" s="95"/>
      <c r="E935" s="95"/>
      <c r="F935"/>
      <c r="G935" s="74"/>
      <c r="H935" s="74"/>
      <c r="I935" s="71"/>
    </row>
    <row r="936" spans="1:9" s="212" customFormat="1">
      <c r="A936" s="96"/>
      <c r="B936" s="97"/>
      <c r="C936" s="98"/>
      <c r="D936" s="98"/>
      <c r="E936" s="98"/>
      <c r="F936"/>
      <c r="G936" s="99" t="s">
        <v>412</v>
      </c>
      <c r="H936" s="115">
        <f>SUM(H922:H934)</f>
        <v>55470.25</v>
      </c>
      <c r="I936" s="71"/>
    </row>
    <row r="937" spans="1:9" s="212" customFormat="1">
      <c r="A937" s="96"/>
      <c r="B937" s="97"/>
      <c r="C937" s="98"/>
      <c r="D937" s="98"/>
      <c r="E937" s="98"/>
      <c r="F937" s="101"/>
      <c r="G937" s="116"/>
      <c r="H937" s="70"/>
      <c r="I937" s="71"/>
    </row>
    <row r="938" spans="1:9" s="212" customFormat="1" ht="15.75" thickBot="1">
      <c r="A938" s="624" t="s">
        <v>441</v>
      </c>
      <c r="B938" s="625"/>
      <c r="C938" s="625"/>
      <c r="D938" s="625"/>
      <c r="E938" s="625"/>
      <c r="F938" s="625"/>
      <c r="G938" s="626"/>
      <c r="H938" s="117">
        <f>+ROUND(H936,0)</f>
        <v>55470</v>
      </c>
      <c r="I938" s="103"/>
    </row>
    <row r="939" spans="1:9" s="212" customFormat="1">
      <c r="A939" s="120"/>
      <c r="B939" s="73"/>
      <c r="C939" s="73"/>
      <c r="D939" s="73"/>
      <c r="E939" s="73"/>
      <c r="G939" s="73"/>
      <c r="H939" s="222"/>
    </row>
    <row r="940" spans="1:9" s="212" customFormat="1" ht="15.75" thickBot="1">
      <c r="A940" s="220"/>
      <c r="B940" s="141"/>
      <c r="C940" s="141"/>
      <c r="D940" s="141"/>
      <c r="E940" s="141"/>
      <c r="F940" s="141"/>
      <c r="G940" s="141"/>
      <c r="H940" s="222"/>
    </row>
    <row r="941" spans="1:9" s="212" customFormat="1">
      <c r="A941" s="627"/>
      <c r="B941" s="629" t="s">
        <v>545</v>
      </c>
      <c r="C941" s="630"/>
      <c r="D941" s="630"/>
      <c r="E941" s="630"/>
      <c r="F941" s="630"/>
      <c r="G941" s="630"/>
      <c r="H941" s="630"/>
      <c r="I941" s="66" t="s">
        <v>389</v>
      </c>
    </row>
    <row r="942" spans="1:9" s="212" customFormat="1">
      <c r="A942" s="628"/>
      <c r="B942" s="631"/>
      <c r="C942" s="632"/>
      <c r="D942" s="632"/>
      <c r="E942" s="632"/>
      <c r="F942" s="632"/>
      <c r="G942" s="632"/>
      <c r="H942" s="632"/>
      <c r="I942" s="67" t="s">
        <v>432</v>
      </c>
    </row>
    <row r="943" spans="1:9" s="212" customFormat="1">
      <c r="A943" s="68"/>
      <c r="B943" s="69"/>
      <c r="C943" s="69"/>
      <c r="D943" s="69"/>
      <c r="E943" s="69"/>
      <c r="F943" s="70"/>
      <c r="G943" s="70"/>
      <c r="H943" s="70"/>
      <c r="I943" s="71"/>
    </row>
    <row r="944" spans="1:9" s="212" customFormat="1">
      <c r="A944" s="72" t="s">
        <v>390</v>
      </c>
      <c r="B944" s="73"/>
      <c r="C944" s="73"/>
      <c r="D944" s="73"/>
      <c r="E944" s="73"/>
      <c r="F944" s="74"/>
      <c r="G944" s="74"/>
      <c r="H944" s="70"/>
      <c r="I944" s="71"/>
    </row>
    <row r="945" spans="1:9" s="212" customFormat="1">
      <c r="A945" s="75" t="s">
        <v>391</v>
      </c>
      <c r="B945" s="76" t="s">
        <v>392</v>
      </c>
      <c r="C945" s="76" t="s">
        <v>393</v>
      </c>
      <c r="D945" s="76" t="s">
        <v>394</v>
      </c>
      <c r="E945" s="76" t="s">
        <v>395</v>
      </c>
      <c r="F945" s="76" t="s">
        <v>396</v>
      </c>
      <c r="G945" s="76" t="s">
        <v>397</v>
      </c>
      <c r="H945" s="74"/>
      <c r="I945" s="71"/>
    </row>
    <row r="946" spans="1:9" s="212" customFormat="1">
      <c r="A946" s="135" t="s">
        <v>404</v>
      </c>
      <c r="B946" s="78" t="s">
        <v>405</v>
      </c>
      <c r="C946" s="127" t="s">
        <v>523</v>
      </c>
      <c r="D946" s="107">
        <v>1250</v>
      </c>
      <c r="E946" s="79">
        <v>1</v>
      </c>
      <c r="F946" s="79">
        <v>0</v>
      </c>
      <c r="G946" s="107">
        <f>(D946*E946)+((D946*E946)*F946/100)</f>
        <v>1250</v>
      </c>
      <c r="H946" s="74"/>
      <c r="I946" s="71"/>
    </row>
    <row r="947" spans="1:9" s="212" customFormat="1">
      <c r="A947" s="82"/>
      <c r="B947" s="83"/>
      <c r="C947" s="84"/>
      <c r="D947" s="84"/>
      <c r="E947" s="84"/>
      <c r="F947"/>
      <c r="G947" s="93" t="s">
        <v>407</v>
      </c>
      <c r="H947" s="107">
        <f>SUM(G946:G946)</f>
        <v>1250</v>
      </c>
      <c r="I947" s="71"/>
    </row>
    <row r="948" spans="1:9" s="212" customFormat="1">
      <c r="A948" s="72" t="s">
        <v>408</v>
      </c>
      <c r="B948" s="73"/>
      <c r="C948" s="73"/>
      <c r="D948" s="73"/>
      <c r="E948" s="73"/>
      <c r="F948"/>
      <c r="G948" s="74"/>
      <c r="H948" s="108"/>
      <c r="I948" s="71"/>
    </row>
    <row r="949" spans="1:9" s="212" customFormat="1">
      <c r="A949" s="75" t="s">
        <v>391</v>
      </c>
      <c r="B949" s="76" t="s">
        <v>392</v>
      </c>
      <c r="C949" s="76" t="s">
        <v>393</v>
      </c>
      <c r="D949" s="76" t="s">
        <v>394</v>
      </c>
      <c r="E949" s="76" t="s">
        <v>395</v>
      </c>
      <c r="F949" s="76" t="s">
        <v>396</v>
      </c>
      <c r="G949" s="76" t="s">
        <v>397</v>
      </c>
      <c r="H949" s="108"/>
      <c r="I949" s="71"/>
    </row>
    <row r="950" spans="1:9" s="212" customFormat="1">
      <c r="A950" s="135">
        <v>210</v>
      </c>
      <c r="B950" s="78" t="s">
        <v>546</v>
      </c>
      <c r="C950" s="127" t="s">
        <v>454</v>
      </c>
      <c r="D950" s="107">
        <v>40000</v>
      </c>
      <c r="E950" s="79">
        <v>1</v>
      </c>
      <c r="F950" s="79">
        <v>5</v>
      </c>
      <c r="G950" s="107">
        <f>(D950*E950)+((D950*E950)*F950/100)</f>
        <v>42000</v>
      </c>
      <c r="H950" s="108"/>
      <c r="I950" s="71"/>
    </row>
    <row r="951" spans="1:9" s="212" customFormat="1">
      <c r="A951" s="90"/>
      <c r="B951" s="91"/>
      <c r="C951" s="91"/>
      <c r="D951" s="91"/>
      <c r="E951" s="91"/>
      <c r="F951"/>
      <c r="G951" s="85" t="s">
        <v>407</v>
      </c>
      <c r="H951" s="107">
        <f>SUM(G950:G950)</f>
        <v>42000</v>
      </c>
      <c r="I951" s="71"/>
    </row>
    <row r="952" spans="1:9" s="212" customFormat="1">
      <c r="A952" s="72" t="s">
        <v>410</v>
      </c>
      <c r="B952" s="73"/>
      <c r="C952" s="73"/>
      <c r="D952" s="73"/>
      <c r="E952" s="73"/>
      <c r="F952"/>
      <c r="G952" s="74"/>
      <c r="H952" s="108"/>
      <c r="I952" s="71"/>
    </row>
    <row r="953" spans="1:9" s="212" customFormat="1">
      <c r="A953" s="75" t="s">
        <v>391</v>
      </c>
      <c r="B953" s="76" t="s">
        <v>392</v>
      </c>
      <c r="C953" s="76" t="s">
        <v>393</v>
      </c>
      <c r="D953" s="76" t="s">
        <v>394</v>
      </c>
      <c r="E953" s="76" t="s">
        <v>395</v>
      </c>
      <c r="F953" s="76" t="s">
        <v>396</v>
      </c>
      <c r="G953" s="76" t="s">
        <v>397</v>
      </c>
      <c r="H953" s="108"/>
      <c r="I953" s="71"/>
    </row>
    <row r="954" spans="1:9" s="212" customFormat="1">
      <c r="A954" s="135" t="s">
        <v>438</v>
      </c>
      <c r="B954" s="79" t="s">
        <v>510</v>
      </c>
      <c r="C954" s="127" t="s">
        <v>426</v>
      </c>
      <c r="D954" s="107">
        <v>5627</v>
      </c>
      <c r="E954" s="79">
        <v>0.9</v>
      </c>
      <c r="F954" s="79">
        <v>0</v>
      </c>
      <c r="G954" s="107">
        <f>(D954*E954)+((D954*E954)*F954/100)</f>
        <v>5064.3</v>
      </c>
      <c r="H954" s="108"/>
      <c r="I954" s="71"/>
    </row>
    <row r="955" spans="1:9" s="212" customFormat="1">
      <c r="A955" s="90"/>
      <c r="B955" s="91"/>
      <c r="C955" s="91"/>
      <c r="D955" s="91"/>
      <c r="E955" s="91"/>
      <c r="F955"/>
      <c r="G955" s="93" t="s">
        <v>407</v>
      </c>
      <c r="H955" s="107">
        <f>SUM(G954:G954)</f>
        <v>5064.3</v>
      </c>
      <c r="I955" s="71"/>
    </row>
    <row r="956" spans="1:9" s="212" customFormat="1">
      <c r="A956" s="72" t="s">
        <v>411</v>
      </c>
      <c r="B956" s="73"/>
      <c r="C956" s="73"/>
      <c r="D956" s="73"/>
      <c r="E956" s="73"/>
      <c r="F956"/>
      <c r="G956" s="74"/>
      <c r="H956" s="108"/>
      <c r="I956" s="71"/>
    </row>
    <row r="957" spans="1:9" s="212" customFormat="1">
      <c r="A957" s="75" t="s">
        <v>391</v>
      </c>
      <c r="B957" s="76" t="s">
        <v>392</v>
      </c>
      <c r="C957" s="76" t="s">
        <v>393</v>
      </c>
      <c r="D957" s="76" t="s">
        <v>394</v>
      </c>
      <c r="E957" s="76" t="s">
        <v>395</v>
      </c>
      <c r="F957" s="76" t="s">
        <v>396</v>
      </c>
      <c r="G957" s="76" t="s">
        <v>397</v>
      </c>
      <c r="H957" s="108"/>
      <c r="I957" s="71"/>
    </row>
    <row r="958" spans="1:9" s="212" customFormat="1">
      <c r="A958" s="87" t="s">
        <v>409</v>
      </c>
      <c r="B958" s="114" t="s">
        <v>409</v>
      </c>
      <c r="C958" s="114" t="s">
        <v>409</v>
      </c>
      <c r="D958" s="114" t="s">
        <v>409</v>
      </c>
      <c r="E958" s="114" t="s">
        <v>409</v>
      </c>
      <c r="F958" s="79" t="s">
        <v>409</v>
      </c>
      <c r="G958" s="89" t="s">
        <v>409</v>
      </c>
      <c r="H958" s="108"/>
      <c r="I958" s="71"/>
    </row>
    <row r="959" spans="1:9" s="212" customFormat="1">
      <c r="A959" s="94"/>
      <c r="B959" s="95"/>
      <c r="C959" s="95"/>
      <c r="D959" s="95"/>
      <c r="E959" s="95"/>
      <c r="F959"/>
      <c r="G959" s="93" t="s">
        <v>407</v>
      </c>
      <c r="H959" s="107">
        <f>SUM(G957:G958)</f>
        <v>0</v>
      </c>
      <c r="I959" s="71"/>
    </row>
    <row r="960" spans="1:9" s="212" customFormat="1">
      <c r="A960" s="94"/>
      <c r="B960" s="95"/>
      <c r="C960" s="95"/>
      <c r="D960" s="95"/>
      <c r="E960" s="95"/>
      <c r="F960"/>
      <c r="G960" s="74"/>
      <c r="H960" s="74"/>
      <c r="I960" s="71"/>
    </row>
    <row r="961" spans="1:9" s="212" customFormat="1">
      <c r="A961" s="96"/>
      <c r="B961" s="97"/>
      <c r="C961" s="98"/>
      <c r="D961" s="98"/>
      <c r="E961" s="98"/>
      <c r="F961"/>
      <c r="G961" s="99" t="s">
        <v>412</v>
      </c>
      <c r="H961" s="115">
        <f>SUM(H947:H959)</f>
        <v>48314.3</v>
      </c>
      <c r="I961" s="71"/>
    </row>
    <row r="962" spans="1:9" s="212" customFormat="1">
      <c r="A962" s="96"/>
      <c r="B962" s="97"/>
      <c r="C962" s="98"/>
      <c r="D962" s="98"/>
      <c r="E962" s="98"/>
      <c r="F962" s="101"/>
      <c r="G962" s="116"/>
      <c r="H962" s="70"/>
      <c r="I962" s="71"/>
    </row>
    <row r="963" spans="1:9" s="212" customFormat="1" ht="15.75" thickBot="1">
      <c r="A963" s="624" t="s">
        <v>441</v>
      </c>
      <c r="B963" s="625"/>
      <c r="C963" s="625"/>
      <c r="D963" s="625"/>
      <c r="E963" s="625"/>
      <c r="F963" s="625"/>
      <c r="G963" s="626"/>
      <c r="H963" s="117">
        <f>+ROUND(H961,0)</f>
        <v>48314</v>
      </c>
      <c r="I963" s="103"/>
    </row>
    <row r="964" spans="1:9" s="212" customFormat="1" ht="15.75" thickBot="1">
      <c r="A964"/>
      <c r="B964"/>
      <c r="C964"/>
      <c r="D964"/>
      <c r="E964"/>
      <c r="F964"/>
      <c r="G964"/>
      <c r="H964"/>
      <c r="I964"/>
    </row>
    <row r="965" spans="1:9" s="212" customFormat="1">
      <c r="A965" s="627"/>
      <c r="B965" s="629" t="s">
        <v>547</v>
      </c>
      <c r="C965" s="630"/>
      <c r="D965" s="630"/>
      <c r="E965" s="630"/>
      <c r="F965" s="630"/>
      <c r="G965" s="630"/>
      <c r="H965" s="630"/>
      <c r="I965" s="66" t="s">
        <v>389</v>
      </c>
    </row>
    <row r="966" spans="1:9" s="212" customFormat="1">
      <c r="A966" s="628"/>
      <c r="B966" s="631"/>
      <c r="C966" s="632"/>
      <c r="D966" s="632"/>
      <c r="E966" s="632"/>
      <c r="F966" s="632"/>
      <c r="G966" s="632"/>
      <c r="H966" s="632"/>
      <c r="I966" s="67" t="s">
        <v>432</v>
      </c>
    </row>
    <row r="967" spans="1:9" s="212" customFormat="1">
      <c r="A967" s="68"/>
      <c r="B967" s="69"/>
      <c r="C967" s="69"/>
      <c r="D967" s="69"/>
      <c r="E967" s="69"/>
      <c r="F967" s="70"/>
      <c r="G967" s="70"/>
      <c r="H967" s="70"/>
      <c r="I967" s="71"/>
    </row>
    <row r="968" spans="1:9" s="212" customFormat="1">
      <c r="A968" s="72" t="s">
        <v>390</v>
      </c>
      <c r="B968" s="73"/>
      <c r="C968" s="73"/>
      <c r="D968" s="73"/>
      <c r="E968" s="73"/>
      <c r="F968" s="74"/>
      <c r="G968" s="74"/>
      <c r="H968" s="70"/>
      <c r="I968" s="71"/>
    </row>
    <row r="969" spans="1:9" s="212" customFormat="1">
      <c r="A969" s="75" t="s">
        <v>391</v>
      </c>
      <c r="B969" s="76" t="s">
        <v>392</v>
      </c>
      <c r="C969" s="76" t="s">
        <v>393</v>
      </c>
      <c r="D969" s="76" t="s">
        <v>394</v>
      </c>
      <c r="E969" s="76" t="s">
        <v>395</v>
      </c>
      <c r="F969" s="76" t="s">
        <v>396</v>
      </c>
      <c r="G969" s="76" t="s">
        <v>397</v>
      </c>
      <c r="H969" s="74"/>
      <c r="I969" s="71"/>
    </row>
    <row r="970" spans="1:9" s="212" customFormat="1">
      <c r="A970" s="135" t="s">
        <v>404</v>
      </c>
      <c r="B970" s="78" t="s">
        <v>405</v>
      </c>
      <c r="C970" s="127" t="s">
        <v>523</v>
      </c>
      <c r="D970" s="107">
        <v>1250</v>
      </c>
      <c r="E970" s="79">
        <v>1</v>
      </c>
      <c r="F970" s="79">
        <v>0</v>
      </c>
      <c r="G970" s="107">
        <f>(D970*E970)+((D970*E970)*F970/100)</f>
        <v>1250</v>
      </c>
      <c r="H970" s="74"/>
      <c r="I970" s="71"/>
    </row>
    <row r="971" spans="1:9" s="212" customFormat="1">
      <c r="A971" s="82"/>
      <c r="B971" s="83"/>
      <c r="C971" s="84"/>
      <c r="D971" s="84"/>
      <c r="E971" s="84"/>
      <c r="F971"/>
      <c r="G971" s="93" t="s">
        <v>407</v>
      </c>
      <c r="H971" s="107">
        <f>SUM(G970:G970)</f>
        <v>1250</v>
      </c>
      <c r="I971" s="71"/>
    </row>
    <row r="972" spans="1:9" s="212" customFormat="1">
      <c r="A972" s="72" t="s">
        <v>408</v>
      </c>
      <c r="B972" s="73"/>
      <c r="C972" s="73"/>
      <c r="D972" s="73"/>
      <c r="E972" s="73"/>
      <c r="F972"/>
      <c r="G972" s="74"/>
      <c r="H972" s="108"/>
      <c r="I972" s="71"/>
    </row>
    <row r="973" spans="1:9" s="212" customFormat="1">
      <c r="A973" s="75" t="s">
        <v>391</v>
      </c>
      <c r="B973" s="76" t="s">
        <v>392</v>
      </c>
      <c r="C973" s="76" t="s">
        <v>393</v>
      </c>
      <c r="D973" s="76" t="s">
        <v>394</v>
      </c>
      <c r="E973" s="76" t="s">
        <v>395</v>
      </c>
      <c r="F973" s="76" t="s">
        <v>396</v>
      </c>
      <c r="G973" s="76" t="s">
        <v>397</v>
      </c>
      <c r="H973" s="108"/>
      <c r="I973" s="71"/>
    </row>
    <row r="974" spans="1:9" s="212" customFormat="1" ht="16.5">
      <c r="A974" s="135">
        <v>219</v>
      </c>
      <c r="B974" s="207" t="s">
        <v>471</v>
      </c>
      <c r="C974" s="127" t="s">
        <v>454</v>
      </c>
      <c r="D974" s="107">
        <v>38000</v>
      </c>
      <c r="E974" s="79">
        <v>1</v>
      </c>
      <c r="F974" s="79">
        <v>5</v>
      </c>
      <c r="G974" s="107">
        <f>(D974*E974)+((D974*E974)*F974/100)</f>
        <v>39900</v>
      </c>
      <c r="H974" s="108"/>
      <c r="I974" s="71"/>
    </row>
    <row r="975" spans="1:9" s="212" customFormat="1">
      <c r="A975" s="90"/>
      <c r="B975" s="91"/>
      <c r="C975" s="91"/>
      <c r="D975" s="91"/>
      <c r="E975" s="91"/>
      <c r="F975"/>
      <c r="G975" s="85" t="s">
        <v>407</v>
      </c>
      <c r="H975" s="107">
        <f>SUM(G974:G974)</f>
        <v>39900</v>
      </c>
      <c r="I975" s="71"/>
    </row>
    <row r="976" spans="1:9" s="212" customFormat="1">
      <c r="A976" s="72" t="s">
        <v>410</v>
      </c>
      <c r="B976" s="73"/>
      <c r="C976" s="73"/>
      <c r="D976" s="73"/>
      <c r="E976" s="73"/>
      <c r="F976"/>
      <c r="G976" s="74"/>
      <c r="H976" s="108"/>
      <c r="I976" s="71"/>
    </row>
    <row r="977" spans="1:9" s="212" customFormat="1">
      <c r="A977" s="75" t="s">
        <v>391</v>
      </c>
      <c r="B977" s="76" t="s">
        <v>392</v>
      </c>
      <c r="C977" s="76" t="s">
        <v>393</v>
      </c>
      <c r="D977" s="76" t="s">
        <v>394</v>
      </c>
      <c r="E977" s="76" t="s">
        <v>395</v>
      </c>
      <c r="F977" s="76" t="s">
        <v>396</v>
      </c>
      <c r="G977" s="76" t="s">
        <v>397</v>
      </c>
      <c r="H977" s="108"/>
      <c r="I977" s="71"/>
    </row>
    <row r="978" spans="1:9" s="212" customFormat="1">
      <c r="A978" s="135" t="s">
        <v>438</v>
      </c>
      <c r="B978" s="79" t="s">
        <v>510</v>
      </c>
      <c r="C978" s="127" t="s">
        <v>426</v>
      </c>
      <c r="D978" s="107">
        <v>5627</v>
      </c>
      <c r="E978" s="79">
        <v>0.9</v>
      </c>
      <c r="F978" s="79">
        <v>0</v>
      </c>
      <c r="G978" s="107">
        <f>(D978*E978)+((D978*E978)*F978/100)</f>
        <v>5064.3</v>
      </c>
      <c r="H978" s="108"/>
      <c r="I978" s="71"/>
    </row>
    <row r="979" spans="1:9" s="212" customFormat="1">
      <c r="A979" s="90"/>
      <c r="B979" s="91"/>
      <c r="C979" s="91"/>
      <c r="D979" s="91"/>
      <c r="E979" s="91"/>
      <c r="F979"/>
      <c r="G979" s="93" t="s">
        <v>407</v>
      </c>
      <c r="H979" s="107">
        <f>SUM(G978:G978)</f>
        <v>5064.3</v>
      </c>
      <c r="I979" s="71"/>
    </row>
    <row r="980" spans="1:9" s="212" customFormat="1">
      <c r="A980" s="72" t="s">
        <v>411</v>
      </c>
      <c r="B980" s="73"/>
      <c r="C980" s="73"/>
      <c r="D980" s="73"/>
      <c r="E980" s="73"/>
      <c r="F980"/>
      <c r="G980" s="74"/>
      <c r="H980" s="108"/>
      <c r="I980" s="71"/>
    </row>
    <row r="981" spans="1:9" s="212" customFormat="1">
      <c r="A981" s="75" t="s">
        <v>391</v>
      </c>
      <c r="B981" s="76" t="s">
        <v>392</v>
      </c>
      <c r="C981" s="76" t="s">
        <v>393</v>
      </c>
      <c r="D981" s="76" t="s">
        <v>394</v>
      </c>
      <c r="E981" s="76" t="s">
        <v>395</v>
      </c>
      <c r="F981" s="76" t="s">
        <v>396</v>
      </c>
      <c r="G981" s="76" t="s">
        <v>397</v>
      </c>
      <c r="H981" s="108"/>
      <c r="I981" s="71"/>
    </row>
    <row r="982" spans="1:9" s="212" customFormat="1">
      <c r="A982" s="87" t="s">
        <v>409</v>
      </c>
      <c r="B982" s="114" t="s">
        <v>409</v>
      </c>
      <c r="C982" s="114" t="s">
        <v>409</v>
      </c>
      <c r="D982" s="114" t="s">
        <v>409</v>
      </c>
      <c r="E982" s="114" t="s">
        <v>409</v>
      </c>
      <c r="F982" s="79" t="s">
        <v>409</v>
      </c>
      <c r="G982" s="89" t="s">
        <v>409</v>
      </c>
      <c r="H982" s="108"/>
      <c r="I982" s="71"/>
    </row>
    <row r="983" spans="1:9" s="212" customFormat="1">
      <c r="A983" s="94"/>
      <c r="B983" s="95"/>
      <c r="C983" s="95"/>
      <c r="D983" s="95"/>
      <c r="E983" s="95"/>
      <c r="F983"/>
      <c r="G983" s="93" t="s">
        <v>407</v>
      </c>
      <c r="H983" s="107">
        <f>SUM(G981:G982)</f>
        <v>0</v>
      </c>
      <c r="I983" s="71"/>
    </row>
    <row r="984" spans="1:9" s="212" customFormat="1">
      <c r="A984" s="94"/>
      <c r="B984" s="95"/>
      <c r="C984" s="95"/>
      <c r="D984" s="95"/>
      <c r="E984" s="95"/>
      <c r="F984"/>
      <c r="G984" s="74"/>
      <c r="H984" s="74"/>
      <c r="I984" s="71"/>
    </row>
    <row r="985" spans="1:9" s="212" customFormat="1">
      <c r="A985" s="96"/>
      <c r="B985" s="97"/>
      <c r="C985" s="98"/>
      <c r="D985" s="98"/>
      <c r="E985" s="98"/>
      <c r="F985"/>
      <c r="G985" s="99" t="s">
        <v>412</v>
      </c>
      <c r="H985" s="115">
        <f>SUM(H971:H983)</f>
        <v>46214.3</v>
      </c>
      <c r="I985" s="71"/>
    </row>
    <row r="986" spans="1:9" s="212" customFormat="1">
      <c r="A986" s="96"/>
      <c r="B986" s="97"/>
      <c r="C986" s="98"/>
      <c r="D986" s="98"/>
      <c r="E986" s="98"/>
      <c r="F986" s="101"/>
      <c r="G986" s="116"/>
      <c r="H986" s="70"/>
      <c r="I986" s="71"/>
    </row>
    <row r="987" spans="1:9" s="212" customFormat="1" ht="15.75" thickBot="1">
      <c r="A987" s="624" t="s">
        <v>441</v>
      </c>
      <c r="B987" s="625"/>
      <c r="C987" s="625"/>
      <c r="D987" s="625"/>
      <c r="E987" s="625"/>
      <c r="F987" s="625"/>
      <c r="G987" s="626"/>
      <c r="H987" s="117">
        <f>+ROUND(H985,0)</f>
        <v>46214</v>
      </c>
      <c r="I987" s="103"/>
    </row>
    <row r="988" spans="1:9" s="212" customFormat="1" ht="16.5">
      <c r="A988" s="150"/>
      <c r="B988" s="161"/>
      <c r="C988" s="148"/>
      <c r="D988" s="160"/>
      <c r="E988" s="84"/>
      <c r="F988" s="84"/>
      <c r="G988" s="146"/>
      <c r="H988" s="221"/>
    </row>
    <row r="989" spans="1:9" s="212" customFormat="1" ht="15.75" thickBot="1">
      <c r="A989" s="91"/>
      <c r="B989" s="91"/>
      <c r="C989" s="91"/>
      <c r="D989" s="91"/>
      <c r="E989" s="91"/>
      <c r="G989" s="213"/>
      <c r="H989" s="222"/>
    </row>
    <row r="990" spans="1:9" s="212" customFormat="1">
      <c r="A990" s="627"/>
      <c r="B990" s="629" t="s">
        <v>1167</v>
      </c>
      <c r="C990" s="630"/>
      <c r="D990" s="630"/>
      <c r="E990" s="630"/>
      <c r="F990" s="630"/>
      <c r="G990" s="630"/>
      <c r="H990" s="630"/>
      <c r="I990" s="66" t="s">
        <v>389</v>
      </c>
    </row>
    <row r="991" spans="1:9" s="212" customFormat="1">
      <c r="A991" s="628"/>
      <c r="B991" s="631"/>
      <c r="C991" s="632"/>
      <c r="D991" s="632"/>
      <c r="E991" s="632"/>
      <c r="F991" s="632"/>
      <c r="G991" s="632"/>
      <c r="H991" s="632"/>
      <c r="I991" s="67" t="s">
        <v>8</v>
      </c>
    </row>
    <row r="992" spans="1:9" s="212" customFormat="1">
      <c r="A992" s="68"/>
      <c r="B992" s="69"/>
      <c r="C992" s="69"/>
      <c r="D992" s="69"/>
      <c r="E992" s="69"/>
      <c r="F992" s="70"/>
      <c r="G992" s="70"/>
      <c r="H992" s="70"/>
      <c r="I992" s="71"/>
    </row>
    <row r="993" spans="1:9" s="212" customFormat="1">
      <c r="A993" s="72" t="s">
        <v>390</v>
      </c>
      <c r="B993" s="73"/>
      <c r="C993" s="73"/>
      <c r="D993" s="73"/>
      <c r="E993" s="73"/>
      <c r="F993" s="74"/>
      <c r="G993" s="74"/>
      <c r="H993" s="70"/>
      <c r="I993" s="71"/>
    </row>
    <row r="994" spans="1:9" s="212" customFormat="1">
      <c r="A994" s="75" t="s">
        <v>391</v>
      </c>
      <c r="B994" s="76" t="s">
        <v>392</v>
      </c>
      <c r="C994" s="76" t="s">
        <v>393</v>
      </c>
      <c r="D994" s="76" t="s">
        <v>394</v>
      </c>
      <c r="E994" s="76" t="s">
        <v>395</v>
      </c>
      <c r="F994" s="76" t="s">
        <v>396</v>
      </c>
      <c r="G994" s="76" t="s">
        <v>397</v>
      </c>
      <c r="H994" s="74"/>
      <c r="I994" s="71"/>
    </row>
    <row r="995" spans="1:9" s="212" customFormat="1">
      <c r="A995" s="77" t="s">
        <v>404</v>
      </c>
      <c r="B995" s="78" t="s">
        <v>416</v>
      </c>
      <c r="C995" s="79" t="s">
        <v>406</v>
      </c>
      <c r="D995" s="107">
        <v>1250</v>
      </c>
      <c r="E995" s="79">
        <v>0.5</v>
      </c>
      <c r="F995" s="79">
        <v>0</v>
      </c>
      <c r="G995" s="107">
        <f>(D995*E995)+((D995*E995)*F995/100)</f>
        <v>625</v>
      </c>
      <c r="H995" s="74"/>
      <c r="I995" s="71"/>
    </row>
    <row r="996" spans="1:9" s="212" customFormat="1">
      <c r="A996" s="82"/>
      <c r="B996" s="83"/>
      <c r="C996" s="84"/>
      <c r="D996" s="84"/>
      <c r="E996" s="84"/>
      <c r="F996"/>
      <c r="G996" s="93" t="s">
        <v>407</v>
      </c>
      <c r="H996" s="107">
        <f>SUM(G995:G995)</f>
        <v>625</v>
      </c>
      <c r="I996" s="71"/>
    </row>
    <row r="997" spans="1:9" s="212" customFormat="1">
      <c r="A997" s="72" t="s">
        <v>408</v>
      </c>
      <c r="B997" s="73"/>
      <c r="C997" s="73"/>
      <c r="D997" s="73"/>
      <c r="E997" s="73"/>
      <c r="F997"/>
      <c r="G997" s="74"/>
      <c r="H997" s="108"/>
      <c r="I997" s="71"/>
    </row>
    <row r="998" spans="1:9" s="212" customFormat="1">
      <c r="A998" s="75" t="s">
        <v>391</v>
      </c>
      <c r="B998" s="76" t="s">
        <v>392</v>
      </c>
      <c r="C998" s="76" t="s">
        <v>393</v>
      </c>
      <c r="D998" s="76" t="s">
        <v>394</v>
      </c>
      <c r="E998" s="76" t="s">
        <v>395</v>
      </c>
      <c r="F998" s="76" t="s">
        <v>396</v>
      </c>
      <c r="G998" s="76" t="s">
        <v>397</v>
      </c>
      <c r="H998" s="108"/>
      <c r="I998" s="71"/>
    </row>
    <row r="999" spans="1:9" s="212" customFormat="1">
      <c r="A999" s="87"/>
      <c r="B999" s="114"/>
      <c r="C999" s="114"/>
      <c r="D999" s="107"/>
      <c r="E999" s="114"/>
      <c r="F999" s="79"/>
      <c r="G999" s="107"/>
      <c r="H999" s="108"/>
      <c r="I999" s="71"/>
    </row>
    <row r="1000" spans="1:9" s="212" customFormat="1">
      <c r="A1000" s="88"/>
      <c r="B1000" s="114"/>
      <c r="C1000" s="114"/>
      <c r="D1000" s="107"/>
      <c r="E1000" s="114"/>
      <c r="F1000" s="79"/>
      <c r="G1000" s="107"/>
      <c r="H1000" s="108"/>
      <c r="I1000" s="71"/>
    </row>
    <row r="1001" spans="1:9" s="212" customFormat="1">
      <c r="A1001" s="88"/>
      <c r="B1001" s="114"/>
      <c r="C1001" s="114"/>
      <c r="D1001" s="107"/>
      <c r="E1001" s="114"/>
      <c r="F1001" s="79"/>
      <c r="G1001" s="107"/>
      <c r="H1001" s="108"/>
      <c r="I1001" s="71"/>
    </row>
    <row r="1002" spans="1:9" s="212" customFormat="1">
      <c r="A1002" s="90"/>
      <c r="B1002" s="91"/>
      <c r="C1002" s="91"/>
      <c r="D1002" s="91"/>
      <c r="E1002" s="91"/>
      <c r="F1002"/>
      <c r="G1002" s="85" t="s">
        <v>407</v>
      </c>
      <c r="H1002" s="107">
        <f>SUM(G999:G1001)</f>
        <v>0</v>
      </c>
      <c r="I1002" s="71"/>
    </row>
    <row r="1003" spans="1:9" s="212" customFormat="1">
      <c r="A1003" s="72" t="s">
        <v>410</v>
      </c>
      <c r="B1003" s="73"/>
      <c r="C1003" s="73"/>
      <c r="D1003" s="73"/>
      <c r="E1003" s="73"/>
      <c r="F1003"/>
      <c r="G1003" s="74"/>
      <c r="H1003" s="108"/>
      <c r="I1003" s="71"/>
    </row>
    <row r="1004" spans="1:9" s="212" customFormat="1">
      <c r="A1004" s="75" t="s">
        <v>391</v>
      </c>
      <c r="B1004" s="76" t="s">
        <v>392</v>
      </c>
      <c r="C1004" s="76" t="s">
        <v>393</v>
      </c>
      <c r="D1004" s="76" t="s">
        <v>394</v>
      </c>
      <c r="E1004" s="76" t="s">
        <v>395</v>
      </c>
      <c r="F1004" s="76" t="s">
        <v>396</v>
      </c>
      <c r="G1004" s="76" t="s">
        <v>397</v>
      </c>
      <c r="H1004" s="108"/>
      <c r="I1004" s="71"/>
    </row>
    <row r="1005" spans="1:9" s="212" customFormat="1">
      <c r="A1005" s="77" t="s">
        <v>494</v>
      </c>
      <c r="B1005" s="78" t="s">
        <v>495</v>
      </c>
      <c r="C1005" s="79" t="s">
        <v>426</v>
      </c>
      <c r="D1005" s="107">
        <v>15927</v>
      </c>
      <c r="E1005" s="79">
        <v>0.8</v>
      </c>
      <c r="F1005" s="79">
        <v>0</v>
      </c>
      <c r="G1005" s="107">
        <f>(D1005*E1005)+((D1005*E1005)*F1005/100)</f>
        <v>12741.6</v>
      </c>
      <c r="H1005" s="108"/>
      <c r="I1005" s="71"/>
    </row>
    <row r="1006" spans="1:9" s="212" customFormat="1">
      <c r="A1006" s="90"/>
      <c r="B1006" s="91"/>
      <c r="C1006" s="91"/>
      <c r="D1006" s="91"/>
      <c r="E1006" s="91"/>
      <c r="F1006"/>
      <c r="G1006" s="93" t="s">
        <v>407</v>
      </c>
      <c r="H1006" s="107">
        <f>SUM(G1005:G1005)</f>
        <v>12741.6</v>
      </c>
      <c r="I1006" s="71"/>
    </row>
    <row r="1007" spans="1:9" s="212" customFormat="1">
      <c r="A1007" s="72" t="s">
        <v>411</v>
      </c>
      <c r="B1007" s="73"/>
      <c r="C1007" s="73"/>
      <c r="D1007" s="73"/>
      <c r="E1007" s="73"/>
      <c r="F1007"/>
      <c r="G1007" s="74"/>
      <c r="H1007" s="108"/>
      <c r="I1007" s="71"/>
    </row>
    <row r="1008" spans="1:9" s="212" customFormat="1">
      <c r="A1008" s="75" t="s">
        <v>391</v>
      </c>
      <c r="B1008" s="76" t="s">
        <v>392</v>
      </c>
      <c r="C1008" s="76" t="s">
        <v>393</v>
      </c>
      <c r="D1008" s="76" t="s">
        <v>394</v>
      </c>
      <c r="E1008" s="76" t="s">
        <v>395</v>
      </c>
      <c r="F1008" s="76" t="s">
        <v>396</v>
      </c>
      <c r="G1008" s="76" t="s">
        <v>397</v>
      </c>
      <c r="H1008" s="108"/>
      <c r="I1008" s="71"/>
    </row>
    <row r="1009" spans="1:9" s="212" customFormat="1">
      <c r="A1009" s="87" t="s">
        <v>409</v>
      </c>
      <c r="B1009" s="114" t="s">
        <v>409</v>
      </c>
      <c r="C1009" s="114" t="s">
        <v>409</v>
      </c>
      <c r="D1009" s="114" t="s">
        <v>409</v>
      </c>
      <c r="E1009" s="114" t="s">
        <v>409</v>
      </c>
      <c r="F1009" s="79" t="s">
        <v>409</v>
      </c>
      <c r="G1009" s="89" t="s">
        <v>409</v>
      </c>
      <c r="H1009" s="108"/>
      <c r="I1009" s="71"/>
    </row>
    <row r="1010" spans="1:9" s="212" customFormat="1">
      <c r="A1010" s="94"/>
      <c r="B1010" s="95"/>
      <c r="C1010" s="95"/>
      <c r="D1010" s="95"/>
      <c r="E1010" s="95"/>
      <c r="F1010"/>
      <c r="G1010" s="93" t="s">
        <v>407</v>
      </c>
      <c r="H1010" s="107">
        <f>SUM(G1008:G1009)</f>
        <v>0</v>
      </c>
      <c r="I1010" s="71"/>
    </row>
    <row r="1011" spans="1:9" s="212" customFormat="1">
      <c r="A1011" s="94"/>
      <c r="B1011" s="95"/>
      <c r="C1011" s="95"/>
      <c r="D1011" s="95"/>
      <c r="E1011" s="95"/>
      <c r="F1011"/>
      <c r="G1011" s="74"/>
      <c r="H1011" s="74"/>
      <c r="I1011" s="71"/>
    </row>
    <row r="1012" spans="1:9" s="212" customFormat="1">
      <c r="A1012" s="96"/>
      <c r="B1012" s="97"/>
      <c r="C1012" s="98"/>
      <c r="D1012" s="98"/>
      <c r="E1012" s="98"/>
      <c r="F1012"/>
      <c r="G1012" s="99" t="s">
        <v>412</v>
      </c>
      <c r="H1012" s="115">
        <f>SUM(H996:H1010)</f>
        <v>13366.6</v>
      </c>
      <c r="I1012" s="71"/>
    </row>
    <row r="1013" spans="1:9" s="212" customFormat="1">
      <c r="A1013" s="96"/>
      <c r="B1013" s="97"/>
      <c r="C1013" s="98"/>
      <c r="D1013" s="98"/>
      <c r="E1013" s="98"/>
      <c r="F1013" s="101"/>
      <c r="G1013" s="116"/>
      <c r="H1013" s="70"/>
      <c r="I1013" s="71"/>
    </row>
    <row r="1014" spans="1:9" s="212" customFormat="1" ht="15.75" thickBot="1">
      <c r="A1014" s="624" t="s">
        <v>430</v>
      </c>
      <c r="B1014" s="625"/>
      <c r="C1014" s="625"/>
      <c r="D1014" s="625"/>
      <c r="E1014" s="625"/>
      <c r="F1014" s="625"/>
      <c r="G1014" s="626"/>
      <c r="H1014" s="117">
        <f>+ROUND(H1012,0)</f>
        <v>13367</v>
      </c>
      <c r="I1014" s="103"/>
    </row>
    <row r="1015" spans="1:9" s="212" customFormat="1">
      <c r="A1015" s="220"/>
      <c r="B1015" s="141"/>
      <c r="C1015" s="141"/>
      <c r="D1015" s="141"/>
      <c r="E1015" s="141"/>
      <c r="F1015" s="141"/>
      <c r="G1015" s="141"/>
      <c r="H1015" s="222"/>
    </row>
    <row r="1016" spans="1:9" s="212" customFormat="1" ht="15.75" thickBot="1">
      <c r="A1016" s="146"/>
      <c r="B1016" s="83"/>
      <c r="C1016" s="148"/>
      <c r="D1016" s="84"/>
      <c r="E1016" s="162"/>
      <c r="F1016" s="84"/>
      <c r="G1016" s="146"/>
      <c r="H1016" s="221"/>
    </row>
    <row r="1017" spans="1:9" s="212" customFormat="1">
      <c r="A1017" s="627"/>
      <c r="B1017" s="629" t="s">
        <v>1641</v>
      </c>
      <c r="C1017" s="630"/>
      <c r="D1017" s="630"/>
      <c r="E1017" s="630"/>
      <c r="F1017" s="630"/>
      <c r="G1017" s="630"/>
      <c r="H1017" s="630"/>
      <c r="I1017" s="66" t="s">
        <v>389</v>
      </c>
    </row>
    <row r="1018" spans="1:9" s="212" customFormat="1">
      <c r="A1018" s="628"/>
      <c r="B1018" s="631"/>
      <c r="C1018" s="632"/>
      <c r="D1018" s="632"/>
      <c r="E1018" s="632"/>
      <c r="F1018" s="632"/>
      <c r="G1018" s="632"/>
      <c r="H1018" s="632"/>
      <c r="I1018" s="67" t="s">
        <v>8</v>
      </c>
    </row>
    <row r="1019" spans="1:9" s="212" customFormat="1">
      <c r="A1019" s="68"/>
      <c r="B1019" s="69"/>
      <c r="C1019" s="69"/>
      <c r="D1019" s="69"/>
      <c r="E1019" s="69"/>
      <c r="F1019" s="70"/>
      <c r="G1019" s="70"/>
      <c r="H1019" s="70"/>
      <c r="I1019" s="71"/>
    </row>
    <row r="1020" spans="1:9" s="212" customFormat="1">
      <c r="A1020" s="72" t="s">
        <v>390</v>
      </c>
      <c r="B1020" s="73"/>
      <c r="C1020" s="73"/>
      <c r="D1020" s="73"/>
      <c r="E1020" s="73"/>
      <c r="F1020" s="74"/>
      <c r="G1020" s="74"/>
      <c r="H1020" s="70"/>
      <c r="I1020" s="71"/>
    </row>
    <row r="1021" spans="1:9" s="212" customFormat="1">
      <c r="A1021" s="75" t="s">
        <v>391</v>
      </c>
      <c r="B1021" s="76" t="s">
        <v>392</v>
      </c>
      <c r="C1021" s="76" t="s">
        <v>393</v>
      </c>
      <c r="D1021" s="76" t="s">
        <v>394</v>
      </c>
      <c r="E1021" s="76" t="s">
        <v>395</v>
      </c>
      <c r="F1021" s="76" t="s">
        <v>396</v>
      </c>
      <c r="G1021" s="76" t="s">
        <v>397</v>
      </c>
      <c r="H1021" s="74"/>
      <c r="I1021" s="71"/>
    </row>
    <row r="1022" spans="1:9" s="212" customFormat="1">
      <c r="A1022" s="77" t="s">
        <v>404</v>
      </c>
      <c r="B1022" s="327" t="s">
        <v>416</v>
      </c>
      <c r="C1022" s="79" t="s">
        <v>406</v>
      </c>
      <c r="D1022" s="107">
        <v>1250</v>
      </c>
      <c r="E1022" s="79">
        <v>0.5</v>
      </c>
      <c r="F1022" s="79">
        <v>0</v>
      </c>
      <c r="G1022" s="107">
        <f>(D1022*E1022)+((D1022*E1022)*F1022/100)</f>
        <v>625</v>
      </c>
      <c r="H1022" s="74"/>
      <c r="I1022" s="71"/>
    </row>
    <row r="1023" spans="1:9" s="212" customFormat="1">
      <c r="A1023" s="82"/>
      <c r="B1023" s="83"/>
      <c r="C1023" s="84"/>
      <c r="D1023" s="84"/>
      <c r="E1023" s="84"/>
      <c r="F1023"/>
      <c r="G1023" s="93" t="s">
        <v>407</v>
      </c>
      <c r="H1023" s="107">
        <f>SUM(G1022:G1022)</f>
        <v>625</v>
      </c>
      <c r="I1023" s="71"/>
    </row>
    <row r="1024" spans="1:9" s="212" customFormat="1">
      <c r="A1024" s="72" t="s">
        <v>408</v>
      </c>
      <c r="B1024" s="73"/>
      <c r="C1024" s="73"/>
      <c r="D1024" s="73"/>
      <c r="E1024" s="73"/>
      <c r="F1024"/>
      <c r="G1024" s="74"/>
      <c r="H1024" s="108"/>
      <c r="I1024" s="71"/>
    </row>
    <row r="1025" spans="1:9" s="212" customFormat="1">
      <c r="A1025" s="75" t="s">
        <v>391</v>
      </c>
      <c r="B1025" s="76" t="s">
        <v>392</v>
      </c>
      <c r="C1025" s="76" t="s">
        <v>393</v>
      </c>
      <c r="D1025" s="76" t="s">
        <v>394</v>
      </c>
      <c r="E1025" s="76" t="s">
        <v>395</v>
      </c>
      <c r="F1025" s="76" t="s">
        <v>396</v>
      </c>
      <c r="G1025" s="76" t="s">
        <v>397</v>
      </c>
      <c r="H1025" s="108"/>
      <c r="I1025" s="71"/>
    </row>
    <row r="1026" spans="1:9" s="212" customFormat="1">
      <c r="A1026" s="87"/>
      <c r="B1026" s="114"/>
      <c r="C1026" s="114"/>
      <c r="D1026" s="107"/>
      <c r="E1026" s="114"/>
      <c r="F1026" s="79"/>
      <c r="G1026" s="107"/>
      <c r="H1026" s="108"/>
      <c r="I1026" s="71"/>
    </row>
    <row r="1027" spans="1:9" s="212" customFormat="1">
      <c r="A1027" s="88"/>
      <c r="B1027" s="114"/>
      <c r="C1027" s="114"/>
      <c r="D1027" s="107"/>
      <c r="E1027" s="114"/>
      <c r="F1027" s="79"/>
      <c r="G1027" s="107"/>
      <c r="H1027" s="108"/>
      <c r="I1027" s="71"/>
    </row>
    <row r="1028" spans="1:9" s="212" customFormat="1">
      <c r="A1028" s="88"/>
      <c r="B1028" s="114"/>
      <c r="C1028" s="114"/>
      <c r="D1028" s="107"/>
      <c r="E1028" s="114"/>
      <c r="F1028" s="79"/>
      <c r="G1028" s="107"/>
      <c r="H1028" s="108"/>
      <c r="I1028" s="71"/>
    </row>
    <row r="1029" spans="1:9" s="212" customFormat="1">
      <c r="A1029" s="90"/>
      <c r="B1029" s="91"/>
      <c r="C1029" s="91"/>
      <c r="D1029" s="91"/>
      <c r="E1029" s="91"/>
      <c r="F1029"/>
      <c r="G1029" s="85" t="s">
        <v>407</v>
      </c>
      <c r="H1029" s="107">
        <f>SUM(G1026:G1028)</f>
        <v>0</v>
      </c>
      <c r="I1029" s="71"/>
    </row>
    <row r="1030" spans="1:9" s="212" customFormat="1">
      <c r="A1030" s="72" t="s">
        <v>410</v>
      </c>
      <c r="B1030" s="73"/>
      <c r="C1030" s="73"/>
      <c r="D1030" s="73"/>
      <c r="E1030" s="73"/>
      <c r="F1030"/>
      <c r="G1030" s="74"/>
      <c r="H1030" s="108"/>
      <c r="I1030" s="71"/>
    </row>
    <row r="1031" spans="1:9" s="212" customFormat="1">
      <c r="A1031" s="75" t="s">
        <v>391</v>
      </c>
      <c r="B1031" s="76" t="s">
        <v>392</v>
      </c>
      <c r="C1031" s="76" t="s">
        <v>393</v>
      </c>
      <c r="D1031" s="76" t="s">
        <v>394</v>
      </c>
      <c r="E1031" s="76" t="s">
        <v>395</v>
      </c>
      <c r="F1031" s="76" t="s">
        <v>396</v>
      </c>
      <c r="G1031" s="76" t="s">
        <v>397</v>
      </c>
      <c r="H1031" s="108"/>
      <c r="I1031" s="71"/>
    </row>
    <row r="1032" spans="1:9" s="212" customFormat="1">
      <c r="A1032" s="77" t="s">
        <v>494</v>
      </c>
      <c r="B1032" s="327" t="s">
        <v>495</v>
      </c>
      <c r="C1032" s="79" t="s">
        <v>426</v>
      </c>
      <c r="D1032" s="107">
        <v>15927</v>
      </c>
      <c r="E1032" s="79">
        <v>1</v>
      </c>
      <c r="F1032" s="79">
        <v>0</v>
      </c>
      <c r="G1032" s="107">
        <f>(D1032*E1032)+((D1032*E1032)*F1032/100)</f>
        <v>15927</v>
      </c>
      <c r="H1032" s="108"/>
      <c r="I1032" s="71"/>
    </row>
    <row r="1033" spans="1:9" s="212" customFormat="1">
      <c r="A1033" s="90"/>
      <c r="B1033" s="91"/>
      <c r="C1033" s="91"/>
      <c r="D1033" s="91"/>
      <c r="E1033" s="91"/>
      <c r="F1033"/>
      <c r="G1033" s="93" t="s">
        <v>407</v>
      </c>
      <c r="H1033" s="107">
        <f>SUM(G1032:G1032)</f>
        <v>15927</v>
      </c>
      <c r="I1033" s="71"/>
    </row>
    <row r="1034" spans="1:9" s="212" customFormat="1">
      <c r="A1034" s="72" t="s">
        <v>411</v>
      </c>
      <c r="B1034" s="73"/>
      <c r="C1034" s="73"/>
      <c r="D1034" s="73"/>
      <c r="E1034" s="73"/>
      <c r="F1034"/>
      <c r="G1034" s="74"/>
      <c r="H1034" s="108"/>
      <c r="I1034" s="71"/>
    </row>
    <row r="1035" spans="1:9" s="212" customFormat="1">
      <c r="A1035" s="75" t="s">
        <v>391</v>
      </c>
      <c r="B1035" s="76" t="s">
        <v>392</v>
      </c>
      <c r="C1035" s="76" t="s">
        <v>393</v>
      </c>
      <c r="D1035" s="76" t="s">
        <v>394</v>
      </c>
      <c r="E1035" s="76" t="s">
        <v>395</v>
      </c>
      <c r="F1035" s="76" t="s">
        <v>396</v>
      </c>
      <c r="G1035" s="76" t="s">
        <v>397</v>
      </c>
      <c r="H1035" s="108"/>
      <c r="I1035" s="71"/>
    </row>
    <row r="1036" spans="1:9" s="212" customFormat="1">
      <c r="A1036" s="87" t="s">
        <v>409</v>
      </c>
      <c r="B1036" s="114" t="s">
        <v>409</v>
      </c>
      <c r="C1036" s="114" t="s">
        <v>409</v>
      </c>
      <c r="D1036" s="114" t="s">
        <v>409</v>
      </c>
      <c r="E1036" s="114" t="s">
        <v>409</v>
      </c>
      <c r="F1036" s="79" t="s">
        <v>409</v>
      </c>
      <c r="G1036" s="89" t="s">
        <v>409</v>
      </c>
      <c r="H1036" s="108"/>
      <c r="I1036" s="71"/>
    </row>
    <row r="1037" spans="1:9" s="212" customFormat="1">
      <c r="A1037" s="94"/>
      <c r="B1037" s="95"/>
      <c r="C1037" s="95"/>
      <c r="D1037" s="95"/>
      <c r="E1037" s="95"/>
      <c r="F1037"/>
      <c r="G1037" s="93" t="s">
        <v>407</v>
      </c>
      <c r="H1037" s="107">
        <f>SUM(G1035:G1036)</f>
        <v>0</v>
      </c>
      <c r="I1037" s="71"/>
    </row>
    <row r="1038" spans="1:9" s="212" customFormat="1">
      <c r="A1038" s="94"/>
      <c r="B1038" s="95"/>
      <c r="C1038" s="95"/>
      <c r="D1038" s="95"/>
      <c r="E1038" s="95"/>
      <c r="F1038"/>
      <c r="G1038" s="74"/>
      <c r="H1038" s="74"/>
      <c r="I1038" s="71"/>
    </row>
    <row r="1039" spans="1:9" s="212" customFormat="1">
      <c r="A1039" s="96"/>
      <c r="B1039" s="97"/>
      <c r="C1039" s="98"/>
      <c r="D1039" s="98"/>
      <c r="E1039" s="98"/>
      <c r="F1039"/>
      <c r="G1039" s="99" t="s">
        <v>412</v>
      </c>
      <c r="H1039" s="115">
        <f>SUM(H1023:H1037)</f>
        <v>16552</v>
      </c>
      <c r="I1039" s="71"/>
    </row>
    <row r="1040" spans="1:9" s="212" customFormat="1">
      <c r="A1040" s="96"/>
      <c r="B1040" s="97"/>
      <c r="C1040" s="98"/>
      <c r="D1040" s="98"/>
      <c r="E1040" s="98"/>
      <c r="F1040" s="101"/>
      <c r="G1040" s="116"/>
      <c r="H1040" s="70"/>
      <c r="I1040" s="71"/>
    </row>
    <row r="1041" spans="1:9" s="212" customFormat="1" ht="15.75" thickBot="1">
      <c r="A1041" s="624" t="s">
        <v>430</v>
      </c>
      <c r="B1041" s="625"/>
      <c r="C1041" s="625"/>
      <c r="D1041" s="625"/>
      <c r="E1041" s="625"/>
      <c r="F1041" s="625"/>
      <c r="G1041" s="626"/>
      <c r="H1041" s="117">
        <f>+ROUND(H1039,0)</f>
        <v>16552</v>
      </c>
      <c r="I1041" s="103"/>
    </row>
    <row r="1042" spans="1:9" s="212" customFormat="1">
      <c r="A1042" s="220"/>
      <c r="B1042" s="141"/>
      <c r="C1042" s="141"/>
      <c r="D1042" s="141"/>
      <c r="E1042" s="141"/>
      <c r="F1042" s="141"/>
      <c r="G1042" s="141"/>
      <c r="H1042" s="222"/>
    </row>
    <row r="1043" spans="1:9" s="212" customFormat="1" ht="15.75" thickBot="1">
      <c r="A1043" s="146"/>
      <c r="B1043" s="83"/>
      <c r="C1043" s="148"/>
      <c r="D1043" s="84"/>
      <c r="E1043" s="162"/>
      <c r="F1043" s="84"/>
      <c r="G1043" s="146"/>
      <c r="H1043" s="221"/>
    </row>
    <row r="1044" spans="1:9" s="212" customFormat="1">
      <c r="A1044" s="627"/>
      <c r="B1044" s="629" t="s">
        <v>1636</v>
      </c>
      <c r="C1044" s="630"/>
      <c r="D1044" s="630"/>
      <c r="E1044" s="630"/>
      <c r="F1044" s="630"/>
      <c r="G1044" s="630"/>
      <c r="H1044" s="630"/>
      <c r="I1044" s="66" t="s">
        <v>389</v>
      </c>
    </row>
    <row r="1045" spans="1:9" s="212" customFormat="1">
      <c r="A1045" s="628"/>
      <c r="B1045" s="631"/>
      <c r="C1045" s="632"/>
      <c r="D1045" s="632"/>
      <c r="E1045" s="632"/>
      <c r="F1045" s="632"/>
      <c r="G1045" s="632"/>
      <c r="H1045" s="632"/>
      <c r="I1045" s="67" t="s">
        <v>8</v>
      </c>
    </row>
    <row r="1046" spans="1:9" s="212" customFormat="1">
      <c r="A1046" s="68"/>
      <c r="B1046" s="69"/>
      <c r="C1046" s="69"/>
      <c r="D1046" s="69"/>
      <c r="E1046" s="69"/>
      <c r="F1046" s="70"/>
      <c r="G1046" s="70"/>
      <c r="H1046" s="70"/>
      <c r="I1046" s="71"/>
    </row>
    <row r="1047" spans="1:9" s="212" customFormat="1">
      <c r="A1047" s="72" t="s">
        <v>390</v>
      </c>
      <c r="B1047" s="73"/>
      <c r="C1047" s="73"/>
      <c r="D1047" s="73"/>
      <c r="E1047" s="73"/>
      <c r="F1047" s="74"/>
      <c r="G1047" s="74"/>
      <c r="H1047" s="70"/>
      <c r="I1047" s="71"/>
    </row>
    <row r="1048" spans="1:9" s="212" customFormat="1">
      <c r="A1048" s="75" t="s">
        <v>391</v>
      </c>
      <c r="B1048" s="76" t="s">
        <v>392</v>
      </c>
      <c r="C1048" s="76" t="s">
        <v>393</v>
      </c>
      <c r="D1048" s="76" t="s">
        <v>394</v>
      </c>
      <c r="E1048" s="76" t="s">
        <v>395</v>
      </c>
      <c r="F1048" s="76" t="s">
        <v>396</v>
      </c>
      <c r="G1048" s="76" t="s">
        <v>397</v>
      </c>
      <c r="H1048" s="74"/>
      <c r="I1048" s="71"/>
    </row>
    <row r="1049" spans="1:9" s="212" customFormat="1">
      <c r="A1049" s="77" t="s">
        <v>404</v>
      </c>
      <c r="B1049" s="327" t="s">
        <v>416</v>
      </c>
      <c r="C1049" s="79" t="s">
        <v>406</v>
      </c>
      <c r="D1049" s="107">
        <v>1250</v>
      </c>
      <c r="E1049" s="79">
        <v>0.5</v>
      </c>
      <c r="F1049" s="79">
        <v>0</v>
      </c>
      <c r="G1049" s="107">
        <f>(D1049*E1049)+((D1049*E1049)*F1049/100)</f>
        <v>625</v>
      </c>
      <c r="H1049" s="74"/>
      <c r="I1049" s="71"/>
    </row>
    <row r="1050" spans="1:9" s="212" customFormat="1">
      <c r="A1050" s="82"/>
      <c r="B1050" s="83"/>
      <c r="C1050" s="84"/>
      <c r="D1050" s="84"/>
      <c r="E1050" s="84"/>
      <c r="F1050"/>
      <c r="G1050" s="93" t="s">
        <v>407</v>
      </c>
      <c r="H1050" s="107">
        <f>SUM(G1049:G1049)</f>
        <v>625</v>
      </c>
      <c r="I1050" s="71"/>
    </row>
    <row r="1051" spans="1:9" s="212" customFormat="1">
      <c r="A1051" s="72" t="s">
        <v>408</v>
      </c>
      <c r="B1051" s="73"/>
      <c r="C1051" s="73"/>
      <c r="D1051" s="73"/>
      <c r="E1051" s="73"/>
      <c r="F1051"/>
      <c r="G1051" s="74"/>
      <c r="H1051" s="108"/>
      <c r="I1051" s="71"/>
    </row>
    <row r="1052" spans="1:9" s="212" customFormat="1">
      <c r="A1052" s="75" t="s">
        <v>391</v>
      </c>
      <c r="B1052" s="76" t="s">
        <v>392</v>
      </c>
      <c r="C1052" s="76" t="s">
        <v>393</v>
      </c>
      <c r="D1052" s="76" t="s">
        <v>394</v>
      </c>
      <c r="E1052" s="76" t="s">
        <v>395</v>
      </c>
      <c r="F1052" s="76" t="s">
        <v>396</v>
      </c>
      <c r="G1052" s="76" t="s">
        <v>397</v>
      </c>
      <c r="H1052" s="108"/>
      <c r="I1052" s="71"/>
    </row>
    <row r="1053" spans="1:9" s="212" customFormat="1">
      <c r="A1053" s="87"/>
      <c r="B1053" s="114"/>
      <c r="C1053" s="114"/>
      <c r="D1053" s="107"/>
      <c r="E1053" s="114"/>
      <c r="F1053" s="79"/>
      <c r="G1053" s="107"/>
      <c r="H1053" s="108"/>
      <c r="I1053" s="71"/>
    </row>
    <row r="1054" spans="1:9" s="212" customFormat="1">
      <c r="A1054" s="88"/>
      <c r="B1054" s="114"/>
      <c r="C1054" s="114"/>
      <c r="D1054" s="107"/>
      <c r="E1054" s="114"/>
      <c r="F1054" s="79"/>
      <c r="G1054" s="107"/>
      <c r="H1054" s="108"/>
      <c r="I1054" s="71"/>
    </row>
    <row r="1055" spans="1:9" s="212" customFormat="1">
      <c r="A1055" s="88"/>
      <c r="B1055" s="114"/>
      <c r="C1055" s="114"/>
      <c r="D1055" s="107"/>
      <c r="E1055" s="114"/>
      <c r="F1055" s="79"/>
      <c r="G1055" s="107"/>
      <c r="H1055" s="108"/>
      <c r="I1055" s="71"/>
    </row>
    <row r="1056" spans="1:9" s="212" customFormat="1">
      <c r="A1056" s="90"/>
      <c r="B1056" s="91"/>
      <c r="C1056" s="91"/>
      <c r="D1056" s="91"/>
      <c r="E1056" s="91"/>
      <c r="F1056"/>
      <c r="G1056" s="85" t="s">
        <v>407</v>
      </c>
      <c r="H1056" s="107">
        <f>SUM(G1053:G1055)</f>
        <v>0</v>
      </c>
      <c r="I1056" s="71"/>
    </row>
    <row r="1057" spans="1:9" s="212" customFormat="1">
      <c r="A1057" s="72" t="s">
        <v>410</v>
      </c>
      <c r="B1057" s="73"/>
      <c r="C1057" s="73"/>
      <c r="D1057" s="73"/>
      <c r="E1057" s="73"/>
      <c r="F1057"/>
      <c r="G1057" s="74"/>
      <c r="H1057" s="108"/>
      <c r="I1057" s="71"/>
    </row>
    <row r="1058" spans="1:9" s="212" customFormat="1">
      <c r="A1058" s="75" t="s">
        <v>391</v>
      </c>
      <c r="B1058" s="76" t="s">
        <v>392</v>
      </c>
      <c r="C1058" s="76" t="s">
        <v>393</v>
      </c>
      <c r="D1058" s="76" t="s">
        <v>394</v>
      </c>
      <c r="E1058" s="76" t="s">
        <v>395</v>
      </c>
      <c r="F1058" s="76" t="s">
        <v>396</v>
      </c>
      <c r="G1058" s="76" t="s">
        <v>397</v>
      </c>
      <c r="H1058" s="108"/>
      <c r="I1058" s="71"/>
    </row>
    <row r="1059" spans="1:9" s="212" customFormat="1">
      <c r="A1059" s="77" t="s">
        <v>494</v>
      </c>
      <c r="B1059" s="327" t="s">
        <v>495</v>
      </c>
      <c r="C1059" s="79" t="s">
        <v>426</v>
      </c>
      <c r="D1059" s="107">
        <v>15927</v>
      </c>
      <c r="E1059" s="79">
        <v>1.25</v>
      </c>
      <c r="F1059" s="79">
        <v>0</v>
      </c>
      <c r="G1059" s="107">
        <f>(D1059*E1059)+((D1059*E1059)*F1059/100)</f>
        <v>19908.75</v>
      </c>
      <c r="H1059" s="108"/>
      <c r="I1059" s="71"/>
    </row>
    <row r="1060" spans="1:9" s="212" customFormat="1">
      <c r="A1060" s="90"/>
      <c r="B1060" s="91"/>
      <c r="C1060" s="91"/>
      <c r="D1060" s="91"/>
      <c r="E1060" s="91"/>
      <c r="F1060"/>
      <c r="G1060" s="93" t="s">
        <v>407</v>
      </c>
      <c r="H1060" s="107">
        <f>SUM(G1059:G1059)</f>
        <v>19908.75</v>
      </c>
      <c r="I1060" s="71"/>
    </row>
    <row r="1061" spans="1:9" s="212" customFormat="1">
      <c r="A1061" s="72" t="s">
        <v>411</v>
      </c>
      <c r="B1061" s="73"/>
      <c r="C1061" s="73"/>
      <c r="D1061" s="73"/>
      <c r="E1061" s="73"/>
      <c r="F1061"/>
      <c r="G1061" s="74"/>
      <c r="H1061" s="108"/>
      <c r="I1061" s="71"/>
    </row>
    <row r="1062" spans="1:9" s="212" customFormat="1">
      <c r="A1062" s="75" t="s">
        <v>391</v>
      </c>
      <c r="B1062" s="76" t="s">
        <v>392</v>
      </c>
      <c r="C1062" s="76" t="s">
        <v>393</v>
      </c>
      <c r="D1062" s="76" t="s">
        <v>394</v>
      </c>
      <c r="E1062" s="76" t="s">
        <v>395</v>
      </c>
      <c r="F1062" s="76" t="s">
        <v>396</v>
      </c>
      <c r="G1062" s="76" t="s">
        <v>397</v>
      </c>
      <c r="H1062" s="108"/>
      <c r="I1062" s="71"/>
    </row>
    <row r="1063" spans="1:9" s="212" customFormat="1">
      <c r="A1063" s="87" t="s">
        <v>409</v>
      </c>
      <c r="B1063" s="114" t="s">
        <v>409</v>
      </c>
      <c r="C1063" s="114" t="s">
        <v>409</v>
      </c>
      <c r="D1063" s="114" t="s">
        <v>409</v>
      </c>
      <c r="E1063" s="114" t="s">
        <v>409</v>
      </c>
      <c r="F1063" s="79" t="s">
        <v>409</v>
      </c>
      <c r="G1063" s="89" t="s">
        <v>409</v>
      </c>
      <c r="H1063" s="108"/>
      <c r="I1063" s="71"/>
    </row>
    <row r="1064" spans="1:9" s="212" customFormat="1">
      <c r="A1064" s="94"/>
      <c r="B1064" s="95"/>
      <c r="C1064" s="95"/>
      <c r="D1064" s="95"/>
      <c r="E1064" s="95"/>
      <c r="F1064"/>
      <c r="G1064" s="93" t="s">
        <v>407</v>
      </c>
      <c r="H1064" s="107">
        <f>SUM(G1062:G1063)</f>
        <v>0</v>
      </c>
      <c r="I1064" s="71"/>
    </row>
    <row r="1065" spans="1:9" s="212" customFormat="1">
      <c r="A1065" s="94"/>
      <c r="B1065" s="95"/>
      <c r="C1065" s="95"/>
      <c r="D1065" s="95"/>
      <c r="E1065" s="95"/>
      <c r="F1065"/>
      <c r="G1065" s="74"/>
      <c r="H1065" s="74"/>
      <c r="I1065" s="71"/>
    </row>
    <row r="1066" spans="1:9" s="212" customFormat="1">
      <c r="A1066" s="96"/>
      <c r="B1066" s="97"/>
      <c r="C1066" s="98"/>
      <c r="D1066" s="98"/>
      <c r="E1066" s="98"/>
      <c r="F1066"/>
      <c r="G1066" s="99" t="s">
        <v>412</v>
      </c>
      <c r="H1066" s="115">
        <f>SUM(H1050:H1064)</f>
        <v>20533.75</v>
      </c>
      <c r="I1066" s="71"/>
    </row>
    <row r="1067" spans="1:9" s="212" customFormat="1">
      <c r="A1067" s="96"/>
      <c r="B1067" s="97"/>
      <c r="C1067" s="98"/>
      <c r="D1067" s="98"/>
      <c r="E1067" s="98"/>
      <c r="F1067" s="101"/>
      <c r="G1067" s="116"/>
      <c r="H1067" s="70"/>
      <c r="I1067" s="71"/>
    </row>
    <row r="1068" spans="1:9" s="212" customFormat="1" ht="15.75" thickBot="1">
      <c r="A1068" s="624" t="s">
        <v>430</v>
      </c>
      <c r="B1068" s="625"/>
      <c r="C1068" s="625"/>
      <c r="D1068" s="625"/>
      <c r="E1068" s="625"/>
      <c r="F1068" s="625"/>
      <c r="G1068" s="626"/>
      <c r="H1068" s="117">
        <f>+ROUND(H1066,0)</f>
        <v>20534</v>
      </c>
      <c r="I1068" s="103"/>
    </row>
    <row r="1069" spans="1:9" s="212" customFormat="1">
      <c r="A1069" s="220"/>
      <c r="B1069" s="141"/>
      <c r="C1069" s="141"/>
      <c r="D1069" s="141"/>
      <c r="E1069" s="141"/>
      <c r="F1069" s="141"/>
      <c r="G1069" s="141"/>
      <c r="H1069" s="222"/>
    </row>
    <row r="1070" spans="1:9" s="212" customFormat="1" ht="15.75" thickBot="1">
      <c r="A1070" s="146"/>
      <c r="B1070" s="83"/>
      <c r="C1070" s="148"/>
      <c r="D1070" s="84"/>
      <c r="E1070" s="162"/>
      <c r="F1070" s="84"/>
      <c r="G1070" s="146"/>
      <c r="H1070" s="221"/>
    </row>
    <row r="1071" spans="1:9" s="212" customFormat="1">
      <c r="A1071" s="627"/>
      <c r="B1071" s="629" t="s">
        <v>1168</v>
      </c>
      <c r="C1071" s="630"/>
      <c r="D1071" s="630"/>
      <c r="E1071" s="630"/>
      <c r="F1071" s="630"/>
      <c r="G1071" s="630"/>
      <c r="H1071" s="630"/>
      <c r="I1071" s="66" t="s">
        <v>389</v>
      </c>
    </row>
    <row r="1072" spans="1:9" s="212" customFormat="1">
      <c r="A1072" s="628"/>
      <c r="B1072" s="631"/>
      <c r="C1072" s="632"/>
      <c r="D1072" s="632"/>
      <c r="E1072" s="632"/>
      <c r="F1072" s="632"/>
      <c r="G1072" s="632"/>
      <c r="H1072" s="632"/>
      <c r="I1072" s="67" t="s">
        <v>8</v>
      </c>
    </row>
    <row r="1073" spans="1:9" s="212" customFormat="1">
      <c r="A1073" s="68"/>
      <c r="B1073" s="69"/>
      <c r="C1073" s="69"/>
      <c r="D1073" s="69"/>
      <c r="E1073" s="69"/>
      <c r="F1073" s="70"/>
      <c r="G1073" s="70"/>
      <c r="H1073" s="70"/>
      <c r="I1073" s="71"/>
    </row>
    <row r="1074" spans="1:9" s="212" customFormat="1">
      <c r="A1074" s="72" t="s">
        <v>390</v>
      </c>
      <c r="B1074" s="73"/>
      <c r="C1074" s="73"/>
      <c r="D1074" s="73"/>
      <c r="E1074" s="73"/>
      <c r="F1074" s="74"/>
      <c r="G1074" s="74"/>
      <c r="H1074" s="70"/>
      <c r="I1074" s="71"/>
    </row>
    <row r="1075" spans="1:9" s="212" customFormat="1">
      <c r="A1075" s="75" t="s">
        <v>391</v>
      </c>
      <c r="B1075" s="76" t="s">
        <v>392</v>
      </c>
      <c r="C1075" s="76" t="s">
        <v>393</v>
      </c>
      <c r="D1075" s="76" t="s">
        <v>394</v>
      </c>
      <c r="E1075" s="76" t="s">
        <v>395</v>
      </c>
      <c r="F1075" s="76" t="s">
        <v>396</v>
      </c>
      <c r="G1075" s="76" t="s">
        <v>397</v>
      </c>
      <c r="H1075" s="74"/>
      <c r="I1075" s="71"/>
    </row>
    <row r="1076" spans="1:9" s="212" customFormat="1">
      <c r="A1076" s="77" t="s">
        <v>404</v>
      </c>
      <c r="B1076" s="78" t="s">
        <v>416</v>
      </c>
      <c r="C1076" s="79" t="s">
        <v>406</v>
      </c>
      <c r="D1076" s="107">
        <v>1250</v>
      </c>
      <c r="E1076" s="79">
        <v>0.5</v>
      </c>
      <c r="F1076" s="79">
        <v>0</v>
      </c>
      <c r="G1076" s="107">
        <f>(D1076*E1076)+((D1076*E1076)*F1076/100)</f>
        <v>625</v>
      </c>
      <c r="H1076" s="74"/>
      <c r="I1076" s="71"/>
    </row>
    <row r="1077" spans="1:9" s="212" customFormat="1">
      <c r="A1077" s="82"/>
      <c r="B1077" s="83"/>
      <c r="C1077" s="84"/>
      <c r="D1077" s="84"/>
      <c r="E1077" s="84"/>
      <c r="F1077"/>
      <c r="G1077" s="93" t="s">
        <v>407</v>
      </c>
      <c r="H1077" s="107">
        <f>SUM(G1076:G1076)</f>
        <v>625</v>
      </c>
      <c r="I1077" s="71"/>
    </row>
    <row r="1078" spans="1:9" s="212" customFormat="1">
      <c r="A1078" s="72" t="s">
        <v>408</v>
      </c>
      <c r="B1078" s="73"/>
      <c r="C1078" s="73"/>
      <c r="D1078" s="73"/>
      <c r="E1078" s="73"/>
      <c r="F1078"/>
      <c r="G1078" s="74"/>
      <c r="H1078" s="108"/>
      <c r="I1078" s="71"/>
    </row>
    <row r="1079" spans="1:9" s="212" customFormat="1">
      <c r="A1079" s="75" t="s">
        <v>391</v>
      </c>
      <c r="B1079" s="76" t="s">
        <v>392</v>
      </c>
      <c r="C1079" s="76" t="s">
        <v>393</v>
      </c>
      <c r="D1079" s="76" t="s">
        <v>394</v>
      </c>
      <c r="E1079" s="76" t="s">
        <v>395</v>
      </c>
      <c r="F1079" s="76" t="s">
        <v>396</v>
      </c>
      <c r="G1079" s="76" t="s">
        <v>397</v>
      </c>
      <c r="H1079" s="108"/>
      <c r="I1079" s="71"/>
    </row>
    <row r="1080" spans="1:9" s="212" customFormat="1">
      <c r="A1080" s="87"/>
      <c r="B1080" s="114"/>
      <c r="C1080" s="114"/>
      <c r="D1080" s="107"/>
      <c r="E1080" s="114"/>
      <c r="F1080" s="79"/>
      <c r="G1080" s="107"/>
      <c r="H1080" s="108"/>
      <c r="I1080" s="71"/>
    </row>
    <row r="1081" spans="1:9" s="212" customFormat="1">
      <c r="A1081" s="88"/>
      <c r="B1081" s="114"/>
      <c r="C1081" s="114"/>
      <c r="D1081" s="107"/>
      <c r="E1081" s="114"/>
      <c r="F1081" s="79"/>
      <c r="G1081" s="107"/>
      <c r="H1081" s="108"/>
      <c r="I1081" s="71"/>
    </row>
    <row r="1082" spans="1:9" s="212" customFormat="1">
      <c r="A1082" s="88"/>
      <c r="B1082" s="114"/>
      <c r="C1082" s="114"/>
      <c r="D1082" s="107"/>
      <c r="E1082" s="114"/>
      <c r="F1082" s="79"/>
      <c r="G1082" s="107"/>
      <c r="H1082" s="108"/>
      <c r="I1082" s="71"/>
    </row>
    <row r="1083" spans="1:9" s="212" customFormat="1">
      <c r="A1083" s="90"/>
      <c r="B1083" s="91"/>
      <c r="C1083" s="91"/>
      <c r="D1083" s="91"/>
      <c r="E1083" s="91"/>
      <c r="F1083"/>
      <c r="G1083" s="85" t="s">
        <v>407</v>
      </c>
      <c r="H1083" s="107">
        <f>SUM(G1080:G1082)</f>
        <v>0</v>
      </c>
      <c r="I1083" s="71"/>
    </row>
    <row r="1084" spans="1:9" s="212" customFormat="1">
      <c r="A1084" s="72" t="s">
        <v>410</v>
      </c>
      <c r="B1084" s="73"/>
      <c r="C1084" s="73"/>
      <c r="D1084" s="73"/>
      <c r="E1084" s="73"/>
      <c r="F1084"/>
      <c r="G1084" s="74"/>
      <c r="H1084" s="108"/>
      <c r="I1084" s="71"/>
    </row>
    <row r="1085" spans="1:9" s="212" customFormat="1">
      <c r="A1085" s="75" t="s">
        <v>391</v>
      </c>
      <c r="B1085" s="76" t="s">
        <v>392</v>
      </c>
      <c r="C1085" s="76" t="s">
        <v>393</v>
      </c>
      <c r="D1085" s="76" t="s">
        <v>394</v>
      </c>
      <c r="E1085" s="76" t="s">
        <v>395</v>
      </c>
      <c r="F1085" s="76" t="s">
        <v>396</v>
      </c>
      <c r="G1085" s="76" t="s">
        <v>397</v>
      </c>
      <c r="H1085" s="108"/>
      <c r="I1085" s="71"/>
    </row>
    <row r="1086" spans="1:9" s="212" customFormat="1">
      <c r="A1086" s="77" t="s">
        <v>494</v>
      </c>
      <c r="B1086" s="78" t="s">
        <v>495</v>
      </c>
      <c r="C1086" s="79" t="s">
        <v>426</v>
      </c>
      <c r="D1086" s="107">
        <v>15927</v>
      </c>
      <c r="E1086" s="79">
        <v>2.2999999999999998</v>
      </c>
      <c r="F1086" s="79">
        <v>0</v>
      </c>
      <c r="G1086" s="107">
        <f>(D1086*E1086)+((D1086*E1086)*F1086/100)</f>
        <v>36632.1</v>
      </c>
      <c r="H1086" s="108"/>
      <c r="I1086" s="71"/>
    </row>
    <row r="1087" spans="1:9" s="212" customFormat="1">
      <c r="A1087" s="90"/>
      <c r="B1087" s="91"/>
      <c r="C1087" s="91"/>
      <c r="D1087" s="91"/>
      <c r="E1087" s="91"/>
      <c r="F1087"/>
      <c r="G1087" s="93" t="s">
        <v>407</v>
      </c>
      <c r="H1087" s="107">
        <f>SUM(G1086:G1086)</f>
        <v>36632.1</v>
      </c>
      <c r="I1087" s="71"/>
    </row>
    <row r="1088" spans="1:9" s="212" customFormat="1">
      <c r="A1088" s="72" t="s">
        <v>411</v>
      </c>
      <c r="B1088" s="73"/>
      <c r="C1088" s="73"/>
      <c r="D1088" s="73"/>
      <c r="E1088" s="73"/>
      <c r="F1088"/>
      <c r="G1088" s="74"/>
      <c r="H1088" s="108"/>
      <c r="I1088" s="71"/>
    </row>
    <row r="1089" spans="1:9" s="212" customFormat="1">
      <c r="A1089" s="75" t="s">
        <v>391</v>
      </c>
      <c r="B1089" s="76" t="s">
        <v>392</v>
      </c>
      <c r="C1089" s="76" t="s">
        <v>393</v>
      </c>
      <c r="D1089" s="76" t="s">
        <v>394</v>
      </c>
      <c r="E1089" s="76" t="s">
        <v>395</v>
      </c>
      <c r="F1089" s="76" t="s">
        <v>396</v>
      </c>
      <c r="G1089" s="76" t="s">
        <v>397</v>
      </c>
      <c r="H1089" s="108"/>
      <c r="I1089" s="71"/>
    </row>
    <row r="1090" spans="1:9" s="212" customFormat="1">
      <c r="A1090" s="87" t="s">
        <v>409</v>
      </c>
      <c r="B1090" s="114" t="s">
        <v>409</v>
      </c>
      <c r="C1090" s="114" t="s">
        <v>409</v>
      </c>
      <c r="D1090" s="114" t="s">
        <v>409</v>
      </c>
      <c r="E1090" s="114" t="s">
        <v>409</v>
      </c>
      <c r="F1090" s="79" t="s">
        <v>409</v>
      </c>
      <c r="G1090" s="89" t="s">
        <v>409</v>
      </c>
      <c r="H1090" s="108"/>
      <c r="I1090" s="71"/>
    </row>
    <row r="1091" spans="1:9" s="212" customFormat="1">
      <c r="A1091" s="94"/>
      <c r="B1091" s="95"/>
      <c r="C1091" s="95"/>
      <c r="D1091" s="95"/>
      <c r="E1091" s="95"/>
      <c r="F1091"/>
      <c r="G1091" s="93" t="s">
        <v>407</v>
      </c>
      <c r="H1091" s="107">
        <f>SUM(G1089:G1090)</f>
        <v>0</v>
      </c>
      <c r="I1091" s="71"/>
    </row>
    <row r="1092" spans="1:9" s="212" customFormat="1">
      <c r="A1092" s="94"/>
      <c r="B1092" s="95"/>
      <c r="C1092" s="95"/>
      <c r="D1092" s="95"/>
      <c r="E1092" s="95"/>
      <c r="F1092"/>
      <c r="G1092" s="74"/>
      <c r="H1092" s="74"/>
      <c r="I1092" s="71"/>
    </row>
    <row r="1093" spans="1:9" s="212" customFormat="1">
      <c r="A1093" s="96"/>
      <c r="B1093" s="97"/>
      <c r="C1093" s="98"/>
      <c r="D1093" s="98"/>
      <c r="E1093" s="98"/>
      <c r="F1093"/>
      <c r="G1093" s="99" t="s">
        <v>412</v>
      </c>
      <c r="H1093" s="115">
        <f>SUM(H1077:H1091)</f>
        <v>37257.1</v>
      </c>
      <c r="I1093" s="71"/>
    </row>
    <row r="1094" spans="1:9" s="212" customFormat="1">
      <c r="A1094" s="96"/>
      <c r="B1094" s="97"/>
      <c r="C1094" s="98"/>
      <c r="D1094" s="98"/>
      <c r="E1094" s="98"/>
      <c r="F1094" s="101"/>
      <c r="G1094" s="116"/>
      <c r="H1094" s="70"/>
      <c r="I1094" s="71"/>
    </row>
    <row r="1095" spans="1:9" s="212" customFormat="1" ht="15.75" thickBot="1">
      <c r="A1095" s="624" t="s">
        <v>430</v>
      </c>
      <c r="B1095" s="625"/>
      <c r="C1095" s="625"/>
      <c r="D1095" s="625"/>
      <c r="E1095" s="625"/>
      <c r="F1095" s="625"/>
      <c r="G1095" s="626"/>
      <c r="H1095" s="117">
        <f>+ROUND(H1093,0)</f>
        <v>37257</v>
      </c>
      <c r="I1095" s="103"/>
    </row>
    <row r="1096" spans="1:9" s="212" customFormat="1">
      <c r="A1096" s="120"/>
      <c r="B1096" s="73"/>
      <c r="C1096" s="73"/>
      <c r="D1096" s="73"/>
      <c r="E1096" s="73"/>
      <c r="G1096" s="73"/>
      <c r="H1096" s="222"/>
    </row>
    <row r="1097" spans="1:9" s="212" customFormat="1" ht="15.75" thickBot="1">
      <c r="A1097" s="220"/>
      <c r="B1097" s="141"/>
      <c r="C1097" s="141"/>
      <c r="D1097" s="141"/>
      <c r="E1097" s="141"/>
      <c r="F1097" s="141"/>
      <c r="G1097" s="141"/>
      <c r="H1097" s="222"/>
    </row>
    <row r="1098" spans="1:9" s="212" customFormat="1">
      <c r="A1098" s="627"/>
      <c r="B1098" s="629" t="s">
        <v>710</v>
      </c>
      <c r="C1098" s="630"/>
      <c r="D1098" s="630"/>
      <c r="E1098" s="630"/>
      <c r="F1098" s="630"/>
      <c r="G1098" s="630"/>
      <c r="H1098" s="630"/>
      <c r="I1098" s="66" t="s">
        <v>389</v>
      </c>
    </row>
    <row r="1099" spans="1:9" s="212" customFormat="1">
      <c r="A1099" s="628"/>
      <c r="B1099" s="631"/>
      <c r="C1099" s="632"/>
      <c r="D1099" s="632"/>
      <c r="E1099" s="632"/>
      <c r="F1099" s="632"/>
      <c r="G1099" s="632"/>
      <c r="H1099" s="632"/>
      <c r="I1099" s="67" t="s">
        <v>291</v>
      </c>
    </row>
    <row r="1100" spans="1:9" s="212" customFormat="1">
      <c r="A1100" s="68"/>
      <c r="B1100" s="69"/>
      <c r="C1100" s="69"/>
      <c r="D1100" s="69"/>
      <c r="E1100" s="69"/>
      <c r="F1100" s="70"/>
      <c r="G1100" s="70"/>
      <c r="H1100" s="70"/>
      <c r="I1100" s="71"/>
    </row>
    <row r="1101" spans="1:9" s="212" customFormat="1">
      <c r="A1101" s="72" t="s">
        <v>390</v>
      </c>
      <c r="B1101" s="73"/>
      <c r="C1101" s="73"/>
      <c r="D1101" s="73"/>
      <c r="E1101" s="73"/>
      <c r="F1101" s="74"/>
      <c r="G1101" s="74"/>
      <c r="H1101" s="70"/>
      <c r="I1101" s="71"/>
    </row>
    <row r="1102" spans="1:9" s="212" customFormat="1">
      <c r="A1102" s="75" t="s">
        <v>391</v>
      </c>
      <c r="B1102" s="76" t="s">
        <v>392</v>
      </c>
      <c r="C1102" s="76" t="s">
        <v>393</v>
      </c>
      <c r="D1102" s="76" t="s">
        <v>394</v>
      </c>
      <c r="E1102" s="76" t="s">
        <v>395</v>
      </c>
      <c r="F1102" s="76" t="s">
        <v>396</v>
      </c>
      <c r="G1102" s="76" t="s">
        <v>397</v>
      </c>
      <c r="H1102" s="74"/>
      <c r="I1102" s="71"/>
    </row>
    <row r="1103" spans="1:9" s="212" customFormat="1">
      <c r="A1103" s="135" t="s">
        <v>711</v>
      </c>
      <c r="B1103" s="78" t="s">
        <v>712</v>
      </c>
      <c r="C1103" s="127" t="s">
        <v>403</v>
      </c>
      <c r="D1103" s="107">
        <v>35000</v>
      </c>
      <c r="E1103" s="79">
        <v>4.0000000000000001E-3</v>
      </c>
      <c r="F1103" s="79">
        <v>0</v>
      </c>
      <c r="G1103" s="107">
        <f>(D1103*E1103)+((D1103*E1103)*F1103/100)</f>
        <v>140</v>
      </c>
      <c r="H1103" s="74"/>
      <c r="I1103" s="71"/>
    </row>
    <row r="1104" spans="1:9" s="212" customFormat="1" ht="40.5" customHeight="1">
      <c r="A1104" s="135" t="s">
        <v>713</v>
      </c>
      <c r="B1104" s="78" t="s">
        <v>714</v>
      </c>
      <c r="C1104" s="127" t="s">
        <v>403</v>
      </c>
      <c r="D1104" s="107">
        <v>17000</v>
      </c>
      <c r="E1104" s="79">
        <v>4.0000000000000001E-3</v>
      </c>
      <c r="F1104" s="79">
        <v>0</v>
      </c>
      <c r="G1104" s="107">
        <f>(D1104*E1104)+((D1104*E1104)*F1104/100)</f>
        <v>68</v>
      </c>
      <c r="H1104" s="74"/>
      <c r="I1104" s="71"/>
    </row>
    <row r="1105" spans="1:9" s="212" customFormat="1">
      <c r="A1105" s="82"/>
      <c r="B1105" s="83"/>
      <c r="C1105" s="84"/>
      <c r="D1105" s="84"/>
      <c r="E1105" s="84"/>
      <c r="F1105"/>
      <c r="G1105" s="93" t="s">
        <v>407</v>
      </c>
      <c r="H1105" s="107">
        <f>SUM(G1103:G1104)</f>
        <v>208</v>
      </c>
      <c r="I1105" s="71"/>
    </row>
    <row r="1106" spans="1:9" s="212" customFormat="1">
      <c r="A1106" s="72" t="s">
        <v>408</v>
      </c>
      <c r="B1106" s="73"/>
      <c r="C1106" s="73"/>
      <c r="D1106" s="73"/>
      <c r="E1106" s="73"/>
      <c r="F1106"/>
      <c r="G1106" s="74"/>
      <c r="H1106" s="108"/>
      <c r="I1106" s="71"/>
    </row>
    <row r="1107" spans="1:9" s="212" customFormat="1">
      <c r="A1107" s="75" t="s">
        <v>391</v>
      </c>
      <c r="B1107" s="76" t="s">
        <v>392</v>
      </c>
      <c r="C1107" s="76" t="s">
        <v>393</v>
      </c>
      <c r="D1107" s="76" t="s">
        <v>394</v>
      </c>
      <c r="E1107" s="76" t="s">
        <v>395</v>
      </c>
      <c r="F1107" s="76" t="s">
        <v>396</v>
      </c>
      <c r="G1107" s="76" t="s">
        <v>397</v>
      </c>
      <c r="H1107" s="108"/>
      <c r="I1107" s="71"/>
    </row>
    <row r="1108" spans="1:9" s="212" customFormat="1">
      <c r="A1108" s="135">
        <v>4669</v>
      </c>
      <c r="B1108" s="78" t="s">
        <v>715</v>
      </c>
      <c r="C1108" s="127" t="s">
        <v>474</v>
      </c>
      <c r="D1108" s="107">
        <v>2200</v>
      </c>
      <c r="E1108" s="79">
        <v>0.47</v>
      </c>
      <c r="F1108" s="79">
        <v>0</v>
      </c>
      <c r="G1108" s="107">
        <f>(D1108*E1108)+((D1108*E1108)*F1108/100)</f>
        <v>1034</v>
      </c>
      <c r="H1108" s="108"/>
      <c r="I1108" s="71"/>
    </row>
    <row r="1109" spans="1:9" s="212" customFormat="1">
      <c r="A1109" s="90"/>
      <c r="B1109" s="91"/>
      <c r="C1109" s="91"/>
      <c r="D1109" s="107"/>
      <c r="E1109" s="91"/>
      <c r="F1109"/>
      <c r="G1109" s="115" t="s">
        <v>407</v>
      </c>
      <c r="H1109" s="107">
        <f>SUM(G1108:G1108)</f>
        <v>1034</v>
      </c>
      <c r="I1109" s="71"/>
    </row>
    <row r="1110" spans="1:9" s="212" customFormat="1">
      <c r="A1110" s="72" t="s">
        <v>410</v>
      </c>
      <c r="B1110" s="73"/>
      <c r="C1110" s="73"/>
      <c r="D1110" s="73"/>
      <c r="E1110" s="73"/>
      <c r="F1110"/>
      <c r="G1110" s="74"/>
      <c r="H1110" s="108"/>
      <c r="I1110" s="71"/>
    </row>
    <row r="1111" spans="1:9" s="212" customFormat="1">
      <c r="A1111" s="75" t="s">
        <v>391</v>
      </c>
      <c r="B1111" s="76" t="s">
        <v>392</v>
      </c>
      <c r="C1111" s="76" t="s">
        <v>393</v>
      </c>
      <c r="D1111" s="76" t="s">
        <v>394</v>
      </c>
      <c r="E1111" s="76" t="s">
        <v>395</v>
      </c>
      <c r="F1111" s="76" t="s">
        <v>396</v>
      </c>
      <c r="G1111" s="76" t="s">
        <v>397</v>
      </c>
      <c r="H1111" s="108"/>
      <c r="I1111" s="71"/>
    </row>
    <row r="1112" spans="1:9" s="212" customFormat="1">
      <c r="A1112" s="125" t="s">
        <v>438</v>
      </c>
      <c r="B1112" s="78" t="s">
        <v>510</v>
      </c>
      <c r="C1112" s="127" t="s">
        <v>426</v>
      </c>
      <c r="D1112" s="107">
        <v>5627</v>
      </c>
      <c r="E1112" s="79">
        <v>0.04</v>
      </c>
      <c r="F1112" s="79">
        <v>0</v>
      </c>
      <c r="G1112" s="107">
        <f>(D1112*E1112)+((D1112*E1112)*F1112/100)</f>
        <v>225.08</v>
      </c>
      <c r="H1112" s="108"/>
      <c r="I1112" s="71"/>
    </row>
    <row r="1113" spans="1:9" s="212" customFormat="1">
      <c r="A1113" s="90"/>
      <c r="B1113" s="91"/>
      <c r="C1113" s="91"/>
      <c r="D1113" s="107"/>
      <c r="E1113" s="91"/>
      <c r="F1113"/>
      <c r="G1113" s="115" t="s">
        <v>407</v>
      </c>
      <c r="H1113" s="107">
        <f>SUM(G1112:G1112)</f>
        <v>225.08</v>
      </c>
      <c r="I1113" s="71"/>
    </row>
    <row r="1114" spans="1:9" s="212" customFormat="1">
      <c r="A1114" s="72" t="s">
        <v>411</v>
      </c>
      <c r="B1114" s="73"/>
      <c r="C1114" s="73"/>
      <c r="D1114" s="73"/>
      <c r="E1114" s="73"/>
      <c r="F1114"/>
      <c r="G1114" s="74"/>
      <c r="H1114" s="108"/>
      <c r="I1114" s="71"/>
    </row>
    <row r="1115" spans="1:9" s="212" customFormat="1">
      <c r="A1115" s="75" t="s">
        <v>391</v>
      </c>
      <c r="B1115" s="76" t="s">
        <v>392</v>
      </c>
      <c r="C1115" s="76" t="s">
        <v>393</v>
      </c>
      <c r="D1115" s="76" t="s">
        <v>394</v>
      </c>
      <c r="E1115" s="76" t="s">
        <v>395</v>
      </c>
      <c r="F1115" s="76" t="s">
        <v>396</v>
      </c>
      <c r="G1115" s="76" t="s">
        <v>397</v>
      </c>
      <c r="H1115" s="108"/>
      <c r="I1115" s="71"/>
    </row>
    <row r="1116" spans="1:9" s="212" customFormat="1">
      <c r="A1116" s="87" t="s">
        <v>409</v>
      </c>
      <c r="B1116" s="114" t="s">
        <v>409</v>
      </c>
      <c r="C1116" s="114" t="s">
        <v>409</v>
      </c>
      <c r="D1116" s="114" t="s">
        <v>409</v>
      </c>
      <c r="E1116" s="114" t="s">
        <v>409</v>
      </c>
      <c r="F1116" s="79" t="s">
        <v>409</v>
      </c>
      <c r="G1116" s="89" t="s">
        <v>409</v>
      </c>
      <c r="H1116" s="108"/>
      <c r="I1116" s="71"/>
    </row>
    <row r="1117" spans="1:9" s="212" customFormat="1">
      <c r="A1117" s="94"/>
      <c r="B1117" s="95"/>
      <c r="C1117" s="95"/>
      <c r="D1117" s="95"/>
      <c r="E1117" s="95"/>
      <c r="F1117"/>
      <c r="G1117" s="93" t="s">
        <v>407</v>
      </c>
      <c r="H1117" s="107">
        <f>SUM(G1115:G1116)</f>
        <v>0</v>
      </c>
      <c r="I1117" s="71"/>
    </row>
    <row r="1118" spans="1:9" s="212" customFormat="1">
      <c r="A1118" s="94"/>
      <c r="B1118" s="95"/>
      <c r="C1118" s="95"/>
      <c r="D1118" s="95"/>
      <c r="E1118" s="95"/>
      <c r="F1118"/>
      <c r="G1118" s="74"/>
      <c r="H1118" s="74"/>
      <c r="I1118" s="71"/>
    </row>
    <row r="1119" spans="1:9" s="212" customFormat="1">
      <c r="A1119" s="96"/>
      <c r="B1119" s="97"/>
      <c r="C1119" s="98"/>
      <c r="D1119" s="98"/>
      <c r="E1119" s="98"/>
      <c r="F1119"/>
      <c r="G1119" s="99" t="s">
        <v>412</v>
      </c>
      <c r="H1119" s="115">
        <f>SUM(H1105:H1117)</f>
        <v>1467.08</v>
      </c>
      <c r="I1119" s="71"/>
    </row>
    <row r="1120" spans="1:9" s="212" customFormat="1">
      <c r="A1120" s="96"/>
      <c r="B1120" s="97"/>
      <c r="C1120" s="98"/>
      <c r="D1120" s="98"/>
      <c r="E1120" s="98"/>
      <c r="F1120" s="101"/>
      <c r="G1120" s="116"/>
      <c r="H1120" s="70"/>
      <c r="I1120" s="71"/>
    </row>
    <row r="1121" spans="1:9" s="212" customFormat="1" ht="15.75" thickBot="1">
      <c r="A1121" s="624" t="s">
        <v>414</v>
      </c>
      <c r="B1121" s="625"/>
      <c r="C1121" s="625"/>
      <c r="D1121" s="625"/>
      <c r="E1121" s="625"/>
      <c r="F1121" s="625"/>
      <c r="G1121" s="626"/>
      <c r="H1121" s="208">
        <f>+ROUND(H1119,0)</f>
        <v>1467</v>
      </c>
      <c r="I1121" s="103"/>
    </row>
    <row r="1122" spans="1:9" s="212" customFormat="1">
      <c r="A1122" s="142"/>
      <c r="B1122" s="143"/>
      <c r="C1122" s="143"/>
      <c r="D1122" s="143"/>
      <c r="E1122" s="143"/>
      <c r="F1122" s="84"/>
      <c r="G1122" s="146"/>
      <c r="H1122" s="221"/>
    </row>
    <row r="1123" spans="1:9" s="212" customFormat="1" ht="15.75" thickBot="1">
      <c r="A1123" s="123"/>
      <c r="B1123" s="95"/>
      <c r="C1123" s="95"/>
      <c r="D1123" s="95"/>
      <c r="E1123" s="95"/>
      <c r="G1123" s="213"/>
      <c r="H1123" s="73"/>
    </row>
    <row r="1124" spans="1:9" s="212" customFormat="1">
      <c r="A1124" s="627"/>
      <c r="B1124" s="629" t="s">
        <v>716</v>
      </c>
      <c r="C1124" s="630"/>
      <c r="D1124" s="630"/>
      <c r="E1124" s="630"/>
      <c r="F1124" s="630"/>
      <c r="G1124" s="630"/>
      <c r="H1124" s="630"/>
      <c r="I1124" s="66" t="s">
        <v>389</v>
      </c>
    </row>
    <row r="1125" spans="1:9" s="212" customFormat="1">
      <c r="A1125" s="628"/>
      <c r="B1125" s="631"/>
      <c r="C1125" s="632"/>
      <c r="D1125" s="632"/>
      <c r="E1125" s="632"/>
      <c r="F1125" s="632"/>
      <c r="G1125" s="632"/>
      <c r="H1125" s="632"/>
      <c r="I1125" s="67" t="s">
        <v>432</v>
      </c>
    </row>
    <row r="1126" spans="1:9" s="212" customFormat="1">
      <c r="A1126" s="68"/>
      <c r="B1126" s="69"/>
      <c r="C1126" s="69"/>
      <c r="D1126" s="69"/>
      <c r="E1126" s="69"/>
      <c r="F1126" s="70"/>
      <c r="G1126" s="70"/>
      <c r="H1126" s="70"/>
      <c r="I1126" s="71"/>
    </row>
    <row r="1127" spans="1:9" s="212" customFormat="1">
      <c r="A1127" s="72" t="s">
        <v>390</v>
      </c>
      <c r="B1127" s="73"/>
      <c r="C1127" s="73"/>
      <c r="D1127" s="73"/>
      <c r="E1127" s="73"/>
      <c r="F1127" s="74"/>
      <c r="G1127" s="74"/>
      <c r="H1127" s="70"/>
      <c r="I1127" s="71"/>
    </row>
    <row r="1128" spans="1:9" s="212" customFormat="1">
      <c r="A1128" s="75" t="s">
        <v>391</v>
      </c>
      <c r="B1128" s="76" t="s">
        <v>392</v>
      </c>
      <c r="C1128" s="76" t="s">
        <v>393</v>
      </c>
      <c r="D1128" s="76" t="s">
        <v>394</v>
      </c>
      <c r="E1128" s="76" t="s">
        <v>395</v>
      </c>
      <c r="F1128" s="76" t="s">
        <v>396</v>
      </c>
      <c r="G1128" s="76" t="s">
        <v>397</v>
      </c>
      <c r="H1128" s="74"/>
      <c r="I1128" s="71"/>
    </row>
    <row r="1129" spans="1:9" s="212" customFormat="1">
      <c r="A1129" s="135" t="s">
        <v>445</v>
      </c>
      <c r="B1129" s="78" t="s">
        <v>446</v>
      </c>
      <c r="C1129" s="127" t="s">
        <v>403</v>
      </c>
      <c r="D1129" s="107">
        <v>85000</v>
      </c>
      <c r="E1129" s="79">
        <v>0.1</v>
      </c>
      <c r="F1129" s="79">
        <v>0</v>
      </c>
      <c r="G1129" s="107">
        <f>(D1129*E1129)+((D1129*E1129)*F1129/100)</f>
        <v>8500</v>
      </c>
      <c r="H1129" s="74"/>
      <c r="I1129" s="71"/>
    </row>
    <row r="1130" spans="1:9" s="212" customFormat="1">
      <c r="A1130" s="135" t="s">
        <v>717</v>
      </c>
      <c r="B1130" s="78" t="s">
        <v>718</v>
      </c>
      <c r="C1130" s="127" t="s">
        <v>403</v>
      </c>
      <c r="D1130" s="107">
        <v>105000</v>
      </c>
      <c r="E1130" s="79">
        <v>0.12</v>
      </c>
      <c r="F1130" s="79">
        <v>0</v>
      </c>
      <c r="G1130" s="107">
        <f>(D1130*E1130)+((D1130*E1130)*F1130/100)</f>
        <v>12600</v>
      </c>
      <c r="H1130" s="74"/>
      <c r="I1130" s="71"/>
    </row>
    <row r="1131" spans="1:9" s="212" customFormat="1">
      <c r="A1131" s="135" t="s">
        <v>719</v>
      </c>
      <c r="B1131" s="78" t="s">
        <v>720</v>
      </c>
      <c r="C1131" s="127" t="s">
        <v>403</v>
      </c>
      <c r="D1131" s="107">
        <v>75000</v>
      </c>
      <c r="E1131" s="79">
        <v>0.1</v>
      </c>
      <c r="F1131" s="79">
        <v>0</v>
      </c>
      <c r="G1131" s="107">
        <f>(D1131*E1131)+((D1131*E1131)*F1131/100)</f>
        <v>7500</v>
      </c>
      <c r="H1131" s="74"/>
      <c r="I1131" s="71"/>
    </row>
    <row r="1132" spans="1:9" s="212" customFormat="1">
      <c r="A1132" s="135" t="s">
        <v>404</v>
      </c>
      <c r="B1132" s="78" t="s">
        <v>405</v>
      </c>
      <c r="C1132" s="127" t="s">
        <v>523</v>
      </c>
      <c r="D1132" s="107">
        <v>1250</v>
      </c>
      <c r="E1132" s="79">
        <v>0.35</v>
      </c>
      <c r="F1132" s="79">
        <v>0</v>
      </c>
      <c r="G1132" s="107">
        <f>(D1132*E1132)+((D1132*E1132)*F1132/100)</f>
        <v>437.5</v>
      </c>
      <c r="H1132" s="74"/>
      <c r="I1132" s="71"/>
    </row>
    <row r="1133" spans="1:9" s="212" customFormat="1">
      <c r="A1133" s="82"/>
      <c r="B1133" s="83"/>
      <c r="C1133" s="84"/>
      <c r="D1133" s="84"/>
      <c r="E1133" s="84"/>
      <c r="F1133"/>
      <c r="G1133" s="93" t="s">
        <v>407</v>
      </c>
      <c r="H1133" s="107">
        <f>SUM(G1129:G1132)</f>
        <v>29037.5</v>
      </c>
      <c r="I1133" s="71"/>
    </row>
    <row r="1134" spans="1:9" s="212" customFormat="1">
      <c r="A1134" s="72" t="s">
        <v>408</v>
      </c>
      <c r="B1134" s="73"/>
      <c r="C1134" s="73"/>
      <c r="D1134" s="73"/>
      <c r="E1134" s="73"/>
      <c r="F1134"/>
      <c r="G1134" s="74"/>
      <c r="H1134" s="108"/>
      <c r="I1134" s="71"/>
    </row>
    <row r="1135" spans="1:9" s="212" customFormat="1">
      <c r="A1135" s="75" t="s">
        <v>391</v>
      </c>
      <c r="B1135" s="76" t="s">
        <v>392</v>
      </c>
      <c r="C1135" s="76" t="s">
        <v>393</v>
      </c>
      <c r="D1135" s="76" t="s">
        <v>394</v>
      </c>
      <c r="E1135" s="76" t="s">
        <v>395</v>
      </c>
      <c r="F1135" s="76" t="s">
        <v>396</v>
      </c>
      <c r="G1135" s="76" t="s">
        <v>397</v>
      </c>
      <c r="H1135" s="108"/>
      <c r="I1135" s="71"/>
    </row>
    <row r="1136" spans="1:9" s="212" customFormat="1">
      <c r="A1136" s="135">
        <v>4665</v>
      </c>
      <c r="B1136" s="78" t="s">
        <v>721</v>
      </c>
      <c r="C1136" s="127" t="s">
        <v>454</v>
      </c>
      <c r="D1136" s="107">
        <v>267500</v>
      </c>
      <c r="E1136" s="79">
        <v>1.25</v>
      </c>
      <c r="F1136" s="79">
        <v>5</v>
      </c>
      <c r="G1136" s="107">
        <f>(D1136*E1136)+((D1136*E1136)*F1136/100)</f>
        <v>351093.75</v>
      </c>
      <c r="H1136" s="108"/>
      <c r="I1136" s="71"/>
    </row>
    <row r="1137" spans="1:9" s="212" customFormat="1">
      <c r="A1137" s="90"/>
      <c r="B1137" s="91"/>
      <c r="C1137" s="91"/>
      <c r="D1137" s="91"/>
      <c r="E1137" s="91"/>
      <c r="F1137"/>
      <c r="G1137" s="85" t="s">
        <v>407</v>
      </c>
      <c r="H1137" s="107">
        <f>SUM(G1136:G1136)</f>
        <v>351093.75</v>
      </c>
      <c r="I1137" s="71"/>
    </row>
    <row r="1138" spans="1:9" s="212" customFormat="1">
      <c r="A1138" s="72" t="s">
        <v>410</v>
      </c>
      <c r="B1138" s="73"/>
      <c r="C1138" s="73"/>
      <c r="D1138" s="73"/>
      <c r="E1138" s="73"/>
      <c r="F1138"/>
      <c r="G1138" s="74"/>
      <c r="H1138" s="108"/>
      <c r="I1138" s="71"/>
    </row>
    <row r="1139" spans="1:9" s="212" customFormat="1">
      <c r="A1139" s="75" t="s">
        <v>391</v>
      </c>
      <c r="B1139" s="76" t="s">
        <v>392</v>
      </c>
      <c r="C1139" s="76" t="s">
        <v>393</v>
      </c>
      <c r="D1139" s="76" t="s">
        <v>394</v>
      </c>
      <c r="E1139" s="76" t="s">
        <v>395</v>
      </c>
      <c r="F1139" s="76" t="s">
        <v>396</v>
      </c>
      <c r="G1139" s="76" t="s">
        <v>397</v>
      </c>
      <c r="H1139" s="108"/>
      <c r="I1139" s="71"/>
    </row>
    <row r="1140" spans="1:9" s="212" customFormat="1" ht="25.5">
      <c r="A1140" s="125" t="s">
        <v>722</v>
      </c>
      <c r="B1140" s="78" t="s">
        <v>723</v>
      </c>
      <c r="C1140" s="127" t="s">
        <v>426</v>
      </c>
      <c r="D1140" s="107">
        <f>5627*5+10300</f>
        <v>38435</v>
      </c>
      <c r="E1140" s="79">
        <v>0.2</v>
      </c>
      <c r="F1140" s="79">
        <v>0</v>
      </c>
      <c r="G1140" s="107">
        <f>(D1140*E1140)+((D1140*E1140)*F1140/100)</f>
        <v>7687</v>
      </c>
      <c r="H1140" s="108"/>
      <c r="I1140" s="71"/>
    </row>
    <row r="1141" spans="1:9" s="212" customFormat="1">
      <c r="A1141" s="90"/>
      <c r="B1141" s="91"/>
      <c r="C1141" s="91"/>
      <c r="D1141" s="91"/>
      <c r="E1141" s="91"/>
      <c r="F1141"/>
      <c r="G1141" s="93" t="s">
        <v>407</v>
      </c>
      <c r="H1141" s="107">
        <f>SUM(G1140:G1140)</f>
        <v>7687</v>
      </c>
      <c r="I1141" s="71"/>
    </row>
    <row r="1142" spans="1:9" s="212" customFormat="1">
      <c r="A1142" s="72" t="s">
        <v>411</v>
      </c>
      <c r="B1142" s="73"/>
      <c r="C1142" s="73"/>
      <c r="D1142" s="73"/>
      <c r="E1142" s="73"/>
      <c r="F1142"/>
      <c r="G1142" s="74"/>
      <c r="H1142" s="108"/>
      <c r="I1142" s="71"/>
    </row>
    <row r="1143" spans="1:9" s="212" customFormat="1">
      <c r="A1143" s="75" t="s">
        <v>391</v>
      </c>
      <c r="B1143" s="76" t="s">
        <v>392</v>
      </c>
      <c r="C1143" s="76" t="s">
        <v>393</v>
      </c>
      <c r="D1143" s="76" t="s">
        <v>394</v>
      </c>
      <c r="E1143" s="76" t="s">
        <v>395</v>
      </c>
      <c r="F1143" s="76" t="s">
        <v>396</v>
      </c>
      <c r="G1143" s="76" t="s">
        <v>397</v>
      </c>
      <c r="H1143" s="108"/>
      <c r="I1143" s="71"/>
    </row>
    <row r="1144" spans="1:9" s="212" customFormat="1">
      <c r="A1144" s="87" t="s">
        <v>409</v>
      </c>
      <c r="B1144" s="114" t="s">
        <v>409</v>
      </c>
      <c r="C1144" s="114" t="s">
        <v>409</v>
      </c>
      <c r="D1144" s="114" t="s">
        <v>409</v>
      </c>
      <c r="E1144" s="114" t="s">
        <v>409</v>
      </c>
      <c r="F1144" s="79" t="s">
        <v>409</v>
      </c>
      <c r="G1144" s="89" t="s">
        <v>409</v>
      </c>
      <c r="H1144" s="108"/>
      <c r="I1144" s="71"/>
    </row>
    <row r="1145" spans="1:9" s="212" customFormat="1">
      <c r="A1145" s="94"/>
      <c r="B1145" s="95"/>
      <c r="C1145" s="95"/>
      <c r="D1145" s="95"/>
      <c r="E1145" s="95"/>
      <c r="F1145"/>
      <c r="G1145" s="93" t="s">
        <v>407</v>
      </c>
      <c r="H1145" s="107">
        <f>SUM(G1143:G1144)</f>
        <v>0</v>
      </c>
      <c r="I1145" s="71"/>
    </row>
    <row r="1146" spans="1:9" s="212" customFormat="1">
      <c r="A1146" s="94"/>
      <c r="B1146" s="95"/>
      <c r="C1146" s="95"/>
      <c r="D1146" s="95"/>
      <c r="E1146" s="95"/>
      <c r="F1146"/>
      <c r="G1146" s="74"/>
      <c r="H1146" s="74"/>
      <c r="I1146" s="71"/>
    </row>
    <row r="1147" spans="1:9" s="212" customFormat="1">
      <c r="A1147" s="96"/>
      <c r="B1147" s="97"/>
      <c r="C1147" s="98"/>
      <c r="D1147" s="98"/>
      <c r="E1147" s="98"/>
      <c r="F1147"/>
      <c r="G1147" s="99" t="s">
        <v>412</v>
      </c>
      <c r="H1147" s="115">
        <f>SUM(H1133:H1145)</f>
        <v>387818.25</v>
      </c>
      <c r="I1147" s="71"/>
    </row>
    <row r="1148" spans="1:9" s="212" customFormat="1">
      <c r="A1148" s="96"/>
      <c r="B1148" s="97"/>
      <c r="C1148" s="98"/>
      <c r="D1148" s="98"/>
      <c r="E1148" s="98"/>
      <c r="F1148" s="101"/>
      <c r="G1148" s="116"/>
      <c r="H1148" s="70"/>
      <c r="I1148" s="71"/>
    </row>
    <row r="1149" spans="1:9" s="212" customFormat="1" ht="15.75" thickBot="1">
      <c r="A1149" s="624" t="s">
        <v>441</v>
      </c>
      <c r="B1149" s="625"/>
      <c r="C1149" s="625"/>
      <c r="D1149" s="625"/>
      <c r="E1149" s="625"/>
      <c r="F1149" s="625"/>
      <c r="G1149" s="626"/>
      <c r="H1149" s="208">
        <f>+ROUND(H1147,0)</f>
        <v>387818</v>
      </c>
      <c r="I1149" s="103"/>
    </row>
    <row r="1150" spans="1:9" s="212" customFormat="1">
      <c r="B1150" s="97"/>
      <c r="C1150" s="98"/>
      <c r="D1150" s="98"/>
      <c r="E1150" s="98"/>
      <c r="F1150" s="220"/>
      <c r="G1150" s="225"/>
      <c r="H1150" s="226"/>
    </row>
    <row r="1151" spans="1:9" s="212" customFormat="1" ht="15.75" thickBot="1">
      <c r="A1151" s="633"/>
      <c r="B1151" s="633"/>
      <c r="C1151" s="633"/>
      <c r="D1151" s="633"/>
      <c r="E1151" s="633"/>
      <c r="F1151" s="633"/>
      <c r="G1151" s="633"/>
      <c r="H1151" s="226"/>
    </row>
    <row r="1152" spans="1:9" s="212" customFormat="1">
      <c r="A1152" s="627"/>
      <c r="B1152" s="629" t="s">
        <v>701</v>
      </c>
      <c r="C1152" s="630"/>
      <c r="D1152" s="630"/>
      <c r="E1152" s="630"/>
      <c r="F1152" s="630"/>
      <c r="G1152" s="630"/>
      <c r="H1152" s="630"/>
      <c r="I1152" s="66" t="s">
        <v>389</v>
      </c>
    </row>
    <row r="1153" spans="1:9" s="212" customFormat="1">
      <c r="A1153" s="628"/>
      <c r="B1153" s="631"/>
      <c r="C1153" s="632"/>
      <c r="D1153" s="632"/>
      <c r="E1153" s="632"/>
      <c r="F1153" s="632"/>
      <c r="G1153" s="632"/>
      <c r="H1153" s="632"/>
      <c r="I1153" s="67" t="s">
        <v>432</v>
      </c>
    </row>
    <row r="1154" spans="1:9" s="212" customFormat="1">
      <c r="A1154" s="68"/>
      <c r="B1154" s="69"/>
      <c r="C1154" s="69"/>
      <c r="D1154" s="69"/>
      <c r="E1154" s="69"/>
      <c r="F1154" s="70"/>
      <c r="G1154" s="70"/>
      <c r="H1154" s="70"/>
      <c r="I1154" s="71"/>
    </row>
    <row r="1155" spans="1:9" s="212" customFormat="1">
      <c r="A1155" s="72" t="s">
        <v>390</v>
      </c>
      <c r="B1155" s="73"/>
      <c r="C1155" s="73"/>
      <c r="D1155" s="73"/>
      <c r="E1155" s="73"/>
      <c r="F1155" s="74"/>
      <c r="G1155" s="74"/>
      <c r="H1155" s="70"/>
      <c r="I1155" s="71"/>
    </row>
    <row r="1156" spans="1:9" s="212" customFormat="1">
      <c r="A1156" s="75" t="s">
        <v>391</v>
      </c>
      <c r="B1156" s="76" t="s">
        <v>392</v>
      </c>
      <c r="C1156" s="76" t="s">
        <v>393</v>
      </c>
      <c r="D1156" s="76" t="s">
        <v>394</v>
      </c>
      <c r="E1156" s="76" t="s">
        <v>395</v>
      </c>
      <c r="F1156" s="76" t="s">
        <v>396</v>
      </c>
      <c r="G1156" s="76" t="s">
        <v>397</v>
      </c>
      <c r="H1156" s="74"/>
      <c r="I1156" s="71"/>
    </row>
    <row r="1157" spans="1:9" s="212" customFormat="1">
      <c r="A1157" s="135" t="s">
        <v>443</v>
      </c>
      <c r="B1157" s="78" t="s">
        <v>444</v>
      </c>
      <c r="C1157" s="127" t="s">
        <v>403</v>
      </c>
      <c r="D1157" s="107">
        <v>94000</v>
      </c>
      <c r="E1157" s="79">
        <v>4.5999999999999999E-2</v>
      </c>
      <c r="F1157" s="79">
        <v>0</v>
      </c>
      <c r="G1157" s="107">
        <f>(D1157*E1157)+((D1157*E1157)*F1157/100)</f>
        <v>4324</v>
      </c>
      <c r="H1157" s="74"/>
      <c r="I1157" s="71"/>
    </row>
    <row r="1158" spans="1:9" s="212" customFormat="1">
      <c r="A1158" s="135" t="s">
        <v>445</v>
      </c>
      <c r="B1158" s="78" t="s">
        <v>702</v>
      </c>
      <c r="C1158" s="127" t="s">
        <v>403</v>
      </c>
      <c r="D1158" s="107">
        <v>85000</v>
      </c>
      <c r="E1158" s="79">
        <v>0.09</v>
      </c>
      <c r="F1158" s="79">
        <v>0</v>
      </c>
      <c r="G1158" s="107">
        <f>(D1158*E1158)+((D1158*E1158)*F1158/100)</f>
        <v>7650</v>
      </c>
      <c r="H1158" s="74"/>
      <c r="I1158" s="71"/>
    </row>
    <row r="1159" spans="1:9" s="212" customFormat="1">
      <c r="A1159" s="135" t="s">
        <v>703</v>
      </c>
      <c r="B1159" s="78" t="s">
        <v>704</v>
      </c>
      <c r="C1159" s="127" t="s">
        <v>705</v>
      </c>
      <c r="D1159" s="107">
        <v>900</v>
      </c>
      <c r="E1159" s="79">
        <v>13</v>
      </c>
      <c r="F1159" s="79">
        <v>0</v>
      </c>
      <c r="G1159" s="107">
        <f>(D1159*E1159)+((D1159*E1159)*F1159/100)</f>
        <v>11700</v>
      </c>
      <c r="H1159" s="74"/>
      <c r="I1159" s="71"/>
    </row>
    <row r="1160" spans="1:9" s="212" customFormat="1">
      <c r="A1160" s="135" t="s">
        <v>447</v>
      </c>
      <c r="B1160" s="78" t="s">
        <v>448</v>
      </c>
      <c r="C1160" s="127" t="s">
        <v>437</v>
      </c>
      <c r="D1160" s="107">
        <v>240000</v>
      </c>
      <c r="E1160" s="79">
        <v>1E-3</v>
      </c>
      <c r="F1160" s="79">
        <v>0</v>
      </c>
      <c r="G1160" s="107">
        <f>(D1160*E1160)+((D1160*E1160)*F1160/100)</f>
        <v>240</v>
      </c>
      <c r="H1160" s="74"/>
      <c r="I1160" s="71"/>
    </row>
    <row r="1161" spans="1:9" s="212" customFormat="1">
      <c r="A1161" s="82"/>
      <c r="B1161" s="83"/>
      <c r="C1161" s="84"/>
      <c r="D1161" s="84"/>
      <c r="E1161" s="84"/>
      <c r="F1161"/>
      <c r="G1161" s="93" t="s">
        <v>407</v>
      </c>
      <c r="H1161" s="107">
        <f>SUM(G1157:G1160)</f>
        <v>23914</v>
      </c>
      <c r="I1161" s="71"/>
    </row>
    <row r="1162" spans="1:9" s="212" customFormat="1">
      <c r="A1162" s="72" t="s">
        <v>408</v>
      </c>
      <c r="B1162" s="73"/>
      <c r="C1162" s="73"/>
      <c r="D1162" s="73"/>
      <c r="E1162" s="73"/>
      <c r="F1162"/>
      <c r="G1162" s="74"/>
      <c r="H1162" s="108"/>
      <c r="I1162" s="71"/>
    </row>
    <row r="1163" spans="1:9" s="212" customFormat="1">
      <c r="A1163" s="75" t="s">
        <v>391</v>
      </c>
      <c r="B1163" s="76" t="s">
        <v>392</v>
      </c>
      <c r="C1163" s="76" t="s">
        <v>393</v>
      </c>
      <c r="D1163" s="76" t="s">
        <v>394</v>
      </c>
      <c r="E1163" s="76" t="s">
        <v>395</v>
      </c>
      <c r="F1163" s="76" t="s">
        <v>396</v>
      </c>
      <c r="G1163" s="76" t="s">
        <v>397</v>
      </c>
      <c r="H1163" s="108"/>
      <c r="I1163" s="71"/>
    </row>
    <row r="1164" spans="1:9" s="212" customFormat="1">
      <c r="A1164" s="135">
        <v>5608</v>
      </c>
      <c r="B1164" s="78" t="s">
        <v>706</v>
      </c>
      <c r="C1164" s="127" t="s">
        <v>454</v>
      </c>
      <c r="D1164" s="107">
        <v>39000</v>
      </c>
      <c r="E1164" s="79">
        <v>1.3</v>
      </c>
      <c r="F1164" s="79">
        <v>0</v>
      </c>
      <c r="G1164" s="107">
        <f>(D1164*E1164)+((D1164*E1164)*F1164/100)</f>
        <v>50700</v>
      </c>
      <c r="H1164" s="108"/>
      <c r="I1164" s="71"/>
    </row>
    <row r="1165" spans="1:9" s="212" customFormat="1">
      <c r="A1165" s="90"/>
      <c r="B1165" s="91"/>
      <c r="C1165" s="91"/>
      <c r="D1165" s="91"/>
      <c r="E1165" s="91"/>
      <c r="F1165"/>
      <c r="G1165" s="85" t="s">
        <v>407</v>
      </c>
      <c r="H1165" s="107">
        <f>SUM(G1164:G1164)</f>
        <v>50700</v>
      </c>
      <c r="I1165" s="71"/>
    </row>
    <row r="1166" spans="1:9" s="212" customFormat="1">
      <c r="A1166" s="72" t="s">
        <v>410</v>
      </c>
      <c r="B1166" s="73"/>
      <c r="C1166" s="73"/>
      <c r="D1166" s="73"/>
      <c r="E1166" s="73"/>
      <c r="F1166"/>
      <c r="G1166" s="74"/>
      <c r="H1166" s="108"/>
      <c r="I1166" s="71"/>
    </row>
    <row r="1167" spans="1:9" s="212" customFormat="1">
      <c r="A1167" s="75" t="s">
        <v>391</v>
      </c>
      <c r="B1167" s="76" t="s">
        <v>392</v>
      </c>
      <c r="C1167" s="76" t="s">
        <v>393</v>
      </c>
      <c r="D1167" s="76" t="s">
        <v>394</v>
      </c>
      <c r="E1167" s="76" t="s">
        <v>395</v>
      </c>
      <c r="F1167" s="76" t="s">
        <v>396</v>
      </c>
      <c r="G1167" s="76" t="s">
        <v>397</v>
      </c>
      <c r="H1167" s="108"/>
      <c r="I1167" s="71"/>
    </row>
    <row r="1168" spans="1:9" s="212" customFormat="1">
      <c r="A1168" s="125" t="s">
        <v>450</v>
      </c>
      <c r="B1168" s="78" t="s">
        <v>707</v>
      </c>
      <c r="C1168" s="127" t="s">
        <v>426</v>
      </c>
      <c r="D1168" s="107">
        <f>5627*3</f>
        <v>16881</v>
      </c>
      <c r="E1168" s="79">
        <v>4.5999999999999999E-2</v>
      </c>
      <c r="F1168" s="79">
        <v>0</v>
      </c>
      <c r="G1168" s="107">
        <f>(D1168*E1168)+((D1168*E1168)*F1168/100)</f>
        <v>776.52599999999995</v>
      </c>
      <c r="H1168" s="108"/>
      <c r="I1168" s="71"/>
    </row>
    <row r="1169" spans="1:9" s="212" customFormat="1">
      <c r="A1169" s="90"/>
      <c r="B1169" s="91"/>
      <c r="C1169" s="91"/>
      <c r="D1169" s="91"/>
      <c r="E1169" s="91"/>
      <c r="F1169"/>
      <c r="G1169" s="93" t="s">
        <v>407</v>
      </c>
      <c r="H1169" s="107">
        <f>SUM(G1168:G1168)</f>
        <v>776.52599999999995</v>
      </c>
      <c r="I1169" s="71"/>
    </row>
    <row r="1170" spans="1:9" s="212" customFormat="1">
      <c r="A1170" s="72" t="s">
        <v>411</v>
      </c>
      <c r="B1170" s="73"/>
      <c r="C1170" s="73"/>
      <c r="D1170" s="73"/>
      <c r="E1170" s="73"/>
      <c r="F1170"/>
      <c r="G1170" s="74"/>
      <c r="H1170" s="108"/>
      <c r="I1170" s="71"/>
    </row>
    <row r="1171" spans="1:9" s="212" customFormat="1">
      <c r="A1171" s="75" t="s">
        <v>391</v>
      </c>
      <c r="B1171" s="76" t="s">
        <v>392</v>
      </c>
      <c r="C1171" s="76" t="s">
        <v>393</v>
      </c>
      <c r="D1171" s="76" t="s">
        <v>394</v>
      </c>
      <c r="E1171" s="76" t="s">
        <v>395</v>
      </c>
      <c r="F1171" s="76" t="s">
        <v>396</v>
      </c>
      <c r="G1171" s="76" t="s">
        <v>397</v>
      </c>
      <c r="H1171" s="108"/>
      <c r="I1171" s="71"/>
    </row>
    <row r="1172" spans="1:9" s="212" customFormat="1">
      <c r="A1172" s="87" t="s">
        <v>409</v>
      </c>
      <c r="B1172" s="114" t="s">
        <v>409</v>
      </c>
      <c r="C1172" s="114" t="s">
        <v>409</v>
      </c>
      <c r="D1172" s="114" t="s">
        <v>409</v>
      </c>
      <c r="E1172" s="114" t="s">
        <v>409</v>
      </c>
      <c r="F1172" s="79" t="s">
        <v>409</v>
      </c>
      <c r="G1172" s="89" t="s">
        <v>409</v>
      </c>
      <c r="H1172" s="108"/>
      <c r="I1172" s="71"/>
    </row>
    <row r="1173" spans="1:9" s="212" customFormat="1">
      <c r="A1173" s="94"/>
      <c r="B1173" s="95"/>
      <c r="C1173" s="95"/>
      <c r="D1173" s="95"/>
      <c r="E1173" s="95"/>
      <c r="F1173"/>
      <c r="G1173" s="93" t="s">
        <v>407</v>
      </c>
      <c r="H1173" s="107">
        <f>SUM(G1171:G1172)</f>
        <v>0</v>
      </c>
      <c r="I1173" s="71"/>
    </row>
    <row r="1174" spans="1:9" s="212" customFormat="1">
      <c r="A1174" s="94"/>
      <c r="B1174" s="95"/>
      <c r="C1174" s="95"/>
      <c r="D1174" s="95"/>
      <c r="E1174" s="95"/>
      <c r="F1174"/>
      <c r="G1174" s="74"/>
      <c r="H1174" s="74"/>
      <c r="I1174" s="71"/>
    </row>
    <row r="1175" spans="1:9" s="212" customFormat="1">
      <c r="A1175" s="96"/>
      <c r="B1175" s="97"/>
      <c r="C1175" s="98"/>
      <c r="D1175" s="98"/>
      <c r="E1175" s="98"/>
      <c r="F1175"/>
      <c r="G1175" s="99" t="s">
        <v>412</v>
      </c>
      <c r="H1175" s="115">
        <f>SUM(H1161:H1173)</f>
        <v>75390.525999999998</v>
      </c>
      <c r="I1175" s="71"/>
    </row>
    <row r="1176" spans="1:9" s="212" customFormat="1">
      <c r="A1176" s="96"/>
      <c r="B1176" s="97"/>
      <c r="C1176" s="98"/>
      <c r="D1176" s="98"/>
      <c r="E1176" s="98"/>
      <c r="F1176" s="101"/>
      <c r="G1176" s="116"/>
      <c r="H1176" s="70"/>
      <c r="I1176" s="71"/>
    </row>
    <row r="1177" spans="1:9" s="212" customFormat="1" ht="15.75" thickBot="1">
      <c r="A1177" s="624" t="s">
        <v>441</v>
      </c>
      <c r="B1177" s="625"/>
      <c r="C1177" s="625"/>
      <c r="D1177" s="625"/>
      <c r="E1177" s="625"/>
      <c r="F1177" s="625"/>
      <c r="G1177" s="626"/>
      <c r="H1177" s="208">
        <f>+ROUND(H1175,0)</f>
        <v>75391</v>
      </c>
      <c r="I1177" s="103"/>
    </row>
    <row r="1178" spans="1:9" s="212" customFormat="1" ht="15.75" thickBot="1">
      <c r="A1178"/>
      <c r="B1178"/>
      <c r="C1178"/>
      <c r="D1178"/>
      <c r="E1178"/>
      <c r="F1178"/>
      <c r="G1178"/>
      <c r="H1178"/>
      <c r="I1178"/>
    </row>
    <row r="1179" spans="1:9" s="212" customFormat="1">
      <c r="A1179" s="627"/>
      <c r="B1179" s="629" t="s">
        <v>708</v>
      </c>
      <c r="C1179" s="630"/>
      <c r="D1179" s="630"/>
      <c r="E1179" s="630"/>
      <c r="F1179" s="630"/>
      <c r="G1179" s="630"/>
      <c r="H1179" s="630"/>
      <c r="I1179" s="66" t="s">
        <v>389</v>
      </c>
    </row>
    <row r="1180" spans="1:9" s="212" customFormat="1">
      <c r="A1180" s="628"/>
      <c r="B1180" s="631"/>
      <c r="C1180" s="632"/>
      <c r="D1180" s="632"/>
      <c r="E1180" s="632"/>
      <c r="F1180" s="632"/>
      <c r="G1180" s="632"/>
      <c r="H1180" s="632"/>
      <c r="I1180" s="67" t="s">
        <v>432</v>
      </c>
    </row>
    <row r="1181" spans="1:9" s="212" customFormat="1">
      <c r="A1181" s="68"/>
      <c r="B1181" s="69"/>
      <c r="C1181" s="69"/>
      <c r="D1181" s="69"/>
      <c r="E1181" s="69"/>
      <c r="F1181" s="70"/>
      <c r="G1181" s="70"/>
      <c r="H1181" s="70"/>
      <c r="I1181" s="71"/>
    </row>
    <row r="1182" spans="1:9" s="212" customFormat="1">
      <c r="A1182" s="72" t="s">
        <v>390</v>
      </c>
      <c r="B1182" s="73"/>
      <c r="C1182" s="73"/>
      <c r="D1182" s="73"/>
      <c r="E1182" s="73"/>
      <c r="F1182" s="74"/>
      <c r="G1182" s="74"/>
      <c r="H1182" s="70"/>
      <c r="I1182" s="71"/>
    </row>
    <row r="1183" spans="1:9" s="212" customFormat="1">
      <c r="A1183" s="75" t="s">
        <v>391</v>
      </c>
      <c r="B1183" s="76" t="s">
        <v>392</v>
      </c>
      <c r="C1183" s="76" t="s">
        <v>393</v>
      </c>
      <c r="D1183" s="76" t="s">
        <v>394</v>
      </c>
      <c r="E1183" s="76" t="s">
        <v>395</v>
      </c>
      <c r="F1183" s="76" t="s">
        <v>396</v>
      </c>
      <c r="G1183" s="76" t="s">
        <v>397</v>
      </c>
      <c r="H1183" s="74"/>
      <c r="I1183" s="71"/>
    </row>
    <row r="1184" spans="1:9" s="212" customFormat="1">
      <c r="A1184" s="135" t="s">
        <v>443</v>
      </c>
      <c r="B1184" s="78" t="s">
        <v>444</v>
      </c>
      <c r="C1184" s="127" t="s">
        <v>403</v>
      </c>
      <c r="D1184" s="107">
        <v>94000</v>
      </c>
      <c r="E1184" s="79">
        <v>4.5999999999999999E-2</v>
      </c>
      <c r="F1184" s="79">
        <v>0</v>
      </c>
      <c r="G1184" s="107">
        <f>(D1184*E1184)+((D1184*E1184)*F1184/100)</f>
        <v>4324</v>
      </c>
      <c r="H1184" s="74"/>
      <c r="I1184" s="71"/>
    </row>
    <row r="1185" spans="1:9" s="212" customFormat="1">
      <c r="A1185" s="135" t="s">
        <v>445</v>
      </c>
      <c r="B1185" s="78" t="s">
        <v>702</v>
      </c>
      <c r="C1185" s="127" t="s">
        <v>403</v>
      </c>
      <c r="D1185" s="107">
        <v>85000</v>
      </c>
      <c r="E1185" s="79">
        <v>0.09</v>
      </c>
      <c r="F1185" s="79">
        <v>0</v>
      </c>
      <c r="G1185" s="107">
        <f>(D1185*E1185)+((D1185*E1185)*F1185/100)</f>
        <v>7650</v>
      </c>
      <c r="H1185" s="74"/>
      <c r="I1185" s="71"/>
    </row>
    <row r="1186" spans="1:9" s="212" customFormat="1">
      <c r="A1186" s="135" t="s">
        <v>703</v>
      </c>
      <c r="B1186" s="78" t="s">
        <v>704</v>
      </c>
      <c r="C1186" s="127" t="s">
        <v>705</v>
      </c>
      <c r="D1186" s="107">
        <v>900</v>
      </c>
      <c r="E1186" s="79">
        <v>13</v>
      </c>
      <c r="F1186" s="79">
        <v>0</v>
      </c>
      <c r="G1186" s="107">
        <f>(D1186*E1186)+((D1186*E1186)*F1186/100)</f>
        <v>11700</v>
      </c>
      <c r="H1186" s="74"/>
      <c r="I1186" s="71"/>
    </row>
    <row r="1187" spans="1:9" s="212" customFormat="1">
      <c r="A1187" s="135" t="s">
        <v>447</v>
      </c>
      <c r="B1187" s="78" t="s">
        <v>448</v>
      </c>
      <c r="C1187" s="127" t="s">
        <v>437</v>
      </c>
      <c r="D1187" s="107">
        <v>240000</v>
      </c>
      <c r="E1187" s="79">
        <v>3.0000000000000001E-3</v>
      </c>
      <c r="F1187" s="79">
        <v>0</v>
      </c>
      <c r="G1187" s="107">
        <f>(D1187*E1187)+((D1187*E1187)*F1187/100)</f>
        <v>720</v>
      </c>
      <c r="H1187" s="74"/>
      <c r="I1187" s="71"/>
    </row>
    <row r="1188" spans="1:9" s="212" customFormat="1">
      <c r="A1188" s="82"/>
      <c r="B1188" s="83"/>
      <c r="C1188" s="84"/>
      <c r="D1188" s="84"/>
      <c r="E1188" s="84"/>
      <c r="F1188"/>
      <c r="G1188" s="93" t="s">
        <v>407</v>
      </c>
      <c r="H1188" s="107">
        <f>SUM(G1184:G1187)</f>
        <v>24394</v>
      </c>
      <c r="I1188" s="71"/>
    </row>
    <row r="1189" spans="1:9" s="212" customFormat="1">
      <c r="A1189" s="72" t="s">
        <v>408</v>
      </c>
      <c r="B1189" s="73"/>
      <c r="C1189" s="73"/>
      <c r="D1189" s="73"/>
      <c r="E1189" s="73"/>
      <c r="F1189"/>
      <c r="G1189" s="74"/>
      <c r="H1189" s="108"/>
      <c r="I1189" s="71"/>
    </row>
    <row r="1190" spans="1:9" s="212" customFormat="1">
      <c r="A1190" s="75" t="s">
        <v>391</v>
      </c>
      <c r="B1190" s="76" t="s">
        <v>392</v>
      </c>
      <c r="C1190" s="76" t="s">
        <v>393</v>
      </c>
      <c r="D1190" s="76" t="s">
        <v>394</v>
      </c>
      <c r="E1190" s="76" t="s">
        <v>395</v>
      </c>
      <c r="F1190" s="76" t="s">
        <v>396</v>
      </c>
      <c r="G1190" s="76" t="s">
        <v>397</v>
      </c>
      <c r="H1190" s="108"/>
      <c r="I1190" s="71"/>
    </row>
    <row r="1191" spans="1:9" s="212" customFormat="1">
      <c r="A1191" s="135">
        <v>5608</v>
      </c>
      <c r="B1191" s="78" t="s">
        <v>709</v>
      </c>
      <c r="C1191" s="127" t="s">
        <v>454</v>
      </c>
      <c r="D1191" s="107">
        <v>40000</v>
      </c>
      <c r="E1191" s="79">
        <v>1.3</v>
      </c>
      <c r="F1191" s="79">
        <v>0</v>
      </c>
      <c r="G1191" s="107">
        <f>(D1191*E1191)+((D1191*E1191)*F1191/100)</f>
        <v>52000</v>
      </c>
      <c r="H1191" s="108"/>
      <c r="I1191" s="71"/>
    </row>
    <row r="1192" spans="1:9" s="212" customFormat="1">
      <c r="A1192" s="90"/>
      <c r="B1192" s="91"/>
      <c r="C1192" s="91"/>
      <c r="D1192" s="91"/>
      <c r="E1192" s="91"/>
      <c r="F1192"/>
      <c r="G1192" s="85" t="s">
        <v>407</v>
      </c>
      <c r="H1192" s="107">
        <f>SUM(G1191:G1191)</f>
        <v>52000</v>
      </c>
      <c r="I1192" s="71"/>
    </row>
    <row r="1193" spans="1:9" s="212" customFormat="1">
      <c r="A1193" s="72" t="s">
        <v>410</v>
      </c>
      <c r="B1193" s="73"/>
      <c r="C1193" s="73"/>
      <c r="D1193" s="73"/>
      <c r="E1193" s="73"/>
      <c r="F1193"/>
      <c r="G1193" s="74"/>
      <c r="H1193" s="108"/>
      <c r="I1193" s="71"/>
    </row>
    <row r="1194" spans="1:9" s="212" customFormat="1">
      <c r="A1194" s="75" t="s">
        <v>391</v>
      </c>
      <c r="B1194" s="76" t="s">
        <v>392</v>
      </c>
      <c r="C1194" s="76" t="s">
        <v>393</v>
      </c>
      <c r="D1194" s="76" t="s">
        <v>394</v>
      </c>
      <c r="E1194" s="76" t="s">
        <v>395</v>
      </c>
      <c r="F1194" s="76" t="s">
        <v>396</v>
      </c>
      <c r="G1194" s="76" t="s">
        <v>397</v>
      </c>
      <c r="H1194" s="108"/>
      <c r="I1194" s="71"/>
    </row>
    <row r="1195" spans="1:9" s="212" customFormat="1">
      <c r="A1195" s="125" t="s">
        <v>450</v>
      </c>
      <c r="B1195" s="78" t="s">
        <v>707</v>
      </c>
      <c r="C1195" s="127" t="s">
        <v>426</v>
      </c>
      <c r="D1195" s="107">
        <f>5627*3</f>
        <v>16881</v>
      </c>
      <c r="E1195" s="79">
        <v>4.5999999999999999E-2</v>
      </c>
      <c r="F1195" s="79">
        <v>0</v>
      </c>
      <c r="G1195" s="107">
        <f>(D1195*E1195)+((D1195*E1195)*F1195/100)</f>
        <v>776.52599999999995</v>
      </c>
      <c r="H1195" s="108"/>
      <c r="I1195" s="71"/>
    </row>
    <row r="1196" spans="1:9" s="212" customFormat="1">
      <c r="A1196" s="90"/>
      <c r="B1196" s="91"/>
      <c r="C1196" s="91"/>
      <c r="D1196" s="91"/>
      <c r="E1196" s="91"/>
      <c r="F1196"/>
      <c r="G1196" s="93" t="s">
        <v>407</v>
      </c>
      <c r="H1196" s="107">
        <f>SUM(G1195:G1195)</f>
        <v>776.52599999999995</v>
      </c>
      <c r="I1196" s="71"/>
    </row>
    <row r="1197" spans="1:9" s="212" customFormat="1">
      <c r="A1197" s="72" t="s">
        <v>411</v>
      </c>
      <c r="B1197" s="73"/>
      <c r="C1197" s="73"/>
      <c r="D1197" s="73"/>
      <c r="E1197" s="73"/>
      <c r="F1197"/>
      <c r="G1197" s="74"/>
      <c r="H1197" s="108"/>
      <c r="I1197" s="71"/>
    </row>
    <row r="1198" spans="1:9" s="212" customFormat="1">
      <c r="A1198" s="75" t="s">
        <v>391</v>
      </c>
      <c r="B1198" s="76" t="s">
        <v>392</v>
      </c>
      <c r="C1198" s="76" t="s">
        <v>393</v>
      </c>
      <c r="D1198" s="76" t="s">
        <v>394</v>
      </c>
      <c r="E1198" s="76" t="s">
        <v>395</v>
      </c>
      <c r="F1198" s="76" t="s">
        <v>396</v>
      </c>
      <c r="G1198" s="76" t="s">
        <v>397</v>
      </c>
      <c r="H1198" s="108"/>
      <c r="I1198" s="71"/>
    </row>
    <row r="1199" spans="1:9" s="212" customFormat="1">
      <c r="A1199" s="87" t="s">
        <v>409</v>
      </c>
      <c r="B1199" s="114" t="s">
        <v>409</v>
      </c>
      <c r="C1199" s="114" t="s">
        <v>409</v>
      </c>
      <c r="D1199" s="114" t="s">
        <v>409</v>
      </c>
      <c r="E1199" s="114" t="s">
        <v>409</v>
      </c>
      <c r="F1199" s="79" t="s">
        <v>409</v>
      </c>
      <c r="G1199" s="89" t="s">
        <v>409</v>
      </c>
      <c r="H1199" s="108"/>
      <c r="I1199" s="71"/>
    </row>
    <row r="1200" spans="1:9" s="212" customFormat="1" ht="41.25" customHeight="1">
      <c r="A1200" s="94"/>
      <c r="B1200" s="95"/>
      <c r="C1200" s="95"/>
      <c r="D1200" s="95"/>
      <c r="E1200" s="95"/>
      <c r="F1200"/>
      <c r="G1200" s="93" t="s">
        <v>407</v>
      </c>
      <c r="H1200" s="107">
        <f>SUM(G1198:G1199)</f>
        <v>0</v>
      </c>
      <c r="I1200" s="71"/>
    </row>
    <row r="1201" spans="1:9" s="212" customFormat="1">
      <c r="A1201" s="94"/>
      <c r="B1201" s="95"/>
      <c r="C1201" s="95"/>
      <c r="D1201" s="95"/>
      <c r="E1201" s="95"/>
      <c r="F1201"/>
      <c r="G1201" s="74"/>
      <c r="H1201" s="74"/>
      <c r="I1201" s="71"/>
    </row>
    <row r="1202" spans="1:9" s="212" customFormat="1">
      <c r="A1202" s="96"/>
      <c r="B1202" s="97"/>
      <c r="C1202" s="98"/>
      <c r="D1202" s="98"/>
      <c r="E1202" s="98"/>
      <c r="F1202"/>
      <c r="G1202" s="99" t="s">
        <v>412</v>
      </c>
      <c r="H1202" s="115">
        <f>SUM(H1188:H1200)</f>
        <v>77170.525999999998</v>
      </c>
      <c r="I1202" s="71"/>
    </row>
    <row r="1203" spans="1:9" s="212" customFormat="1">
      <c r="A1203" s="96"/>
      <c r="B1203" s="97"/>
      <c r="C1203" s="98"/>
      <c r="D1203" s="98"/>
      <c r="E1203" s="98"/>
      <c r="F1203" s="101"/>
      <c r="G1203" s="116"/>
      <c r="H1203" s="70"/>
      <c r="I1203" s="71"/>
    </row>
    <row r="1204" spans="1:9" s="212" customFormat="1" ht="15.75" thickBot="1">
      <c r="A1204" s="624" t="s">
        <v>441</v>
      </c>
      <c r="B1204" s="625"/>
      <c r="C1204" s="625"/>
      <c r="D1204" s="625"/>
      <c r="E1204" s="625"/>
      <c r="F1204" s="625"/>
      <c r="G1204" s="626"/>
      <c r="H1204" s="208">
        <f>+ROUND(H1202,0)</f>
        <v>77171</v>
      </c>
      <c r="I1204" s="103"/>
    </row>
    <row r="1205" spans="1:9" s="212" customFormat="1">
      <c r="A1205" s="220"/>
      <c r="B1205" s="141"/>
      <c r="C1205" s="141"/>
      <c r="D1205" s="141"/>
      <c r="E1205" s="141"/>
      <c r="F1205" s="141"/>
      <c r="G1205" s="141"/>
      <c r="H1205" s="73"/>
    </row>
    <row r="1206" spans="1:9" s="212" customFormat="1" ht="15.75" thickBot="1">
      <c r="A1206" s="150"/>
      <c r="B1206" s="84"/>
      <c r="C1206" s="148"/>
      <c r="D1206" s="84"/>
      <c r="E1206" s="84"/>
      <c r="F1206" s="84"/>
      <c r="G1206" s="146"/>
      <c r="H1206" s="221"/>
    </row>
    <row r="1207" spans="1:9" s="212" customFormat="1">
      <c r="A1207" s="627"/>
      <c r="B1207" s="629" t="s">
        <v>1218</v>
      </c>
      <c r="C1207" s="630"/>
      <c r="D1207" s="630"/>
      <c r="E1207" s="630"/>
      <c r="F1207" s="630"/>
      <c r="G1207" s="630"/>
      <c r="H1207" s="630"/>
      <c r="I1207" s="66" t="s">
        <v>389</v>
      </c>
    </row>
    <row r="1208" spans="1:9" s="212" customFormat="1">
      <c r="A1208" s="628"/>
      <c r="B1208" s="631"/>
      <c r="C1208" s="632"/>
      <c r="D1208" s="632"/>
      <c r="E1208" s="632"/>
      <c r="F1208" s="632"/>
      <c r="G1208" s="632"/>
      <c r="H1208" s="632"/>
      <c r="I1208" s="67" t="s">
        <v>8</v>
      </c>
    </row>
    <row r="1209" spans="1:9" s="212" customFormat="1">
      <c r="A1209" s="68"/>
      <c r="B1209" s="69"/>
      <c r="C1209" s="69"/>
      <c r="D1209" s="69"/>
      <c r="E1209" s="69"/>
      <c r="F1209" s="70"/>
      <c r="G1209" s="70"/>
      <c r="H1209" s="70"/>
      <c r="I1209" s="71"/>
    </row>
    <row r="1210" spans="1:9" s="212" customFormat="1">
      <c r="A1210" s="72" t="s">
        <v>390</v>
      </c>
      <c r="B1210" s="73"/>
      <c r="C1210" s="73"/>
      <c r="D1210" s="73"/>
      <c r="E1210" s="73"/>
      <c r="F1210" s="74"/>
      <c r="G1210" s="74"/>
      <c r="H1210" s="70"/>
      <c r="I1210" s="71"/>
    </row>
    <row r="1211" spans="1:9" s="212" customFormat="1">
      <c r="A1211" s="75" t="s">
        <v>391</v>
      </c>
      <c r="B1211" s="76" t="s">
        <v>392</v>
      </c>
      <c r="C1211" s="76" t="s">
        <v>393</v>
      </c>
      <c r="D1211" s="76" t="s">
        <v>394</v>
      </c>
      <c r="E1211" s="76" t="s">
        <v>395</v>
      </c>
      <c r="F1211" s="76" t="s">
        <v>396</v>
      </c>
      <c r="G1211" s="76" t="s">
        <v>397</v>
      </c>
      <c r="H1211" s="74"/>
      <c r="I1211" s="71"/>
    </row>
    <row r="1212" spans="1:9" s="212" customFormat="1">
      <c r="A1212" s="135" t="s">
        <v>724</v>
      </c>
      <c r="B1212" s="78" t="s">
        <v>725</v>
      </c>
      <c r="C1212" s="127" t="s">
        <v>437</v>
      </c>
      <c r="D1212" s="206">
        <v>33600</v>
      </c>
      <c r="E1212" s="79">
        <v>0.03</v>
      </c>
      <c r="F1212" s="79">
        <v>0</v>
      </c>
      <c r="G1212" s="206">
        <f>(D1212*E1212)+((D1212*E1212)*F1212/100)</f>
        <v>1008</v>
      </c>
      <c r="H1212" s="74"/>
      <c r="I1212" s="71"/>
    </row>
    <row r="1213" spans="1:9" s="212" customFormat="1">
      <c r="A1213" s="135" t="s">
        <v>726</v>
      </c>
      <c r="B1213" s="78" t="s">
        <v>727</v>
      </c>
      <c r="C1213" s="127" t="s">
        <v>437</v>
      </c>
      <c r="D1213" s="206">
        <v>1100</v>
      </c>
      <c r="E1213" s="79">
        <v>0.82</v>
      </c>
      <c r="F1213" s="79">
        <v>0</v>
      </c>
      <c r="G1213" s="206">
        <f>(D1213*E1213)+((D1213*E1213)*F1213/100)</f>
        <v>902</v>
      </c>
      <c r="H1213" s="74"/>
      <c r="I1213" s="71"/>
    </row>
    <row r="1214" spans="1:9" s="212" customFormat="1">
      <c r="A1214" s="135" t="s">
        <v>404</v>
      </c>
      <c r="B1214" s="78" t="s">
        <v>405</v>
      </c>
      <c r="C1214" s="127" t="s">
        <v>523</v>
      </c>
      <c r="D1214" s="206">
        <v>1250</v>
      </c>
      <c r="E1214" s="79">
        <v>0.02</v>
      </c>
      <c r="F1214" s="79">
        <v>0</v>
      </c>
      <c r="G1214" s="206">
        <f>(D1214*E1214)+((D1214*E1214)*F1214/100)</f>
        <v>25</v>
      </c>
      <c r="H1214" s="74"/>
      <c r="I1214" s="71"/>
    </row>
    <row r="1215" spans="1:9" s="212" customFormat="1">
      <c r="A1215" s="82"/>
      <c r="B1215" s="83"/>
      <c r="C1215" s="84"/>
      <c r="D1215" s="84"/>
      <c r="E1215" s="84"/>
      <c r="F1215"/>
      <c r="G1215" s="93" t="s">
        <v>407</v>
      </c>
      <c r="H1215" s="107">
        <f>SUM(G1212:G1214)</f>
        <v>1935</v>
      </c>
      <c r="I1215" s="71"/>
    </row>
    <row r="1216" spans="1:9" s="212" customFormat="1">
      <c r="A1216" s="72" t="s">
        <v>408</v>
      </c>
      <c r="B1216" s="73"/>
      <c r="C1216" s="73"/>
      <c r="D1216" s="73"/>
      <c r="E1216" s="73"/>
      <c r="F1216"/>
      <c r="G1216" s="74"/>
      <c r="H1216" s="108"/>
      <c r="I1216" s="71"/>
    </row>
    <row r="1217" spans="1:9" s="212" customFormat="1">
      <c r="A1217" s="75" t="s">
        <v>391</v>
      </c>
      <c r="B1217" s="76" t="s">
        <v>392</v>
      </c>
      <c r="C1217" s="76" t="s">
        <v>393</v>
      </c>
      <c r="D1217" s="76" t="s">
        <v>394</v>
      </c>
      <c r="E1217" s="76" t="s">
        <v>395</v>
      </c>
      <c r="F1217" s="76" t="s">
        <v>396</v>
      </c>
      <c r="G1217" s="76" t="s">
        <v>397</v>
      </c>
      <c r="H1217" s="108"/>
      <c r="I1217" s="71"/>
    </row>
    <row r="1218" spans="1:9" s="212" customFormat="1">
      <c r="A1218" s="135">
        <v>87</v>
      </c>
      <c r="B1218" s="78" t="s">
        <v>728</v>
      </c>
      <c r="C1218" s="127" t="s">
        <v>474</v>
      </c>
      <c r="D1218" s="206">
        <v>660</v>
      </c>
      <c r="E1218" s="79">
        <v>0.05</v>
      </c>
      <c r="F1218" s="79">
        <v>0</v>
      </c>
      <c r="G1218" s="206">
        <f>(D1218*E1218)+((D1218*E1218)*F1218/100)</f>
        <v>33</v>
      </c>
      <c r="H1218" s="108"/>
      <c r="I1218" s="71"/>
    </row>
    <row r="1219" spans="1:9" s="212" customFormat="1">
      <c r="A1219" s="135" t="s">
        <v>572</v>
      </c>
      <c r="B1219" s="78" t="s">
        <v>1173</v>
      </c>
      <c r="C1219" s="127" t="s">
        <v>454</v>
      </c>
      <c r="D1219" s="206">
        <f>+'APU´s civil 1 '!H247</f>
        <v>281819</v>
      </c>
      <c r="E1219" s="79">
        <v>3.7499999999999999E-2</v>
      </c>
      <c r="F1219" s="79">
        <v>0</v>
      </c>
      <c r="G1219" s="206">
        <f>(D1219*E1219)+((D1219*E1219)*F1219/100)</f>
        <v>10568.2125</v>
      </c>
      <c r="H1219" s="108"/>
      <c r="I1219" s="71"/>
    </row>
    <row r="1220" spans="1:9" s="212" customFormat="1">
      <c r="A1220" s="90"/>
      <c r="B1220" s="91"/>
      <c r="C1220" s="91"/>
      <c r="D1220" s="91"/>
      <c r="E1220" s="91"/>
      <c r="F1220"/>
      <c r="G1220" s="85" t="s">
        <v>407</v>
      </c>
      <c r="H1220" s="107">
        <f>SUM(G1218:G1219)</f>
        <v>10601.2125</v>
      </c>
      <c r="I1220" s="71"/>
    </row>
    <row r="1221" spans="1:9" s="212" customFormat="1">
      <c r="A1221" s="72" t="s">
        <v>410</v>
      </c>
      <c r="B1221" s="73"/>
      <c r="C1221" s="73"/>
      <c r="D1221" s="73"/>
      <c r="E1221" s="73"/>
      <c r="F1221"/>
      <c r="G1221" s="74"/>
      <c r="H1221" s="108"/>
      <c r="I1221" s="71"/>
    </row>
    <row r="1222" spans="1:9" s="212" customFormat="1">
      <c r="A1222" s="75" t="s">
        <v>391</v>
      </c>
      <c r="B1222" s="76" t="s">
        <v>392</v>
      </c>
      <c r="C1222" s="76" t="s">
        <v>393</v>
      </c>
      <c r="D1222" s="76" t="s">
        <v>394</v>
      </c>
      <c r="E1222" s="76" t="s">
        <v>395</v>
      </c>
      <c r="F1222" s="76" t="s">
        <v>396</v>
      </c>
      <c r="G1222" s="76" t="s">
        <v>397</v>
      </c>
      <c r="H1222" s="108"/>
      <c r="I1222" s="71"/>
    </row>
    <row r="1223" spans="1:9" s="212" customFormat="1" ht="25.5">
      <c r="A1223" s="125" t="s">
        <v>424</v>
      </c>
      <c r="B1223" s="78" t="s">
        <v>543</v>
      </c>
      <c r="C1223" s="127" t="s">
        <v>426</v>
      </c>
      <c r="D1223" s="206">
        <v>20616</v>
      </c>
      <c r="E1223" s="79">
        <v>0.7</v>
      </c>
      <c r="F1223" s="79">
        <v>0</v>
      </c>
      <c r="G1223" s="206">
        <f>(D1223*E1223)+((D1223*E1223)*F1223/100)</f>
        <v>14431.199999999999</v>
      </c>
      <c r="H1223" s="108"/>
      <c r="I1223" s="71"/>
    </row>
    <row r="1224" spans="1:9" s="212" customFormat="1">
      <c r="A1224" s="90"/>
      <c r="B1224" s="91"/>
      <c r="C1224" s="91"/>
      <c r="D1224" s="91"/>
      <c r="E1224" s="91"/>
      <c r="F1224"/>
      <c r="G1224" s="93" t="s">
        <v>407</v>
      </c>
      <c r="H1224" s="107">
        <f>SUM(G1223:G1223)</f>
        <v>14431.199999999999</v>
      </c>
      <c r="I1224" s="71"/>
    </row>
    <row r="1225" spans="1:9" s="212" customFormat="1">
      <c r="A1225" s="72" t="s">
        <v>411</v>
      </c>
      <c r="B1225" s="73"/>
      <c r="C1225" s="73"/>
      <c r="D1225" s="73"/>
      <c r="E1225" s="73"/>
      <c r="F1225"/>
      <c r="G1225" s="74"/>
      <c r="H1225" s="108"/>
      <c r="I1225" s="71"/>
    </row>
    <row r="1226" spans="1:9" s="212" customFormat="1">
      <c r="A1226" s="75" t="s">
        <v>391</v>
      </c>
      <c r="B1226" s="76" t="s">
        <v>392</v>
      </c>
      <c r="C1226" s="76" t="s">
        <v>393</v>
      </c>
      <c r="D1226" s="76" t="s">
        <v>394</v>
      </c>
      <c r="E1226" s="76" t="s">
        <v>395</v>
      </c>
      <c r="F1226" s="76" t="s">
        <v>396</v>
      </c>
      <c r="G1226" s="76" t="s">
        <v>397</v>
      </c>
      <c r="H1226" s="108"/>
      <c r="I1226" s="71"/>
    </row>
    <row r="1227" spans="1:9" s="212" customFormat="1">
      <c r="A1227" s="87" t="s">
        <v>409</v>
      </c>
      <c r="B1227" s="114" t="s">
        <v>409</v>
      </c>
      <c r="C1227" s="114" t="s">
        <v>409</v>
      </c>
      <c r="D1227" s="114" t="s">
        <v>409</v>
      </c>
      <c r="E1227" s="114" t="s">
        <v>409</v>
      </c>
      <c r="F1227" s="79" t="s">
        <v>409</v>
      </c>
      <c r="G1227" s="89" t="s">
        <v>409</v>
      </c>
      <c r="H1227" s="108"/>
      <c r="I1227" s="71"/>
    </row>
    <row r="1228" spans="1:9" s="212" customFormat="1">
      <c r="A1228" s="94"/>
      <c r="B1228" s="95"/>
      <c r="C1228" s="95"/>
      <c r="D1228" s="95"/>
      <c r="E1228" s="95"/>
      <c r="F1228"/>
      <c r="G1228" s="93" t="s">
        <v>407</v>
      </c>
      <c r="H1228" s="107">
        <f>SUM(G1226:G1227)</f>
        <v>0</v>
      </c>
      <c r="I1228" s="71"/>
    </row>
    <row r="1229" spans="1:9" s="212" customFormat="1">
      <c r="A1229" s="94"/>
      <c r="B1229" s="95"/>
      <c r="C1229" s="95"/>
      <c r="D1229" s="95"/>
      <c r="E1229" s="95"/>
      <c r="F1229"/>
      <c r="G1229" s="74"/>
      <c r="H1229" s="74"/>
      <c r="I1229" s="71"/>
    </row>
    <row r="1230" spans="1:9" s="212" customFormat="1">
      <c r="A1230" s="96"/>
      <c r="B1230" s="97"/>
      <c r="C1230" s="98"/>
      <c r="D1230" s="98"/>
      <c r="E1230" s="98"/>
      <c r="F1230"/>
      <c r="G1230" s="99" t="s">
        <v>412</v>
      </c>
      <c r="H1230" s="115">
        <f>SUM(H1215:H1228)</f>
        <v>26967.412499999999</v>
      </c>
      <c r="I1230" s="71"/>
    </row>
    <row r="1231" spans="1:9" s="212" customFormat="1">
      <c r="A1231" s="96"/>
      <c r="B1231" s="97"/>
      <c r="C1231" s="98"/>
      <c r="D1231" s="98"/>
      <c r="E1231" s="98"/>
      <c r="F1231" s="101"/>
      <c r="G1231" s="116"/>
      <c r="H1231" s="70"/>
      <c r="I1231" s="71"/>
    </row>
    <row r="1232" spans="1:9" s="212" customFormat="1" ht="15.75" thickBot="1">
      <c r="A1232" s="624" t="s">
        <v>430</v>
      </c>
      <c r="B1232" s="625"/>
      <c r="C1232" s="625"/>
      <c r="D1232" s="625"/>
      <c r="E1232" s="625"/>
      <c r="F1232" s="625"/>
      <c r="G1232" s="626"/>
      <c r="H1232" s="208">
        <f>+ROUND(H1230,0)</f>
        <v>26967</v>
      </c>
      <c r="I1232" s="103"/>
    </row>
    <row r="1233" spans="1:9" s="212" customFormat="1">
      <c r="A1233" s="220"/>
      <c r="B1233" s="141"/>
      <c r="C1233" s="141"/>
      <c r="D1233" s="141"/>
      <c r="E1233" s="141"/>
      <c r="F1233" s="141"/>
      <c r="G1233" s="141"/>
      <c r="H1233" s="222"/>
    </row>
    <row r="1234" spans="1:9" s="212" customFormat="1" ht="15.75" thickBot="1">
      <c r="A1234" s="150"/>
      <c r="B1234" s="83"/>
      <c r="C1234" s="148"/>
      <c r="D1234" s="160"/>
      <c r="E1234" s="84"/>
      <c r="F1234" s="84"/>
      <c r="G1234" s="146"/>
      <c r="H1234" s="221"/>
    </row>
    <row r="1235" spans="1:9" s="212" customFormat="1">
      <c r="A1235" s="627"/>
      <c r="B1235" s="629" t="s">
        <v>1175</v>
      </c>
      <c r="C1235" s="630"/>
      <c r="D1235" s="630"/>
      <c r="E1235" s="630"/>
      <c r="F1235" s="630"/>
      <c r="G1235" s="630"/>
      <c r="H1235" s="630"/>
      <c r="I1235" s="66" t="s">
        <v>389</v>
      </c>
    </row>
    <row r="1236" spans="1:9" s="212" customFormat="1">
      <c r="A1236" s="628"/>
      <c r="B1236" s="631"/>
      <c r="C1236" s="632"/>
      <c r="D1236" s="632"/>
      <c r="E1236" s="632"/>
      <c r="F1236" s="632"/>
      <c r="G1236" s="632"/>
      <c r="H1236" s="632"/>
      <c r="I1236" s="67" t="s">
        <v>8</v>
      </c>
    </row>
    <row r="1237" spans="1:9" s="212" customFormat="1">
      <c r="A1237" s="68"/>
      <c r="B1237" s="69"/>
      <c r="C1237" s="69"/>
      <c r="D1237" s="69"/>
      <c r="E1237" s="69"/>
      <c r="F1237" s="70"/>
      <c r="G1237" s="70"/>
      <c r="H1237" s="70"/>
      <c r="I1237" s="71"/>
    </row>
    <row r="1238" spans="1:9" s="212" customFormat="1">
      <c r="A1238" s="72" t="s">
        <v>390</v>
      </c>
      <c r="B1238" s="73"/>
      <c r="C1238" s="73"/>
      <c r="D1238" s="73"/>
      <c r="E1238" s="73"/>
      <c r="F1238" s="74"/>
      <c r="G1238" s="74"/>
      <c r="H1238" s="70"/>
      <c r="I1238" s="71"/>
    </row>
    <row r="1239" spans="1:9" s="212" customFormat="1">
      <c r="A1239" s="75" t="s">
        <v>391</v>
      </c>
      <c r="B1239" s="76" t="s">
        <v>392</v>
      </c>
      <c r="C1239" s="76" t="s">
        <v>393</v>
      </c>
      <c r="D1239" s="76" t="s">
        <v>394</v>
      </c>
      <c r="E1239" s="76" t="s">
        <v>395</v>
      </c>
      <c r="F1239" s="76" t="s">
        <v>396</v>
      </c>
      <c r="G1239" s="76" t="s">
        <v>397</v>
      </c>
      <c r="H1239" s="74"/>
      <c r="I1239" s="71"/>
    </row>
    <row r="1240" spans="1:9" s="212" customFormat="1">
      <c r="A1240" s="135" t="s">
        <v>404</v>
      </c>
      <c r="B1240" s="78" t="s">
        <v>405</v>
      </c>
      <c r="C1240" s="127" t="s">
        <v>523</v>
      </c>
      <c r="D1240" s="206">
        <v>1250</v>
      </c>
      <c r="E1240" s="79">
        <v>0.2</v>
      </c>
      <c r="F1240" s="79">
        <v>0</v>
      </c>
      <c r="G1240" s="206">
        <f>(D1240*E1240)+((D1240*E1240)*F1240/100)</f>
        <v>250</v>
      </c>
      <c r="H1240" s="74"/>
      <c r="I1240" s="71"/>
    </row>
    <row r="1241" spans="1:9" s="212" customFormat="1">
      <c r="A1241" s="82"/>
      <c r="B1241" s="83"/>
      <c r="C1241" s="84"/>
      <c r="D1241" s="84"/>
      <c r="E1241" s="84"/>
      <c r="F1241"/>
      <c r="G1241" s="93" t="s">
        <v>407</v>
      </c>
      <c r="H1241" s="107">
        <f>SUM(G1240:G1240)</f>
        <v>250</v>
      </c>
      <c r="I1241" s="71"/>
    </row>
    <row r="1242" spans="1:9" s="212" customFormat="1">
      <c r="A1242" s="72" t="s">
        <v>408</v>
      </c>
      <c r="B1242" s="73"/>
      <c r="C1242" s="73"/>
      <c r="D1242" s="73"/>
      <c r="E1242" s="73"/>
      <c r="F1242"/>
      <c r="G1242" s="74"/>
      <c r="H1242" s="108"/>
      <c r="I1242" s="71"/>
    </row>
    <row r="1243" spans="1:9" s="212" customFormat="1">
      <c r="A1243" s="75" t="s">
        <v>391</v>
      </c>
      <c r="B1243" s="76" t="s">
        <v>392</v>
      </c>
      <c r="C1243" s="76" t="s">
        <v>393</v>
      </c>
      <c r="D1243" s="76" t="s">
        <v>394</v>
      </c>
      <c r="E1243" s="76" t="s">
        <v>395</v>
      </c>
      <c r="F1243" s="76" t="s">
        <v>396</v>
      </c>
      <c r="G1243" s="76" t="s">
        <v>397</v>
      </c>
      <c r="H1243" s="108"/>
      <c r="I1243" s="71"/>
    </row>
    <row r="1244" spans="1:9" s="212" customFormat="1">
      <c r="A1244" s="135"/>
      <c r="B1244" s="78" t="s">
        <v>1174</v>
      </c>
      <c r="C1244" s="127" t="s">
        <v>455</v>
      </c>
      <c r="D1244" s="206">
        <v>5000</v>
      </c>
      <c r="E1244" s="79">
        <v>1</v>
      </c>
      <c r="F1244" s="79">
        <v>0</v>
      </c>
      <c r="G1244" s="206">
        <f>(D1244*E1244)+((D1244*E1244)*F1244/100)</f>
        <v>5000</v>
      </c>
      <c r="H1244" s="108"/>
      <c r="I1244" s="71"/>
    </row>
    <row r="1245" spans="1:9" s="212" customFormat="1">
      <c r="A1245" s="135"/>
      <c r="B1245" s="78" t="s">
        <v>1177</v>
      </c>
      <c r="C1245" s="127" t="s">
        <v>454</v>
      </c>
      <c r="D1245" s="206">
        <v>25300</v>
      </c>
      <c r="E1245" s="79">
        <v>3.5000000000000003E-2</v>
      </c>
      <c r="F1245" s="79">
        <v>0</v>
      </c>
      <c r="G1245" s="206">
        <f>(D1245*E1245)+((D1245*E1245)*F1245/100)</f>
        <v>885.50000000000011</v>
      </c>
      <c r="H1245" s="108"/>
      <c r="I1245" s="71"/>
    </row>
    <row r="1246" spans="1:9" s="212" customFormat="1">
      <c r="A1246" s="90"/>
      <c r="B1246" s="91"/>
      <c r="C1246" s="91"/>
      <c r="D1246" s="91"/>
      <c r="E1246" s="91"/>
      <c r="F1246"/>
      <c r="G1246" s="85" t="s">
        <v>407</v>
      </c>
      <c r="H1246" s="107">
        <f>SUM(G1244:G1245)</f>
        <v>5885.5</v>
      </c>
      <c r="I1246" s="71"/>
    </row>
    <row r="1247" spans="1:9" s="212" customFormat="1">
      <c r="A1247" s="72" t="s">
        <v>410</v>
      </c>
      <c r="B1247" s="73"/>
      <c r="C1247" s="73"/>
      <c r="D1247" s="73"/>
      <c r="E1247" s="73"/>
      <c r="F1247"/>
      <c r="G1247" s="74"/>
      <c r="H1247" s="108"/>
      <c r="I1247" s="71"/>
    </row>
    <row r="1248" spans="1:9" s="212" customFormat="1">
      <c r="A1248" s="75" t="s">
        <v>391</v>
      </c>
      <c r="B1248" s="76" t="s">
        <v>392</v>
      </c>
      <c r="C1248" s="76" t="s">
        <v>393</v>
      </c>
      <c r="D1248" s="76" t="s">
        <v>394</v>
      </c>
      <c r="E1248" s="76" t="s">
        <v>395</v>
      </c>
      <c r="F1248" s="76" t="s">
        <v>396</v>
      </c>
      <c r="G1248" s="76" t="s">
        <v>397</v>
      </c>
      <c r="H1248" s="108"/>
      <c r="I1248" s="71"/>
    </row>
    <row r="1249" spans="1:9" s="212" customFormat="1">
      <c r="A1249" s="125" t="s">
        <v>424</v>
      </c>
      <c r="B1249" s="78" t="s">
        <v>510</v>
      </c>
      <c r="C1249" s="127" t="s">
        <v>426</v>
      </c>
      <c r="D1249" s="206">
        <v>5627</v>
      </c>
      <c r="E1249" s="79">
        <v>0.38</v>
      </c>
      <c r="F1249" s="79">
        <v>0</v>
      </c>
      <c r="G1249" s="206">
        <f>(D1249*E1249)+((D1249*E1249)*F1249/100)</f>
        <v>2138.2600000000002</v>
      </c>
      <c r="H1249" s="108"/>
      <c r="I1249" s="71"/>
    </row>
    <row r="1250" spans="1:9" s="212" customFormat="1">
      <c r="A1250" s="90"/>
      <c r="B1250" s="91"/>
      <c r="C1250" s="91"/>
      <c r="D1250" s="91"/>
      <c r="E1250" s="91"/>
      <c r="F1250"/>
      <c r="G1250" s="93" t="s">
        <v>407</v>
      </c>
      <c r="H1250" s="107">
        <f>SUM(G1249:G1249)</f>
        <v>2138.2600000000002</v>
      </c>
      <c r="I1250" s="71"/>
    </row>
    <row r="1251" spans="1:9" s="212" customFormat="1">
      <c r="A1251" s="72" t="s">
        <v>411</v>
      </c>
      <c r="B1251" s="73"/>
      <c r="C1251" s="73"/>
      <c r="D1251" s="73"/>
      <c r="E1251" s="73"/>
      <c r="F1251"/>
      <c r="G1251" s="74"/>
      <c r="H1251" s="108"/>
      <c r="I1251" s="71"/>
    </row>
    <row r="1252" spans="1:9" s="212" customFormat="1">
      <c r="A1252" s="75" t="s">
        <v>391</v>
      </c>
      <c r="B1252" s="76" t="s">
        <v>392</v>
      </c>
      <c r="C1252" s="76" t="s">
        <v>393</v>
      </c>
      <c r="D1252" s="76" t="s">
        <v>394</v>
      </c>
      <c r="E1252" s="76" t="s">
        <v>395</v>
      </c>
      <c r="F1252" s="76" t="s">
        <v>396</v>
      </c>
      <c r="G1252" s="76" t="s">
        <v>397</v>
      </c>
      <c r="H1252" s="108"/>
      <c r="I1252" s="71"/>
    </row>
    <row r="1253" spans="1:9" s="212" customFormat="1">
      <c r="A1253" s="87" t="s">
        <v>409</v>
      </c>
      <c r="B1253" s="114" t="s">
        <v>409</v>
      </c>
      <c r="C1253" s="114" t="s">
        <v>409</v>
      </c>
      <c r="D1253" s="114" t="s">
        <v>409</v>
      </c>
      <c r="E1253" s="114" t="s">
        <v>409</v>
      </c>
      <c r="F1253" s="79" t="s">
        <v>409</v>
      </c>
      <c r="G1253" s="89" t="s">
        <v>409</v>
      </c>
      <c r="H1253" s="108"/>
      <c r="I1253" s="71"/>
    </row>
    <row r="1254" spans="1:9" s="212" customFormat="1">
      <c r="A1254" s="94"/>
      <c r="B1254" s="95"/>
      <c r="C1254" s="95"/>
      <c r="D1254" s="95"/>
      <c r="E1254" s="95"/>
      <c r="F1254"/>
      <c r="G1254" s="93" t="s">
        <v>407</v>
      </c>
      <c r="H1254" s="107">
        <f>SUM(G1252:G1253)</f>
        <v>0</v>
      </c>
      <c r="I1254" s="71"/>
    </row>
    <row r="1255" spans="1:9" s="212" customFormat="1">
      <c r="A1255" s="94"/>
      <c r="B1255" s="95"/>
      <c r="C1255" s="95"/>
      <c r="D1255" s="95"/>
      <c r="E1255" s="95"/>
      <c r="F1255"/>
      <c r="G1255" s="74"/>
      <c r="H1255" s="74"/>
      <c r="I1255" s="71"/>
    </row>
    <row r="1256" spans="1:9" s="212" customFormat="1">
      <c r="A1256" s="96"/>
      <c r="B1256" s="97"/>
      <c r="C1256" s="98"/>
      <c r="D1256" s="98"/>
      <c r="E1256" s="98"/>
      <c r="F1256"/>
      <c r="G1256" s="99" t="s">
        <v>412</v>
      </c>
      <c r="H1256" s="115">
        <f>SUM(H1241:H1254)</f>
        <v>8273.76</v>
      </c>
      <c r="I1256" s="71"/>
    </row>
    <row r="1257" spans="1:9" s="212" customFormat="1">
      <c r="A1257" s="96"/>
      <c r="B1257" s="97"/>
      <c r="C1257" s="98"/>
      <c r="D1257" s="98"/>
      <c r="E1257" s="98"/>
      <c r="F1257" s="101"/>
      <c r="G1257" s="116"/>
      <c r="H1257" s="70"/>
      <c r="I1257" s="71"/>
    </row>
    <row r="1258" spans="1:9" s="212" customFormat="1" ht="15.75" thickBot="1">
      <c r="A1258" s="624" t="s">
        <v>430</v>
      </c>
      <c r="B1258" s="625"/>
      <c r="C1258" s="625"/>
      <c r="D1258" s="625"/>
      <c r="E1258" s="625"/>
      <c r="F1258" s="625"/>
      <c r="G1258" s="626"/>
      <c r="H1258" s="208">
        <f>+ROUND(H1256,0)</f>
        <v>8274</v>
      </c>
      <c r="I1258" s="103"/>
    </row>
    <row r="1259" spans="1:9" s="212" customFormat="1">
      <c r="A1259" s="220"/>
      <c r="B1259" s="141"/>
      <c r="C1259" s="141"/>
      <c r="D1259" s="141"/>
      <c r="E1259" s="141"/>
      <c r="F1259" s="141"/>
      <c r="G1259" s="141"/>
      <c r="H1259" s="222"/>
    </row>
    <row r="1260" spans="1:9" s="212" customFormat="1" ht="15.75" thickBot="1">
      <c r="A1260" s="150"/>
      <c r="B1260" s="84"/>
      <c r="C1260" s="148"/>
      <c r="D1260" s="84"/>
      <c r="E1260" s="84"/>
      <c r="F1260" s="84"/>
      <c r="G1260" s="146"/>
      <c r="H1260" s="221"/>
    </row>
    <row r="1261" spans="1:9" s="212" customFormat="1">
      <c r="A1261" s="627"/>
      <c r="B1261" s="629" t="s">
        <v>688</v>
      </c>
      <c r="C1261" s="630"/>
      <c r="D1261" s="630"/>
      <c r="E1261" s="630"/>
      <c r="F1261" s="630"/>
      <c r="G1261" s="630"/>
      <c r="H1261" s="630"/>
      <c r="I1261" s="66" t="s">
        <v>389</v>
      </c>
    </row>
    <row r="1262" spans="1:9" s="212" customFormat="1">
      <c r="A1262" s="628"/>
      <c r="B1262" s="631"/>
      <c r="C1262" s="632"/>
      <c r="D1262" s="632"/>
      <c r="E1262" s="632"/>
      <c r="F1262" s="632"/>
      <c r="G1262" s="632"/>
      <c r="H1262" s="632"/>
      <c r="I1262" s="67" t="s">
        <v>526</v>
      </c>
    </row>
    <row r="1263" spans="1:9" s="212" customFormat="1">
      <c r="A1263" s="68"/>
      <c r="B1263" s="69"/>
      <c r="C1263" s="69"/>
      <c r="D1263" s="69"/>
      <c r="E1263" s="69"/>
      <c r="F1263" s="70"/>
      <c r="G1263" s="70"/>
      <c r="H1263" s="70"/>
      <c r="I1263" s="71"/>
    </row>
    <row r="1264" spans="1:9" s="212" customFormat="1">
      <c r="A1264" s="72" t="s">
        <v>390</v>
      </c>
      <c r="B1264" s="73"/>
      <c r="C1264" s="73"/>
      <c r="D1264" s="73"/>
      <c r="E1264" s="73"/>
      <c r="F1264" s="74"/>
      <c r="G1264" s="74"/>
      <c r="H1264" s="70"/>
      <c r="I1264" s="71"/>
    </row>
    <row r="1265" spans="1:9" s="212" customFormat="1">
      <c r="A1265" s="75" t="s">
        <v>391</v>
      </c>
      <c r="B1265" s="76" t="s">
        <v>392</v>
      </c>
      <c r="C1265" s="76" t="s">
        <v>393</v>
      </c>
      <c r="D1265" s="76" t="s">
        <v>394</v>
      </c>
      <c r="E1265" s="76" t="s">
        <v>395</v>
      </c>
      <c r="F1265" s="76" t="s">
        <v>396</v>
      </c>
      <c r="G1265" s="76" t="s">
        <v>397</v>
      </c>
      <c r="H1265" s="74"/>
      <c r="I1265" s="71"/>
    </row>
    <row r="1266" spans="1:9" s="212" customFormat="1">
      <c r="A1266" s="135" t="s">
        <v>404</v>
      </c>
      <c r="B1266" s="78" t="s">
        <v>405</v>
      </c>
      <c r="C1266" s="127" t="s">
        <v>523</v>
      </c>
      <c r="D1266" s="206">
        <v>1250</v>
      </c>
      <c r="E1266" s="79">
        <v>0.2</v>
      </c>
      <c r="F1266" s="79">
        <v>0</v>
      </c>
      <c r="G1266" s="206">
        <f>(D1266*E1266)+((D1266*E1266)*F1266/100)</f>
        <v>250</v>
      </c>
      <c r="H1266" s="74"/>
      <c r="I1266" s="71"/>
    </row>
    <row r="1267" spans="1:9" s="212" customFormat="1">
      <c r="A1267" s="82"/>
      <c r="B1267" s="83"/>
      <c r="C1267" s="84"/>
      <c r="D1267" s="84"/>
      <c r="E1267" s="84"/>
      <c r="F1267"/>
      <c r="G1267" s="93" t="s">
        <v>407</v>
      </c>
      <c r="H1267" s="107">
        <f>SUM(G1266:G1266)</f>
        <v>250</v>
      </c>
      <c r="I1267" s="71"/>
    </row>
    <row r="1268" spans="1:9" s="212" customFormat="1">
      <c r="A1268" s="72" t="s">
        <v>408</v>
      </c>
      <c r="B1268" s="73"/>
      <c r="C1268" s="73"/>
      <c r="D1268" s="73"/>
      <c r="E1268" s="73"/>
      <c r="F1268"/>
      <c r="G1268" s="74"/>
      <c r="H1268" s="108"/>
      <c r="I1268" s="71"/>
    </row>
    <row r="1269" spans="1:9" s="212" customFormat="1">
      <c r="A1269" s="75" t="s">
        <v>391</v>
      </c>
      <c r="B1269" s="76" t="s">
        <v>392</v>
      </c>
      <c r="C1269" s="76" t="s">
        <v>393</v>
      </c>
      <c r="D1269" s="76" t="s">
        <v>394</v>
      </c>
      <c r="E1269" s="76" t="s">
        <v>395</v>
      </c>
      <c r="F1269" s="76" t="s">
        <v>396</v>
      </c>
      <c r="G1269" s="76" t="s">
        <v>397</v>
      </c>
      <c r="H1269" s="108"/>
      <c r="I1269" s="71"/>
    </row>
    <row r="1270" spans="1:9" s="212" customFormat="1">
      <c r="A1270" s="135">
        <v>917</v>
      </c>
      <c r="B1270" s="78" t="s">
        <v>689</v>
      </c>
      <c r="C1270" s="127" t="s">
        <v>157</v>
      </c>
      <c r="D1270" s="206">
        <v>1000</v>
      </c>
      <c r="E1270" s="79">
        <v>0.5</v>
      </c>
      <c r="F1270" s="79">
        <v>0</v>
      </c>
      <c r="G1270" s="206">
        <f t="shared" ref="G1270:G1276" si="0">(D1270*E1270)+((D1270*E1270)*F1270/100)</f>
        <v>500</v>
      </c>
      <c r="H1270" s="108"/>
      <c r="I1270" s="71"/>
    </row>
    <row r="1271" spans="1:9" s="212" customFormat="1">
      <c r="A1271" s="135">
        <v>2787</v>
      </c>
      <c r="B1271" s="78" t="s">
        <v>617</v>
      </c>
      <c r="C1271" s="127" t="s">
        <v>474</v>
      </c>
      <c r="D1271" s="206">
        <v>16500</v>
      </c>
      <c r="E1271" s="79">
        <v>5.0000000000000001E-3</v>
      </c>
      <c r="F1271" s="79">
        <v>0</v>
      </c>
      <c r="G1271" s="206">
        <f t="shared" si="0"/>
        <v>82.5</v>
      </c>
      <c r="H1271" s="108"/>
      <c r="I1271" s="71"/>
    </row>
    <row r="1272" spans="1:9" s="212" customFormat="1">
      <c r="A1272" s="135">
        <v>3999</v>
      </c>
      <c r="B1272" s="78" t="s">
        <v>557</v>
      </c>
      <c r="C1272" s="127" t="s">
        <v>423</v>
      </c>
      <c r="D1272" s="206">
        <v>2650</v>
      </c>
      <c r="E1272" s="79">
        <v>0.3</v>
      </c>
      <c r="F1272" s="79">
        <v>0</v>
      </c>
      <c r="G1272" s="206">
        <f t="shared" si="0"/>
        <v>795</v>
      </c>
      <c r="H1272" s="108"/>
      <c r="I1272" s="71"/>
    </row>
    <row r="1273" spans="1:9" s="212" customFormat="1">
      <c r="A1273" s="135">
        <v>4755</v>
      </c>
      <c r="B1273" s="78" t="s">
        <v>690</v>
      </c>
      <c r="C1273" s="127" t="s">
        <v>423</v>
      </c>
      <c r="D1273" s="206">
        <v>6200</v>
      </c>
      <c r="E1273" s="79">
        <v>0.05</v>
      </c>
      <c r="F1273" s="79">
        <v>0</v>
      </c>
      <c r="G1273" s="206">
        <f t="shared" si="0"/>
        <v>310</v>
      </c>
      <c r="H1273" s="108"/>
      <c r="I1273" s="71"/>
    </row>
    <row r="1274" spans="1:9" s="212" customFormat="1">
      <c r="A1274" s="135">
        <v>5386</v>
      </c>
      <c r="B1274" s="78" t="s">
        <v>691</v>
      </c>
      <c r="C1274" s="127" t="s">
        <v>474</v>
      </c>
      <c r="D1274" s="206">
        <v>90800</v>
      </c>
      <c r="E1274" s="79">
        <v>1.2999999999999999E-2</v>
      </c>
      <c r="F1274" s="79">
        <v>0</v>
      </c>
      <c r="G1274" s="206">
        <f t="shared" si="0"/>
        <v>1180.3999999999999</v>
      </c>
      <c r="H1274" s="108"/>
      <c r="I1274" s="71"/>
    </row>
    <row r="1275" spans="1:9" s="212" customFormat="1">
      <c r="A1275" s="135">
        <v>5386</v>
      </c>
      <c r="B1275" s="78" t="s">
        <v>692</v>
      </c>
      <c r="C1275" s="127" t="s">
        <v>474</v>
      </c>
      <c r="D1275" s="206">
        <v>62320</v>
      </c>
      <c r="E1275" s="79">
        <v>1.7000000000000001E-2</v>
      </c>
      <c r="F1275" s="79">
        <v>0</v>
      </c>
      <c r="G1275" s="206">
        <f t="shared" si="0"/>
        <v>1059.44</v>
      </c>
      <c r="H1275" s="108"/>
      <c r="I1275" s="71"/>
    </row>
    <row r="1276" spans="1:9" s="212" customFormat="1" ht="25.5">
      <c r="A1276" s="135">
        <v>5556</v>
      </c>
      <c r="B1276" s="78" t="s">
        <v>693</v>
      </c>
      <c r="C1276" s="127" t="s">
        <v>157</v>
      </c>
      <c r="D1276" s="206">
        <v>98400</v>
      </c>
      <c r="E1276" s="79">
        <v>0.17</v>
      </c>
      <c r="F1276" s="79">
        <v>5</v>
      </c>
      <c r="G1276" s="206">
        <f t="shared" si="0"/>
        <v>17564.400000000001</v>
      </c>
      <c r="H1276" s="108"/>
      <c r="I1276" s="71"/>
    </row>
    <row r="1277" spans="1:9" s="212" customFormat="1">
      <c r="A1277" s="90"/>
      <c r="B1277" s="91"/>
      <c r="C1277" s="91"/>
      <c r="D1277" s="91"/>
      <c r="E1277" s="91"/>
      <c r="F1277"/>
      <c r="G1277" s="85" t="s">
        <v>407</v>
      </c>
      <c r="H1277" s="107">
        <f>SUM(G1270:G1276)</f>
        <v>21491.74</v>
      </c>
      <c r="I1277" s="71"/>
    </row>
    <row r="1278" spans="1:9" s="212" customFormat="1">
      <c r="A1278" s="72" t="s">
        <v>410</v>
      </c>
      <c r="B1278" s="73"/>
      <c r="C1278" s="73"/>
      <c r="D1278" s="73"/>
      <c r="E1278" s="73"/>
      <c r="F1278"/>
      <c r="G1278" s="74"/>
      <c r="H1278" s="108"/>
      <c r="I1278" s="71"/>
    </row>
    <row r="1279" spans="1:9" s="212" customFormat="1">
      <c r="A1279" s="75" t="s">
        <v>391</v>
      </c>
      <c r="B1279" s="76" t="s">
        <v>392</v>
      </c>
      <c r="C1279" s="76" t="s">
        <v>393</v>
      </c>
      <c r="D1279" s="76" t="s">
        <v>394</v>
      </c>
      <c r="E1279" s="76" t="s">
        <v>395</v>
      </c>
      <c r="F1279" s="76" t="s">
        <v>396</v>
      </c>
      <c r="G1279" s="76" t="s">
        <v>397</v>
      </c>
      <c r="H1279" s="108"/>
      <c r="I1279" s="71"/>
    </row>
    <row r="1280" spans="1:9" s="212" customFormat="1" ht="25.5">
      <c r="A1280" s="125" t="s">
        <v>531</v>
      </c>
      <c r="B1280" s="78" t="s">
        <v>532</v>
      </c>
      <c r="C1280" s="127" t="s">
        <v>426</v>
      </c>
      <c r="D1280" s="206">
        <v>15927</v>
      </c>
      <c r="E1280" s="79">
        <v>0.1</v>
      </c>
      <c r="F1280" s="79">
        <v>0</v>
      </c>
      <c r="G1280" s="206">
        <f>(D1280*E1280)+((D1280*E1280)*F1280/100)</f>
        <v>1592.7</v>
      </c>
      <c r="H1280" s="108"/>
      <c r="I1280" s="71"/>
    </row>
    <row r="1281" spans="1:9" s="212" customFormat="1" ht="25.5">
      <c r="A1281" s="125" t="s">
        <v>598</v>
      </c>
      <c r="B1281" s="78" t="s">
        <v>614</v>
      </c>
      <c r="C1281" s="127" t="s">
        <v>426</v>
      </c>
      <c r="D1281" s="206">
        <v>15927</v>
      </c>
      <c r="E1281" s="79">
        <v>0.05</v>
      </c>
      <c r="F1281" s="79">
        <v>0</v>
      </c>
      <c r="G1281" s="206">
        <f>(D1281*E1281)+((D1281*E1281)*F1281/100)</f>
        <v>796.35</v>
      </c>
      <c r="H1281" s="108"/>
      <c r="I1281" s="71"/>
    </row>
    <row r="1282" spans="1:9" s="212" customFormat="1">
      <c r="A1282" s="90"/>
      <c r="B1282" s="91"/>
      <c r="C1282" s="91"/>
      <c r="D1282" s="91"/>
      <c r="E1282" s="91"/>
      <c r="F1282"/>
      <c r="G1282" s="93" t="s">
        <v>407</v>
      </c>
      <c r="H1282" s="107">
        <f>SUM(G1280:G1281)</f>
        <v>2389.0500000000002</v>
      </c>
      <c r="I1282" s="71"/>
    </row>
    <row r="1283" spans="1:9" s="212" customFormat="1">
      <c r="A1283" s="72" t="s">
        <v>411</v>
      </c>
      <c r="B1283" s="73"/>
      <c r="C1283" s="73"/>
      <c r="D1283" s="73"/>
      <c r="E1283" s="73"/>
      <c r="F1283"/>
      <c r="G1283" s="74"/>
      <c r="H1283" s="108"/>
      <c r="I1283" s="71"/>
    </row>
    <row r="1284" spans="1:9" s="212" customFormat="1">
      <c r="A1284" s="75" t="s">
        <v>391</v>
      </c>
      <c r="B1284" s="76" t="s">
        <v>392</v>
      </c>
      <c r="C1284" s="76" t="s">
        <v>393</v>
      </c>
      <c r="D1284" s="76" t="s">
        <v>394</v>
      </c>
      <c r="E1284" s="76" t="s">
        <v>395</v>
      </c>
      <c r="F1284" s="76" t="s">
        <v>396</v>
      </c>
      <c r="G1284" s="76" t="s">
        <v>397</v>
      </c>
      <c r="H1284" s="108"/>
      <c r="I1284" s="71"/>
    </row>
    <row r="1285" spans="1:9" s="212" customFormat="1">
      <c r="A1285" s="87" t="s">
        <v>409</v>
      </c>
      <c r="B1285" s="114" t="s">
        <v>409</v>
      </c>
      <c r="C1285" s="114" t="s">
        <v>409</v>
      </c>
      <c r="D1285" s="114" t="s">
        <v>409</v>
      </c>
      <c r="E1285" s="114" t="s">
        <v>409</v>
      </c>
      <c r="F1285" s="79" t="s">
        <v>409</v>
      </c>
      <c r="G1285" s="89" t="s">
        <v>409</v>
      </c>
      <c r="H1285" s="108"/>
      <c r="I1285" s="71"/>
    </row>
    <row r="1286" spans="1:9" s="212" customFormat="1">
      <c r="A1286" s="94"/>
      <c r="B1286" s="95"/>
      <c r="C1286" s="95"/>
      <c r="D1286" s="95"/>
      <c r="E1286" s="95"/>
      <c r="F1286"/>
      <c r="G1286" s="93" t="s">
        <v>407</v>
      </c>
      <c r="H1286" s="107">
        <f>SUM(G1284:G1285)</f>
        <v>0</v>
      </c>
      <c r="I1286" s="71"/>
    </row>
    <row r="1287" spans="1:9" s="212" customFormat="1">
      <c r="A1287" s="94"/>
      <c r="B1287" s="95"/>
      <c r="C1287" s="95"/>
      <c r="D1287" s="95"/>
      <c r="E1287" s="95"/>
      <c r="F1287"/>
      <c r="G1287" s="74"/>
      <c r="H1287" s="74"/>
      <c r="I1287" s="71"/>
    </row>
    <row r="1288" spans="1:9" s="212" customFormat="1">
      <c r="A1288" s="96"/>
      <c r="B1288" s="97"/>
      <c r="C1288" s="98"/>
      <c r="D1288" s="98"/>
      <c r="E1288" s="98"/>
      <c r="F1288"/>
      <c r="G1288" s="99" t="s">
        <v>412</v>
      </c>
      <c r="H1288" s="115">
        <f>SUM(H1267:H1286)</f>
        <v>24130.79</v>
      </c>
      <c r="I1288" s="71"/>
    </row>
    <row r="1289" spans="1:9" s="212" customFormat="1">
      <c r="A1289" s="96"/>
      <c r="B1289" s="97"/>
      <c r="C1289" s="98"/>
      <c r="D1289" s="98"/>
      <c r="E1289" s="98"/>
      <c r="F1289" s="101"/>
      <c r="G1289" s="116"/>
      <c r="H1289" s="70"/>
      <c r="I1289" s="71"/>
    </row>
    <row r="1290" spans="1:9" s="212" customFormat="1" ht="15.75" thickBot="1">
      <c r="A1290" s="624" t="s">
        <v>527</v>
      </c>
      <c r="B1290" s="625"/>
      <c r="C1290" s="625"/>
      <c r="D1290" s="625"/>
      <c r="E1290" s="625"/>
      <c r="F1290" s="625"/>
      <c r="G1290" s="626"/>
      <c r="H1290" s="208">
        <f>+ROUND(H1288,0)</f>
        <v>24131</v>
      </c>
      <c r="I1290" s="103"/>
    </row>
    <row r="1291" spans="1:9" s="212" customFormat="1" ht="15.75" thickBot="1">
      <c r="A1291"/>
      <c r="B1291"/>
      <c r="C1291"/>
      <c r="D1291"/>
      <c r="E1291"/>
      <c r="F1291"/>
      <c r="G1291"/>
      <c r="H1291"/>
      <c r="I1291"/>
    </row>
    <row r="1292" spans="1:9" s="212" customFormat="1">
      <c r="A1292" s="627"/>
      <c r="B1292" s="629" t="s">
        <v>694</v>
      </c>
      <c r="C1292" s="630"/>
      <c r="D1292" s="630"/>
      <c r="E1292" s="630"/>
      <c r="F1292" s="630"/>
      <c r="G1292" s="630"/>
      <c r="H1292" s="630"/>
      <c r="I1292" s="66" t="s">
        <v>389</v>
      </c>
    </row>
    <row r="1293" spans="1:9" s="212" customFormat="1">
      <c r="A1293" s="628"/>
      <c r="B1293" s="631"/>
      <c r="C1293" s="632"/>
      <c r="D1293" s="632"/>
      <c r="E1293" s="632"/>
      <c r="F1293" s="632"/>
      <c r="G1293" s="632"/>
      <c r="H1293" s="632"/>
      <c r="I1293" s="67" t="s">
        <v>7</v>
      </c>
    </row>
    <row r="1294" spans="1:9" s="212" customFormat="1">
      <c r="A1294" s="68"/>
      <c r="B1294" s="69"/>
      <c r="C1294" s="69"/>
      <c r="D1294" s="69"/>
      <c r="E1294" s="69"/>
      <c r="F1294" s="70"/>
      <c r="G1294" s="70"/>
      <c r="H1294" s="70"/>
      <c r="I1294" s="71"/>
    </row>
    <row r="1295" spans="1:9" s="212" customFormat="1">
      <c r="A1295" s="72" t="s">
        <v>390</v>
      </c>
      <c r="B1295" s="73"/>
      <c r="C1295" s="73"/>
      <c r="D1295" s="73"/>
      <c r="E1295" s="73"/>
      <c r="F1295" s="74"/>
      <c r="G1295" s="74"/>
      <c r="H1295" s="70"/>
      <c r="I1295" s="71"/>
    </row>
    <row r="1296" spans="1:9" s="212" customFormat="1">
      <c r="A1296" s="75" t="s">
        <v>391</v>
      </c>
      <c r="B1296" s="76" t="s">
        <v>392</v>
      </c>
      <c r="C1296" s="76" t="s">
        <v>393</v>
      </c>
      <c r="D1296" s="76" t="s">
        <v>394</v>
      </c>
      <c r="E1296" s="76" t="s">
        <v>395</v>
      </c>
      <c r="F1296" s="76" t="s">
        <v>396</v>
      </c>
      <c r="G1296" s="76" t="s">
        <v>397</v>
      </c>
      <c r="H1296" s="74"/>
      <c r="I1296" s="71"/>
    </row>
    <row r="1297" spans="1:9" s="212" customFormat="1">
      <c r="A1297" s="135" t="s">
        <v>404</v>
      </c>
      <c r="B1297" s="78" t="s">
        <v>405</v>
      </c>
      <c r="C1297" s="127" t="s">
        <v>523</v>
      </c>
      <c r="D1297" s="206">
        <v>1250</v>
      </c>
      <c r="E1297" s="79">
        <v>0.2</v>
      </c>
      <c r="F1297" s="79">
        <v>0</v>
      </c>
      <c r="G1297" s="206">
        <f>(D1297*E1297)+((D1297*E1297)*F1297/100)</f>
        <v>250</v>
      </c>
      <c r="H1297" s="74"/>
      <c r="I1297" s="71"/>
    </row>
    <row r="1298" spans="1:9" s="212" customFormat="1">
      <c r="A1298" s="82"/>
      <c r="B1298" s="83"/>
      <c r="C1298" s="84"/>
      <c r="D1298" s="84"/>
      <c r="E1298" s="84"/>
      <c r="F1298"/>
      <c r="G1298" s="93" t="s">
        <v>407</v>
      </c>
      <c r="H1298" s="107">
        <f>SUM(G1297:G1297)</f>
        <v>250</v>
      </c>
      <c r="I1298" s="71"/>
    </row>
    <row r="1299" spans="1:9" s="212" customFormat="1">
      <c r="A1299" s="72" t="s">
        <v>408</v>
      </c>
      <c r="B1299" s="73"/>
      <c r="C1299" s="73"/>
      <c r="D1299" s="73"/>
      <c r="E1299" s="73"/>
      <c r="F1299"/>
      <c r="G1299" s="74"/>
      <c r="H1299" s="108"/>
      <c r="I1299" s="71"/>
    </row>
    <row r="1300" spans="1:9" s="212" customFormat="1">
      <c r="A1300" s="75" t="s">
        <v>391</v>
      </c>
      <c r="B1300" s="76" t="s">
        <v>392</v>
      </c>
      <c r="C1300" s="76" t="s">
        <v>393</v>
      </c>
      <c r="D1300" s="76" t="s">
        <v>394</v>
      </c>
      <c r="E1300" s="76" t="s">
        <v>395</v>
      </c>
      <c r="F1300" s="76" t="s">
        <v>396</v>
      </c>
      <c r="G1300" s="76" t="s">
        <v>397</v>
      </c>
      <c r="H1300" s="108"/>
      <c r="I1300" s="71"/>
    </row>
    <row r="1301" spans="1:9" s="212" customFormat="1">
      <c r="A1301" s="135">
        <v>2787</v>
      </c>
      <c r="B1301" s="78" t="s">
        <v>617</v>
      </c>
      <c r="C1301" s="127" t="s">
        <v>474</v>
      </c>
      <c r="D1301" s="206">
        <v>16500</v>
      </c>
      <c r="E1301" s="79">
        <v>1.4999999999999999E-2</v>
      </c>
      <c r="F1301" s="79">
        <v>0</v>
      </c>
      <c r="G1301" s="206">
        <f>(D1301*E1301)+((D1301*E1301)*F1301/100)</f>
        <v>247.5</v>
      </c>
      <c r="H1301" s="108"/>
      <c r="I1301" s="71"/>
    </row>
    <row r="1302" spans="1:9" s="212" customFormat="1">
      <c r="A1302" s="135">
        <v>3999</v>
      </c>
      <c r="B1302" s="78" t="s">
        <v>557</v>
      </c>
      <c r="C1302" s="127" t="s">
        <v>423</v>
      </c>
      <c r="D1302" s="206">
        <v>2650</v>
      </c>
      <c r="E1302" s="79">
        <v>0.3</v>
      </c>
      <c r="F1302" s="79">
        <v>0</v>
      </c>
      <c r="G1302" s="206">
        <f>(D1302*E1302)+((D1302*E1302)*F1302/100)</f>
        <v>795</v>
      </c>
      <c r="H1302" s="108"/>
      <c r="I1302" s="71"/>
    </row>
    <row r="1303" spans="1:9" s="212" customFormat="1">
      <c r="A1303" s="135">
        <v>4755</v>
      </c>
      <c r="B1303" s="78" t="s">
        <v>690</v>
      </c>
      <c r="C1303" s="127" t="s">
        <v>423</v>
      </c>
      <c r="D1303" s="206">
        <v>6200</v>
      </c>
      <c r="E1303" s="79">
        <v>0.06</v>
      </c>
      <c r="F1303" s="79">
        <v>0</v>
      </c>
      <c r="G1303" s="206">
        <f>(D1303*E1303)+((D1303*E1303)*F1303/100)</f>
        <v>372</v>
      </c>
      <c r="H1303" s="108"/>
      <c r="I1303" s="71"/>
    </row>
    <row r="1304" spans="1:9" s="212" customFormat="1">
      <c r="A1304" s="135">
        <v>5386</v>
      </c>
      <c r="B1304" s="78" t="s">
        <v>691</v>
      </c>
      <c r="C1304" s="127" t="s">
        <v>474</v>
      </c>
      <c r="D1304" s="206">
        <v>90800</v>
      </c>
      <c r="E1304" s="79">
        <v>0.03</v>
      </c>
      <c r="F1304" s="79">
        <v>0</v>
      </c>
      <c r="G1304" s="206">
        <f>(D1304*E1304)+((D1304*E1304)*F1304/100)</f>
        <v>2724</v>
      </c>
      <c r="H1304" s="108"/>
      <c r="I1304" s="71"/>
    </row>
    <row r="1305" spans="1:9" s="212" customFormat="1">
      <c r="A1305" s="135">
        <v>5386</v>
      </c>
      <c r="B1305" s="78" t="s">
        <v>692</v>
      </c>
      <c r="C1305" s="127" t="s">
        <v>474</v>
      </c>
      <c r="D1305" s="206">
        <v>62320</v>
      </c>
      <c r="E1305" s="79">
        <v>0.03</v>
      </c>
      <c r="F1305" s="79">
        <v>0</v>
      </c>
      <c r="G1305" s="206">
        <f>(D1305*E1305)+((D1305*E1305)*F1305/100)</f>
        <v>1869.6</v>
      </c>
      <c r="H1305" s="108"/>
      <c r="I1305" s="71"/>
    </row>
    <row r="1306" spans="1:9" s="212" customFormat="1">
      <c r="A1306" s="90"/>
      <c r="B1306" s="91"/>
      <c r="C1306" s="91"/>
      <c r="D1306" s="91"/>
      <c r="E1306" s="91"/>
      <c r="F1306"/>
      <c r="G1306" s="85" t="s">
        <v>407</v>
      </c>
      <c r="H1306" s="107">
        <f>SUM(G1301:G1305)</f>
        <v>6008.1</v>
      </c>
      <c r="I1306" s="71"/>
    </row>
    <row r="1307" spans="1:9" s="212" customFormat="1">
      <c r="A1307" s="72" t="s">
        <v>410</v>
      </c>
      <c r="B1307" s="73"/>
      <c r="C1307" s="73"/>
      <c r="D1307" s="73"/>
      <c r="E1307" s="73"/>
      <c r="F1307"/>
      <c r="G1307" s="74"/>
      <c r="H1307" s="108"/>
      <c r="I1307" s="71"/>
    </row>
    <row r="1308" spans="1:9" s="212" customFormat="1">
      <c r="A1308" s="75" t="s">
        <v>391</v>
      </c>
      <c r="B1308" s="76" t="s">
        <v>392</v>
      </c>
      <c r="C1308" s="76" t="s">
        <v>393</v>
      </c>
      <c r="D1308" s="76" t="s">
        <v>394</v>
      </c>
      <c r="E1308" s="76" t="s">
        <v>395</v>
      </c>
      <c r="F1308" s="76" t="s">
        <v>396</v>
      </c>
      <c r="G1308" s="76" t="s">
        <v>397</v>
      </c>
      <c r="H1308" s="108"/>
      <c r="I1308" s="71"/>
    </row>
    <row r="1309" spans="1:9" s="212" customFormat="1" ht="25.5">
      <c r="A1309" s="125" t="s">
        <v>531</v>
      </c>
      <c r="B1309" s="78" t="s">
        <v>532</v>
      </c>
      <c r="C1309" s="127" t="s">
        <v>426</v>
      </c>
      <c r="D1309" s="206">
        <v>15927</v>
      </c>
      <c r="E1309" s="79">
        <v>0.15</v>
      </c>
      <c r="F1309" s="79">
        <v>0</v>
      </c>
      <c r="G1309" s="206">
        <f>(D1309*E1309)+((D1309*E1309)*F1309/100)</f>
        <v>2389.0499999999997</v>
      </c>
      <c r="H1309" s="108"/>
      <c r="I1309" s="71"/>
    </row>
    <row r="1310" spans="1:9" s="212" customFormat="1" ht="25.5">
      <c r="A1310" s="125" t="s">
        <v>598</v>
      </c>
      <c r="B1310" s="78" t="s">
        <v>614</v>
      </c>
      <c r="C1310" s="127" t="s">
        <v>426</v>
      </c>
      <c r="D1310" s="206">
        <v>15927</v>
      </c>
      <c r="E1310" s="79">
        <v>0.15</v>
      </c>
      <c r="F1310" s="79">
        <v>0</v>
      </c>
      <c r="G1310" s="206">
        <f>(D1310*E1310)+((D1310*E1310)*F1310/100)</f>
        <v>2389.0499999999997</v>
      </c>
      <c r="H1310" s="108"/>
      <c r="I1310" s="71"/>
    </row>
    <row r="1311" spans="1:9" s="212" customFormat="1">
      <c r="A1311" s="90"/>
      <c r="B1311" s="91"/>
      <c r="C1311" s="91"/>
      <c r="D1311" s="91"/>
      <c r="E1311" s="91"/>
      <c r="F1311"/>
      <c r="G1311" s="93" t="s">
        <v>407</v>
      </c>
      <c r="H1311" s="107">
        <f>SUM(G1309:G1310)</f>
        <v>4778.0999999999995</v>
      </c>
      <c r="I1311" s="71"/>
    </row>
    <row r="1312" spans="1:9" s="212" customFormat="1">
      <c r="A1312" s="72" t="s">
        <v>411</v>
      </c>
      <c r="B1312" s="73"/>
      <c r="C1312" s="73"/>
      <c r="D1312" s="73"/>
      <c r="E1312" s="73"/>
      <c r="F1312"/>
      <c r="G1312" s="74"/>
      <c r="H1312" s="108"/>
      <c r="I1312" s="71"/>
    </row>
    <row r="1313" spans="1:9" s="212" customFormat="1">
      <c r="A1313" s="75" t="s">
        <v>391</v>
      </c>
      <c r="B1313" s="76" t="s">
        <v>392</v>
      </c>
      <c r="C1313" s="76" t="s">
        <v>393</v>
      </c>
      <c r="D1313" s="76" t="s">
        <v>394</v>
      </c>
      <c r="E1313" s="76" t="s">
        <v>395</v>
      </c>
      <c r="F1313" s="76" t="s">
        <v>396</v>
      </c>
      <c r="G1313" s="76" t="s">
        <v>397</v>
      </c>
      <c r="H1313" s="108"/>
      <c r="I1313" s="71"/>
    </row>
    <row r="1314" spans="1:9" s="212" customFormat="1">
      <c r="A1314" s="87" t="s">
        <v>409</v>
      </c>
      <c r="B1314" s="114" t="s">
        <v>409</v>
      </c>
      <c r="C1314" s="114" t="s">
        <v>409</v>
      </c>
      <c r="D1314" s="114" t="s">
        <v>409</v>
      </c>
      <c r="E1314" s="114" t="s">
        <v>409</v>
      </c>
      <c r="F1314" s="79" t="s">
        <v>409</v>
      </c>
      <c r="G1314" s="89" t="s">
        <v>409</v>
      </c>
      <c r="H1314" s="108"/>
      <c r="I1314" s="71"/>
    </row>
    <row r="1315" spans="1:9" s="212" customFormat="1">
      <c r="A1315" s="94"/>
      <c r="B1315" s="95"/>
      <c r="C1315" s="95"/>
      <c r="D1315" s="95"/>
      <c r="E1315" s="95"/>
      <c r="F1315"/>
      <c r="G1315" s="93" t="s">
        <v>407</v>
      </c>
      <c r="H1315" s="107">
        <f>SUM(G1313:G1314)</f>
        <v>0</v>
      </c>
      <c r="I1315" s="71"/>
    </row>
    <row r="1316" spans="1:9" s="212" customFormat="1">
      <c r="A1316" s="94"/>
      <c r="B1316" s="95"/>
      <c r="C1316" s="95"/>
      <c r="D1316" s="95"/>
      <c r="E1316" s="95"/>
      <c r="F1316"/>
      <c r="G1316" s="74"/>
      <c r="H1316" s="74"/>
      <c r="I1316" s="71"/>
    </row>
    <row r="1317" spans="1:9" s="212" customFormat="1">
      <c r="A1317" s="96"/>
      <c r="B1317" s="97"/>
      <c r="C1317" s="98"/>
      <c r="D1317" s="98"/>
      <c r="E1317" s="98"/>
      <c r="F1317"/>
      <c r="G1317" s="99" t="s">
        <v>412</v>
      </c>
      <c r="H1317" s="115">
        <f>SUM(H1298:H1315)</f>
        <v>11036.2</v>
      </c>
      <c r="I1317" s="71"/>
    </row>
    <row r="1318" spans="1:9" s="212" customFormat="1">
      <c r="A1318" s="96"/>
      <c r="B1318" s="97"/>
      <c r="C1318" s="98"/>
      <c r="D1318" s="98"/>
      <c r="E1318" s="98"/>
      <c r="F1318" s="101"/>
      <c r="G1318" s="116"/>
      <c r="H1318" s="70"/>
      <c r="I1318" s="71"/>
    </row>
    <row r="1319" spans="1:9" s="212" customFormat="1" ht="15.75" thickBot="1">
      <c r="A1319" s="624" t="s">
        <v>527</v>
      </c>
      <c r="B1319" s="625"/>
      <c r="C1319" s="625"/>
      <c r="D1319" s="625"/>
      <c r="E1319" s="625"/>
      <c r="F1319" s="625"/>
      <c r="G1319" s="626"/>
      <c r="H1319" s="208">
        <f>+ROUND(H1317,0)</f>
        <v>11036</v>
      </c>
      <c r="I1319" s="103"/>
    </row>
    <row r="1320" spans="1:9" s="212" customFormat="1" ht="15.75" thickBot="1">
      <c r="A1320"/>
      <c r="B1320"/>
      <c r="C1320"/>
      <c r="D1320"/>
      <c r="E1320"/>
      <c r="F1320"/>
      <c r="G1320"/>
      <c r="H1320"/>
      <c r="I1320"/>
    </row>
    <row r="1321" spans="1:9" s="212" customFormat="1">
      <c r="A1321" s="627"/>
      <c r="B1321" s="629" t="s">
        <v>695</v>
      </c>
      <c r="C1321" s="630"/>
      <c r="D1321" s="630"/>
      <c r="E1321" s="630"/>
      <c r="F1321" s="630"/>
      <c r="G1321" s="630"/>
      <c r="H1321" s="630"/>
      <c r="I1321" s="66" t="s">
        <v>389</v>
      </c>
    </row>
    <row r="1322" spans="1:9" s="212" customFormat="1">
      <c r="A1322" s="628"/>
      <c r="B1322" s="631"/>
      <c r="C1322" s="632"/>
      <c r="D1322" s="632"/>
      <c r="E1322" s="632"/>
      <c r="F1322" s="632"/>
      <c r="G1322" s="632"/>
      <c r="H1322" s="632"/>
      <c r="I1322" s="67" t="s">
        <v>291</v>
      </c>
    </row>
    <row r="1323" spans="1:9" s="212" customFormat="1">
      <c r="A1323" s="68"/>
      <c r="B1323" s="69"/>
      <c r="C1323" s="69"/>
      <c r="D1323" s="69"/>
      <c r="E1323" s="69"/>
      <c r="F1323" s="70"/>
      <c r="G1323" s="70"/>
      <c r="H1323" s="70"/>
      <c r="I1323" s="71"/>
    </row>
    <row r="1324" spans="1:9" s="212" customFormat="1">
      <c r="A1324" s="72" t="s">
        <v>390</v>
      </c>
      <c r="B1324" s="73"/>
      <c r="C1324" s="73"/>
      <c r="D1324" s="73"/>
      <c r="E1324" s="73"/>
      <c r="F1324" s="74"/>
      <c r="G1324" s="74"/>
      <c r="H1324" s="70"/>
      <c r="I1324" s="71"/>
    </row>
    <row r="1325" spans="1:9" s="212" customFormat="1">
      <c r="A1325" s="75" t="s">
        <v>391</v>
      </c>
      <c r="B1325" s="76" t="s">
        <v>392</v>
      </c>
      <c r="C1325" s="76" t="s">
        <v>393</v>
      </c>
      <c r="D1325" s="76" t="s">
        <v>394</v>
      </c>
      <c r="E1325" s="76" t="s">
        <v>395</v>
      </c>
      <c r="F1325" s="76" t="s">
        <v>396</v>
      </c>
      <c r="G1325" s="76" t="s">
        <v>397</v>
      </c>
      <c r="H1325" s="74"/>
      <c r="I1325" s="71"/>
    </row>
    <row r="1326" spans="1:9" s="212" customFormat="1">
      <c r="A1326" s="135" t="s">
        <v>516</v>
      </c>
      <c r="B1326" s="78" t="s">
        <v>517</v>
      </c>
      <c r="C1326" s="127" t="s">
        <v>437</v>
      </c>
      <c r="D1326" s="206">
        <v>27000</v>
      </c>
      <c r="E1326" s="79">
        <v>1.4999999999999999E-2</v>
      </c>
      <c r="F1326" s="79">
        <v>0</v>
      </c>
      <c r="G1326" s="206">
        <f>(D1326*E1326)+((D1326*E1326)*F1326/100)</f>
        <v>405</v>
      </c>
      <c r="H1326" s="74"/>
      <c r="I1326" s="71"/>
    </row>
    <row r="1327" spans="1:9" s="212" customFormat="1">
      <c r="A1327" s="135" t="s">
        <v>404</v>
      </c>
      <c r="B1327" s="78" t="s">
        <v>405</v>
      </c>
      <c r="C1327" s="127" t="s">
        <v>523</v>
      </c>
      <c r="D1327" s="206">
        <v>1250</v>
      </c>
      <c r="E1327" s="79">
        <v>0.15</v>
      </c>
      <c r="F1327" s="79">
        <v>0</v>
      </c>
      <c r="G1327" s="206">
        <f>(D1327*E1327)+((D1327*E1327)*F1327/100)</f>
        <v>187.5</v>
      </c>
      <c r="H1327" s="74"/>
      <c r="I1327" s="71"/>
    </row>
    <row r="1328" spans="1:9" s="212" customFormat="1">
      <c r="A1328" s="82"/>
      <c r="B1328" s="83"/>
      <c r="C1328" s="84"/>
      <c r="D1328" s="84"/>
      <c r="E1328" s="84"/>
      <c r="F1328"/>
      <c r="G1328" s="93" t="s">
        <v>407</v>
      </c>
      <c r="H1328" s="107">
        <f>SUM(G1326:G1327)</f>
        <v>592.5</v>
      </c>
      <c r="I1328" s="71"/>
    </row>
    <row r="1329" spans="1:9" s="212" customFormat="1">
      <c r="A1329" s="72" t="s">
        <v>408</v>
      </c>
      <c r="B1329" s="73"/>
      <c r="C1329" s="73"/>
      <c r="D1329" s="73"/>
      <c r="E1329" s="73"/>
      <c r="F1329"/>
      <c r="G1329" s="74"/>
      <c r="H1329" s="108"/>
      <c r="I1329" s="71"/>
    </row>
    <row r="1330" spans="1:9" s="212" customFormat="1">
      <c r="A1330" s="75" t="s">
        <v>391</v>
      </c>
      <c r="B1330" s="76" t="s">
        <v>392</v>
      </c>
      <c r="C1330" s="76" t="s">
        <v>393</v>
      </c>
      <c r="D1330" s="76" t="s">
        <v>394</v>
      </c>
      <c r="E1330" s="76" t="s">
        <v>395</v>
      </c>
      <c r="F1330" s="76" t="s">
        <v>396</v>
      </c>
      <c r="G1330" s="76" t="s">
        <v>397</v>
      </c>
      <c r="H1330" s="108"/>
      <c r="I1330" s="71"/>
    </row>
    <row r="1331" spans="1:9" s="212" customFormat="1">
      <c r="A1331" s="135">
        <v>1707</v>
      </c>
      <c r="B1331" s="78" t="s">
        <v>696</v>
      </c>
      <c r="C1331" s="127" t="s">
        <v>455</v>
      </c>
      <c r="D1331" s="206">
        <v>11720</v>
      </c>
      <c r="E1331" s="79">
        <v>1</v>
      </c>
      <c r="F1331" s="79">
        <v>5</v>
      </c>
      <c r="G1331" s="206">
        <f>(D1331*E1331)+((D1331*E1331)*F1331/100)</f>
        <v>12306</v>
      </c>
      <c r="H1331" s="108"/>
      <c r="I1331" s="71"/>
    </row>
    <row r="1332" spans="1:9" s="212" customFormat="1">
      <c r="A1332" s="135">
        <v>2787</v>
      </c>
      <c r="B1332" s="78" t="s">
        <v>649</v>
      </c>
      <c r="C1332" s="127" t="s">
        <v>474</v>
      </c>
      <c r="D1332" s="206">
        <v>16500</v>
      </c>
      <c r="E1332" s="79">
        <v>7.0000000000000001E-3</v>
      </c>
      <c r="F1332" s="79">
        <v>0</v>
      </c>
      <c r="G1332" s="206">
        <f>(D1332*E1332)+((D1332*E1332)*F1332/100)</f>
        <v>115.5</v>
      </c>
      <c r="H1332" s="108"/>
      <c r="I1332" s="71"/>
    </row>
    <row r="1333" spans="1:9" s="212" customFormat="1">
      <c r="A1333" s="135">
        <v>3569</v>
      </c>
      <c r="B1333" s="78" t="s">
        <v>697</v>
      </c>
      <c r="C1333" s="127" t="s">
        <v>423</v>
      </c>
      <c r="D1333" s="206">
        <v>6199.04</v>
      </c>
      <c r="E1333" s="79">
        <v>0.05</v>
      </c>
      <c r="F1333" s="79">
        <v>0</v>
      </c>
      <c r="G1333" s="206">
        <f>(D1333*E1333)+((D1333*E1333)*F1333/100)</f>
        <v>309.952</v>
      </c>
      <c r="H1333" s="108"/>
      <c r="I1333" s="71"/>
    </row>
    <row r="1334" spans="1:9" s="212" customFormat="1">
      <c r="A1334" s="135">
        <v>5549</v>
      </c>
      <c r="B1334" s="78" t="s">
        <v>692</v>
      </c>
      <c r="C1334" s="127" t="s">
        <v>474</v>
      </c>
      <c r="D1334" s="206">
        <v>62320</v>
      </c>
      <c r="E1334" s="79">
        <v>0.02</v>
      </c>
      <c r="F1334" s="79">
        <v>0</v>
      </c>
      <c r="G1334" s="206">
        <f>(D1334*E1334)+((D1334*E1334)*F1334/100)</f>
        <v>1246.4000000000001</v>
      </c>
      <c r="H1334" s="108"/>
      <c r="I1334" s="71"/>
    </row>
    <row r="1335" spans="1:9" s="212" customFormat="1">
      <c r="A1335" s="90"/>
      <c r="B1335" s="91"/>
      <c r="C1335" s="91"/>
      <c r="D1335" s="91"/>
      <c r="E1335" s="91"/>
      <c r="F1335"/>
      <c r="G1335" s="85" t="s">
        <v>407</v>
      </c>
      <c r="H1335" s="107">
        <f>SUM(G1331:G1334)</f>
        <v>13977.851999999999</v>
      </c>
      <c r="I1335" s="71"/>
    </row>
    <row r="1336" spans="1:9" s="212" customFormat="1">
      <c r="A1336" s="72" t="s">
        <v>410</v>
      </c>
      <c r="B1336" s="73"/>
      <c r="C1336" s="73"/>
      <c r="D1336" s="73"/>
      <c r="E1336" s="73"/>
      <c r="F1336"/>
      <c r="G1336" s="74"/>
      <c r="H1336" s="108"/>
      <c r="I1336" s="71"/>
    </row>
    <row r="1337" spans="1:9" s="212" customFormat="1">
      <c r="A1337" s="75" t="s">
        <v>391</v>
      </c>
      <c r="B1337" s="76" t="s">
        <v>392</v>
      </c>
      <c r="C1337" s="76" t="s">
        <v>393</v>
      </c>
      <c r="D1337" s="76" t="s">
        <v>394</v>
      </c>
      <c r="E1337" s="76" t="s">
        <v>395</v>
      </c>
      <c r="F1337" s="76" t="s">
        <v>396</v>
      </c>
      <c r="G1337" s="76" t="s">
        <v>397</v>
      </c>
      <c r="H1337" s="108"/>
      <c r="I1337" s="71"/>
    </row>
    <row r="1338" spans="1:9" s="212" customFormat="1" ht="25.5">
      <c r="A1338" s="125" t="s">
        <v>518</v>
      </c>
      <c r="B1338" s="78" t="s">
        <v>519</v>
      </c>
      <c r="C1338" s="127" t="s">
        <v>426</v>
      </c>
      <c r="D1338" s="206">
        <v>25770</v>
      </c>
      <c r="E1338" s="79">
        <v>0.2</v>
      </c>
      <c r="F1338" s="79">
        <v>0</v>
      </c>
      <c r="G1338" s="206">
        <f>(D1338*E1338)+((D1338*E1338)*F1338/100)</f>
        <v>5154</v>
      </c>
      <c r="H1338" s="108"/>
      <c r="I1338" s="71"/>
    </row>
    <row r="1339" spans="1:9" s="212" customFormat="1" ht="25.5">
      <c r="A1339" s="125" t="s">
        <v>598</v>
      </c>
      <c r="B1339" s="78" t="s">
        <v>614</v>
      </c>
      <c r="C1339" s="127" t="s">
        <v>426</v>
      </c>
      <c r="D1339" s="206">
        <v>15927</v>
      </c>
      <c r="E1339" s="79">
        <v>0.2</v>
      </c>
      <c r="F1339" s="79">
        <v>0</v>
      </c>
      <c r="G1339" s="206">
        <f>(D1339*E1339)+((D1339*E1339)*F1339/100)</f>
        <v>3185.4</v>
      </c>
      <c r="H1339" s="108"/>
      <c r="I1339" s="71"/>
    </row>
    <row r="1340" spans="1:9" s="212" customFormat="1">
      <c r="A1340" s="90"/>
      <c r="B1340" s="91"/>
      <c r="C1340" s="91"/>
      <c r="D1340" s="91"/>
      <c r="E1340" s="91"/>
      <c r="F1340"/>
      <c r="G1340" s="93" t="s">
        <v>407</v>
      </c>
      <c r="H1340" s="107">
        <f>SUM(G1338:G1339)</f>
        <v>8339.4</v>
      </c>
      <c r="I1340" s="71"/>
    </row>
    <row r="1341" spans="1:9" s="212" customFormat="1">
      <c r="A1341" s="72" t="s">
        <v>411</v>
      </c>
      <c r="B1341" s="73"/>
      <c r="C1341" s="73"/>
      <c r="D1341" s="73"/>
      <c r="E1341" s="73"/>
      <c r="F1341"/>
      <c r="G1341" s="74"/>
      <c r="H1341" s="108"/>
      <c r="I1341" s="71"/>
    </row>
    <row r="1342" spans="1:9" s="212" customFormat="1">
      <c r="A1342" s="75" t="s">
        <v>391</v>
      </c>
      <c r="B1342" s="76" t="s">
        <v>392</v>
      </c>
      <c r="C1342" s="76" t="s">
        <v>393</v>
      </c>
      <c r="D1342" s="76" t="s">
        <v>394</v>
      </c>
      <c r="E1342" s="76" t="s">
        <v>395</v>
      </c>
      <c r="F1342" s="76" t="s">
        <v>396</v>
      </c>
      <c r="G1342" s="76" t="s">
        <v>397</v>
      </c>
      <c r="H1342" s="108"/>
      <c r="I1342" s="71"/>
    </row>
    <row r="1343" spans="1:9" s="212" customFormat="1">
      <c r="A1343" s="87" t="s">
        <v>409</v>
      </c>
      <c r="B1343" s="114" t="s">
        <v>409</v>
      </c>
      <c r="C1343" s="114" t="s">
        <v>409</v>
      </c>
      <c r="D1343" s="114" t="s">
        <v>409</v>
      </c>
      <c r="E1343" s="114" t="s">
        <v>409</v>
      </c>
      <c r="F1343" s="79" t="s">
        <v>409</v>
      </c>
      <c r="G1343" s="89" t="s">
        <v>409</v>
      </c>
      <c r="H1343" s="108"/>
      <c r="I1343" s="71"/>
    </row>
    <row r="1344" spans="1:9" s="212" customFormat="1">
      <c r="A1344" s="94"/>
      <c r="B1344" s="95"/>
      <c r="C1344" s="95"/>
      <c r="D1344" s="95"/>
      <c r="E1344" s="95"/>
      <c r="F1344"/>
      <c r="G1344" s="93" t="s">
        <v>407</v>
      </c>
      <c r="H1344" s="107">
        <f>SUM(G1342:G1343)</f>
        <v>0</v>
      </c>
      <c r="I1344" s="71"/>
    </row>
    <row r="1345" spans="1:9" s="212" customFormat="1">
      <c r="A1345" s="94"/>
      <c r="B1345" s="95"/>
      <c r="C1345" s="95"/>
      <c r="D1345" s="95"/>
      <c r="E1345" s="95"/>
      <c r="F1345"/>
      <c r="G1345" s="74"/>
      <c r="H1345" s="74"/>
      <c r="I1345" s="71"/>
    </row>
    <row r="1346" spans="1:9" s="212" customFormat="1">
      <c r="A1346" s="96"/>
      <c r="B1346" s="97"/>
      <c r="C1346" s="98"/>
      <c r="D1346" s="98"/>
      <c r="E1346" s="98"/>
      <c r="F1346"/>
      <c r="G1346" s="99" t="s">
        <v>412</v>
      </c>
      <c r="H1346" s="115">
        <f>SUM(H1328:H1344)</f>
        <v>22909.752</v>
      </c>
      <c r="I1346" s="71"/>
    </row>
    <row r="1347" spans="1:9" s="212" customFormat="1">
      <c r="A1347" s="96"/>
      <c r="B1347" s="97"/>
      <c r="C1347" s="98"/>
      <c r="D1347" s="98"/>
      <c r="E1347" s="98"/>
      <c r="F1347" s="101"/>
      <c r="G1347" s="116"/>
      <c r="H1347" s="70"/>
      <c r="I1347" s="71"/>
    </row>
    <row r="1348" spans="1:9" s="212" customFormat="1" ht="15.75" thickBot="1">
      <c r="A1348" s="624" t="s">
        <v>414</v>
      </c>
      <c r="B1348" s="625"/>
      <c r="C1348" s="625"/>
      <c r="D1348" s="625"/>
      <c r="E1348" s="625"/>
      <c r="F1348" s="625"/>
      <c r="G1348" s="626"/>
      <c r="H1348" s="208">
        <f>+ROUND(H1346,0)</f>
        <v>22910</v>
      </c>
      <c r="I1348" s="103"/>
    </row>
    <row r="1349" spans="1:9" s="212" customFormat="1" ht="15.75" thickBot="1">
      <c r="A1349"/>
      <c r="B1349"/>
      <c r="C1349"/>
      <c r="D1349"/>
      <c r="E1349"/>
      <c r="F1349"/>
      <c r="G1349"/>
      <c r="H1349"/>
      <c r="I1349"/>
    </row>
    <row r="1350" spans="1:9" s="212" customFormat="1">
      <c r="A1350" s="627"/>
      <c r="B1350" s="629" t="s">
        <v>698</v>
      </c>
      <c r="C1350" s="630"/>
      <c r="D1350" s="630"/>
      <c r="E1350" s="630"/>
      <c r="F1350" s="630"/>
      <c r="G1350" s="630"/>
      <c r="H1350" s="630"/>
      <c r="I1350" s="66" t="s">
        <v>389</v>
      </c>
    </row>
    <row r="1351" spans="1:9" s="212" customFormat="1">
      <c r="A1351" s="628"/>
      <c r="B1351" s="631"/>
      <c r="C1351" s="632"/>
      <c r="D1351" s="632"/>
      <c r="E1351" s="632"/>
      <c r="F1351" s="632"/>
      <c r="G1351" s="632"/>
      <c r="H1351" s="632"/>
      <c r="I1351" s="67" t="s">
        <v>526</v>
      </c>
    </row>
    <row r="1352" spans="1:9" s="212" customFormat="1">
      <c r="A1352" s="68"/>
      <c r="B1352" s="69"/>
      <c r="C1352" s="69"/>
      <c r="D1352" s="69"/>
      <c r="E1352" s="69"/>
      <c r="F1352" s="70"/>
      <c r="G1352" s="70"/>
      <c r="H1352" s="70"/>
      <c r="I1352" s="71"/>
    </row>
    <row r="1353" spans="1:9" s="212" customFormat="1">
      <c r="A1353" s="72" t="s">
        <v>390</v>
      </c>
      <c r="B1353" s="73"/>
      <c r="C1353" s="73"/>
      <c r="D1353" s="73"/>
      <c r="E1353" s="73"/>
      <c r="F1353" s="74"/>
      <c r="G1353" s="74"/>
      <c r="H1353" s="70"/>
      <c r="I1353" s="71"/>
    </row>
    <row r="1354" spans="1:9" s="212" customFormat="1">
      <c r="A1354" s="75" t="s">
        <v>391</v>
      </c>
      <c r="B1354" s="76" t="s">
        <v>392</v>
      </c>
      <c r="C1354" s="76" t="s">
        <v>393</v>
      </c>
      <c r="D1354" s="76" t="s">
        <v>394</v>
      </c>
      <c r="E1354" s="76" t="s">
        <v>395</v>
      </c>
      <c r="F1354" s="76" t="s">
        <v>396</v>
      </c>
      <c r="G1354" s="76" t="s">
        <v>397</v>
      </c>
      <c r="H1354" s="74"/>
      <c r="I1354" s="71"/>
    </row>
    <row r="1355" spans="1:9" s="212" customFormat="1">
      <c r="A1355" s="135" t="s">
        <v>404</v>
      </c>
      <c r="B1355" s="78" t="s">
        <v>405</v>
      </c>
      <c r="C1355" s="127" t="s">
        <v>523</v>
      </c>
      <c r="D1355" s="206">
        <v>1250</v>
      </c>
      <c r="E1355" s="79">
        <v>0.01</v>
      </c>
      <c r="F1355" s="79">
        <v>0</v>
      </c>
      <c r="G1355" s="206">
        <f>(D1355*E1355)+((D1355*E1355)*F1355/100)</f>
        <v>12.5</v>
      </c>
      <c r="H1355" s="74"/>
      <c r="I1355" s="71"/>
    </row>
    <row r="1356" spans="1:9" s="212" customFormat="1">
      <c r="A1356" s="82"/>
      <c r="B1356" s="83"/>
      <c r="C1356" s="84"/>
      <c r="D1356" s="84"/>
      <c r="E1356" s="84"/>
      <c r="F1356"/>
      <c r="G1356" s="93" t="s">
        <v>407</v>
      </c>
      <c r="H1356" s="107">
        <f>SUM(G1355:G1355)</f>
        <v>12.5</v>
      </c>
      <c r="I1356" s="71"/>
    </row>
    <row r="1357" spans="1:9" s="212" customFormat="1">
      <c r="A1357" s="72" t="s">
        <v>408</v>
      </c>
      <c r="B1357" s="73"/>
      <c r="C1357" s="73"/>
      <c r="D1357" s="73"/>
      <c r="E1357" s="73"/>
      <c r="F1357"/>
      <c r="G1357" s="74"/>
      <c r="H1357" s="108"/>
      <c r="I1357" s="71"/>
    </row>
    <row r="1358" spans="1:9" s="212" customFormat="1">
      <c r="A1358" s="75" t="s">
        <v>391</v>
      </c>
      <c r="B1358" s="76" t="s">
        <v>392</v>
      </c>
      <c r="C1358" s="76" t="s">
        <v>393</v>
      </c>
      <c r="D1358" s="76" t="s">
        <v>394</v>
      </c>
      <c r="E1358" s="76" t="s">
        <v>395</v>
      </c>
      <c r="F1358" s="76" t="s">
        <v>396</v>
      </c>
      <c r="G1358" s="76" t="s">
        <v>397</v>
      </c>
      <c r="H1358" s="108"/>
      <c r="I1358" s="71"/>
    </row>
    <row r="1359" spans="1:9" s="212" customFormat="1">
      <c r="A1359" s="135">
        <v>3569</v>
      </c>
      <c r="B1359" s="78" t="s">
        <v>697</v>
      </c>
      <c r="C1359" s="127" t="s">
        <v>423</v>
      </c>
      <c r="D1359" s="206">
        <v>6199.04</v>
      </c>
      <c r="E1359" s="79">
        <v>2E-3</v>
      </c>
      <c r="F1359" s="79">
        <v>0</v>
      </c>
      <c r="G1359" s="206">
        <f>(D1359*E1359)+((D1359*E1359)*F1359/100)</f>
        <v>12.39808</v>
      </c>
      <c r="H1359" s="108"/>
      <c r="I1359" s="71"/>
    </row>
    <row r="1360" spans="1:9" s="212" customFormat="1">
      <c r="A1360" s="135">
        <v>3999</v>
      </c>
      <c r="B1360" s="78" t="s">
        <v>557</v>
      </c>
      <c r="C1360" s="127" t="s">
        <v>423</v>
      </c>
      <c r="D1360" s="206">
        <v>2650</v>
      </c>
      <c r="E1360" s="79">
        <v>0.6</v>
      </c>
      <c r="F1360" s="79">
        <v>0</v>
      </c>
      <c r="G1360" s="206">
        <f>(D1360*E1360)+((D1360*E1360)*F1360/100)</f>
        <v>1590</v>
      </c>
      <c r="H1360" s="108"/>
      <c r="I1360" s="71"/>
    </row>
    <row r="1361" spans="1:9" s="212" customFormat="1">
      <c r="A1361" s="135">
        <v>5549</v>
      </c>
      <c r="B1361" s="78" t="s">
        <v>692</v>
      </c>
      <c r="C1361" s="127" t="s">
        <v>474</v>
      </c>
      <c r="D1361" s="206">
        <v>62320</v>
      </c>
      <c r="E1361" s="79">
        <v>1E-3</v>
      </c>
      <c r="F1361" s="79">
        <v>0</v>
      </c>
      <c r="G1361" s="206">
        <f>(D1361*E1361)+((D1361*E1361)*F1361/100)</f>
        <v>62.32</v>
      </c>
      <c r="H1361" s="108"/>
      <c r="I1361" s="71"/>
    </row>
    <row r="1362" spans="1:9" s="212" customFormat="1">
      <c r="A1362" s="90"/>
      <c r="B1362" s="91"/>
      <c r="C1362" s="91"/>
      <c r="D1362" s="91"/>
      <c r="E1362" s="91"/>
      <c r="F1362"/>
      <c r="G1362" s="85" t="s">
        <v>407</v>
      </c>
      <c r="H1362" s="107">
        <f>SUM(G1359:G1361)</f>
        <v>1664.7180799999999</v>
      </c>
      <c r="I1362" s="71"/>
    </row>
    <row r="1363" spans="1:9" s="212" customFormat="1">
      <c r="A1363" s="72" t="s">
        <v>410</v>
      </c>
      <c r="B1363" s="73"/>
      <c r="C1363" s="73"/>
      <c r="D1363" s="73"/>
      <c r="E1363" s="73"/>
      <c r="F1363"/>
      <c r="G1363" s="74"/>
      <c r="H1363" s="108"/>
      <c r="I1363" s="71"/>
    </row>
    <row r="1364" spans="1:9" s="212" customFormat="1">
      <c r="A1364" s="75" t="s">
        <v>391</v>
      </c>
      <c r="B1364" s="76" t="s">
        <v>392</v>
      </c>
      <c r="C1364" s="76" t="s">
        <v>393</v>
      </c>
      <c r="D1364" s="76" t="s">
        <v>394</v>
      </c>
      <c r="E1364" s="76" t="s">
        <v>395</v>
      </c>
      <c r="F1364" s="76" t="s">
        <v>396</v>
      </c>
      <c r="G1364" s="76" t="s">
        <v>397</v>
      </c>
      <c r="H1364" s="108"/>
      <c r="I1364" s="71"/>
    </row>
    <row r="1365" spans="1:9" s="212" customFormat="1" ht="25.5">
      <c r="A1365" s="125" t="s">
        <v>518</v>
      </c>
      <c r="B1365" s="78" t="s">
        <v>519</v>
      </c>
      <c r="C1365" s="127" t="s">
        <v>426</v>
      </c>
      <c r="D1365" s="206">
        <v>25770</v>
      </c>
      <c r="E1365" s="79">
        <v>0.01</v>
      </c>
      <c r="F1365" s="79">
        <v>0</v>
      </c>
      <c r="G1365" s="206">
        <f>(D1365*E1365)+((D1365*E1365)*F1365/100)</f>
        <v>257.7</v>
      </c>
      <c r="H1365" s="108"/>
      <c r="I1365" s="71"/>
    </row>
    <row r="1366" spans="1:9" s="212" customFormat="1" ht="25.5">
      <c r="A1366" s="125" t="s">
        <v>598</v>
      </c>
      <c r="B1366" s="78" t="s">
        <v>614</v>
      </c>
      <c r="C1366" s="127" t="s">
        <v>426</v>
      </c>
      <c r="D1366" s="206">
        <v>15927</v>
      </c>
      <c r="E1366" s="79">
        <v>3.0000000000000001E-3</v>
      </c>
      <c r="F1366" s="79">
        <v>0</v>
      </c>
      <c r="G1366" s="206">
        <f>(D1366*E1366)+((D1366*E1366)*F1366/100)</f>
        <v>47.780999999999999</v>
      </c>
      <c r="H1366" s="108"/>
      <c r="I1366" s="71"/>
    </row>
    <row r="1367" spans="1:9" s="212" customFormat="1">
      <c r="A1367" s="90"/>
      <c r="B1367" s="91"/>
      <c r="C1367" s="91"/>
      <c r="D1367" s="91"/>
      <c r="E1367" s="91"/>
      <c r="F1367"/>
      <c r="G1367" s="93" t="s">
        <v>407</v>
      </c>
      <c r="H1367" s="107">
        <f>SUM(G1365:G1366)</f>
        <v>305.48099999999999</v>
      </c>
      <c r="I1367" s="71"/>
    </row>
    <row r="1368" spans="1:9" s="212" customFormat="1">
      <c r="A1368" s="72" t="s">
        <v>411</v>
      </c>
      <c r="B1368" s="73"/>
      <c r="C1368" s="73"/>
      <c r="D1368" s="73"/>
      <c r="E1368" s="73"/>
      <c r="F1368"/>
      <c r="G1368" s="74"/>
      <c r="H1368" s="108"/>
      <c r="I1368" s="71"/>
    </row>
    <row r="1369" spans="1:9" s="212" customFormat="1">
      <c r="A1369" s="75" t="s">
        <v>391</v>
      </c>
      <c r="B1369" s="76" t="s">
        <v>392</v>
      </c>
      <c r="C1369" s="76" t="s">
        <v>393</v>
      </c>
      <c r="D1369" s="76" t="s">
        <v>394</v>
      </c>
      <c r="E1369" s="76" t="s">
        <v>395</v>
      </c>
      <c r="F1369" s="76" t="s">
        <v>396</v>
      </c>
      <c r="G1369" s="76" t="s">
        <v>397</v>
      </c>
      <c r="H1369" s="108"/>
      <c r="I1369" s="71"/>
    </row>
    <row r="1370" spans="1:9" s="212" customFormat="1">
      <c r="A1370" s="87" t="s">
        <v>409</v>
      </c>
      <c r="B1370" s="114" t="s">
        <v>409</v>
      </c>
      <c r="C1370" s="114" t="s">
        <v>409</v>
      </c>
      <c r="D1370" s="114" t="s">
        <v>409</v>
      </c>
      <c r="E1370" s="114" t="s">
        <v>409</v>
      </c>
      <c r="F1370" s="79" t="s">
        <v>409</v>
      </c>
      <c r="G1370" s="89" t="s">
        <v>409</v>
      </c>
      <c r="H1370" s="108"/>
      <c r="I1370" s="71"/>
    </row>
    <row r="1371" spans="1:9" s="212" customFormat="1">
      <c r="A1371" s="94"/>
      <c r="B1371" s="95"/>
      <c r="C1371" s="95"/>
      <c r="D1371" s="95"/>
      <c r="E1371" s="95"/>
      <c r="F1371"/>
      <c r="G1371" s="93" t="s">
        <v>407</v>
      </c>
      <c r="H1371" s="107">
        <f>SUM(G1369:G1370)</f>
        <v>0</v>
      </c>
      <c r="I1371" s="71"/>
    </row>
    <row r="1372" spans="1:9" s="212" customFormat="1">
      <c r="A1372" s="94"/>
      <c r="B1372" s="95"/>
      <c r="C1372" s="95"/>
      <c r="D1372" s="95"/>
      <c r="E1372" s="95"/>
      <c r="F1372"/>
      <c r="G1372" s="74"/>
      <c r="H1372" s="74"/>
      <c r="I1372" s="71"/>
    </row>
    <row r="1373" spans="1:9" s="212" customFormat="1">
      <c r="A1373" s="96"/>
      <c r="B1373" s="97"/>
      <c r="C1373" s="98"/>
      <c r="D1373" s="98"/>
      <c r="E1373" s="98"/>
      <c r="F1373"/>
      <c r="G1373" s="99" t="s">
        <v>412</v>
      </c>
      <c r="H1373" s="115">
        <f>SUM(H1356:H1371)</f>
        <v>1982.6990799999999</v>
      </c>
      <c r="I1373" s="71"/>
    </row>
    <row r="1374" spans="1:9" s="212" customFormat="1">
      <c r="A1374" s="96"/>
      <c r="B1374" s="97"/>
      <c r="C1374" s="98"/>
      <c r="D1374" s="98"/>
      <c r="E1374" s="98"/>
      <c r="F1374" s="101"/>
      <c r="G1374" s="116"/>
      <c r="H1374" s="70"/>
      <c r="I1374" s="71"/>
    </row>
    <row r="1375" spans="1:9" s="212" customFormat="1" ht="15.75" thickBot="1">
      <c r="A1375" s="624" t="s">
        <v>414</v>
      </c>
      <c r="B1375" s="625"/>
      <c r="C1375" s="625"/>
      <c r="D1375" s="625"/>
      <c r="E1375" s="625"/>
      <c r="F1375" s="625"/>
      <c r="G1375" s="626"/>
      <c r="H1375" s="208">
        <f>+ROUND(H1373,0)</f>
        <v>1983</v>
      </c>
      <c r="I1375" s="103"/>
    </row>
    <row r="1376" spans="1:9" s="212" customFormat="1" ht="15.75" thickBot="1">
      <c r="A1376"/>
      <c r="B1376"/>
      <c r="C1376"/>
      <c r="D1376"/>
      <c r="E1376"/>
      <c r="F1376"/>
      <c r="G1376"/>
      <c r="H1376"/>
      <c r="I1376"/>
    </row>
    <row r="1377" spans="1:9" s="212" customFormat="1">
      <c r="A1377" s="627"/>
      <c r="B1377" s="629" t="s">
        <v>1178</v>
      </c>
      <c r="C1377" s="630"/>
      <c r="D1377" s="630"/>
      <c r="E1377" s="630"/>
      <c r="F1377" s="630"/>
      <c r="G1377" s="630"/>
      <c r="H1377" s="630"/>
      <c r="I1377" s="66" t="s">
        <v>389</v>
      </c>
    </row>
    <row r="1378" spans="1:9" s="212" customFormat="1">
      <c r="A1378" s="628"/>
      <c r="B1378" s="631"/>
      <c r="C1378" s="632"/>
      <c r="D1378" s="632"/>
      <c r="E1378" s="632"/>
      <c r="F1378" s="632"/>
      <c r="G1378" s="632"/>
      <c r="H1378" s="632"/>
      <c r="I1378" s="67" t="s">
        <v>526</v>
      </c>
    </row>
    <row r="1379" spans="1:9" s="212" customFormat="1">
      <c r="A1379" s="68"/>
      <c r="B1379" s="69"/>
      <c r="C1379" s="69"/>
      <c r="D1379" s="69"/>
      <c r="E1379" s="69"/>
      <c r="F1379" s="70"/>
      <c r="G1379" s="70"/>
      <c r="H1379" s="70"/>
      <c r="I1379" s="71"/>
    </row>
    <row r="1380" spans="1:9" s="212" customFormat="1">
      <c r="A1380" s="72" t="s">
        <v>390</v>
      </c>
      <c r="B1380" s="73"/>
      <c r="C1380" s="73"/>
      <c r="D1380" s="73"/>
      <c r="E1380" s="73"/>
      <c r="F1380" s="74"/>
      <c r="G1380" s="74"/>
      <c r="H1380" s="70"/>
      <c r="I1380" s="71"/>
    </row>
    <row r="1381" spans="1:9" s="212" customFormat="1">
      <c r="A1381" s="75" t="s">
        <v>391</v>
      </c>
      <c r="B1381" s="76" t="s">
        <v>392</v>
      </c>
      <c r="C1381" s="76" t="s">
        <v>393</v>
      </c>
      <c r="D1381" s="76" t="s">
        <v>394</v>
      </c>
      <c r="E1381" s="76" t="s">
        <v>395</v>
      </c>
      <c r="F1381" s="76" t="s">
        <v>396</v>
      </c>
      <c r="G1381" s="76" t="s">
        <v>397</v>
      </c>
      <c r="H1381" s="74"/>
      <c r="I1381" s="71"/>
    </row>
    <row r="1382" spans="1:9" s="212" customFormat="1">
      <c r="A1382" s="135" t="s">
        <v>404</v>
      </c>
      <c r="B1382" s="78" t="s">
        <v>405</v>
      </c>
      <c r="C1382" s="127" t="s">
        <v>523</v>
      </c>
      <c r="D1382" s="206">
        <v>1250</v>
      </c>
      <c r="E1382" s="79">
        <v>0.01</v>
      </c>
      <c r="F1382" s="79">
        <v>0</v>
      </c>
      <c r="G1382" s="206">
        <f>(D1382*E1382)+((D1382*E1382)*F1382/100)</f>
        <v>12.5</v>
      </c>
      <c r="H1382" s="74"/>
      <c r="I1382" s="71"/>
    </row>
    <row r="1383" spans="1:9" s="212" customFormat="1">
      <c r="A1383" s="82"/>
      <c r="B1383" s="83"/>
      <c r="C1383" s="84"/>
      <c r="D1383" s="84"/>
      <c r="E1383" s="84"/>
      <c r="F1383"/>
      <c r="G1383" s="93" t="s">
        <v>407</v>
      </c>
      <c r="H1383" s="107">
        <f>SUM(G1382:G1382)</f>
        <v>12.5</v>
      </c>
      <c r="I1383" s="71"/>
    </row>
    <row r="1384" spans="1:9" s="212" customFormat="1">
      <c r="A1384" s="72" t="s">
        <v>408</v>
      </c>
      <c r="B1384" s="73"/>
      <c r="C1384" s="73"/>
      <c r="D1384" s="73"/>
      <c r="E1384" s="73"/>
      <c r="F1384"/>
      <c r="G1384" s="74"/>
      <c r="H1384" s="108"/>
      <c r="I1384" s="71"/>
    </row>
    <row r="1385" spans="1:9" s="212" customFormat="1">
      <c r="A1385" s="75" t="s">
        <v>391</v>
      </c>
      <c r="B1385" s="76" t="s">
        <v>392</v>
      </c>
      <c r="C1385" s="76" t="s">
        <v>393</v>
      </c>
      <c r="D1385" s="76" t="s">
        <v>394</v>
      </c>
      <c r="E1385" s="76" t="s">
        <v>395</v>
      </c>
      <c r="F1385" s="76" t="s">
        <v>396</v>
      </c>
      <c r="G1385" s="76" t="s">
        <v>397</v>
      </c>
      <c r="H1385" s="108"/>
      <c r="I1385" s="71"/>
    </row>
    <row r="1386" spans="1:9" s="212" customFormat="1" ht="25.5">
      <c r="A1386" s="135">
        <v>3582</v>
      </c>
      <c r="B1386" s="78" t="s">
        <v>699</v>
      </c>
      <c r="C1386" s="127" t="s">
        <v>423</v>
      </c>
      <c r="D1386" s="206">
        <v>3880</v>
      </c>
      <c r="E1386" s="79">
        <v>0.34</v>
      </c>
      <c r="F1386" s="79">
        <v>5</v>
      </c>
      <c r="G1386" s="206">
        <f>(D1386*E1386)+((D1386*E1386)*F1386/100)</f>
        <v>1385.16</v>
      </c>
      <c r="H1386" s="108"/>
      <c r="I1386" s="71"/>
    </row>
    <row r="1387" spans="1:9" s="212" customFormat="1">
      <c r="A1387" s="135">
        <v>5549</v>
      </c>
      <c r="B1387" s="78" t="s">
        <v>692</v>
      </c>
      <c r="C1387" s="127" t="s">
        <v>474</v>
      </c>
      <c r="D1387" s="206">
        <v>62320</v>
      </c>
      <c r="E1387" s="79">
        <v>5.0000000000000001E-3</v>
      </c>
      <c r="F1387" s="79">
        <v>0</v>
      </c>
      <c r="G1387" s="206">
        <f>(D1387*E1387)+((D1387*E1387)*F1387/100)</f>
        <v>311.60000000000002</v>
      </c>
      <c r="H1387" s="108"/>
      <c r="I1387" s="71"/>
    </row>
    <row r="1388" spans="1:9" s="212" customFormat="1">
      <c r="A1388" s="90"/>
      <c r="B1388" s="91"/>
      <c r="C1388" s="91"/>
      <c r="D1388" s="91"/>
      <c r="E1388" s="91"/>
      <c r="F1388"/>
      <c r="G1388" s="85" t="s">
        <v>407</v>
      </c>
      <c r="H1388" s="107">
        <f>SUM(G1386:G1387)</f>
        <v>1696.7600000000002</v>
      </c>
      <c r="I1388" s="71"/>
    </row>
    <row r="1389" spans="1:9" s="212" customFormat="1">
      <c r="A1389" s="72" t="s">
        <v>410</v>
      </c>
      <c r="B1389" s="73"/>
      <c r="C1389" s="73"/>
      <c r="D1389" s="73"/>
      <c r="E1389" s="73"/>
      <c r="F1389"/>
      <c r="G1389" s="74"/>
      <c r="H1389" s="108"/>
      <c r="I1389" s="71"/>
    </row>
    <row r="1390" spans="1:9" s="212" customFormat="1">
      <c r="A1390" s="75" t="s">
        <v>391</v>
      </c>
      <c r="B1390" s="76" t="s">
        <v>392</v>
      </c>
      <c r="C1390" s="76" t="s">
        <v>393</v>
      </c>
      <c r="D1390" s="76" t="s">
        <v>394</v>
      </c>
      <c r="E1390" s="76" t="s">
        <v>395</v>
      </c>
      <c r="F1390" s="76" t="s">
        <v>396</v>
      </c>
      <c r="G1390" s="76" t="s">
        <v>397</v>
      </c>
      <c r="H1390" s="108"/>
      <c r="I1390" s="71"/>
    </row>
    <row r="1391" spans="1:9" s="212" customFormat="1" ht="25.5">
      <c r="A1391" s="125" t="s">
        <v>531</v>
      </c>
      <c r="B1391" s="78" t="s">
        <v>700</v>
      </c>
      <c r="C1391" s="127" t="s">
        <v>426</v>
      </c>
      <c r="D1391" s="206">
        <v>15927</v>
      </c>
      <c r="E1391" s="79">
        <v>0.01</v>
      </c>
      <c r="F1391" s="79">
        <v>0</v>
      </c>
      <c r="G1391" s="206">
        <f>(D1391*E1391)+((D1391*E1391)*F1391/100)</f>
        <v>159.27000000000001</v>
      </c>
      <c r="H1391" s="108"/>
      <c r="I1391" s="71"/>
    </row>
    <row r="1392" spans="1:9" s="212" customFormat="1" ht="25.5">
      <c r="A1392" s="125" t="s">
        <v>598</v>
      </c>
      <c r="B1392" s="78" t="s">
        <v>614</v>
      </c>
      <c r="C1392" s="127" t="s">
        <v>426</v>
      </c>
      <c r="D1392" s="206">
        <v>15927</v>
      </c>
      <c r="E1392" s="79">
        <v>0.01</v>
      </c>
      <c r="F1392" s="79">
        <v>0</v>
      </c>
      <c r="G1392" s="206">
        <f>(D1392*E1392)+((D1392*E1392)*F1392/100)</f>
        <v>159.27000000000001</v>
      </c>
      <c r="H1392" s="108"/>
      <c r="I1392" s="71"/>
    </row>
    <row r="1393" spans="1:9" s="212" customFormat="1">
      <c r="A1393" s="90"/>
      <c r="B1393" s="91"/>
      <c r="C1393" s="91"/>
      <c r="D1393" s="91"/>
      <c r="E1393" s="91"/>
      <c r="F1393"/>
      <c r="G1393" s="93" t="s">
        <v>407</v>
      </c>
      <c r="H1393" s="107">
        <f>SUM(G1391:G1392)</f>
        <v>318.54000000000002</v>
      </c>
      <c r="I1393" s="71"/>
    </row>
    <row r="1394" spans="1:9" s="212" customFormat="1">
      <c r="A1394" s="72" t="s">
        <v>411</v>
      </c>
      <c r="B1394" s="73"/>
      <c r="C1394" s="73"/>
      <c r="D1394" s="73"/>
      <c r="E1394" s="73"/>
      <c r="F1394"/>
      <c r="G1394" s="74"/>
      <c r="H1394" s="108"/>
      <c r="I1394" s="71"/>
    </row>
    <row r="1395" spans="1:9" s="212" customFormat="1">
      <c r="A1395" s="75" t="s">
        <v>391</v>
      </c>
      <c r="B1395" s="76" t="s">
        <v>392</v>
      </c>
      <c r="C1395" s="76" t="s">
        <v>393</v>
      </c>
      <c r="D1395" s="76" t="s">
        <v>394</v>
      </c>
      <c r="E1395" s="76" t="s">
        <v>395</v>
      </c>
      <c r="F1395" s="76" t="s">
        <v>396</v>
      </c>
      <c r="G1395" s="76" t="s">
        <v>397</v>
      </c>
      <c r="H1395" s="108"/>
      <c r="I1395" s="71"/>
    </row>
    <row r="1396" spans="1:9" s="212" customFormat="1">
      <c r="A1396" s="87" t="s">
        <v>409</v>
      </c>
      <c r="B1396" s="114" t="s">
        <v>409</v>
      </c>
      <c r="C1396" s="114" t="s">
        <v>409</v>
      </c>
      <c r="D1396" s="114" t="s">
        <v>409</v>
      </c>
      <c r="E1396" s="114" t="s">
        <v>409</v>
      </c>
      <c r="F1396" s="79" t="s">
        <v>409</v>
      </c>
      <c r="G1396" s="89" t="s">
        <v>409</v>
      </c>
      <c r="H1396" s="108"/>
      <c r="I1396" s="71"/>
    </row>
    <row r="1397" spans="1:9" s="212" customFormat="1">
      <c r="A1397" s="94"/>
      <c r="B1397" s="95"/>
      <c r="C1397" s="95"/>
      <c r="D1397" s="95"/>
      <c r="E1397" s="95"/>
      <c r="F1397"/>
      <c r="G1397" s="93" t="s">
        <v>407</v>
      </c>
      <c r="H1397" s="107">
        <f>SUM(G1395:G1396)</f>
        <v>0</v>
      </c>
      <c r="I1397" s="71"/>
    </row>
    <row r="1398" spans="1:9" s="212" customFormat="1">
      <c r="A1398" s="94"/>
      <c r="B1398" s="95"/>
      <c r="C1398" s="95"/>
      <c r="D1398" s="95"/>
      <c r="E1398" s="95"/>
      <c r="F1398"/>
      <c r="G1398" s="74"/>
      <c r="H1398" s="74"/>
      <c r="I1398" s="71"/>
    </row>
    <row r="1399" spans="1:9" s="212" customFormat="1">
      <c r="A1399" s="96"/>
      <c r="B1399" s="97"/>
      <c r="C1399" s="98"/>
      <c r="D1399" s="98"/>
      <c r="E1399" s="98"/>
      <c r="F1399"/>
      <c r="G1399" s="99" t="s">
        <v>412</v>
      </c>
      <c r="H1399" s="115">
        <f>SUM(H1383:H1397)</f>
        <v>2027.8000000000002</v>
      </c>
      <c r="I1399" s="71"/>
    </row>
    <row r="1400" spans="1:9" s="212" customFormat="1">
      <c r="A1400" s="96"/>
      <c r="B1400" s="97"/>
      <c r="C1400" s="98"/>
      <c r="D1400" s="98"/>
      <c r="E1400" s="98"/>
      <c r="F1400" s="101"/>
      <c r="G1400" s="116"/>
      <c r="H1400" s="70"/>
      <c r="I1400" s="71"/>
    </row>
    <row r="1401" spans="1:9" s="212" customFormat="1" ht="15.75" thickBot="1">
      <c r="A1401" s="624" t="s">
        <v>527</v>
      </c>
      <c r="B1401" s="625"/>
      <c r="C1401" s="625"/>
      <c r="D1401" s="625"/>
      <c r="E1401" s="625"/>
      <c r="F1401" s="625"/>
      <c r="G1401" s="626"/>
      <c r="H1401" s="208">
        <f>+ROUND(H1399,0)</f>
        <v>2028</v>
      </c>
      <c r="I1401" s="103"/>
    </row>
    <row r="1402" spans="1:9" s="212" customFormat="1">
      <c r="A1402" s="120"/>
      <c r="B1402" s="73"/>
      <c r="C1402" s="73"/>
      <c r="D1402" s="73"/>
      <c r="E1402" s="73"/>
      <c r="G1402" s="73"/>
      <c r="H1402" s="222"/>
    </row>
    <row r="1403" spans="1:9" s="212" customFormat="1" ht="15.75" thickBot="1">
      <c r="A1403" s="220"/>
      <c r="B1403" s="141"/>
      <c r="C1403" s="141"/>
      <c r="D1403" s="141"/>
      <c r="E1403" s="141"/>
      <c r="F1403" s="141"/>
      <c r="G1403" s="141"/>
      <c r="H1403" s="222"/>
    </row>
    <row r="1404" spans="1:9" s="212" customFormat="1">
      <c r="A1404" s="627"/>
      <c r="B1404" s="634" t="s">
        <v>42</v>
      </c>
      <c r="C1404" s="635"/>
      <c r="D1404" s="635"/>
      <c r="E1404" s="635"/>
      <c r="F1404" s="635"/>
      <c r="G1404" s="635"/>
      <c r="H1404" s="636"/>
      <c r="I1404" s="66" t="s">
        <v>389</v>
      </c>
    </row>
    <row r="1405" spans="1:9" s="212" customFormat="1">
      <c r="A1405" s="628"/>
      <c r="B1405" s="637"/>
      <c r="C1405" s="638"/>
      <c r="D1405" s="638"/>
      <c r="E1405" s="638"/>
      <c r="F1405" s="638"/>
      <c r="G1405" s="638"/>
      <c r="H1405" s="639"/>
      <c r="I1405" s="67" t="s">
        <v>526</v>
      </c>
    </row>
    <row r="1406" spans="1:9" s="212" customFormat="1">
      <c r="A1406" s="68"/>
      <c r="B1406" s="69"/>
      <c r="C1406" s="69"/>
      <c r="D1406" s="69"/>
      <c r="E1406" s="69"/>
      <c r="F1406" s="70"/>
      <c r="G1406" s="70"/>
      <c r="H1406" s="70"/>
      <c r="I1406" s="71"/>
    </row>
    <row r="1407" spans="1:9" s="212" customFormat="1">
      <c r="A1407" s="72" t="s">
        <v>390</v>
      </c>
      <c r="B1407" s="73"/>
      <c r="C1407" s="73"/>
      <c r="D1407" s="73"/>
      <c r="E1407" s="73"/>
      <c r="F1407" s="74"/>
      <c r="G1407" s="74"/>
      <c r="H1407" s="70"/>
      <c r="I1407" s="71"/>
    </row>
    <row r="1408" spans="1:9" s="212" customFormat="1">
      <c r="A1408" s="75" t="s">
        <v>391</v>
      </c>
      <c r="B1408" s="76" t="s">
        <v>392</v>
      </c>
      <c r="C1408" s="76" t="s">
        <v>393</v>
      </c>
      <c r="D1408" s="76" t="s">
        <v>394</v>
      </c>
      <c r="E1408" s="76" t="s">
        <v>395</v>
      </c>
      <c r="F1408" s="76" t="s">
        <v>396</v>
      </c>
      <c r="G1408" s="76" t="s">
        <v>397</v>
      </c>
      <c r="H1408" s="74"/>
      <c r="I1408" s="71"/>
    </row>
    <row r="1409" spans="1:9" s="212" customFormat="1">
      <c r="A1409" s="135" t="s">
        <v>404</v>
      </c>
      <c r="B1409" s="78" t="s">
        <v>405</v>
      </c>
      <c r="C1409" s="127" t="s">
        <v>523</v>
      </c>
      <c r="D1409" s="206">
        <v>1250</v>
      </c>
      <c r="E1409" s="79">
        <v>10</v>
      </c>
      <c r="F1409" s="79">
        <v>0</v>
      </c>
      <c r="G1409" s="206">
        <f>(D1409*E1409)+((D1409*E1409)*F1409/100)</f>
        <v>12500</v>
      </c>
      <c r="H1409" s="74"/>
      <c r="I1409" s="71"/>
    </row>
    <row r="1410" spans="1:9" s="212" customFormat="1">
      <c r="A1410" s="82"/>
      <c r="B1410" s="83"/>
      <c r="C1410" s="84"/>
      <c r="D1410" s="84"/>
      <c r="E1410" s="84"/>
      <c r="F1410"/>
      <c r="G1410" s="93" t="s">
        <v>407</v>
      </c>
      <c r="H1410" s="107">
        <f>SUM(G1409:G1409)</f>
        <v>12500</v>
      </c>
      <c r="I1410" s="71"/>
    </row>
    <row r="1411" spans="1:9" s="212" customFormat="1">
      <c r="A1411" s="72" t="s">
        <v>408</v>
      </c>
      <c r="B1411" s="73"/>
      <c r="C1411" s="73"/>
      <c r="D1411" s="73"/>
      <c r="E1411" s="73"/>
      <c r="F1411"/>
      <c r="G1411" s="74"/>
      <c r="H1411" s="108"/>
      <c r="I1411" s="71"/>
    </row>
    <row r="1412" spans="1:9" s="212" customFormat="1">
      <c r="A1412" s="75" t="s">
        <v>391</v>
      </c>
      <c r="B1412" s="76" t="s">
        <v>392</v>
      </c>
      <c r="C1412" s="76" t="s">
        <v>393</v>
      </c>
      <c r="D1412" s="76" t="s">
        <v>394</v>
      </c>
      <c r="E1412" s="76" t="s">
        <v>395</v>
      </c>
      <c r="F1412" s="76" t="s">
        <v>396</v>
      </c>
      <c r="G1412" s="76" t="s">
        <v>397</v>
      </c>
      <c r="H1412" s="108"/>
      <c r="I1412" s="71"/>
    </row>
    <row r="1413" spans="1:9" s="212" customFormat="1" ht="89.25">
      <c r="A1413" s="135"/>
      <c r="B1413" s="78" t="s">
        <v>42</v>
      </c>
      <c r="C1413" s="127" t="s">
        <v>7</v>
      </c>
      <c r="D1413" s="206">
        <v>1100000</v>
      </c>
      <c r="E1413" s="79">
        <v>1</v>
      </c>
      <c r="F1413" s="79">
        <v>0</v>
      </c>
      <c r="G1413" s="206">
        <f>(D1413*E1413)+((D1413*E1413)*F1413/100)</f>
        <v>1100000</v>
      </c>
      <c r="H1413" s="108"/>
      <c r="I1413" s="71"/>
    </row>
    <row r="1414" spans="1:9" s="212" customFormat="1">
      <c r="A1414" s="90"/>
      <c r="B1414" s="91"/>
      <c r="C1414" s="91"/>
      <c r="D1414" s="91"/>
      <c r="E1414" s="91"/>
      <c r="F1414"/>
      <c r="G1414" s="85" t="s">
        <v>407</v>
      </c>
      <c r="H1414" s="107">
        <f>SUM(G1413:G1413)</f>
        <v>1100000</v>
      </c>
      <c r="I1414" s="71"/>
    </row>
    <row r="1415" spans="1:9" s="212" customFormat="1">
      <c r="A1415" s="72" t="s">
        <v>410</v>
      </c>
      <c r="B1415" s="73"/>
      <c r="C1415" s="73"/>
      <c r="D1415" s="73"/>
      <c r="E1415" s="73"/>
      <c r="F1415"/>
      <c r="G1415" s="74"/>
      <c r="H1415" s="108"/>
      <c r="I1415" s="71"/>
    </row>
    <row r="1416" spans="1:9" s="212" customFormat="1">
      <c r="A1416" s="75" t="s">
        <v>391</v>
      </c>
      <c r="B1416" s="76" t="s">
        <v>392</v>
      </c>
      <c r="C1416" s="76" t="s">
        <v>393</v>
      </c>
      <c r="D1416" s="76" t="s">
        <v>394</v>
      </c>
      <c r="E1416" s="76" t="s">
        <v>395</v>
      </c>
      <c r="F1416" s="76" t="s">
        <v>396</v>
      </c>
      <c r="G1416" s="76" t="s">
        <v>397</v>
      </c>
      <c r="H1416" s="108"/>
      <c r="I1416" s="71"/>
    </row>
    <row r="1417" spans="1:9" s="212" customFormat="1" ht="25.5">
      <c r="A1417" s="125" t="s">
        <v>531</v>
      </c>
      <c r="B1417" s="78" t="s">
        <v>700</v>
      </c>
      <c r="C1417" s="127" t="s">
        <v>426</v>
      </c>
      <c r="D1417" s="206">
        <v>15927</v>
      </c>
      <c r="E1417" s="79">
        <v>3</v>
      </c>
      <c r="F1417" s="79">
        <v>0</v>
      </c>
      <c r="G1417" s="206">
        <f>(D1417*E1417)+((D1417*E1417)*F1417/100)</f>
        <v>47781</v>
      </c>
      <c r="H1417" s="108"/>
      <c r="I1417" s="71"/>
    </row>
    <row r="1418" spans="1:9" s="212" customFormat="1" ht="25.5">
      <c r="A1418" s="125" t="s">
        <v>598</v>
      </c>
      <c r="B1418" s="78" t="s">
        <v>614</v>
      </c>
      <c r="C1418" s="127" t="s">
        <v>426</v>
      </c>
      <c r="D1418" s="206">
        <v>15927</v>
      </c>
      <c r="E1418" s="79">
        <v>3</v>
      </c>
      <c r="F1418" s="79">
        <v>0</v>
      </c>
      <c r="G1418" s="206">
        <f>(D1418*E1418)+((D1418*E1418)*F1418/100)</f>
        <v>47781</v>
      </c>
      <c r="H1418" s="108"/>
      <c r="I1418" s="71"/>
    </row>
    <row r="1419" spans="1:9" s="212" customFormat="1">
      <c r="A1419" s="90"/>
      <c r="B1419" s="91"/>
      <c r="C1419" s="91"/>
      <c r="D1419" s="91"/>
      <c r="E1419" s="91"/>
      <c r="F1419"/>
      <c r="G1419" s="93" t="s">
        <v>407</v>
      </c>
      <c r="H1419" s="107">
        <f>SUM(G1417:G1418)</f>
        <v>95562</v>
      </c>
      <c r="I1419" s="71"/>
    </row>
    <row r="1420" spans="1:9" s="212" customFormat="1">
      <c r="A1420" s="72" t="s">
        <v>411</v>
      </c>
      <c r="B1420" s="73"/>
      <c r="C1420" s="73"/>
      <c r="D1420" s="73"/>
      <c r="E1420" s="73"/>
      <c r="F1420"/>
      <c r="G1420" s="74"/>
      <c r="H1420" s="108"/>
      <c r="I1420" s="71"/>
    </row>
    <row r="1421" spans="1:9" s="212" customFormat="1">
      <c r="A1421" s="75" t="s">
        <v>391</v>
      </c>
      <c r="B1421" s="76" t="s">
        <v>392</v>
      </c>
      <c r="C1421" s="76" t="s">
        <v>393</v>
      </c>
      <c r="D1421" s="76" t="s">
        <v>394</v>
      </c>
      <c r="E1421" s="76" t="s">
        <v>395</v>
      </c>
      <c r="F1421" s="76" t="s">
        <v>396</v>
      </c>
      <c r="G1421" s="76" t="s">
        <v>397</v>
      </c>
      <c r="H1421" s="108"/>
      <c r="I1421" s="71"/>
    </row>
    <row r="1422" spans="1:9" s="212" customFormat="1">
      <c r="A1422" s="87" t="s">
        <v>409</v>
      </c>
      <c r="B1422" s="114" t="s">
        <v>409</v>
      </c>
      <c r="C1422" s="114" t="s">
        <v>409</v>
      </c>
      <c r="D1422" s="114" t="s">
        <v>409</v>
      </c>
      <c r="E1422" s="114" t="s">
        <v>409</v>
      </c>
      <c r="F1422" s="79" t="s">
        <v>409</v>
      </c>
      <c r="G1422" s="89" t="s">
        <v>409</v>
      </c>
      <c r="H1422" s="108"/>
      <c r="I1422" s="71"/>
    </row>
    <row r="1423" spans="1:9" s="212" customFormat="1">
      <c r="A1423" s="94"/>
      <c r="B1423" s="95"/>
      <c r="C1423" s="95"/>
      <c r="D1423" s="95"/>
      <c r="E1423" s="95"/>
      <c r="F1423"/>
      <c r="G1423" s="93" t="s">
        <v>407</v>
      </c>
      <c r="H1423" s="107">
        <f>SUM(G1421:G1422)</f>
        <v>0</v>
      </c>
      <c r="I1423" s="71"/>
    </row>
    <row r="1424" spans="1:9" s="212" customFormat="1">
      <c r="A1424" s="94"/>
      <c r="B1424" s="95"/>
      <c r="C1424" s="95"/>
      <c r="D1424" s="95"/>
      <c r="E1424" s="95"/>
      <c r="F1424"/>
      <c r="G1424" s="74"/>
      <c r="H1424" s="74"/>
      <c r="I1424" s="71"/>
    </row>
    <row r="1425" spans="1:9" s="212" customFormat="1">
      <c r="A1425" s="96"/>
      <c r="B1425" s="97"/>
      <c r="C1425" s="98"/>
      <c r="D1425" s="98"/>
      <c r="E1425" s="98"/>
      <c r="F1425"/>
      <c r="G1425" s="99" t="s">
        <v>412</v>
      </c>
      <c r="H1425" s="115">
        <f>SUM(H1410:H1423)</f>
        <v>1208062</v>
      </c>
      <c r="I1425" s="71"/>
    </row>
    <row r="1426" spans="1:9" s="212" customFormat="1">
      <c r="A1426" s="96"/>
      <c r="B1426" s="97"/>
      <c r="C1426" s="98"/>
      <c r="D1426" s="98"/>
      <c r="E1426" s="98"/>
      <c r="F1426" s="101"/>
      <c r="G1426" s="116"/>
      <c r="H1426" s="70"/>
      <c r="I1426" s="71"/>
    </row>
    <row r="1427" spans="1:9" s="212" customFormat="1" ht="15.75" thickBot="1">
      <c r="A1427" s="624" t="s">
        <v>527</v>
      </c>
      <c r="B1427" s="625"/>
      <c r="C1427" s="625"/>
      <c r="D1427" s="625"/>
      <c r="E1427" s="625"/>
      <c r="F1427" s="625"/>
      <c r="G1427" s="626"/>
      <c r="H1427" s="208">
        <f>+ROUND(H1425,0)</f>
        <v>1208062</v>
      </c>
      <c r="I1427" s="103"/>
    </row>
    <row r="1428" spans="1:9" s="212" customFormat="1">
      <c r="A1428" s="91"/>
      <c r="B1428" s="91"/>
      <c r="C1428" s="91"/>
      <c r="D1428" s="91"/>
      <c r="E1428" s="91"/>
      <c r="G1428" s="213"/>
      <c r="H1428" s="222"/>
    </row>
    <row r="1429" spans="1:9" s="212" customFormat="1">
      <c r="A1429" s="120"/>
      <c r="B1429" s="73"/>
      <c r="C1429" s="73"/>
      <c r="D1429" s="73"/>
      <c r="E1429" s="73"/>
      <c r="G1429" s="73"/>
      <c r="H1429" s="222"/>
    </row>
    <row r="1430" spans="1:9" s="212" customFormat="1">
      <c r="A1430" s="220"/>
      <c r="B1430" s="141"/>
      <c r="C1430" s="141"/>
      <c r="D1430" s="141"/>
      <c r="E1430" s="141"/>
      <c r="F1430" s="141"/>
      <c r="G1430" s="141"/>
      <c r="H1430" s="222"/>
    </row>
    <row r="1431" spans="1:9" s="212" customFormat="1">
      <c r="A1431" s="142"/>
      <c r="B1431" s="143"/>
      <c r="C1431" s="143"/>
      <c r="D1431" s="143"/>
      <c r="E1431" s="143"/>
      <c r="F1431" s="84"/>
      <c r="G1431" s="146"/>
      <c r="H1431" s="221"/>
    </row>
    <row r="1432" spans="1:9" s="212" customFormat="1">
      <c r="A1432" s="91"/>
      <c r="B1432" s="91"/>
      <c r="C1432" s="91"/>
      <c r="D1432" s="91"/>
      <c r="E1432" s="91"/>
      <c r="G1432" s="213"/>
      <c r="H1432" s="222"/>
    </row>
    <row r="1433" spans="1:9" s="212" customFormat="1">
      <c r="A1433" s="120"/>
      <c r="B1433" s="73"/>
      <c r="C1433" s="73"/>
      <c r="D1433" s="73"/>
      <c r="E1433" s="73"/>
      <c r="G1433" s="73"/>
      <c r="H1433" s="222"/>
    </row>
    <row r="1434" spans="1:9" s="212" customFormat="1">
      <c r="A1434" s="220"/>
      <c r="B1434" s="141"/>
      <c r="C1434" s="141"/>
      <c r="D1434" s="141"/>
      <c r="E1434" s="141"/>
      <c r="F1434" s="141"/>
      <c r="G1434" s="141"/>
      <c r="H1434" s="222"/>
    </row>
    <row r="1435" spans="1:9" s="212" customFormat="1">
      <c r="A1435" s="142"/>
      <c r="B1435" s="143"/>
      <c r="C1435" s="143"/>
      <c r="D1435" s="143"/>
      <c r="E1435" s="143"/>
      <c r="F1435" s="84"/>
      <c r="G1435" s="146"/>
      <c r="H1435" s="221"/>
    </row>
    <row r="1436" spans="1:9" s="212" customFormat="1">
      <c r="A1436" s="123"/>
      <c r="B1436" s="95"/>
      <c r="C1436" s="95"/>
      <c r="D1436" s="95"/>
      <c r="E1436" s="95"/>
      <c r="G1436" s="213"/>
      <c r="H1436" s="73"/>
    </row>
    <row r="1437" spans="1:9" s="212" customFormat="1">
      <c r="A1437" s="123"/>
      <c r="B1437" s="95"/>
      <c r="C1437" s="95"/>
      <c r="D1437" s="95"/>
      <c r="E1437" s="95"/>
      <c r="G1437" s="73"/>
      <c r="H1437" s="225"/>
    </row>
    <row r="1438" spans="1:9" s="212" customFormat="1">
      <c r="B1438" s="97"/>
      <c r="C1438" s="98"/>
      <c r="D1438" s="98"/>
      <c r="E1438" s="98"/>
      <c r="G1438" s="220"/>
    </row>
    <row r="1439" spans="1:9" s="212" customFormat="1">
      <c r="B1439" s="97"/>
      <c r="C1439" s="98"/>
      <c r="D1439" s="98"/>
      <c r="E1439" s="98"/>
      <c r="F1439" s="220"/>
      <c r="G1439" s="225"/>
      <c r="H1439" s="226"/>
    </row>
    <row r="1440" spans="1:9" s="212" customFormat="1">
      <c r="A1440" s="633"/>
      <c r="B1440" s="633"/>
      <c r="C1440" s="633"/>
      <c r="D1440" s="633"/>
      <c r="E1440" s="633"/>
      <c r="F1440" s="633"/>
      <c r="G1440" s="633"/>
    </row>
    <row r="1441" spans="1:9" s="212" customFormat="1">
      <c r="H1441" s="227"/>
      <c r="I1441" s="228"/>
    </row>
    <row r="1442" spans="1:9" s="212" customFormat="1">
      <c r="A1442" s="658"/>
      <c r="B1442" s="227"/>
      <c r="C1442" s="227"/>
      <c r="D1442" s="227"/>
      <c r="E1442" s="227"/>
      <c r="F1442" s="227"/>
      <c r="G1442" s="227"/>
      <c r="H1442" s="227"/>
      <c r="I1442" s="229"/>
    </row>
    <row r="1443" spans="1:9" s="212" customFormat="1">
      <c r="A1443" s="658"/>
      <c r="B1443" s="227"/>
      <c r="C1443" s="227"/>
      <c r="D1443" s="227"/>
      <c r="E1443" s="227"/>
      <c r="F1443" s="227"/>
      <c r="G1443" s="227"/>
    </row>
    <row r="1444" spans="1:9" s="212" customFormat="1">
      <c r="A1444" s="69"/>
      <c r="B1444" s="69"/>
      <c r="C1444" s="69"/>
      <c r="D1444" s="69"/>
      <c r="E1444" s="69"/>
    </row>
    <row r="1445" spans="1:9" s="212" customFormat="1">
      <c r="A1445" s="120"/>
      <c r="B1445" s="73"/>
      <c r="C1445" s="73"/>
      <c r="D1445" s="73"/>
      <c r="E1445" s="73"/>
      <c r="F1445" s="73"/>
      <c r="G1445" s="73"/>
      <c r="H1445" s="73"/>
    </row>
    <row r="1446" spans="1:9" s="212" customFormat="1">
      <c r="A1446" s="220"/>
      <c r="B1446" s="141"/>
      <c r="C1446" s="141"/>
      <c r="D1446" s="141"/>
      <c r="E1446" s="141"/>
      <c r="F1446" s="141"/>
      <c r="G1446" s="141"/>
      <c r="H1446" s="73"/>
    </row>
    <row r="1447" spans="1:9" s="212" customFormat="1">
      <c r="A1447" s="142"/>
      <c r="B1447" s="143"/>
      <c r="C1447" s="143"/>
      <c r="D1447" s="143"/>
      <c r="E1447" s="143"/>
      <c r="F1447" s="84"/>
      <c r="G1447" s="146"/>
      <c r="H1447" s="221"/>
    </row>
    <row r="1448" spans="1:9" s="212" customFormat="1">
      <c r="A1448" s="84"/>
      <c r="B1448" s="83"/>
      <c r="C1448" s="84"/>
      <c r="D1448" s="84"/>
      <c r="E1448" s="84"/>
      <c r="G1448" s="213"/>
      <c r="H1448" s="222"/>
    </row>
    <row r="1449" spans="1:9" s="212" customFormat="1">
      <c r="A1449" s="120"/>
      <c r="B1449" s="73"/>
      <c r="C1449" s="73"/>
      <c r="D1449" s="73"/>
      <c r="E1449" s="73"/>
      <c r="G1449" s="73"/>
      <c r="H1449" s="222"/>
    </row>
    <row r="1450" spans="1:9" s="212" customFormat="1">
      <c r="A1450" s="220"/>
      <c r="B1450" s="141"/>
      <c r="C1450" s="141"/>
      <c r="D1450" s="141"/>
      <c r="E1450" s="141"/>
      <c r="F1450" s="141"/>
      <c r="G1450" s="141"/>
      <c r="H1450" s="222"/>
    </row>
    <row r="1451" spans="1:9" s="212" customFormat="1">
      <c r="A1451" s="150"/>
      <c r="B1451" s="83"/>
      <c r="C1451" s="148"/>
      <c r="D1451" s="160"/>
      <c r="E1451" s="84"/>
      <c r="F1451" s="84"/>
      <c r="G1451" s="146"/>
      <c r="H1451" s="221"/>
    </row>
    <row r="1452" spans="1:9" s="212" customFormat="1">
      <c r="A1452" s="91"/>
      <c r="B1452" s="91"/>
      <c r="C1452" s="91"/>
      <c r="D1452" s="91"/>
      <c r="E1452" s="91"/>
      <c r="G1452" s="213"/>
      <c r="H1452" s="222"/>
    </row>
    <row r="1453" spans="1:9" s="212" customFormat="1">
      <c r="A1453" s="120"/>
      <c r="B1453" s="73"/>
      <c r="C1453" s="73"/>
      <c r="D1453" s="73"/>
      <c r="E1453" s="73"/>
      <c r="G1453" s="73"/>
      <c r="H1453" s="222"/>
    </row>
    <row r="1454" spans="1:9" s="212" customFormat="1">
      <c r="A1454" s="220"/>
      <c r="B1454" s="141"/>
      <c r="C1454" s="141"/>
      <c r="D1454" s="141"/>
      <c r="E1454" s="141"/>
      <c r="F1454" s="141"/>
      <c r="G1454" s="141"/>
      <c r="H1454" s="222"/>
    </row>
    <row r="1455" spans="1:9" s="212" customFormat="1">
      <c r="A1455" s="142"/>
      <c r="B1455" s="143"/>
      <c r="C1455" s="143"/>
      <c r="D1455" s="143"/>
      <c r="E1455" s="143"/>
      <c r="F1455" s="84"/>
      <c r="G1455" s="146"/>
      <c r="H1455" s="221"/>
    </row>
    <row r="1456" spans="1:9" s="212" customFormat="1">
      <c r="A1456" s="91"/>
      <c r="B1456" s="91"/>
      <c r="C1456" s="91"/>
      <c r="D1456" s="91"/>
      <c r="E1456" s="91"/>
      <c r="G1456" s="213"/>
      <c r="H1456" s="222"/>
    </row>
    <row r="1457" spans="1:9" s="212" customFormat="1">
      <c r="A1457" s="120"/>
      <c r="B1457" s="73"/>
      <c r="C1457" s="73"/>
      <c r="D1457" s="73"/>
      <c r="E1457" s="73"/>
      <c r="G1457" s="73"/>
      <c r="H1457" s="222"/>
    </row>
    <row r="1458" spans="1:9" s="212" customFormat="1">
      <c r="A1458" s="220"/>
      <c r="B1458" s="141"/>
      <c r="C1458" s="141"/>
      <c r="D1458" s="141"/>
      <c r="E1458" s="141"/>
      <c r="F1458" s="141"/>
      <c r="G1458" s="141"/>
      <c r="H1458" s="222"/>
    </row>
    <row r="1459" spans="1:9" s="212" customFormat="1">
      <c r="A1459" s="142"/>
      <c r="B1459" s="143"/>
      <c r="C1459" s="143"/>
      <c r="D1459" s="143"/>
      <c r="E1459" s="143"/>
      <c r="F1459" s="84"/>
      <c r="G1459" s="146"/>
      <c r="H1459" s="221"/>
    </row>
    <row r="1460" spans="1:9" s="212" customFormat="1">
      <c r="A1460" s="123"/>
      <c r="B1460" s="95"/>
      <c r="C1460" s="95"/>
      <c r="D1460" s="95"/>
      <c r="E1460" s="95"/>
      <c r="G1460" s="213"/>
      <c r="H1460" s="73"/>
    </row>
    <row r="1461" spans="1:9" s="212" customFormat="1">
      <c r="A1461" s="123"/>
      <c r="B1461" s="95"/>
      <c r="C1461" s="95"/>
      <c r="D1461" s="95"/>
      <c r="E1461" s="95"/>
      <c r="G1461" s="73"/>
      <c r="H1461" s="225"/>
    </row>
    <row r="1462" spans="1:9" s="212" customFormat="1">
      <c r="B1462" s="97"/>
      <c r="C1462" s="98"/>
      <c r="D1462" s="98"/>
      <c r="E1462" s="98"/>
      <c r="G1462" s="220"/>
    </row>
    <row r="1463" spans="1:9" s="212" customFormat="1">
      <c r="B1463" s="97"/>
      <c r="C1463" s="98"/>
      <c r="D1463" s="98"/>
      <c r="E1463" s="98"/>
      <c r="F1463" s="220"/>
      <c r="G1463" s="225"/>
      <c r="H1463" s="226"/>
    </row>
    <row r="1464" spans="1:9" s="212" customFormat="1">
      <c r="A1464" s="633"/>
      <c r="B1464" s="633"/>
      <c r="C1464" s="633"/>
      <c r="D1464" s="633"/>
      <c r="E1464" s="633"/>
      <c r="F1464" s="633"/>
      <c r="G1464" s="633"/>
    </row>
    <row r="1465" spans="1:9" s="212" customFormat="1">
      <c r="H1465" s="227"/>
      <c r="I1465" s="228"/>
    </row>
    <row r="1466" spans="1:9" s="212" customFormat="1">
      <c r="A1466" s="658"/>
      <c r="B1466" s="227"/>
      <c r="C1466" s="227"/>
      <c r="D1466" s="227"/>
      <c r="E1466" s="227"/>
      <c r="F1466" s="227"/>
      <c r="G1466" s="227"/>
      <c r="H1466" s="227"/>
      <c r="I1466" s="229"/>
    </row>
    <row r="1467" spans="1:9" s="212" customFormat="1">
      <c r="A1467" s="658"/>
      <c r="B1467" s="227"/>
      <c r="C1467" s="227"/>
      <c r="D1467" s="227"/>
      <c r="E1467" s="227"/>
      <c r="F1467" s="227"/>
      <c r="G1467" s="227"/>
    </row>
    <row r="1468" spans="1:9" s="212" customFormat="1">
      <c r="A1468" s="69"/>
      <c r="B1468" s="69"/>
      <c r="C1468" s="69"/>
      <c r="D1468" s="69"/>
      <c r="E1468" s="69"/>
    </row>
    <row r="1469" spans="1:9" s="212" customFormat="1">
      <c r="A1469" s="120"/>
      <c r="B1469" s="73"/>
      <c r="C1469" s="73"/>
      <c r="D1469" s="73"/>
      <c r="E1469" s="73"/>
      <c r="F1469" s="73"/>
      <c r="G1469" s="73"/>
      <c r="H1469" s="73"/>
    </row>
    <row r="1470" spans="1:9" s="212" customFormat="1">
      <c r="A1470" s="220"/>
      <c r="B1470" s="141"/>
      <c r="C1470" s="141"/>
      <c r="D1470" s="141"/>
      <c r="E1470" s="141"/>
      <c r="F1470" s="141"/>
      <c r="G1470" s="141"/>
      <c r="H1470" s="73"/>
    </row>
    <row r="1471" spans="1:9" s="212" customFormat="1">
      <c r="A1471" s="142"/>
      <c r="B1471" s="143"/>
      <c r="C1471" s="143"/>
      <c r="D1471" s="143"/>
      <c r="E1471" s="143"/>
      <c r="F1471" s="84"/>
      <c r="G1471" s="146"/>
      <c r="H1471" s="221"/>
    </row>
    <row r="1472" spans="1:9" s="212" customFormat="1">
      <c r="A1472" s="84"/>
      <c r="B1472" s="83"/>
      <c r="C1472" s="84"/>
      <c r="D1472" s="84"/>
      <c r="E1472" s="84"/>
      <c r="G1472" s="213"/>
      <c r="H1472" s="222"/>
    </row>
    <row r="1473" spans="1:8" s="212" customFormat="1">
      <c r="A1473" s="120"/>
      <c r="B1473" s="73"/>
      <c r="C1473" s="73"/>
      <c r="D1473" s="73"/>
      <c r="E1473" s="73"/>
      <c r="G1473" s="73"/>
      <c r="H1473" s="222"/>
    </row>
    <row r="1474" spans="1:8" s="212" customFormat="1">
      <c r="A1474" s="220"/>
      <c r="B1474" s="141"/>
      <c r="C1474" s="141"/>
      <c r="D1474" s="141"/>
      <c r="E1474" s="141"/>
      <c r="F1474" s="141"/>
      <c r="G1474" s="141"/>
      <c r="H1474" s="222"/>
    </row>
    <row r="1475" spans="1:8" s="212" customFormat="1">
      <c r="A1475" s="150"/>
      <c r="B1475" s="83"/>
      <c r="C1475" s="148"/>
      <c r="D1475" s="160"/>
      <c r="E1475" s="84"/>
      <c r="F1475" s="84"/>
      <c r="G1475" s="146"/>
      <c r="H1475" s="221"/>
    </row>
    <row r="1476" spans="1:8" s="212" customFormat="1">
      <c r="A1476" s="91"/>
      <c r="B1476" s="91"/>
      <c r="C1476" s="91"/>
      <c r="D1476" s="91"/>
      <c r="E1476" s="91"/>
      <c r="G1476" s="213"/>
      <c r="H1476" s="222"/>
    </row>
    <row r="1477" spans="1:8" s="212" customFormat="1">
      <c r="A1477" s="120"/>
      <c r="B1477" s="73"/>
      <c r="C1477" s="73"/>
      <c r="D1477" s="73"/>
      <c r="E1477" s="73"/>
      <c r="G1477" s="73"/>
      <c r="H1477" s="222"/>
    </row>
    <row r="1478" spans="1:8" s="212" customFormat="1">
      <c r="A1478" s="220"/>
      <c r="B1478" s="141"/>
      <c r="C1478" s="141"/>
      <c r="D1478" s="141"/>
      <c r="E1478" s="141"/>
      <c r="F1478" s="141"/>
      <c r="G1478" s="141"/>
      <c r="H1478" s="222"/>
    </row>
    <row r="1479" spans="1:8" s="212" customFormat="1">
      <c r="A1479" s="142"/>
      <c r="B1479" s="143"/>
      <c r="C1479" s="143"/>
      <c r="D1479" s="143"/>
      <c r="E1479" s="143"/>
      <c r="F1479" s="84"/>
      <c r="G1479" s="146"/>
      <c r="H1479" s="221"/>
    </row>
    <row r="1480" spans="1:8" s="212" customFormat="1">
      <c r="A1480" s="91"/>
      <c r="B1480" s="91"/>
      <c r="C1480" s="91"/>
      <c r="D1480" s="91"/>
      <c r="E1480" s="91"/>
      <c r="G1480" s="213"/>
      <c r="H1480" s="222"/>
    </row>
    <row r="1481" spans="1:8" s="212" customFormat="1">
      <c r="A1481" s="120"/>
      <c r="B1481" s="73"/>
      <c r="C1481" s="73"/>
      <c r="D1481" s="73"/>
      <c r="E1481" s="73"/>
      <c r="G1481" s="73"/>
      <c r="H1481" s="222"/>
    </row>
    <row r="1482" spans="1:8" s="212" customFormat="1">
      <c r="A1482" s="220"/>
      <c r="B1482" s="141"/>
      <c r="C1482" s="141"/>
      <c r="D1482" s="141"/>
      <c r="E1482" s="141"/>
      <c r="F1482" s="141"/>
      <c r="G1482" s="141"/>
      <c r="H1482" s="222"/>
    </row>
    <row r="1483" spans="1:8" s="212" customFormat="1">
      <c r="A1483" s="142"/>
      <c r="B1483" s="143"/>
      <c r="C1483" s="143"/>
      <c r="D1483" s="143"/>
      <c r="E1483" s="143"/>
      <c r="F1483" s="84"/>
      <c r="G1483" s="146"/>
      <c r="H1483" s="221"/>
    </row>
    <row r="1484" spans="1:8" s="212" customFormat="1">
      <c r="A1484" s="123"/>
      <c r="B1484" s="95"/>
      <c r="C1484" s="95"/>
      <c r="D1484" s="95"/>
      <c r="E1484" s="95"/>
      <c r="G1484" s="213"/>
      <c r="H1484" s="73"/>
    </row>
    <row r="1485" spans="1:8" s="212" customFormat="1">
      <c r="A1485" s="123"/>
      <c r="B1485" s="95"/>
      <c r="C1485" s="95"/>
      <c r="D1485" s="95"/>
      <c r="E1485" s="95"/>
      <c r="G1485" s="73"/>
      <c r="H1485" s="225"/>
    </row>
    <row r="1486" spans="1:8" s="212" customFormat="1">
      <c r="B1486" s="97"/>
      <c r="C1486" s="98"/>
      <c r="D1486" s="98"/>
      <c r="E1486" s="98"/>
      <c r="G1486" s="220"/>
    </row>
    <row r="1487" spans="1:8" s="212" customFormat="1">
      <c r="B1487" s="97"/>
      <c r="C1487" s="98"/>
      <c r="D1487" s="98"/>
      <c r="E1487" s="98"/>
      <c r="F1487" s="220"/>
      <c r="G1487" s="225"/>
      <c r="H1487" s="226"/>
    </row>
    <row r="1488" spans="1:8" s="212" customFormat="1">
      <c r="A1488" s="633"/>
      <c r="B1488" s="633"/>
      <c r="C1488" s="633"/>
      <c r="D1488" s="633"/>
      <c r="E1488" s="633"/>
      <c r="F1488" s="633"/>
      <c r="G1488" s="633"/>
    </row>
    <row r="1489" spans="1:9" s="212" customFormat="1">
      <c r="H1489" s="227"/>
      <c r="I1489" s="228"/>
    </row>
    <row r="1490" spans="1:9" s="212" customFormat="1">
      <c r="A1490" s="658"/>
      <c r="B1490" s="227"/>
      <c r="C1490" s="227"/>
      <c r="D1490" s="227"/>
      <c r="E1490" s="227"/>
      <c r="F1490" s="227"/>
      <c r="G1490" s="227"/>
      <c r="H1490" s="227"/>
      <c r="I1490" s="229"/>
    </row>
    <row r="1491" spans="1:9" s="212" customFormat="1">
      <c r="A1491" s="658"/>
      <c r="B1491" s="227"/>
      <c r="C1491" s="227"/>
      <c r="D1491" s="227"/>
      <c r="E1491" s="227"/>
      <c r="F1491" s="227"/>
      <c r="G1491" s="227"/>
    </row>
    <row r="1492" spans="1:9" s="212" customFormat="1">
      <c r="A1492" s="69"/>
      <c r="B1492" s="69"/>
      <c r="C1492" s="69"/>
      <c r="D1492" s="69"/>
      <c r="E1492" s="69"/>
    </row>
    <row r="1493" spans="1:9" s="212" customFormat="1">
      <c r="A1493" s="120"/>
      <c r="B1493" s="73"/>
      <c r="C1493" s="73"/>
      <c r="D1493" s="73"/>
      <c r="E1493" s="73"/>
      <c r="F1493" s="73"/>
      <c r="G1493" s="73"/>
      <c r="H1493" s="73"/>
    </row>
    <row r="1494" spans="1:9" s="212" customFormat="1">
      <c r="A1494" s="220"/>
      <c r="B1494" s="141"/>
      <c r="C1494" s="141"/>
      <c r="D1494" s="141"/>
      <c r="E1494" s="141"/>
      <c r="F1494" s="141"/>
      <c r="G1494" s="141"/>
      <c r="H1494" s="73"/>
    </row>
    <row r="1495" spans="1:9" s="212" customFormat="1">
      <c r="A1495" s="142"/>
      <c r="B1495" s="143"/>
      <c r="C1495" s="143"/>
      <c r="D1495" s="143"/>
      <c r="E1495" s="143"/>
      <c r="F1495" s="84"/>
      <c r="G1495" s="146"/>
      <c r="H1495" s="221"/>
    </row>
    <row r="1496" spans="1:9" s="212" customFormat="1">
      <c r="A1496" s="84"/>
      <c r="B1496" s="83"/>
      <c r="C1496" s="84"/>
      <c r="D1496" s="84"/>
      <c r="E1496" s="84"/>
      <c r="G1496" s="213"/>
      <c r="H1496" s="222"/>
    </row>
    <row r="1497" spans="1:9" s="212" customFormat="1">
      <c r="A1497" s="120"/>
      <c r="B1497" s="73"/>
      <c r="C1497" s="73"/>
      <c r="D1497" s="73"/>
      <c r="E1497" s="73"/>
      <c r="G1497" s="73"/>
      <c r="H1497" s="222"/>
    </row>
    <row r="1498" spans="1:9" s="212" customFormat="1">
      <c r="A1498" s="220"/>
      <c r="B1498" s="141"/>
      <c r="C1498" s="141"/>
      <c r="D1498" s="141"/>
      <c r="E1498" s="141"/>
      <c r="F1498" s="141"/>
      <c r="G1498" s="141"/>
      <c r="H1498" s="222"/>
    </row>
    <row r="1499" spans="1:9" s="212" customFormat="1">
      <c r="A1499" s="150"/>
      <c r="B1499" s="83"/>
      <c r="C1499" s="148"/>
      <c r="D1499" s="160"/>
      <c r="E1499" s="84"/>
      <c r="F1499" s="84"/>
      <c r="G1499" s="146"/>
      <c r="H1499" s="221"/>
    </row>
    <row r="1500" spans="1:9" s="212" customFormat="1">
      <c r="A1500" s="91"/>
      <c r="B1500" s="91"/>
      <c r="C1500" s="91"/>
      <c r="D1500" s="91"/>
      <c r="E1500" s="91"/>
      <c r="G1500" s="213"/>
      <c r="H1500" s="222"/>
    </row>
    <row r="1501" spans="1:9" s="212" customFormat="1">
      <c r="A1501" s="120"/>
      <c r="B1501" s="73"/>
      <c r="C1501" s="73"/>
      <c r="D1501" s="73"/>
      <c r="E1501" s="73"/>
      <c r="G1501" s="73"/>
      <c r="H1501" s="222"/>
    </row>
    <row r="1502" spans="1:9" s="212" customFormat="1">
      <c r="A1502" s="220"/>
      <c r="B1502" s="141"/>
      <c r="C1502" s="141"/>
      <c r="D1502" s="141"/>
      <c r="E1502" s="141"/>
      <c r="F1502" s="141"/>
      <c r="G1502" s="141"/>
      <c r="H1502" s="222"/>
    </row>
    <row r="1503" spans="1:9" s="212" customFormat="1">
      <c r="A1503" s="142"/>
      <c r="B1503" s="143"/>
      <c r="C1503" s="143"/>
      <c r="D1503" s="143"/>
      <c r="E1503" s="143"/>
      <c r="F1503" s="84"/>
      <c r="G1503" s="146"/>
      <c r="H1503" s="221"/>
    </row>
    <row r="1504" spans="1:9" s="212" customFormat="1">
      <c r="A1504" s="91"/>
      <c r="B1504" s="91"/>
      <c r="C1504" s="91"/>
      <c r="D1504" s="91"/>
      <c r="E1504" s="91"/>
      <c r="G1504" s="213"/>
      <c r="H1504" s="222"/>
    </row>
    <row r="1505" spans="1:9" s="212" customFormat="1">
      <c r="A1505" s="120"/>
      <c r="B1505" s="73"/>
      <c r="C1505" s="73"/>
      <c r="D1505" s="73"/>
      <c r="E1505" s="73"/>
      <c r="G1505" s="73"/>
      <c r="H1505" s="222"/>
    </row>
    <row r="1506" spans="1:9" s="212" customFormat="1">
      <c r="A1506" s="220"/>
      <c r="B1506" s="141"/>
      <c r="C1506" s="141"/>
      <c r="D1506" s="141"/>
      <c r="E1506" s="141"/>
      <c r="F1506" s="141"/>
      <c r="G1506" s="141"/>
      <c r="H1506" s="222"/>
    </row>
    <row r="1507" spans="1:9" s="212" customFormat="1">
      <c r="A1507" s="142"/>
      <c r="B1507" s="143"/>
      <c r="C1507" s="143"/>
      <c r="D1507" s="143"/>
      <c r="E1507" s="143"/>
      <c r="F1507" s="84"/>
      <c r="G1507" s="146"/>
      <c r="H1507" s="221"/>
    </row>
    <row r="1508" spans="1:9" s="212" customFormat="1">
      <c r="A1508" s="123"/>
      <c r="B1508" s="95"/>
      <c r="C1508" s="95"/>
      <c r="D1508" s="95"/>
      <c r="E1508" s="95"/>
      <c r="G1508" s="213"/>
      <c r="H1508" s="73"/>
    </row>
    <row r="1509" spans="1:9" s="212" customFormat="1">
      <c r="A1509" s="123"/>
      <c r="B1509" s="95"/>
      <c r="C1509" s="95"/>
      <c r="D1509" s="95"/>
      <c r="E1509" s="95"/>
      <c r="G1509" s="73"/>
      <c r="H1509" s="225"/>
    </row>
    <row r="1510" spans="1:9" s="212" customFormat="1">
      <c r="B1510" s="97"/>
      <c r="C1510" s="98"/>
      <c r="D1510" s="98"/>
      <c r="E1510" s="98"/>
      <c r="G1510" s="220"/>
    </row>
    <row r="1511" spans="1:9" s="212" customFormat="1">
      <c r="B1511" s="97"/>
      <c r="C1511" s="98"/>
      <c r="D1511" s="98"/>
      <c r="E1511" s="98"/>
      <c r="F1511" s="220"/>
      <c r="G1511" s="225"/>
      <c r="H1511" s="226"/>
    </row>
    <row r="1512" spans="1:9" s="212" customFormat="1">
      <c r="A1512" s="633"/>
      <c r="B1512" s="633"/>
      <c r="C1512" s="633"/>
      <c r="D1512" s="633"/>
      <c r="E1512" s="633"/>
      <c r="F1512" s="633"/>
      <c r="G1512" s="633"/>
    </row>
    <row r="1513" spans="1:9" s="212" customFormat="1">
      <c r="H1513" s="227"/>
      <c r="I1513" s="228"/>
    </row>
    <row r="1514" spans="1:9" s="212" customFormat="1">
      <c r="A1514" s="658"/>
      <c r="B1514" s="227"/>
      <c r="C1514" s="227"/>
      <c r="D1514" s="227"/>
      <c r="E1514" s="227"/>
      <c r="F1514" s="227"/>
      <c r="G1514" s="227"/>
      <c r="H1514" s="227"/>
      <c r="I1514" s="229"/>
    </row>
    <row r="1515" spans="1:9" s="212" customFormat="1">
      <c r="A1515" s="658"/>
      <c r="B1515" s="227"/>
      <c r="C1515" s="227"/>
      <c r="D1515" s="227"/>
      <c r="E1515" s="227"/>
      <c r="F1515" s="227"/>
      <c r="G1515" s="227"/>
    </row>
    <row r="1516" spans="1:9" s="212" customFormat="1">
      <c r="A1516" s="69"/>
      <c r="B1516" s="69"/>
      <c r="C1516" s="69"/>
      <c r="D1516" s="69"/>
      <c r="E1516" s="69"/>
    </row>
    <row r="1517" spans="1:9" s="212" customFormat="1">
      <c r="A1517" s="120"/>
      <c r="B1517" s="73"/>
      <c r="C1517" s="73"/>
      <c r="D1517" s="73"/>
      <c r="E1517" s="73"/>
      <c r="F1517" s="73"/>
      <c r="G1517" s="73"/>
      <c r="H1517" s="73"/>
    </row>
    <row r="1518" spans="1:9" s="212" customFormat="1">
      <c r="A1518" s="220"/>
      <c r="B1518" s="141"/>
      <c r="C1518" s="141"/>
      <c r="D1518" s="141"/>
      <c r="E1518" s="141"/>
      <c r="F1518" s="141"/>
      <c r="G1518" s="141"/>
      <c r="H1518" s="73"/>
    </row>
    <row r="1519" spans="1:9" s="212" customFormat="1">
      <c r="A1519" s="142"/>
      <c r="B1519" s="143"/>
      <c r="C1519" s="143"/>
      <c r="D1519" s="143"/>
      <c r="E1519" s="143"/>
      <c r="F1519" s="84"/>
      <c r="G1519" s="146"/>
      <c r="H1519" s="221"/>
    </row>
    <row r="1520" spans="1:9" s="212" customFormat="1">
      <c r="A1520" s="84"/>
      <c r="B1520" s="83"/>
      <c r="C1520" s="84"/>
      <c r="D1520" s="84"/>
      <c r="E1520" s="84"/>
      <c r="G1520" s="213"/>
      <c r="H1520" s="222"/>
    </row>
    <row r="1521" spans="1:8" s="212" customFormat="1">
      <c r="A1521" s="120"/>
      <c r="B1521" s="73"/>
      <c r="C1521" s="73"/>
      <c r="D1521" s="73"/>
      <c r="E1521" s="73"/>
      <c r="G1521" s="73"/>
      <c r="H1521" s="222"/>
    </row>
    <row r="1522" spans="1:8" s="212" customFormat="1">
      <c r="A1522" s="220"/>
      <c r="B1522" s="141"/>
      <c r="C1522" s="141"/>
      <c r="D1522" s="141"/>
      <c r="E1522" s="141"/>
      <c r="F1522" s="141"/>
      <c r="G1522" s="141"/>
      <c r="H1522" s="222"/>
    </row>
    <row r="1523" spans="1:8" s="212" customFormat="1">
      <c r="A1523" s="150"/>
      <c r="B1523" s="83"/>
      <c r="C1523" s="148"/>
      <c r="D1523" s="160"/>
      <c r="E1523" s="84"/>
      <c r="F1523" s="84"/>
      <c r="G1523" s="146"/>
      <c r="H1523" s="221"/>
    </row>
    <row r="1524" spans="1:8" s="212" customFormat="1">
      <c r="A1524" s="91"/>
      <c r="B1524" s="91"/>
      <c r="C1524" s="91"/>
      <c r="D1524" s="91"/>
      <c r="E1524" s="91"/>
      <c r="G1524" s="213"/>
      <c r="H1524" s="222"/>
    </row>
    <row r="1525" spans="1:8" s="212" customFormat="1">
      <c r="A1525" s="120"/>
      <c r="B1525" s="73"/>
      <c r="C1525" s="73"/>
      <c r="D1525" s="73"/>
      <c r="E1525" s="73"/>
      <c r="G1525" s="73"/>
      <c r="H1525" s="222"/>
    </row>
    <row r="1526" spans="1:8" s="212" customFormat="1">
      <c r="A1526" s="220"/>
      <c r="B1526" s="141"/>
      <c r="C1526" s="141"/>
      <c r="D1526" s="141"/>
      <c r="E1526" s="141"/>
      <c r="F1526" s="141"/>
      <c r="G1526" s="141"/>
      <c r="H1526" s="222"/>
    </row>
    <row r="1527" spans="1:8" s="212" customFormat="1">
      <c r="A1527" s="142"/>
      <c r="B1527" s="143"/>
      <c r="C1527" s="143"/>
      <c r="D1527" s="143"/>
      <c r="E1527" s="143"/>
      <c r="F1527" s="84"/>
      <c r="G1527" s="146"/>
      <c r="H1527" s="221"/>
    </row>
    <row r="1528" spans="1:8" s="212" customFormat="1">
      <c r="A1528" s="91"/>
      <c r="B1528" s="91"/>
      <c r="C1528" s="91"/>
      <c r="D1528" s="91"/>
      <c r="E1528" s="91"/>
      <c r="G1528" s="213"/>
      <c r="H1528" s="222"/>
    </row>
    <row r="1529" spans="1:8" s="212" customFormat="1">
      <c r="A1529" s="120"/>
      <c r="B1529" s="73"/>
      <c r="C1529" s="73"/>
      <c r="D1529" s="73"/>
      <c r="E1529" s="73"/>
      <c r="G1529" s="73"/>
      <c r="H1529" s="222"/>
    </row>
    <row r="1530" spans="1:8" s="212" customFormat="1">
      <c r="A1530" s="220"/>
      <c r="B1530" s="141"/>
      <c r="C1530" s="141"/>
      <c r="D1530" s="141"/>
      <c r="E1530" s="141"/>
      <c r="F1530" s="141"/>
      <c r="G1530" s="141"/>
      <c r="H1530" s="222"/>
    </row>
    <row r="1531" spans="1:8" s="212" customFormat="1">
      <c r="A1531" s="142"/>
      <c r="B1531" s="143"/>
      <c r="C1531" s="143"/>
      <c r="D1531" s="143"/>
      <c r="E1531" s="143"/>
      <c r="F1531" s="84"/>
      <c r="G1531" s="146"/>
      <c r="H1531" s="221"/>
    </row>
    <row r="1532" spans="1:8" s="212" customFormat="1">
      <c r="A1532" s="123"/>
      <c r="B1532" s="95"/>
      <c r="C1532" s="95"/>
      <c r="D1532" s="95"/>
      <c r="E1532" s="95"/>
      <c r="G1532" s="213"/>
      <c r="H1532" s="73"/>
    </row>
    <row r="1533" spans="1:8" s="212" customFormat="1">
      <c r="A1533" s="123"/>
      <c r="B1533" s="95"/>
      <c r="C1533" s="95"/>
      <c r="D1533" s="95"/>
      <c r="E1533" s="95"/>
      <c r="G1533" s="73"/>
      <c r="H1533" s="225"/>
    </row>
    <row r="1534" spans="1:8" s="212" customFormat="1">
      <c r="B1534" s="97"/>
      <c r="C1534" s="98"/>
      <c r="D1534" s="98"/>
      <c r="E1534" s="98"/>
      <c r="G1534" s="220"/>
    </row>
    <row r="1535" spans="1:8" s="212" customFormat="1">
      <c r="B1535" s="97"/>
      <c r="C1535" s="98"/>
      <c r="D1535" s="98"/>
      <c r="E1535" s="98"/>
      <c r="F1535" s="220"/>
      <c r="G1535" s="225"/>
      <c r="H1535" s="226"/>
    </row>
    <row r="1536" spans="1:8" s="212" customFormat="1">
      <c r="A1536" s="633"/>
      <c r="B1536" s="633"/>
      <c r="C1536" s="633"/>
      <c r="D1536" s="633"/>
      <c r="E1536" s="633"/>
      <c r="F1536" s="633"/>
      <c r="G1536" s="633"/>
    </row>
    <row r="1537" spans="1:9" s="212" customFormat="1">
      <c r="H1537" s="227"/>
      <c r="I1537" s="228"/>
    </row>
    <row r="1538" spans="1:9" s="212" customFormat="1">
      <c r="A1538" s="658"/>
      <c r="B1538" s="227"/>
      <c r="C1538" s="227"/>
      <c r="D1538" s="227"/>
      <c r="E1538" s="227"/>
      <c r="F1538" s="227"/>
      <c r="G1538" s="227"/>
      <c r="H1538" s="227"/>
      <c r="I1538" s="229"/>
    </row>
    <row r="1539" spans="1:9" s="212" customFormat="1">
      <c r="A1539" s="658"/>
      <c r="B1539" s="227"/>
      <c r="C1539" s="227"/>
      <c r="D1539" s="227"/>
      <c r="E1539" s="227"/>
      <c r="F1539" s="227"/>
      <c r="G1539" s="227"/>
    </row>
    <row r="1540" spans="1:9" s="212" customFormat="1">
      <c r="A1540" s="69"/>
      <c r="B1540" s="69"/>
      <c r="C1540" s="69"/>
      <c r="D1540" s="69"/>
      <c r="E1540" s="69"/>
    </row>
    <row r="1541" spans="1:9" s="212" customFormat="1">
      <c r="A1541" s="120"/>
      <c r="B1541" s="73"/>
      <c r="C1541" s="73"/>
      <c r="D1541" s="73"/>
      <c r="E1541" s="73"/>
      <c r="F1541" s="73"/>
      <c r="G1541" s="73"/>
      <c r="H1541" s="73"/>
    </row>
    <row r="1542" spans="1:9" s="212" customFormat="1">
      <c r="A1542" s="220"/>
      <c r="B1542" s="141"/>
      <c r="C1542" s="141"/>
      <c r="D1542" s="141"/>
      <c r="E1542" s="141"/>
      <c r="F1542" s="141"/>
      <c r="G1542" s="141"/>
      <c r="H1542" s="73"/>
    </row>
    <row r="1543" spans="1:9" s="212" customFormat="1">
      <c r="A1543" s="142"/>
      <c r="B1543" s="143"/>
      <c r="C1543" s="143"/>
      <c r="D1543" s="143"/>
      <c r="E1543" s="143"/>
      <c r="F1543" s="84"/>
      <c r="G1543" s="146"/>
      <c r="H1543" s="221"/>
    </row>
    <row r="1544" spans="1:9" s="212" customFormat="1">
      <c r="A1544" s="84"/>
      <c r="B1544" s="83"/>
      <c r="C1544" s="84"/>
      <c r="D1544" s="84"/>
      <c r="E1544" s="84"/>
      <c r="G1544" s="213"/>
      <c r="H1544" s="222"/>
    </row>
    <row r="1545" spans="1:9" s="212" customFormat="1">
      <c r="A1545" s="120"/>
      <c r="B1545" s="73"/>
      <c r="C1545" s="73"/>
      <c r="D1545" s="73"/>
      <c r="E1545" s="73"/>
      <c r="G1545" s="73"/>
      <c r="H1545" s="222"/>
    </row>
    <row r="1546" spans="1:9" s="212" customFormat="1">
      <c r="A1546" s="220"/>
      <c r="B1546" s="141"/>
      <c r="C1546" s="141"/>
      <c r="D1546" s="141"/>
      <c r="E1546" s="141"/>
      <c r="F1546" s="141"/>
      <c r="G1546" s="141"/>
      <c r="H1546" s="222"/>
    </row>
    <row r="1547" spans="1:9" s="212" customFormat="1">
      <c r="A1547" s="150"/>
      <c r="B1547" s="83"/>
      <c r="C1547" s="148"/>
      <c r="D1547" s="160"/>
      <c r="E1547" s="84"/>
      <c r="F1547" s="84"/>
      <c r="G1547" s="146"/>
      <c r="H1547" s="221"/>
    </row>
    <row r="1548" spans="1:9" s="212" customFormat="1">
      <c r="A1548" s="91"/>
      <c r="B1548" s="91"/>
      <c r="C1548" s="91"/>
      <c r="D1548" s="91"/>
      <c r="E1548" s="91"/>
      <c r="G1548" s="213"/>
      <c r="H1548" s="222"/>
    </row>
    <row r="1549" spans="1:9" s="212" customFormat="1">
      <c r="A1549" s="120"/>
      <c r="B1549" s="73"/>
      <c r="C1549" s="73"/>
      <c r="D1549" s="73"/>
      <c r="E1549" s="73"/>
      <c r="G1549" s="73"/>
      <c r="H1549" s="222"/>
    </row>
    <row r="1550" spans="1:9" s="212" customFormat="1">
      <c r="A1550" s="220"/>
      <c r="B1550" s="141"/>
      <c r="C1550" s="141"/>
      <c r="D1550" s="141"/>
      <c r="E1550" s="141"/>
      <c r="F1550" s="141"/>
      <c r="G1550" s="141"/>
      <c r="H1550" s="222"/>
    </row>
    <row r="1551" spans="1:9" s="212" customFormat="1">
      <c r="A1551" s="142"/>
      <c r="B1551" s="143"/>
      <c r="C1551" s="143"/>
      <c r="D1551" s="143"/>
      <c r="E1551" s="143"/>
      <c r="F1551" s="84"/>
      <c r="G1551" s="146"/>
      <c r="H1551" s="221"/>
    </row>
    <row r="1552" spans="1:9" s="212" customFormat="1">
      <c r="A1552" s="91"/>
      <c r="B1552" s="91"/>
      <c r="C1552" s="91"/>
      <c r="D1552" s="91"/>
      <c r="E1552" s="91"/>
      <c r="G1552" s="213"/>
      <c r="H1552" s="222"/>
    </row>
    <row r="1553" spans="1:9" s="212" customFormat="1">
      <c r="A1553" s="120"/>
      <c r="B1553" s="73"/>
      <c r="C1553" s="73"/>
      <c r="D1553" s="73"/>
      <c r="E1553" s="73"/>
      <c r="G1553" s="73"/>
      <c r="H1553" s="222"/>
    </row>
    <row r="1554" spans="1:9" s="212" customFormat="1">
      <c r="A1554" s="220"/>
      <c r="B1554" s="141"/>
      <c r="C1554" s="141"/>
      <c r="D1554" s="141"/>
      <c r="E1554" s="141"/>
      <c r="F1554" s="141"/>
      <c r="G1554" s="141"/>
      <c r="H1554" s="222"/>
    </row>
    <row r="1555" spans="1:9" s="212" customFormat="1">
      <c r="A1555" s="142"/>
      <c r="B1555" s="143"/>
      <c r="C1555" s="143"/>
      <c r="D1555" s="143"/>
      <c r="E1555" s="143"/>
      <c r="F1555" s="84"/>
      <c r="G1555" s="146"/>
      <c r="H1555" s="221"/>
    </row>
    <row r="1556" spans="1:9" s="212" customFormat="1">
      <c r="A1556" s="123"/>
      <c r="B1556" s="95"/>
      <c r="C1556" s="95"/>
      <c r="D1556" s="95"/>
      <c r="E1556" s="95"/>
      <c r="G1556" s="213"/>
      <c r="H1556" s="73"/>
    </row>
    <row r="1557" spans="1:9" s="212" customFormat="1">
      <c r="A1557" s="123"/>
      <c r="B1557" s="95"/>
      <c r="C1557" s="95"/>
      <c r="D1557" s="95"/>
      <c r="E1557" s="95"/>
      <c r="G1557" s="73"/>
      <c r="H1557" s="225"/>
    </row>
    <row r="1558" spans="1:9" s="212" customFormat="1">
      <c r="B1558" s="97"/>
      <c r="C1558" s="98"/>
      <c r="D1558" s="98"/>
      <c r="E1558" s="98"/>
      <c r="G1558" s="220"/>
    </row>
    <row r="1559" spans="1:9" s="212" customFormat="1">
      <c r="B1559" s="97"/>
      <c r="C1559" s="98"/>
      <c r="D1559" s="98"/>
      <c r="E1559" s="98"/>
      <c r="F1559" s="220"/>
      <c r="G1559" s="225"/>
      <c r="H1559" s="226"/>
    </row>
    <row r="1560" spans="1:9" s="212" customFormat="1">
      <c r="A1560" s="633"/>
      <c r="B1560" s="633"/>
      <c r="C1560" s="633"/>
      <c r="D1560" s="633"/>
      <c r="E1560" s="633"/>
      <c r="F1560" s="633"/>
      <c r="G1560" s="633"/>
    </row>
    <row r="1561" spans="1:9" s="212" customFormat="1">
      <c r="H1561" s="227"/>
      <c r="I1561" s="228"/>
    </row>
    <row r="1562" spans="1:9" s="212" customFormat="1">
      <c r="A1562" s="658"/>
      <c r="B1562" s="227"/>
      <c r="C1562" s="227"/>
      <c r="D1562" s="227"/>
      <c r="E1562" s="227"/>
      <c r="F1562" s="227"/>
      <c r="G1562" s="227"/>
      <c r="H1562" s="227"/>
      <c r="I1562" s="229"/>
    </row>
    <row r="1563" spans="1:9" s="212" customFormat="1">
      <c r="A1563" s="658"/>
      <c r="B1563" s="227"/>
      <c r="C1563" s="227"/>
      <c r="D1563" s="227"/>
      <c r="E1563" s="227"/>
      <c r="F1563" s="227"/>
      <c r="G1563" s="227"/>
    </row>
    <row r="1564" spans="1:9" s="212" customFormat="1">
      <c r="A1564" s="69"/>
      <c r="B1564" s="69"/>
      <c r="C1564" s="69"/>
      <c r="D1564" s="69"/>
      <c r="E1564" s="69"/>
    </row>
    <row r="1565" spans="1:9" s="212" customFormat="1">
      <c r="A1565" s="120"/>
      <c r="B1565" s="73"/>
      <c r="C1565" s="73"/>
      <c r="D1565" s="73"/>
      <c r="E1565" s="73"/>
      <c r="F1565" s="73"/>
      <c r="G1565" s="73"/>
      <c r="H1565" s="73"/>
    </row>
    <row r="1566" spans="1:9" s="212" customFormat="1">
      <c r="A1566" s="220"/>
      <c r="B1566" s="141"/>
      <c r="C1566" s="141"/>
      <c r="D1566" s="141"/>
      <c r="E1566" s="141"/>
      <c r="F1566" s="141"/>
      <c r="G1566" s="141"/>
      <c r="H1566" s="73"/>
    </row>
    <row r="1567" spans="1:9" s="212" customFormat="1">
      <c r="A1567" s="142"/>
      <c r="B1567" s="143"/>
      <c r="C1567" s="143"/>
      <c r="D1567" s="143"/>
      <c r="E1567" s="143"/>
      <c r="F1567" s="84"/>
      <c r="G1567" s="146"/>
      <c r="H1567" s="221"/>
    </row>
    <row r="1568" spans="1:9" s="212" customFormat="1">
      <c r="A1568" s="84"/>
      <c r="B1568" s="83"/>
      <c r="C1568" s="84"/>
      <c r="D1568" s="84"/>
      <c r="E1568" s="84"/>
      <c r="G1568" s="213"/>
      <c r="H1568" s="222"/>
    </row>
    <row r="1569" spans="1:8" s="212" customFormat="1">
      <c r="A1569" s="120"/>
      <c r="B1569" s="73"/>
      <c r="C1569" s="73"/>
      <c r="D1569" s="73"/>
      <c r="E1569" s="73"/>
      <c r="G1569" s="73"/>
      <c r="H1569" s="222"/>
    </row>
    <row r="1570" spans="1:8" s="212" customFormat="1">
      <c r="A1570" s="220"/>
      <c r="B1570" s="141"/>
      <c r="C1570" s="141"/>
      <c r="D1570" s="141"/>
      <c r="E1570" s="141"/>
      <c r="F1570" s="141"/>
      <c r="G1570" s="141"/>
      <c r="H1570" s="222"/>
    </row>
    <row r="1571" spans="1:8" s="212" customFormat="1">
      <c r="A1571" s="150"/>
      <c r="B1571" s="83"/>
      <c r="C1571" s="148"/>
      <c r="D1571" s="160"/>
      <c r="E1571" s="84"/>
      <c r="F1571" s="84"/>
      <c r="G1571" s="146"/>
      <c r="H1571" s="221"/>
    </row>
    <row r="1572" spans="1:8" s="212" customFormat="1">
      <c r="A1572" s="91"/>
      <c r="B1572" s="91"/>
      <c r="C1572" s="91"/>
      <c r="D1572" s="91"/>
      <c r="E1572" s="91"/>
      <c r="G1572" s="213"/>
      <c r="H1572" s="222"/>
    </row>
    <row r="1573" spans="1:8" s="212" customFormat="1">
      <c r="A1573" s="120"/>
      <c r="B1573" s="73"/>
      <c r="C1573" s="73"/>
      <c r="D1573" s="73"/>
      <c r="E1573" s="73"/>
      <c r="G1573" s="73"/>
      <c r="H1573" s="222"/>
    </row>
    <row r="1574" spans="1:8" s="212" customFormat="1">
      <c r="A1574" s="220"/>
      <c r="B1574" s="141"/>
      <c r="C1574" s="141"/>
      <c r="D1574" s="141"/>
      <c r="E1574" s="141"/>
      <c r="F1574" s="141"/>
      <c r="G1574" s="141"/>
      <c r="H1574" s="222"/>
    </row>
    <row r="1575" spans="1:8" s="212" customFormat="1">
      <c r="A1575" s="142"/>
      <c r="B1575" s="143"/>
      <c r="C1575" s="143"/>
      <c r="D1575" s="143"/>
      <c r="E1575" s="143"/>
      <c r="F1575" s="84"/>
      <c r="G1575" s="146"/>
      <c r="H1575" s="221"/>
    </row>
    <row r="1576" spans="1:8" s="212" customFormat="1">
      <c r="A1576" s="91"/>
      <c r="B1576" s="91"/>
      <c r="C1576" s="91"/>
      <c r="D1576" s="91"/>
      <c r="E1576" s="91"/>
      <c r="G1576" s="213"/>
      <c r="H1576" s="222"/>
    </row>
    <row r="1577" spans="1:8" s="212" customFormat="1">
      <c r="A1577" s="120"/>
      <c r="B1577" s="73"/>
      <c r="C1577" s="73"/>
      <c r="D1577" s="73"/>
      <c r="E1577" s="73"/>
      <c r="G1577" s="73"/>
      <c r="H1577" s="222"/>
    </row>
    <row r="1578" spans="1:8" s="212" customFormat="1">
      <c r="A1578" s="220"/>
      <c r="B1578" s="141"/>
      <c r="C1578" s="141"/>
      <c r="D1578" s="141"/>
      <c r="E1578" s="141"/>
      <c r="F1578" s="141"/>
      <c r="G1578" s="141"/>
      <c r="H1578" s="222"/>
    </row>
    <row r="1579" spans="1:8" s="212" customFormat="1">
      <c r="A1579" s="142"/>
      <c r="B1579" s="143"/>
      <c r="C1579" s="143"/>
      <c r="D1579" s="143"/>
      <c r="E1579" s="143"/>
      <c r="F1579" s="84"/>
      <c r="G1579" s="146"/>
      <c r="H1579" s="221"/>
    </row>
    <row r="1580" spans="1:8" s="212" customFormat="1">
      <c r="A1580" s="123"/>
      <c r="B1580" s="95"/>
      <c r="C1580" s="95"/>
      <c r="D1580" s="95"/>
      <c r="E1580" s="95"/>
      <c r="G1580" s="213"/>
      <c r="H1580" s="73"/>
    </row>
    <row r="1581" spans="1:8" s="212" customFormat="1">
      <c r="A1581" s="123"/>
      <c r="B1581" s="95"/>
      <c r="C1581" s="95"/>
      <c r="D1581" s="95"/>
      <c r="E1581" s="95"/>
      <c r="G1581" s="73"/>
      <c r="H1581" s="225"/>
    </row>
    <row r="1582" spans="1:8" s="212" customFormat="1">
      <c r="B1582" s="97"/>
      <c r="C1582" s="98"/>
      <c r="D1582" s="98"/>
      <c r="E1582" s="98"/>
      <c r="G1582" s="220"/>
    </row>
    <row r="1583" spans="1:8" s="212" customFormat="1">
      <c r="B1583" s="97"/>
      <c r="C1583" s="98"/>
      <c r="D1583" s="98"/>
      <c r="E1583" s="98"/>
      <c r="F1583" s="220"/>
      <c r="G1583" s="225"/>
      <c r="H1583" s="226"/>
    </row>
    <row r="1584" spans="1:8" s="212" customFormat="1">
      <c r="A1584" s="633"/>
      <c r="B1584" s="633"/>
      <c r="C1584" s="633"/>
      <c r="D1584" s="633"/>
      <c r="E1584" s="633"/>
      <c r="F1584" s="633"/>
      <c r="G1584" s="633"/>
    </row>
    <row r="1585" spans="1:9" s="212" customFormat="1">
      <c r="H1585" s="227"/>
      <c r="I1585" s="228"/>
    </row>
    <row r="1586" spans="1:9" s="212" customFormat="1">
      <c r="A1586" s="658"/>
      <c r="B1586" s="227"/>
      <c r="C1586" s="227"/>
      <c r="D1586" s="227"/>
      <c r="E1586" s="227"/>
      <c r="F1586" s="227"/>
      <c r="G1586" s="227"/>
      <c r="H1586" s="227"/>
      <c r="I1586" s="229"/>
    </row>
    <row r="1587" spans="1:9" s="212" customFormat="1">
      <c r="A1587" s="658"/>
      <c r="B1587" s="227"/>
      <c r="C1587" s="227"/>
      <c r="D1587" s="227"/>
      <c r="E1587" s="227"/>
      <c r="F1587" s="227"/>
      <c r="G1587" s="227"/>
    </row>
    <row r="1588" spans="1:9" s="212" customFormat="1">
      <c r="A1588" s="69"/>
      <c r="B1588" s="69"/>
      <c r="C1588" s="69"/>
      <c r="D1588" s="69"/>
      <c r="E1588" s="69"/>
    </row>
    <row r="1589" spans="1:9" s="212" customFormat="1">
      <c r="A1589" s="120"/>
      <c r="B1589" s="73"/>
      <c r="C1589" s="73"/>
      <c r="D1589" s="73"/>
      <c r="E1589" s="73"/>
      <c r="F1589" s="73"/>
      <c r="G1589" s="73"/>
      <c r="H1589" s="73"/>
    </row>
    <row r="1590" spans="1:9" s="212" customFormat="1">
      <c r="A1590" s="220"/>
      <c r="B1590" s="141"/>
      <c r="C1590" s="141"/>
      <c r="D1590" s="141"/>
      <c r="E1590" s="141"/>
      <c r="F1590" s="141"/>
      <c r="G1590" s="141"/>
      <c r="H1590" s="73"/>
    </row>
    <row r="1591" spans="1:9" s="212" customFormat="1">
      <c r="A1591" s="142"/>
      <c r="B1591" s="143"/>
      <c r="C1591" s="143"/>
      <c r="D1591" s="143"/>
      <c r="E1591" s="143"/>
      <c r="F1591" s="84"/>
      <c r="G1591" s="146"/>
      <c r="H1591" s="221"/>
    </row>
    <row r="1592" spans="1:9" s="212" customFormat="1">
      <c r="A1592" s="84"/>
      <c r="B1592" s="83"/>
      <c r="C1592" s="84"/>
      <c r="D1592" s="84"/>
      <c r="E1592" s="84"/>
      <c r="G1592" s="213"/>
      <c r="H1592" s="222"/>
    </row>
    <row r="1593" spans="1:9" s="212" customFormat="1">
      <c r="A1593" s="120"/>
      <c r="B1593" s="73"/>
      <c r="C1593" s="73"/>
      <c r="D1593" s="73"/>
      <c r="E1593" s="73"/>
      <c r="G1593" s="73"/>
      <c r="H1593" s="222"/>
    </row>
    <row r="1594" spans="1:9" s="212" customFormat="1">
      <c r="A1594" s="220"/>
      <c r="B1594" s="141"/>
      <c r="C1594" s="141"/>
      <c r="D1594" s="141"/>
      <c r="E1594" s="141"/>
      <c r="F1594" s="141"/>
      <c r="G1594" s="141"/>
      <c r="H1594" s="222"/>
    </row>
    <row r="1595" spans="1:9" s="212" customFormat="1">
      <c r="A1595" s="150"/>
      <c r="B1595" s="83"/>
      <c r="C1595" s="148"/>
      <c r="D1595" s="160"/>
      <c r="E1595" s="84"/>
      <c r="F1595" s="84"/>
      <c r="G1595" s="146"/>
      <c r="H1595" s="221"/>
    </row>
    <row r="1596" spans="1:9" s="212" customFormat="1">
      <c r="A1596" s="91"/>
      <c r="B1596" s="91"/>
      <c r="C1596" s="91"/>
      <c r="D1596" s="91"/>
      <c r="E1596" s="91"/>
      <c r="G1596" s="213"/>
      <c r="H1596" s="222"/>
    </row>
    <row r="1597" spans="1:9" s="212" customFormat="1">
      <c r="A1597" s="120"/>
      <c r="B1597" s="73"/>
      <c r="C1597" s="73"/>
      <c r="D1597" s="73"/>
      <c r="E1597" s="73"/>
      <c r="G1597" s="73"/>
      <c r="H1597" s="222"/>
    </row>
    <row r="1598" spans="1:9" s="212" customFormat="1">
      <c r="A1598" s="220"/>
      <c r="B1598" s="141"/>
      <c r="C1598" s="141"/>
      <c r="D1598" s="141"/>
      <c r="E1598" s="141"/>
      <c r="F1598" s="141"/>
      <c r="G1598" s="141"/>
      <c r="H1598" s="222"/>
    </row>
    <row r="1599" spans="1:9" s="212" customFormat="1">
      <c r="A1599" s="142"/>
      <c r="B1599" s="143"/>
      <c r="C1599" s="143"/>
      <c r="D1599" s="143"/>
      <c r="E1599" s="143"/>
      <c r="F1599" s="84"/>
      <c r="G1599" s="146"/>
      <c r="H1599" s="221"/>
    </row>
    <row r="1600" spans="1:9" s="212" customFormat="1">
      <c r="A1600" s="91"/>
      <c r="B1600" s="91"/>
      <c r="C1600" s="91"/>
      <c r="D1600" s="91"/>
      <c r="E1600" s="91"/>
      <c r="G1600" s="213"/>
      <c r="H1600" s="222"/>
    </row>
    <row r="1601" spans="1:9" s="212" customFormat="1">
      <c r="A1601" s="120"/>
      <c r="B1601" s="73"/>
      <c r="C1601" s="73"/>
      <c r="D1601" s="73"/>
      <c r="E1601" s="73"/>
      <c r="G1601" s="73"/>
      <c r="H1601" s="222"/>
    </row>
    <row r="1602" spans="1:9" s="212" customFormat="1">
      <c r="A1602" s="220"/>
      <c r="B1602" s="141"/>
      <c r="C1602" s="141"/>
      <c r="D1602" s="141"/>
      <c r="E1602" s="141"/>
      <c r="F1602" s="141"/>
      <c r="G1602" s="141"/>
      <c r="H1602" s="222"/>
    </row>
    <row r="1603" spans="1:9" s="212" customFormat="1">
      <c r="A1603" s="142"/>
      <c r="B1603" s="143"/>
      <c r="C1603" s="143"/>
      <c r="D1603" s="143"/>
      <c r="E1603" s="143"/>
      <c r="F1603" s="84"/>
      <c r="G1603" s="146"/>
      <c r="H1603" s="221"/>
    </row>
    <row r="1604" spans="1:9" s="212" customFormat="1">
      <c r="A1604" s="123"/>
      <c r="B1604" s="95"/>
      <c r="C1604" s="95"/>
      <c r="D1604" s="95"/>
      <c r="E1604" s="95"/>
      <c r="G1604" s="213"/>
      <c r="H1604" s="73"/>
    </row>
    <row r="1605" spans="1:9" s="212" customFormat="1">
      <c r="A1605" s="123"/>
      <c r="B1605" s="95"/>
      <c r="C1605" s="95"/>
      <c r="D1605" s="95"/>
      <c r="E1605" s="95"/>
      <c r="G1605" s="73"/>
      <c r="H1605" s="225"/>
    </row>
    <row r="1606" spans="1:9" s="212" customFormat="1">
      <c r="B1606" s="97"/>
      <c r="C1606" s="98"/>
      <c r="D1606" s="98"/>
      <c r="E1606" s="98"/>
      <c r="G1606" s="220"/>
    </row>
    <row r="1607" spans="1:9" s="212" customFormat="1">
      <c r="B1607" s="97"/>
      <c r="C1607" s="98"/>
      <c r="D1607" s="98"/>
      <c r="E1607" s="98"/>
      <c r="F1607" s="220"/>
      <c r="G1607" s="225"/>
      <c r="H1607" s="226"/>
    </row>
    <row r="1608" spans="1:9" s="212" customFormat="1">
      <c r="A1608" s="633"/>
      <c r="B1608" s="633"/>
      <c r="C1608" s="633"/>
      <c r="D1608" s="633"/>
      <c r="E1608" s="633"/>
      <c r="F1608" s="633"/>
      <c r="G1608" s="633"/>
    </row>
    <row r="1609" spans="1:9" s="212" customFormat="1"/>
    <row r="1610" spans="1:9" s="212" customFormat="1">
      <c r="H1610" s="227"/>
      <c r="I1610" s="228"/>
    </row>
    <row r="1611" spans="1:9" s="212" customFormat="1">
      <c r="A1611" s="658"/>
      <c r="B1611" s="227"/>
      <c r="C1611" s="227"/>
      <c r="D1611" s="227"/>
      <c r="E1611" s="227"/>
      <c r="F1611" s="227"/>
      <c r="G1611" s="227"/>
      <c r="H1611" s="227"/>
      <c r="I1611" s="229"/>
    </row>
    <row r="1612" spans="1:9" s="212" customFormat="1">
      <c r="A1612" s="658"/>
      <c r="B1612" s="227"/>
      <c r="C1612" s="227"/>
      <c r="D1612" s="227"/>
      <c r="E1612" s="227"/>
      <c r="F1612" s="227"/>
      <c r="G1612" s="227"/>
    </row>
    <row r="1613" spans="1:9" s="212" customFormat="1">
      <c r="A1613" s="69"/>
      <c r="B1613" s="69"/>
      <c r="C1613" s="69"/>
      <c r="D1613" s="69"/>
      <c r="E1613" s="69"/>
    </row>
    <row r="1614" spans="1:9" s="212" customFormat="1">
      <c r="A1614" s="120"/>
      <c r="B1614" s="73"/>
      <c r="C1614" s="73"/>
      <c r="D1614" s="73"/>
      <c r="E1614" s="73"/>
      <c r="F1614" s="73"/>
      <c r="G1614" s="73"/>
      <c r="H1614" s="73"/>
    </row>
    <row r="1615" spans="1:9" s="212" customFormat="1">
      <c r="A1615" s="220"/>
      <c r="B1615" s="141"/>
      <c r="C1615" s="141"/>
      <c r="D1615" s="141"/>
      <c r="E1615" s="141"/>
      <c r="F1615" s="141"/>
      <c r="G1615" s="141"/>
      <c r="H1615" s="73"/>
    </row>
    <row r="1616" spans="1:9" s="212" customFormat="1">
      <c r="A1616" s="142"/>
      <c r="B1616" s="143"/>
      <c r="C1616" s="143"/>
      <c r="D1616" s="143"/>
      <c r="E1616" s="143"/>
      <c r="F1616" s="84"/>
      <c r="G1616" s="146"/>
      <c r="H1616" s="221"/>
    </row>
    <row r="1617" spans="1:8" s="212" customFormat="1">
      <c r="A1617" s="84"/>
      <c r="B1617" s="83"/>
      <c r="C1617" s="84"/>
      <c r="D1617" s="84"/>
      <c r="E1617" s="84"/>
      <c r="G1617" s="213"/>
      <c r="H1617" s="222"/>
    </row>
    <row r="1618" spans="1:8" s="212" customFormat="1">
      <c r="A1618" s="120"/>
      <c r="B1618" s="73"/>
      <c r="C1618" s="73"/>
      <c r="D1618" s="73"/>
      <c r="E1618" s="73"/>
      <c r="G1618" s="73"/>
      <c r="H1618" s="222"/>
    </row>
    <row r="1619" spans="1:8" s="212" customFormat="1">
      <c r="A1619" s="220"/>
      <c r="B1619" s="141"/>
      <c r="C1619" s="141"/>
      <c r="D1619" s="141"/>
      <c r="E1619" s="141"/>
      <c r="F1619" s="141"/>
      <c r="G1619" s="141"/>
      <c r="H1619" s="222"/>
    </row>
    <row r="1620" spans="1:8" s="212" customFormat="1">
      <c r="A1620" s="150"/>
      <c r="B1620" s="83"/>
      <c r="C1620" s="148"/>
      <c r="D1620" s="160"/>
      <c r="E1620" s="84"/>
      <c r="F1620" s="84"/>
      <c r="G1620" s="146"/>
      <c r="H1620" s="221"/>
    </row>
    <row r="1621" spans="1:8" s="212" customFormat="1">
      <c r="A1621" s="91"/>
      <c r="B1621" s="91"/>
      <c r="C1621" s="91"/>
      <c r="D1621" s="91"/>
      <c r="E1621" s="91"/>
      <c r="G1621" s="213"/>
      <c r="H1621" s="222"/>
    </row>
    <row r="1622" spans="1:8" s="212" customFormat="1">
      <c r="A1622" s="120"/>
      <c r="B1622" s="73"/>
      <c r="C1622" s="73"/>
      <c r="D1622" s="73"/>
      <c r="E1622" s="73"/>
      <c r="G1622" s="73"/>
      <c r="H1622" s="222"/>
    </row>
    <row r="1623" spans="1:8" s="212" customFormat="1">
      <c r="A1623" s="220"/>
      <c r="B1623" s="141"/>
      <c r="C1623" s="141"/>
      <c r="D1623" s="141"/>
      <c r="E1623" s="141"/>
      <c r="F1623" s="141"/>
      <c r="G1623" s="141"/>
      <c r="H1623" s="222"/>
    </row>
    <row r="1624" spans="1:8" s="212" customFormat="1">
      <c r="A1624" s="142"/>
      <c r="B1624" s="143"/>
      <c r="C1624" s="143"/>
      <c r="D1624" s="143"/>
      <c r="E1624" s="143"/>
      <c r="F1624" s="84"/>
      <c r="G1624" s="146"/>
      <c r="H1624" s="221"/>
    </row>
    <row r="1625" spans="1:8" s="212" customFormat="1">
      <c r="A1625" s="91"/>
      <c r="B1625" s="91"/>
      <c r="C1625" s="91"/>
      <c r="D1625" s="91"/>
      <c r="E1625" s="91"/>
      <c r="G1625" s="213"/>
      <c r="H1625" s="222"/>
    </row>
    <row r="1626" spans="1:8" s="212" customFormat="1">
      <c r="A1626" s="120"/>
      <c r="B1626" s="73"/>
      <c r="C1626" s="73"/>
      <c r="D1626" s="73"/>
      <c r="E1626" s="73"/>
      <c r="G1626" s="73"/>
      <c r="H1626" s="222"/>
    </row>
    <row r="1627" spans="1:8" s="212" customFormat="1">
      <c r="A1627" s="220"/>
      <c r="B1627" s="141"/>
      <c r="C1627" s="141"/>
      <c r="D1627" s="141"/>
      <c r="E1627" s="141"/>
      <c r="F1627" s="141"/>
      <c r="G1627" s="141"/>
      <c r="H1627" s="222"/>
    </row>
    <row r="1628" spans="1:8" s="212" customFormat="1">
      <c r="A1628" s="142"/>
      <c r="B1628" s="143"/>
      <c r="C1628" s="143"/>
      <c r="D1628" s="143"/>
      <c r="E1628" s="143"/>
      <c r="F1628" s="84"/>
      <c r="G1628" s="146"/>
      <c r="H1628" s="221"/>
    </row>
    <row r="1629" spans="1:8" s="212" customFormat="1">
      <c r="A1629" s="123"/>
      <c r="B1629" s="95"/>
      <c r="C1629" s="95"/>
      <c r="D1629" s="95"/>
      <c r="E1629" s="95"/>
      <c r="G1629" s="213"/>
      <c r="H1629" s="73"/>
    </row>
    <row r="1630" spans="1:8" s="212" customFormat="1">
      <c r="A1630" s="123"/>
      <c r="B1630" s="95"/>
      <c r="C1630" s="95"/>
      <c r="D1630" s="95"/>
      <c r="E1630" s="95"/>
      <c r="G1630" s="73"/>
      <c r="H1630" s="225"/>
    </row>
    <row r="1631" spans="1:8" s="212" customFormat="1">
      <c r="B1631" s="97"/>
      <c r="C1631" s="98"/>
      <c r="D1631" s="98"/>
      <c r="E1631" s="98"/>
      <c r="G1631" s="220"/>
    </row>
    <row r="1632" spans="1:8" s="212" customFormat="1">
      <c r="B1632" s="97"/>
      <c r="C1632" s="98"/>
      <c r="D1632" s="98"/>
      <c r="E1632" s="98"/>
      <c r="F1632" s="220"/>
      <c r="G1632" s="225"/>
      <c r="H1632" s="226"/>
    </row>
    <row r="1633" spans="1:9" s="212" customFormat="1">
      <c r="A1633" s="633"/>
      <c r="B1633" s="633"/>
      <c r="C1633" s="633"/>
      <c r="D1633" s="633"/>
      <c r="E1633" s="633"/>
      <c r="F1633" s="633"/>
      <c r="G1633" s="633"/>
    </row>
    <row r="1634" spans="1:9" s="212" customFormat="1">
      <c r="H1634" s="227"/>
      <c r="I1634" s="228"/>
    </row>
    <row r="1635" spans="1:9" s="212" customFormat="1">
      <c r="A1635" s="658"/>
      <c r="B1635" s="227"/>
      <c r="C1635" s="227"/>
      <c r="D1635" s="227"/>
      <c r="E1635" s="227"/>
      <c r="F1635" s="227"/>
      <c r="G1635" s="227"/>
      <c r="H1635" s="227"/>
      <c r="I1635" s="229"/>
    </row>
    <row r="1636" spans="1:9" s="212" customFormat="1">
      <c r="A1636" s="658"/>
      <c r="B1636" s="227"/>
      <c r="C1636" s="227"/>
      <c r="D1636" s="227"/>
      <c r="E1636" s="227"/>
      <c r="F1636" s="227"/>
      <c r="G1636" s="227"/>
    </row>
    <row r="1637" spans="1:9" s="212" customFormat="1">
      <c r="A1637" s="69"/>
      <c r="B1637" s="69"/>
      <c r="C1637" s="69"/>
      <c r="D1637" s="69"/>
      <c r="E1637" s="69"/>
    </row>
    <row r="1638" spans="1:9" s="212" customFormat="1">
      <c r="A1638" s="120"/>
      <c r="B1638" s="73"/>
      <c r="C1638" s="73"/>
      <c r="D1638" s="73"/>
      <c r="E1638" s="73"/>
      <c r="F1638" s="73"/>
      <c r="G1638" s="73"/>
      <c r="H1638" s="73"/>
    </row>
    <row r="1639" spans="1:9" s="212" customFormat="1">
      <c r="A1639" s="220"/>
      <c r="B1639" s="141"/>
      <c r="C1639" s="141"/>
      <c r="D1639" s="141"/>
      <c r="E1639" s="141"/>
      <c r="F1639" s="141"/>
      <c r="G1639" s="141"/>
      <c r="H1639" s="73"/>
    </row>
    <row r="1640" spans="1:9" s="212" customFormat="1">
      <c r="A1640" s="142"/>
      <c r="B1640" s="143"/>
      <c r="C1640" s="143"/>
      <c r="D1640" s="143"/>
      <c r="E1640" s="143"/>
      <c r="F1640" s="84"/>
      <c r="G1640" s="146"/>
      <c r="H1640" s="221"/>
    </row>
    <row r="1641" spans="1:9" s="212" customFormat="1">
      <c r="A1641" s="84"/>
      <c r="B1641" s="83"/>
      <c r="C1641" s="84"/>
      <c r="D1641" s="84"/>
      <c r="E1641" s="84"/>
      <c r="G1641" s="213"/>
      <c r="H1641" s="222"/>
    </row>
    <row r="1642" spans="1:9" s="212" customFormat="1">
      <c r="A1642" s="120"/>
      <c r="B1642" s="73"/>
      <c r="C1642" s="73"/>
      <c r="D1642" s="73"/>
      <c r="E1642" s="73"/>
      <c r="G1642" s="73"/>
      <c r="H1642" s="222"/>
    </row>
    <row r="1643" spans="1:9" s="212" customFormat="1">
      <c r="A1643" s="220"/>
      <c r="B1643" s="141"/>
      <c r="C1643" s="141"/>
      <c r="D1643" s="141"/>
      <c r="E1643" s="141"/>
      <c r="F1643" s="141"/>
      <c r="G1643" s="141"/>
      <c r="H1643" s="222"/>
    </row>
    <row r="1644" spans="1:9" s="212" customFormat="1">
      <c r="A1644" s="150"/>
      <c r="B1644" s="83"/>
      <c r="C1644" s="148"/>
      <c r="D1644" s="160"/>
      <c r="E1644" s="84"/>
      <c r="F1644" s="84"/>
      <c r="G1644" s="146"/>
      <c r="H1644" s="221"/>
    </row>
    <row r="1645" spans="1:9" s="212" customFormat="1">
      <c r="A1645" s="91"/>
      <c r="B1645" s="91"/>
      <c r="C1645" s="91"/>
      <c r="D1645" s="91"/>
      <c r="E1645" s="91"/>
      <c r="G1645" s="213"/>
      <c r="H1645" s="222"/>
    </row>
    <row r="1646" spans="1:9" s="212" customFormat="1">
      <c r="A1646" s="120"/>
      <c r="B1646" s="73"/>
      <c r="C1646" s="73"/>
      <c r="D1646" s="73"/>
      <c r="E1646" s="73"/>
      <c r="G1646" s="73"/>
      <c r="H1646" s="222"/>
    </row>
    <row r="1647" spans="1:9" s="212" customFormat="1">
      <c r="A1647" s="220"/>
      <c r="B1647" s="141"/>
      <c r="C1647" s="141"/>
      <c r="D1647" s="141"/>
      <c r="E1647" s="141"/>
      <c r="F1647" s="141"/>
      <c r="G1647" s="141"/>
      <c r="H1647" s="222"/>
    </row>
    <row r="1648" spans="1:9" s="212" customFormat="1">
      <c r="A1648" s="142"/>
      <c r="B1648" s="143"/>
      <c r="C1648" s="143"/>
      <c r="D1648" s="143"/>
      <c r="E1648" s="143"/>
      <c r="F1648" s="84"/>
      <c r="G1648" s="146"/>
      <c r="H1648" s="221"/>
    </row>
    <row r="1649" spans="1:9" s="212" customFormat="1">
      <c r="A1649" s="91"/>
      <c r="B1649" s="91"/>
      <c r="C1649" s="91"/>
      <c r="D1649" s="91"/>
      <c r="E1649" s="91"/>
      <c r="G1649" s="213"/>
      <c r="H1649" s="222"/>
    </row>
    <row r="1650" spans="1:9" s="212" customFormat="1">
      <c r="A1650" s="120"/>
      <c r="B1650" s="73"/>
      <c r="C1650" s="73"/>
      <c r="D1650" s="73"/>
      <c r="E1650" s="73"/>
      <c r="G1650" s="73"/>
      <c r="H1650" s="222"/>
    </row>
    <row r="1651" spans="1:9" s="212" customFormat="1">
      <c r="A1651" s="220"/>
      <c r="B1651" s="141"/>
      <c r="C1651" s="141"/>
      <c r="D1651" s="141"/>
      <c r="E1651" s="141"/>
      <c r="F1651" s="141"/>
      <c r="G1651" s="141"/>
      <c r="H1651" s="222"/>
    </row>
    <row r="1652" spans="1:9" s="212" customFormat="1">
      <c r="A1652" s="142"/>
      <c r="B1652" s="143"/>
      <c r="C1652" s="143"/>
      <c r="D1652" s="143"/>
      <c r="E1652" s="143"/>
      <c r="F1652" s="84"/>
      <c r="G1652" s="146"/>
      <c r="H1652" s="221"/>
    </row>
    <row r="1653" spans="1:9" s="212" customFormat="1">
      <c r="A1653" s="123"/>
      <c r="B1653" s="95"/>
      <c r="C1653" s="95"/>
      <c r="D1653" s="95"/>
      <c r="E1653" s="95"/>
      <c r="G1653" s="213"/>
      <c r="H1653" s="73"/>
    </row>
    <row r="1654" spans="1:9" s="212" customFormat="1">
      <c r="A1654" s="123"/>
      <c r="B1654" s="95"/>
      <c r="C1654" s="95"/>
      <c r="D1654" s="95"/>
      <c r="E1654" s="95"/>
      <c r="G1654" s="73"/>
      <c r="H1654" s="225"/>
    </row>
    <row r="1655" spans="1:9" s="212" customFormat="1">
      <c r="B1655" s="97"/>
      <c r="C1655" s="98"/>
      <c r="D1655" s="98"/>
      <c r="E1655" s="98"/>
      <c r="G1655" s="220"/>
    </row>
    <row r="1656" spans="1:9" s="212" customFormat="1">
      <c r="B1656" s="97"/>
      <c r="C1656" s="98"/>
      <c r="D1656" s="98"/>
      <c r="E1656" s="98"/>
      <c r="F1656" s="220"/>
      <c r="G1656" s="225"/>
      <c r="H1656" s="226"/>
    </row>
    <row r="1657" spans="1:9" s="212" customFormat="1">
      <c r="A1657" s="633"/>
      <c r="B1657" s="633"/>
      <c r="C1657" s="633"/>
      <c r="D1657" s="633"/>
      <c r="E1657" s="633"/>
      <c r="F1657" s="633"/>
      <c r="G1657" s="633"/>
    </row>
    <row r="1658" spans="1:9" s="212" customFormat="1">
      <c r="H1658" s="227"/>
      <c r="I1658" s="228"/>
    </row>
    <row r="1659" spans="1:9" s="212" customFormat="1">
      <c r="A1659" s="658"/>
      <c r="B1659" s="227"/>
      <c r="C1659" s="227"/>
      <c r="D1659" s="227"/>
      <c r="E1659" s="227"/>
      <c r="F1659" s="227"/>
      <c r="G1659" s="227"/>
      <c r="H1659" s="227"/>
      <c r="I1659" s="229"/>
    </row>
    <row r="1660" spans="1:9" s="212" customFormat="1">
      <c r="A1660" s="658"/>
      <c r="B1660" s="227"/>
      <c r="C1660" s="227"/>
      <c r="D1660" s="227"/>
      <c r="E1660" s="227"/>
      <c r="F1660" s="227"/>
      <c r="G1660" s="227"/>
    </row>
    <row r="1661" spans="1:9" s="212" customFormat="1">
      <c r="A1661" s="69"/>
      <c r="B1661" s="69"/>
      <c r="C1661" s="69"/>
      <c r="D1661" s="69"/>
      <c r="E1661" s="69"/>
    </row>
    <row r="1662" spans="1:9" s="212" customFormat="1">
      <c r="A1662" s="120"/>
      <c r="B1662" s="73"/>
      <c r="C1662" s="73"/>
      <c r="D1662" s="73"/>
      <c r="E1662" s="73"/>
      <c r="F1662" s="73"/>
      <c r="G1662" s="73"/>
      <c r="H1662" s="73"/>
    </row>
    <row r="1663" spans="1:9" s="212" customFormat="1">
      <c r="A1663" s="220"/>
      <c r="B1663" s="141"/>
      <c r="C1663" s="141"/>
      <c r="D1663" s="141"/>
      <c r="E1663" s="141"/>
      <c r="F1663" s="141"/>
      <c r="G1663" s="141"/>
      <c r="H1663" s="73"/>
    </row>
    <row r="1664" spans="1:9" s="212" customFormat="1">
      <c r="A1664" s="142"/>
      <c r="B1664" s="143"/>
      <c r="C1664" s="143"/>
      <c r="D1664" s="143"/>
      <c r="E1664" s="143"/>
      <c r="F1664" s="84"/>
      <c r="G1664" s="146"/>
      <c r="H1664" s="221"/>
    </row>
    <row r="1665" spans="1:8" s="212" customFormat="1">
      <c r="A1665" s="84"/>
      <c r="B1665" s="83"/>
      <c r="C1665" s="84"/>
      <c r="D1665" s="84"/>
      <c r="E1665" s="84"/>
      <c r="G1665" s="213"/>
      <c r="H1665" s="222"/>
    </row>
    <row r="1666" spans="1:8" s="212" customFormat="1">
      <c r="A1666" s="120"/>
      <c r="B1666" s="73"/>
      <c r="C1666" s="73"/>
      <c r="D1666" s="73"/>
      <c r="E1666" s="73"/>
      <c r="G1666" s="73"/>
      <c r="H1666" s="222"/>
    </row>
    <row r="1667" spans="1:8" s="212" customFormat="1">
      <c r="A1667" s="220"/>
      <c r="B1667" s="141"/>
      <c r="C1667" s="141"/>
      <c r="D1667" s="141"/>
      <c r="E1667" s="141"/>
      <c r="F1667" s="141"/>
      <c r="G1667" s="141"/>
      <c r="H1667" s="222"/>
    </row>
    <row r="1668" spans="1:8" s="212" customFormat="1">
      <c r="A1668" s="150"/>
      <c r="B1668" s="83"/>
      <c r="C1668" s="148"/>
      <c r="D1668" s="160"/>
      <c r="E1668" s="84"/>
      <c r="F1668" s="84"/>
      <c r="G1668" s="146"/>
      <c r="H1668" s="221"/>
    </row>
    <row r="1669" spans="1:8" s="212" customFormat="1">
      <c r="A1669" s="91"/>
      <c r="B1669" s="91"/>
      <c r="C1669" s="91"/>
      <c r="D1669" s="91"/>
      <c r="E1669" s="91"/>
      <c r="G1669" s="213"/>
      <c r="H1669" s="222"/>
    </row>
    <row r="1670" spans="1:8" s="212" customFormat="1">
      <c r="A1670" s="120"/>
      <c r="B1670" s="73"/>
      <c r="C1670" s="73"/>
      <c r="D1670" s="73"/>
      <c r="E1670" s="73"/>
      <c r="G1670" s="73"/>
      <c r="H1670" s="222"/>
    </row>
    <row r="1671" spans="1:8" s="212" customFormat="1">
      <c r="A1671" s="220"/>
      <c r="B1671" s="141"/>
      <c r="C1671" s="141"/>
      <c r="D1671" s="141"/>
      <c r="E1671" s="141"/>
      <c r="F1671" s="141"/>
      <c r="G1671" s="141"/>
      <c r="H1671" s="222"/>
    </row>
    <row r="1672" spans="1:8" s="212" customFormat="1">
      <c r="A1672" s="142"/>
      <c r="B1672" s="143"/>
      <c r="C1672" s="143"/>
      <c r="D1672" s="143"/>
      <c r="E1672" s="143"/>
      <c r="F1672" s="84"/>
      <c r="G1672" s="146"/>
      <c r="H1672" s="221"/>
    </row>
    <row r="1673" spans="1:8" s="212" customFormat="1">
      <c r="A1673" s="91"/>
      <c r="B1673" s="91"/>
      <c r="C1673" s="91"/>
      <c r="D1673" s="91"/>
      <c r="E1673" s="91"/>
      <c r="G1673" s="213"/>
      <c r="H1673" s="222"/>
    </row>
    <row r="1674" spans="1:8" s="212" customFormat="1">
      <c r="A1674" s="120"/>
      <c r="B1674" s="73"/>
      <c r="C1674" s="73"/>
      <c r="D1674" s="73"/>
      <c r="E1674" s="73"/>
      <c r="G1674" s="73"/>
      <c r="H1674" s="222"/>
    </row>
    <row r="1675" spans="1:8" s="212" customFormat="1">
      <c r="A1675" s="220"/>
      <c r="B1675" s="141"/>
      <c r="C1675" s="141"/>
      <c r="D1675" s="141"/>
      <c r="E1675" s="141"/>
      <c r="F1675" s="141"/>
      <c r="G1675" s="141"/>
      <c r="H1675" s="222"/>
    </row>
    <row r="1676" spans="1:8" s="212" customFormat="1">
      <c r="A1676" s="142"/>
      <c r="B1676" s="143"/>
      <c r="C1676" s="143"/>
      <c r="D1676" s="143"/>
      <c r="E1676" s="143"/>
      <c r="F1676" s="84"/>
      <c r="G1676" s="146"/>
      <c r="H1676" s="221"/>
    </row>
    <row r="1677" spans="1:8" s="212" customFormat="1">
      <c r="A1677" s="123"/>
      <c r="B1677" s="95"/>
      <c r="C1677" s="95"/>
      <c r="D1677" s="95"/>
      <c r="E1677" s="95"/>
      <c r="G1677" s="213"/>
      <c r="H1677" s="73"/>
    </row>
    <row r="1678" spans="1:8" s="212" customFormat="1">
      <c r="A1678" s="123"/>
      <c r="B1678" s="95"/>
      <c r="C1678" s="95"/>
      <c r="D1678" s="95"/>
      <c r="E1678" s="95"/>
      <c r="G1678" s="73"/>
      <c r="H1678" s="225"/>
    </row>
    <row r="1679" spans="1:8" s="212" customFormat="1">
      <c r="B1679" s="97"/>
      <c r="C1679" s="98"/>
      <c r="D1679" s="98"/>
      <c r="E1679" s="98"/>
      <c r="G1679" s="220"/>
    </row>
    <row r="1680" spans="1:8" s="212" customFormat="1">
      <c r="B1680" s="97"/>
      <c r="C1680" s="98"/>
      <c r="D1680" s="98"/>
      <c r="E1680" s="98"/>
      <c r="F1680" s="220"/>
      <c r="G1680" s="225"/>
      <c r="H1680" s="226"/>
    </row>
    <row r="1681" spans="1:9" s="212" customFormat="1">
      <c r="A1681" s="633"/>
      <c r="B1681" s="633"/>
      <c r="C1681" s="633"/>
      <c r="D1681" s="633"/>
      <c r="E1681" s="633"/>
      <c r="F1681" s="633"/>
      <c r="G1681" s="633"/>
    </row>
    <row r="1682" spans="1:9" s="212" customFormat="1">
      <c r="H1682" s="227"/>
      <c r="I1682" s="228"/>
    </row>
    <row r="1683" spans="1:9" s="212" customFormat="1">
      <c r="A1683" s="658"/>
      <c r="B1683" s="227"/>
      <c r="C1683" s="227"/>
      <c r="D1683" s="227"/>
      <c r="E1683" s="227"/>
      <c r="F1683" s="227"/>
      <c r="G1683" s="227"/>
      <c r="H1683" s="227"/>
      <c r="I1683" s="229"/>
    </row>
    <row r="1684" spans="1:9" s="212" customFormat="1">
      <c r="A1684" s="658"/>
      <c r="B1684" s="227"/>
      <c r="C1684" s="227"/>
      <c r="D1684" s="227"/>
      <c r="E1684" s="227"/>
      <c r="F1684" s="227"/>
      <c r="G1684" s="227"/>
    </row>
    <row r="1685" spans="1:9" s="212" customFormat="1">
      <c r="A1685" s="69"/>
      <c r="B1685" s="69"/>
      <c r="C1685" s="69"/>
      <c r="D1685" s="69"/>
      <c r="E1685" s="69"/>
    </row>
    <row r="1686" spans="1:9" s="212" customFormat="1">
      <c r="A1686" s="120"/>
      <c r="B1686" s="73"/>
      <c r="C1686" s="73"/>
      <c r="D1686" s="73"/>
      <c r="E1686" s="73"/>
      <c r="F1686" s="73"/>
      <c r="G1686" s="73"/>
      <c r="H1686" s="73"/>
    </row>
    <row r="1687" spans="1:9" s="212" customFormat="1">
      <c r="A1687" s="220"/>
      <c r="B1687" s="141"/>
      <c r="C1687" s="141"/>
      <c r="D1687" s="141"/>
      <c r="E1687" s="141"/>
      <c r="F1687" s="141"/>
      <c r="G1687" s="141"/>
      <c r="H1687" s="73"/>
    </row>
    <row r="1688" spans="1:9" s="212" customFormat="1">
      <c r="A1688" s="142"/>
      <c r="B1688" s="143"/>
      <c r="C1688" s="143"/>
      <c r="D1688" s="143"/>
      <c r="E1688" s="143"/>
      <c r="F1688" s="84"/>
      <c r="G1688" s="146"/>
      <c r="H1688" s="221"/>
    </row>
    <row r="1689" spans="1:9" s="212" customFormat="1">
      <c r="A1689" s="84"/>
      <c r="B1689" s="83"/>
      <c r="C1689" s="84"/>
      <c r="D1689" s="84"/>
      <c r="E1689" s="84"/>
      <c r="G1689" s="213"/>
      <c r="H1689" s="222"/>
    </row>
    <row r="1690" spans="1:9" s="212" customFormat="1">
      <c r="A1690" s="120"/>
      <c r="B1690" s="73"/>
      <c r="C1690" s="73"/>
      <c r="D1690" s="73"/>
      <c r="E1690" s="73"/>
      <c r="G1690" s="73"/>
      <c r="H1690" s="222"/>
    </row>
    <row r="1691" spans="1:9" s="212" customFormat="1">
      <c r="A1691" s="220"/>
      <c r="B1691" s="141"/>
      <c r="C1691" s="141"/>
      <c r="D1691" s="141"/>
      <c r="E1691" s="141"/>
      <c r="F1691" s="141"/>
      <c r="G1691" s="141"/>
      <c r="H1691" s="222"/>
    </row>
    <row r="1692" spans="1:9" s="212" customFormat="1">
      <c r="A1692" s="150"/>
      <c r="B1692" s="83"/>
      <c r="C1692" s="148"/>
      <c r="D1692" s="160"/>
      <c r="E1692" s="84"/>
      <c r="F1692" s="84"/>
      <c r="G1692" s="146"/>
      <c r="H1692" s="221"/>
    </row>
    <row r="1693" spans="1:9" s="212" customFormat="1">
      <c r="A1693" s="91"/>
      <c r="B1693" s="91"/>
      <c r="C1693" s="91"/>
      <c r="D1693" s="91"/>
      <c r="E1693" s="91"/>
      <c r="G1693" s="213"/>
      <c r="H1693" s="222"/>
    </row>
    <row r="1694" spans="1:9" s="212" customFormat="1">
      <c r="A1694" s="120"/>
      <c r="B1694" s="73"/>
      <c r="C1694" s="73"/>
      <c r="D1694" s="73"/>
      <c r="E1694" s="73"/>
      <c r="G1694" s="73"/>
      <c r="H1694" s="222"/>
    </row>
    <row r="1695" spans="1:9" s="212" customFormat="1">
      <c r="A1695" s="220"/>
      <c r="B1695" s="141"/>
      <c r="C1695" s="141"/>
      <c r="D1695" s="141"/>
      <c r="E1695" s="141"/>
      <c r="F1695" s="141"/>
      <c r="G1695" s="141"/>
      <c r="H1695" s="222"/>
    </row>
    <row r="1696" spans="1:9" s="212" customFormat="1">
      <c r="A1696" s="142"/>
      <c r="B1696" s="143"/>
      <c r="C1696" s="143"/>
      <c r="D1696" s="143"/>
      <c r="E1696" s="143"/>
      <c r="F1696" s="84"/>
      <c r="G1696" s="146"/>
      <c r="H1696" s="221"/>
    </row>
    <row r="1697" spans="1:9" s="212" customFormat="1">
      <c r="A1697" s="91"/>
      <c r="B1697" s="91"/>
      <c r="C1697" s="91"/>
      <c r="D1697" s="91"/>
      <c r="E1697" s="91"/>
      <c r="G1697" s="213"/>
      <c r="H1697" s="222"/>
    </row>
    <row r="1698" spans="1:9" s="212" customFormat="1">
      <c r="A1698" s="120"/>
      <c r="B1698" s="73"/>
      <c r="C1698" s="73"/>
      <c r="D1698" s="73"/>
      <c r="E1698" s="73"/>
      <c r="G1698" s="73"/>
      <c r="H1698" s="222"/>
    </row>
    <row r="1699" spans="1:9" s="212" customFormat="1">
      <c r="A1699" s="220"/>
      <c r="B1699" s="141"/>
      <c r="C1699" s="141"/>
      <c r="D1699" s="141"/>
      <c r="E1699" s="141"/>
      <c r="F1699" s="141"/>
      <c r="G1699" s="141"/>
      <c r="H1699" s="222"/>
    </row>
    <row r="1700" spans="1:9" s="212" customFormat="1">
      <c r="A1700" s="142"/>
      <c r="B1700" s="143"/>
      <c r="C1700" s="143"/>
      <c r="D1700" s="143"/>
      <c r="E1700" s="143"/>
      <c r="F1700" s="84"/>
      <c r="G1700" s="146"/>
      <c r="H1700" s="221"/>
    </row>
    <row r="1701" spans="1:9" s="212" customFormat="1">
      <c r="A1701" s="123"/>
      <c r="B1701" s="95"/>
      <c r="C1701" s="95"/>
      <c r="D1701" s="95"/>
      <c r="E1701" s="95"/>
      <c r="G1701" s="213"/>
      <c r="H1701" s="73"/>
    </row>
    <row r="1702" spans="1:9" s="212" customFormat="1">
      <c r="A1702" s="123"/>
      <c r="B1702" s="95"/>
      <c r="C1702" s="95"/>
      <c r="D1702" s="95"/>
      <c r="E1702" s="95"/>
      <c r="G1702" s="73"/>
      <c r="H1702" s="225"/>
    </row>
    <row r="1703" spans="1:9" s="212" customFormat="1">
      <c r="B1703" s="97"/>
      <c r="C1703" s="98"/>
      <c r="D1703" s="98"/>
      <c r="E1703" s="98"/>
      <c r="G1703" s="220"/>
    </row>
    <row r="1704" spans="1:9" s="212" customFormat="1">
      <c r="B1704" s="97"/>
      <c r="C1704" s="98"/>
      <c r="D1704" s="98"/>
      <c r="E1704" s="98"/>
      <c r="F1704" s="220"/>
      <c r="G1704" s="225"/>
      <c r="H1704" s="226"/>
    </row>
    <row r="1705" spans="1:9" s="212" customFormat="1">
      <c r="A1705" s="633"/>
      <c r="B1705" s="633"/>
      <c r="C1705" s="633"/>
      <c r="D1705" s="633"/>
      <c r="E1705" s="633"/>
      <c r="F1705" s="633"/>
      <c r="G1705" s="633"/>
    </row>
    <row r="1706" spans="1:9" s="212" customFormat="1">
      <c r="H1706" s="227"/>
      <c r="I1706" s="228"/>
    </row>
    <row r="1707" spans="1:9" s="212" customFormat="1">
      <c r="A1707" s="658"/>
      <c r="B1707" s="227"/>
      <c r="C1707" s="227"/>
      <c r="D1707" s="227"/>
      <c r="E1707" s="227"/>
      <c r="F1707" s="227"/>
      <c r="G1707" s="227"/>
      <c r="H1707" s="227"/>
      <c r="I1707" s="229"/>
    </row>
    <row r="1708" spans="1:9" s="212" customFormat="1">
      <c r="A1708" s="658"/>
      <c r="B1708" s="227"/>
      <c r="C1708" s="227"/>
      <c r="D1708" s="227"/>
      <c r="E1708" s="227"/>
      <c r="F1708" s="227"/>
      <c r="G1708" s="227"/>
    </row>
    <row r="1709" spans="1:9" s="212" customFormat="1">
      <c r="A1709" s="69"/>
      <c r="B1709" s="69"/>
      <c r="C1709" s="69"/>
      <c r="D1709" s="69"/>
      <c r="E1709" s="69"/>
    </row>
    <row r="1710" spans="1:9" s="212" customFormat="1">
      <c r="A1710" s="120"/>
      <c r="B1710" s="73"/>
      <c r="C1710" s="73"/>
      <c r="D1710" s="73"/>
      <c r="E1710" s="73"/>
      <c r="F1710" s="73"/>
      <c r="G1710" s="73"/>
      <c r="H1710" s="73"/>
    </row>
    <row r="1711" spans="1:9" s="212" customFormat="1">
      <c r="A1711" s="220"/>
      <c r="B1711" s="141"/>
      <c r="C1711" s="141"/>
      <c r="D1711" s="141"/>
      <c r="E1711" s="141"/>
      <c r="F1711" s="141"/>
      <c r="G1711" s="141"/>
      <c r="H1711" s="73"/>
    </row>
    <row r="1712" spans="1:9" s="212" customFormat="1">
      <c r="A1712" s="142"/>
      <c r="B1712" s="143"/>
      <c r="C1712" s="143"/>
      <c r="D1712" s="143"/>
      <c r="E1712" s="143"/>
      <c r="F1712" s="84"/>
      <c r="G1712" s="146"/>
      <c r="H1712" s="221"/>
    </row>
    <row r="1713" spans="1:8" s="212" customFormat="1">
      <c r="A1713" s="84"/>
      <c r="B1713" s="83"/>
      <c r="C1713" s="84"/>
      <c r="D1713" s="84"/>
      <c r="E1713" s="84"/>
      <c r="G1713" s="213"/>
      <c r="H1713" s="222"/>
    </row>
    <row r="1714" spans="1:8" s="212" customFormat="1">
      <c r="A1714" s="120"/>
      <c r="B1714" s="73"/>
      <c r="C1714" s="73"/>
      <c r="D1714" s="73"/>
      <c r="E1714" s="73"/>
      <c r="G1714" s="73"/>
      <c r="H1714" s="222"/>
    </row>
    <row r="1715" spans="1:8" s="212" customFormat="1">
      <c r="A1715" s="220"/>
      <c r="B1715" s="141"/>
      <c r="C1715" s="141"/>
      <c r="D1715" s="141"/>
      <c r="E1715" s="141"/>
      <c r="F1715" s="141"/>
      <c r="G1715" s="141"/>
      <c r="H1715" s="222"/>
    </row>
    <row r="1716" spans="1:8" s="212" customFormat="1">
      <c r="A1716" s="150"/>
      <c r="B1716" s="83"/>
      <c r="C1716" s="148"/>
      <c r="D1716" s="160"/>
      <c r="E1716" s="84"/>
      <c r="F1716" s="84"/>
      <c r="G1716" s="146"/>
      <c r="H1716" s="221"/>
    </row>
    <row r="1717" spans="1:8" s="212" customFormat="1">
      <c r="A1717" s="91"/>
      <c r="B1717" s="91"/>
      <c r="C1717" s="91"/>
      <c r="D1717" s="91"/>
      <c r="E1717" s="91"/>
      <c r="G1717" s="213"/>
      <c r="H1717" s="222"/>
    </row>
    <row r="1718" spans="1:8" s="212" customFormat="1">
      <c r="A1718" s="120"/>
      <c r="B1718" s="73"/>
      <c r="C1718" s="73"/>
      <c r="D1718" s="73"/>
      <c r="E1718" s="73"/>
      <c r="G1718" s="73"/>
      <c r="H1718" s="222"/>
    </row>
    <row r="1719" spans="1:8" s="212" customFormat="1">
      <c r="A1719" s="220"/>
      <c r="B1719" s="141"/>
      <c r="C1719" s="141"/>
      <c r="D1719" s="141"/>
      <c r="E1719" s="141"/>
      <c r="F1719" s="141"/>
      <c r="G1719" s="141"/>
      <c r="H1719" s="222"/>
    </row>
    <row r="1720" spans="1:8" s="212" customFormat="1">
      <c r="A1720" s="142"/>
      <c r="B1720" s="143"/>
      <c r="C1720" s="143"/>
      <c r="D1720" s="143"/>
      <c r="E1720" s="143"/>
      <c r="F1720" s="84"/>
      <c r="G1720" s="146"/>
      <c r="H1720" s="221"/>
    </row>
    <row r="1721" spans="1:8" s="212" customFormat="1">
      <c r="A1721" s="91"/>
      <c r="B1721" s="91"/>
      <c r="C1721" s="91"/>
      <c r="D1721" s="91"/>
      <c r="E1721" s="91"/>
      <c r="G1721" s="213"/>
      <c r="H1721" s="222"/>
    </row>
    <row r="1722" spans="1:8" s="212" customFormat="1">
      <c r="A1722" s="120"/>
      <c r="B1722" s="73"/>
      <c r="C1722" s="73"/>
      <c r="D1722" s="73"/>
      <c r="E1722" s="73"/>
      <c r="G1722" s="73"/>
      <c r="H1722" s="222"/>
    </row>
    <row r="1723" spans="1:8" s="212" customFormat="1">
      <c r="A1723" s="220"/>
      <c r="B1723" s="141"/>
      <c r="C1723" s="141"/>
      <c r="D1723" s="141"/>
      <c r="E1723" s="141"/>
      <c r="F1723" s="141"/>
      <c r="G1723" s="141"/>
      <c r="H1723" s="222"/>
    </row>
    <row r="1724" spans="1:8" s="212" customFormat="1">
      <c r="A1724" s="142"/>
      <c r="B1724" s="143"/>
      <c r="C1724" s="143"/>
      <c r="D1724" s="143"/>
      <c r="E1724" s="143"/>
      <c r="F1724" s="84"/>
      <c r="G1724" s="146"/>
      <c r="H1724" s="221"/>
    </row>
    <row r="1725" spans="1:8" s="212" customFormat="1">
      <c r="A1725" s="123"/>
      <c r="B1725" s="95"/>
      <c r="C1725" s="95"/>
      <c r="D1725" s="95"/>
      <c r="E1725" s="95"/>
      <c r="G1725" s="213"/>
      <c r="H1725" s="73"/>
    </row>
    <row r="1726" spans="1:8" s="212" customFormat="1">
      <c r="A1726" s="123"/>
      <c r="B1726" s="95"/>
      <c r="C1726" s="95"/>
      <c r="D1726" s="95"/>
      <c r="E1726" s="95"/>
      <c r="G1726" s="73"/>
      <c r="H1726" s="225"/>
    </row>
    <row r="1727" spans="1:8" s="212" customFormat="1">
      <c r="B1727" s="97"/>
      <c r="C1727" s="98"/>
      <c r="D1727" s="98"/>
      <c r="E1727" s="98"/>
      <c r="G1727" s="220"/>
    </row>
    <row r="1728" spans="1:8" s="212" customFormat="1">
      <c r="B1728" s="97"/>
      <c r="C1728" s="98"/>
      <c r="D1728" s="98"/>
      <c r="E1728" s="98"/>
      <c r="F1728" s="220"/>
      <c r="G1728" s="225"/>
      <c r="H1728" s="226"/>
    </row>
    <row r="1729" spans="1:9" s="212" customFormat="1">
      <c r="A1729" s="633"/>
      <c r="B1729" s="633"/>
      <c r="C1729" s="633"/>
      <c r="D1729" s="633"/>
      <c r="E1729" s="633"/>
      <c r="F1729" s="633"/>
      <c r="G1729" s="633"/>
    </row>
    <row r="1730" spans="1:9" s="212" customFormat="1">
      <c r="H1730" s="227"/>
      <c r="I1730" s="228"/>
    </row>
    <row r="1731" spans="1:9" s="212" customFormat="1">
      <c r="A1731" s="658"/>
      <c r="B1731" s="227"/>
      <c r="C1731" s="227"/>
      <c r="D1731" s="227"/>
      <c r="E1731" s="227"/>
      <c r="F1731" s="227"/>
      <c r="G1731" s="227"/>
      <c r="H1731" s="227"/>
      <c r="I1731" s="229"/>
    </row>
    <row r="1732" spans="1:9" s="212" customFormat="1">
      <c r="A1732" s="658"/>
      <c r="B1732" s="227"/>
      <c r="C1732" s="227"/>
      <c r="D1732" s="227"/>
      <c r="E1732" s="227"/>
      <c r="F1732" s="227"/>
      <c r="G1732" s="227"/>
    </row>
    <row r="1733" spans="1:9" s="212" customFormat="1">
      <c r="A1733" s="69"/>
      <c r="B1733" s="69"/>
      <c r="C1733" s="69"/>
      <c r="D1733" s="69"/>
      <c r="E1733" s="69"/>
    </row>
    <row r="1734" spans="1:9" s="212" customFormat="1">
      <c r="A1734" s="120"/>
      <c r="B1734" s="73"/>
      <c r="C1734" s="73"/>
      <c r="D1734" s="73"/>
      <c r="E1734" s="73"/>
      <c r="F1734" s="73"/>
      <c r="G1734" s="73"/>
      <c r="H1734" s="73"/>
    </row>
    <row r="1735" spans="1:9" s="212" customFormat="1">
      <c r="A1735" s="220"/>
      <c r="B1735" s="141"/>
      <c r="C1735" s="141"/>
      <c r="D1735" s="141"/>
      <c r="E1735" s="141"/>
      <c r="F1735" s="141"/>
      <c r="G1735" s="141"/>
      <c r="H1735" s="73"/>
    </row>
    <row r="1736" spans="1:9" s="212" customFormat="1">
      <c r="A1736" s="142"/>
      <c r="B1736" s="143"/>
      <c r="C1736" s="143"/>
      <c r="D1736" s="143"/>
      <c r="E1736" s="143"/>
      <c r="F1736" s="84"/>
      <c r="G1736" s="146"/>
      <c r="H1736" s="221"/>
    </row>
    <row r="1737" spans="1:9" s="212" customFormat="1">
      <c r="A1737" s="84"/>
      <c r="B1737" s="83"/>
      <c r="C1737" s="84"/>
      <c r="D1737" s="84"/>
      <c r="E1737" s="84"/>
      <c r="G1737" s="213"/>
      <c r="H1737" s="222"/>
    </row>
    <row r="1738" spans="1:9" s="212" customFormat="1">
      <c r="A1738" s="120"/>
      <c r="B1738" s="73"/>
      <c r="C1738" s="73"/>
      <c r="D1738" s="73"/>
      <c r="E1738" s="73"/>
      <c r="G1738" s="73"/>
      <c r="H1738" s="222"/>
    </row>
    <row r="1739" spans="1:9" s="212" customFormat="1">
      <c r="A1739" s="220"/>
      <c r="B1739" s="141"/>
      <c r="C1739" s="141"/>
      <c r="D1739" s="141"/>
      <c r="E1739" s="141"/>
      <c r="F1739" s="141"/>
      <c r="G1739" s="141"/>
      <c r="H1739" s="222"/>
    </row>
    <row r="1740" spans="1:9" s="212" customFormat="1">
      <c r="A1740" s="150"/>
      <c r="B1740" s="83"/>
      <c r="C1740" s="148"/>
      <c r="D1740" s="160"/>
      <c r="E1740" s="84"/>
      <c r="F1740" s="84"/>
      <c r="G1740" s="146"/>
      <c r="H1740" s="221"/>
    </row>
    <row r="1741" spans="1:9" s="212" customFormat="1">
      <c r="A1741" s="91"/>
      <c r="B1741" s="91"/>
      <c r="C1741" s="91"/>
      <c r="D1741" s="91"/>
      <c r="E1741" s="91"/>
      <c r="G1741" s="213"/>
      <c r="H1741" s="222"/>
    </row>
    <row r="1742" spans="1:9" s="212" customFormat="1">
      <c r="A1742" s="120"/>
      <c r="B1742" s="73"/>
      <c r="C1742" s="73"/>
      <c r="D1742" s="73"/>
      <c r="E1742" s="73"/>
      <c r="G1742" s="73"/>
      <c r="H1742" s="222"/>
    </row>
    <row r="1743" spans="1:9" s="212" customFormat="1">
      <c r="A1743" s="220"/>
      <c r="B1743" s="141"/>
      <c r="C1743" s="141"/>
      <c r="D1743" s="141"/>
      <c r="E1743" s="141"/>
      <c r="F1743" s="141"/>
      <c r="G1743" s="141"/>
      <c r="H1743" s="222"/>
    </row>
    <row r="1744" spans="1:9" s="212" customFormat="1">
      <c r="A1744" s="142"/>
      <c r="B1744" s="143"/>
      <c r="C1744" s="143"/>
      <c r="D1744" s="143"/>
      <c r="E1744" s="143"/>
      <c r="F1744" s="84"/>
      <c r="G1744" s="146"/>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33"/>
      <c r="B1753" s="633"/>
      <c r="C1753" s="633"/>
      <c r="D1753" s="633"/>
      <c r="E1753" s="633"/>
      <c r="F1753" s="633"/>
      <c r="G1753" s="633"/>
    </row>
    <row r="1754" spans="1:9" s="212" customFormat="1">
      <c r="H1754" s="227"/>
      <c r="I1754" s="228"/>
    </row>
    <row r="1755" spans="1:9" s="212" customFormat="1">
      <c r="A1755" s="658"/>
      <c r="B1755" s="227"/>
      <c r="C1755" s="227"/>
      <c r="D1755" s="227"/>
      <c r="E1755" s="227"/>
      <c r="F1755" s="227"/>
      <c r="G1755" s="227"/>
      <c r="H1755" s="227"/>
      <c r="I1755" s="229"/>
    </row>
    <row r="1756" spans="1:9" s="212" customFormat="1">
      <c r="A1756" s="658"/>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c r="A1760" s="142"/>
      <c r="B1760" s="143"/>
      <c r="C1760" s="143"/>
      <c r="D1760" s="143"/>
      <c r="E1760" s="143"/>
      <c r="F1760" s="84"/>
      <c r="G1760" s="146"/>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c r="A1764" s="150"/>
      <c r="B1764" s="83"/>
      <c r="C1764" s="148"/>
      <c r="D1764" s="160"/>
      <c r="E1764" s="84"/>
      <c r="F1764" s="84"/>
      <c r="G1764" s="146"/>
      <c r="H1764" s="221"/>
    </row>
    <row r="1765" spans="1:8" s="212" customFormat="1">
      <c r="A1765" s="91"/>
      <c r="B1765" s="91"/>
      <c r="C1765" s="91"/>
      <c r="D1765" s="91"/>
      <c r="E1765" s="91"/>
      <c r="G1765" s="213"/>
      <c r="H1765" s="222"/>
    </row>
    <row r="1766" spans="1:8" s="212" customFormat="1">
      <c r="A1766" s="120"/>
      <c r="B1766" s="73"/>
      <c r="C1766" s="73"/>
      <c r="D1766" s="73"/>
      <c r="E1766" s="73"/>
      <c r="G1766" s="73"/>
      <c r="H1766" s="222"/>
    </row>
    <row r="1767" spans="1:8" s="212" customFormat="1">
      <c r="A1767" s="220"/>
      <c r="B1767" s="141"/>
      <c r="C1767" s="141"/>
      <c r="D1767" s="141"/>
      <c r="E1767" s="141"/>
      <c r="F1767" s="141"/>
      <c r="G1767" s="141"/>
      <c r="H1767" s="222"/>
    </row>
    <row r="1768" spans="1:8" s="212" customFormat="1">
      <c r="A1768" s="142"/>
      <c r="B1768" s="143"/>
      <c r="C1768" s="143"/>
      <c r="D1768" s="143"/>
      <c r="E1768" s="143"/>
      <c r="F1768" s="84"/>
      <c r="G1768" s="146"/>
      <c r="H1768" s="221"/>
    </row>
    <row r="1769" spans="1:8" s="212" customFormat="1">
      <c r="A1769" s="91"/>
      <c r="B1769" s="91"/>
      <c r="C1769" s="91"/>
      <c r="D1769" s="91"/>
      <c r="E1769" s="91"/>
      <c r="G1769" s="213"/>
      <c r="H1769" s="222"/>
    </row>
    <row r="1770" spans="1:8" s="212" customFormat="1">
      <c r="A1770" s="120"/>
      <c r="B1770" s="73"/>
      <c r="C1770" s="73"/>
      <c r="D1770" s="73"/>
      <c r="E1770" s="73"/>
      <c r="G1770" s="73"/>
      <c r="H1770" s="222"/>
    </row>
    <row r="1771" spans="1:8" s="212" customFormat="1">
      <c r="A1771" s="220"/>
      <c r="B1771" s="141"/>
      <c r="C1771" s="141"/>
      <c r="D1771" s="141"/>
      <c r="E1771" s="141"/>
      <c r="F1771" s="141"/>
      <c r="G1771" s="141"/>
      <c r="H1771" s="222"/>
    </row>
    <row r="1772" spans="1:8" s="212" customFormat="1">
      <c r="A1772" s="142"/>
      <c r="B1772" s="143"/>
      <c r="C1772" s="143"/>
      <c r="D1772" s="143"/>
      <c r="E1772" s="143"/>
      <c r="F1772" s="84"/>
      <c r="G1772" s="146"/>
      <c r="H1772" s="221"/>
    </row>
    <row r="1773" spans="1:8" s="212" customFormat="1">
      <c r="A1773" s="123"/>
      <c r="B1773" s="95"/>
      <c r="C1773" s="95"/>
      <c r="D1773" s="95"/>
      <c r="E1773" s="95"/>
      <c r="G1773" s="213"/>
      <c r="H1773" s="73"/>
    </row>
    <row r="1774" spans="1:8" s="212" customFormat="1">
      <c r="A1774" s="123"/>
      <c r="B1774" s="95"/>
      <c r="C1774" s="95"/>
      <c r="D1774" s="95"/>
      <c r="E1774" s="95"/>
      <c r="G1774" s="73"/>
      <c r="H1774" s="225"/>
    </row>
    <row r="1775" spans="1:8" s="212" customFormat="1">
      <c r="B1775" s="97"/>
      <c r="C1775" s="98"/>
      <c r="D1775" s="98"/>
      <c r="E1775" s="98"/>
      <c r="G1775" s="220"/>
    </row>
    <row r="1776" spans="1:8" s="212" customFormat="1">
      <c r="B1776" s="97"/>
      <c r="C1776" s="98"/>
      <c r="D1776" s="98"/>
      <c r="E1776" s="98"/>
      <c r="F1776" s="220"/>
      <c r="G1776" s="225"/>
      <c r="H1776" s="226"/>
    </row>
    <row r="1777" spans="1:9" s="212" customFormat="1">
      <c r="A1777" s="633"/>
      <c r="B1777" s="633"/>
      <c r="C1777" s="633"/>
      <c r="D1777" s="633"/>
      <c r="E1777" s="633"/>
      <c r="F1777" s="633"/>
      <c r="G1777" s="633"/>
    </row>
    <row r="1778" spans="1:9" s="212" customFormat="1">
      <c r="H1778" s="227"/>
      <c r="I1778" s="228"/>
    </row>
    <row r="1779" spans="1:9" s="212" customFormat="1">
      <c r="A1779" s="658"/>
      <c r="B1779" s="227"/>
      <c r="C1779" s="227"/>
      <c r="D1779" s="227"/>
      <c r="E1779" s="227"/>
      <c r="F1779" s="227"/>
      <c r="G1779" s="227"/>
      <c r="H1779" s="227"/>
      <c r="I1779" s="229"/>
    </row>
    <row r="1780" spans="1:9" s="212" customFormat="1">
      <c r="A1780" s="658"/>
      <c r="B1780" s="227"/>
      <c r="C1780" s="227"/>
      <c r="D1780" s="227"/>
      <c r="E1780" s="227"/>
      <c r="F1780" s="227"/>
      <c r="G1780" s="227"/>
    </row>
    <row r="1781" spans="1:9" s="212" customFormat="1">
      <c r="A1781" s="69"/>
      <c r="B1781" s="69"/>
      <c r="C1781" s="69"/>
      <c r="D1781" s="69"/>
      <c r="E1781" s="69"/>
    </row>
    <row r="1782" spans="1:9" s="212" customFormat="1">
      <c r="A1782" s="120"/>
      <c r="B1782" s="73"/>
      <c r="C1782" s="73"/>
      <c r="D1782" s="73"/>
      <c r="E1782" s="73"/>
      <c r="F1782" s="73"/>
      <c r="G1782" s="73"/>
      <c r="H1782" s="73"/>
    </row>
    <row r="1783" spans="1:9" s="212" customFormat="1">
      <c r="A1783" s="220"/>
      <c r="B1783" s="141"/>
      <c r="C1783" s="141"/>
      <c r="D1783" s="141"/>
      <c r="E1783" s="141"/>
      <c r="F1783" s="141"/>
      <c r="G1783" s="141"/>
      <c r="H1783" s="73"/>
    </row>
    <row r="1784" spans="1:9" s="212" customFormat="1">
      <c r="A1784" s="150"/>
      <c r="B1784" s="83"/>
      <c r="C1784" s="148"/>
      <c r="D1784" s="84"/>
      <c r="E1784" s="84"/>
      <c r="F1784" s="84"/>
      <c r="G1784" s="146"/>
      <c r="H1784" s="221"/>
    </row>
    <row r="1785" spans="1:9" s="212" customFormat="1">
      <c r="A1785" s="84"/>
      <c r="B1785" s="83"/>
      <c r="C1785" s="84"/>
      <c r="D1785" s="84"/>
      <c r="E1785" s="84"/>
      <c r="G1785" s="213"/>
      <c r="H1785" s="222"/>
    </row>
    <row r="1786" spans="1:9" s="212" customFormat="1">
      <c r="A1786" s="120"/>
      <c r="B1786" s="73"/>
      <c r="C1786" s="73"/>
      <c r="D1786" s="73"/>
      <c r="E1786" s="73"/>
      <c r="G1786" s="73"/>
      <c r="H1786" s="222"/>
    </row>
    <row r="1787" spans="1:9" s="212" customFormat="1">
      <c r="A1787" s="220"/>
      <c r="B1787" s="141"/>
      <c r="C1787" s="141"/>
      <c r="D1787" s="141"/>
      <c r="E1787" s="141"/>
      <c r="F1787" s="141"/>
      <c r="G1787" s="141"/>
      <c r="H1787" s="222"/>
    </row>
    <row r="1788" spans="1:9" s="212" customFormat="1" ht="16.5">
      <c r="A1788" s="150"/>
      <c r="B1788" s="161"/>
      <c r="C1788" s="148"/>
      <c r="D1788" s="84"/>
      <c r="E1788" s="84"/>
      <c r="F1788" s="84"/>
      <c r="G1788" s="146"/>
      <c r="H1788" s="222"/>
    </row>
    <row r="1789" spans="1:9" s="212" customFormat="1" ht="16.5">
      <c r="A1789" s="150"/>
      <c r="B1789" s="161"/>
      <c r="C1789" s="148"/>
      <c r="D1789" s="84"/>
      <c r="E1789" s="84"/>
      <c r="F1789" s="84"/>
      <c r="G1789" s="146"/>
      <c r="H1789" s="222"/>
    </row>
    <row r="1790" spans="1:9" s="212" customFormat="1" ht="16.5">
      <c r="A1790" s="150"/>
      <c r="B1790" s="161"/>
      <c r="C1790" s="148"/>
      <c r="D1790" s="84"/>
      <c r="E1790" s="84"/>
      <c r="F1790" s="84"/>
      <c r="G1790" s="146"/>
      <c r="H1790" s="221"/>
    </row>
    <row r="1791" spans="1:9" s="212" customFormat="1">
      <c r="A1791" s="91"/>
      <c r="B1791" s="91"/>
      <c r="C1791" s="91"/>
      <c r="D1791" s="91"/>
      <c r="E1791" s="91"/>
      <c r="G1791" s="213"/>
      <c r="H1791" s="222"/>
    </row>
    <row r="1792" spans="1:9" s="212" customFormat="1">
      <c r="A1792" s="120"/>
      <c r="B1792" s="73"/>
      <c r="C1792" s="73"/>
      <c r="D1792" s="73"/>
      <c r="E1792" s="73"/>
      <c r="G1792" s="73"/>
      <c r="H1792" s="222"/>
    </row>
    <row r="1793" spans="1:9" s="212" customFormat="1">
      <c r="A1793" s="220"/>
      <c r="B1793" s="141"/>
      <c r="C1793" s="141"/>
      <c r="D1793" s="141"/>
      <c r="E1793" s="141"/>
      <c r="F1793" s="141"/>
      <c r="G1793" s="141"/>
      <c r="H1793" s="222"/>
    </row>
    <row r="1794" spans="1:9" s="212" customFormat="1">
      <c r="A1794" s="146"/>
      <c r="B1794" s="83"/>
      <c r="C1794" s="148"/>
      <c r="D1794" s="84"/>
      <c r="E1794" s="84"/>
      <c r="F1794" s="84"/>
      <c r="G1794" s="146"/>
      <c r="H1794" s="221"/>
    </row>
    <row r="1795" spans="1:9" s="212" customFormat="1">
      <c r="A1795" s="91"/>
      <c r="B1795" s="91"/>
      <c r="C1795" s="91"/>
      <c r="D1795" s="91"/>
      <c r="E1795" s="91"/>
      <c r="G1795" s="213"/>
      <c r="H1795" s="222"/>
    </row>
    <row r="1796" spans="1:9" s="212" customFormat="1">
      <c r="A1796" s="120"/>
      <c r="B1796" s="73"/>
      <c r="C1796" s="73"/>
      <c r="D1796" s="73"/>
      <c r="E1796" s="73"/>
      <c r="G1796" s="73"/>
      <c r="H1796" s="222"/>
    </row>
    <row r="1797" spans="1:9" s="212" customFormat="1">
      <c r="A1797" s="220"/>
      <c r="B1797" s="141"/>
      <c r="C1797" s="141"/>
      <c r="D1797" s="141"/>
      <c r="E1797" s="141"/>
      <c r="F1797" s="141"/>
      <c r="G1797" s="141"/>
      <c r="H1797" s="222"/>
    </row>
    <row r="1798" spans="1:9" s="212" customFormat="1">
      <c r="A1798" s="142"/>
      <c r="B1798" s="143"/>
      <c r="C1798" s="143"/>
      <c r="D1798" s="143"/>
      <c r="E1798" s="143"/>
      <c r="F1798" s="84"/>
      <c r="G1798" s="146"/>
      <c r="H1798" s="221"/>
    </row>
    <row r="1799" spans="1:9" s="212" customFormat="1">
      <c r="A1799" s="123"/>
      <c r="B1799" s="95"/>
      <c r="C1799" s="95"/>
      <c r="D1799" s="95"/>
      <c r="E1799" s="95"/>
      <c r="G1799" s="213"/>
      <c r="H1799" s="73"/>
    </row>
    <row r="1800" spans="1:9" s="212" customFormat="1">
      <c r="A1800" s="123"/>
      <c r="B1800" s="95"/>
      <c r="C1800" s="95"/>
      <c r="D1800" s="95"/>
      <c r="E1800" s="95"/>
      <c r="G1800" s="73"/>
      <c r="H1800" s="225"/>
    </row>
    <row r="1801" spans="1:9" s="212" customFormat="1">
      <c r="B1801" s="97"/>
      <c r="C1801" s="98"/>
      <c r="D1801" s="98"/>
      <c r="E1801" s="98"/>
      <c r="G1801" s="220"/>
    </row>
    <row r="1802" spans="1:9" s="212" customFormat="1">
      <c r="B1802" s="97"/>
      <c r="C1802" s="98"/>
      <c r="D1802" s="98"/>
      <c r="E1802" s="98"/>
      <c r="F1802" s="220"/>
      <c r="G1802" s="225"/>
      <c r="H1802" s="226"/>
    </row>
    <row r="1803" spans="1:9" s="212" customFormat="1">
      <c r="A1803" s="633"/>
      <c r="B1803" s="633"/>
      <c r="C1803" s="633"/>
      <c r="D1803" s="633"/>
      <c r="E1803" s="633"/>
      <c r="F1803" s="633"/>
      <c r="G1803" s="633"/>
    </row>
    <row r="1804" spans="1:9" s="212" customFormat="1">
      <c r="H1804" s="227"/>
      <c r="I1804" s="228"/>
    </row>
    <row r="1805" spans="1:9" s="212" customFormat="1">
      <c r="A1805" s="658"/>
      <c r="B1805" s="227"/>
      <c r="C1805" s="227"/>
      <c r="D1805" s="227"/>
      <c r="E1805" s="227"/>
      <c r="F1805" s="227"/>
      <c r="G1805" s="227"/>
      <c r="H1805" s="227"/>
      <c r="I1805" s="229"/>
    </row>
    <row r="1806" spans="1:9" s="212" customFormat="1">
      <c r="A1806" s="658"/>
      <c r="B1806" s="227"/>
      <c r="C1806" s="227"/>
      <c r="D1806" s="227"/>
      <c r="E1806" s="227"/>
      <c r="F1806" s="227"/>
      <c r="G1806" s="227"/>
    </row>
    <row r="1807" spans="1:9" s="212" customFormat="1">
      <c r="A1807" s="69"/>
      <c r="B1807" s="69"/>
      <c r="C1807" s="69"/>
      <c r="D1807" s="69"/>
      <c r="E1807" s="69"/>
    </row>
    <row r="1808" spans="1:9" s="212" customFormat="1">
      <c r="A1808" s="120"/>
      <c r="B1808" s="73"/>
      <c r="C1808" s="73"/>
      <c r="D1808" s="73"/>
      <c r="E1808" s="73"/>
      <c r="F1808" s="73"/>
      <c r="G1808" s="73"/>
      <c r="H1808" s="73"/>
    </row>
    <row r="1809" spans="1:8" s="212" customFormat="1">
      <c r="A1809" s="220"/>
      <c r="B1809" s="141"/>
      <c r="C1809" s="141"/>
      <c r="D1809" s="141"/>
      <c r="E1809" s="141"/>
      <c r="F1809" s="141"/>
      <c r="G1809" s="141"/>
      <c r="H1809" s="73"/>
    </row>
    <row r="1810" spans="1:8" s="212" customFormat="1">
      <c r="A1810" s="150"/>
      <c r="B1810" s="83"/>
      <c r="C1810" s="148"/>
      <c r="D1810" s="84"/>
      <c r="E1810" s="84"/>
      <c r="F1810" s="84"/>
      <c r="G1810" s="146"/>
      <c r="H1810" s="221"/>
    </row>
    <row r="1811" spans="1:8" s="212" customFormat="1">
      <c r="A1811" s="84"/>
      <c r="B1811" s="83"/>
      <c r="C1811" s="84"/>
      <c r="D1811" s="84"/>
      <c r="E1811" s="84"/>
      <c r="G1811" s="213"/>
      <c r="H1811" s="222"/>
    </row>
    <row r="1812" spans="1:8" s="212" customFormat="1">
      <c r="A1812" s="120"/>
      <c r="B1812" s="73"/>
      <c r="C1812" s="73"/>
      <c r="D1812" s="73"/>
      <c r="E1812" s="73"/>
      <c r="G1812" s="73"/>
      <c r="H1812" s="222"/>
    </row>
    <row r="1813" spans="1:8" s="212" customFormat="1">
      <c r="A1813" s="220"/>
      <c r="B1813" s="141"/>
      <c r="C1813" s="141"/>
      <c r="D1813" s="141"/>
      <c r="E1813" s="141"/>
      <c r="F1813" s="141"/>
      <c r="G1813" s="141"/>
      <c r="H1813" s="222"/>
    </row>
    <row r="1814" spans="1:8" s="212" customFormat="1" ht="16.5">
      <c r="A1814" s="150"/>
      <c r="B1814" s="161"/>
      <c r="C1814" s="148"/>
      <c r="D1814" s="84"/>
      <c r="E1814" s="84"/>
      <c r="F1814" s="84"/>
      <c r="G1814" s="146"/>
      <c r="H1814" s="222"/>
    </row>
    <row r="1815" spans="1:8" s="212" customFormat="1" ht="16.5">
      <c r="A1815" s="150"/>
      <c r="B1815" s="161"/>
      <c r="C1815" s="148"/>
      <c r="D1815" s="84"/>
      <c r="E1815" s="84"/>
      <c r="F1815" s="84"/>
      <c r="G1815" s="146"/>
      <c r="H1815" s="222"/>
    </row>
    <row r="1816" spans="1:8" s="212" customFormat="1" ht="16.5">
      <c r="A1816" s="150"/>
      <c r="B1816" s="161"/>
      <c r="C1816" s="148"/>
      <c r="D1816" s="84"/>
      <c r="E1816" s="84"/>
      <c r="F1816" s="84"/>
      <c r="G1816" s="146"/>
      <c r="H1816" s="221"/>
    </row>
    <row r="1817" spans="1:8" s="212" customFormat="1">
      <c r="A1817" s="91"/>
      <c r="B1817" s="91"/>
      <c r="C1817" s="91"/>
      <c r="D1817" s="91"/>
      <c r="E1817" s="91"/>
      <c r="G1817" s="213"/>
      <c r="H1817" s="222"/>
    </row>
    <row r="1818" spans="1:8" s="212" customFormat="1">
      <c r="A1818" s="120"/>
      <c r="B1818" s="73"/>
      <c r="C1818" s="73"/>
      <c r="D1818" s="73"/>
      <c r="E1818" s="73"/>
      <c r="G1818" s="73"/>
      <c r="H1818" s="222"/>
    </row>
    <row r="1819" spans="1:8" s="212" customFormat="1">
      <c r="A1819" s="220"/>
      <c r="B1819" s="141"/>
      <c r="C1819" s="141"/>
      <c r="D1819" s="141"/>
      <c r="E1819" s="141"/>
      <c r="F1819" s="141"/>
      <c r="G1819" s="141"/>
      <c r="H1819" s="222"/>
    </row>
    <row r="1820" spans="1:8" s="212" customFormat="1">
      <c r="A1820" s="146"/>
      <c r="B1820" s="83"/>
      <c r="C1820" s="148"/>
      <c r="D1820" s="84"/>
      <c r="E1820" s="84"/>
      <c r="F1820" s="84"/>
      <c r="G1820" s="146"/>
      <c r="H1820" s="221"/>
    </row>
    <row r="1821" spans="1:8" s="212" customFormat="1">
      <c r="A1821" s="91"/>
      <c r="B1821" s="91"/>
      <c r="C1821" s="91"/>
      <c r="D1821" s="91"/>
      <c r="E1821" s="91"/>
      <c r="G1821" s="213"/>
      <c r="H1821" s="222"/>
    </row>
    <row r="1822" spans="1:8" s="212" customFormat="1">
      <c r="A1822" s="120"/>
      <c r="B1822" s="73"/>
      <c r="C1822" s="73"/>
      <c r="D1822" s="73"/>
      <c r="E1822" s="73"/>
      <c r="G1822" s="73"/>
      <c r="H1822" s="222"/>
    </row>
    <row r="1823" spans="1:8" s="212" customFormat="1">
      <c r="A1823" s="220"/>
      <c r="B1823" s="141"/>
      <c r="C1823" s="141"/>
      <c r="D1823" s="141"/>
      <c r="E1823" s="141"/>
      <c r="F1823" s="141"/>
      <c r="G1823" s="141"/>
      <c r="H1823" s="222"/>
    </row>
    <row r="1824" spans="1:8" s="212" customFormat="1">
      <c r="A1824" s="142"/>
      <c r="B1824" s="143"/>
      <c r="C1824" s="143"/>
      <c r="D1824" s="143"/>
      <c r="E1824" s="143"/>
      <c r="F1824" s="84"/>
      <c r="G1824" s="146"/>
      <c r="H1824" s="221"/>
    </row>
    <row r="1825" spans="1:9" s="212" customFormat="1">
      <c r="A1825" s="123"/>
      <c r="B1825" s="95"/>
      <c r="C1825" s="95"/>
      <c r="D1825" s="95"/>
      <c r="E1825" s="95"/>
      <c r="G1825" s="213"/>
      <c r="H1825" s="73"/>
    </row>
    <row r="1826" spans="1:9" s="212" customFormat="1">
      <c r="A1826" s="123"/>
      <c r="B1826" s="95"/>
      <c r="C1826" s="95"/>
      <c r="D1826" s="95"/>
      <c r="E1826" s="95"/>
      <c r="G1826" s="73"/>
      <c r="H1826" s="225"/>
    </row>
    <row r="1827" spans="1:9" s="212" customFormat="1">
      <c r="B1827" s="97"/>
      <c r="C1827" s="98"/>
      <c r="D1827" s="98"/>
      <c r="E1827" s="98"/>
      <c r="G1827" s="220"/>
    </row>
    <row r="1828" spans="1:9" s="212" customFormat="1">
      <c r="B1828" s="97"/>
      <c r="C1828" s="98"/>
      <c r="D1828" s="98"/>
      <c r="E1828" s="98"/>
      <c r="F1828" s="220"/>
      <c r="G1828" s="225"/>
      <c r="H1828" s="226"/>
    </row>
    <row r="1829" spans="1:9" s="212" customFormat="1">
      <c r="A1829" s="633"/>
      <c r="B1829" s="633"/>
      <c r="C1829" s="633"/>
      <c r="D1829" s="633"/>
      <c r="E1829" s="633"/>
      <c r="F1829" s="633"/>
      <c r="G1829" s="633"/>
    </row>
    <row r="1830" spans="1:9" s="212" customFormat="1">
      <c r="H1830" s="227"/>
      <c r="I1830" s="228"/>
    </row>
    <row r="1831" spans="1:9" s="212" customFormat="1">
      <c r="A1831" s="658"/>
      <c r="B1831" s="227"/>
      <c r="C1831" s="227"/>
      <c r="D1831" s="227"/>
      <c r="E1831" s="227"/>
      <c r="F1831" s="227"/>
      <c r="G1831" s="227"/>
      <c r="H1831" s="227"/>
      <c r="I1831" s="229"/>
    </row>
    <row r="1832" spans="1:9" s="212" customFormat="1">
      <c r="A1832" s="658"/>
      <c r="B1832" s="227"/>
      <c r="C1832" s="227"/>
      <c r="D1832" s="227"/>
      <c r="E1832" s="227"/>
      <c r="F1832" s="227"/>
      <c r="G1832" s="227"/>
    </row>
    <row r="1833" spans="1:9" s="212" customFormat="1">
      <c r="A1833" s="69"/>
      <c r="B1833" s="69"/>
      <c r="C1833" s="69"/>
      <c r="D1833" s="69"/>
      <c r="E1833" s="69"/>
    </row>
    <row r="1834" spans="1:9" s="212" customFormat="1">
      <c r="A1834" s="120"/>
      <c r="B1834" s="73"/>
      <c r="C1834" s="73"/>
      <c r="D1834" s="73"/>
      <c r="E1834" s="73"/>
      <c r="F1834" s="73"/>
      <c r="G1834" s="73"/>
      <c r="H1834" s="73"/>
    </row>
    <row r="1835" spans="1:9" s="212" customFormat="1">
      <c r="A1835" s="220"/>
      <c r="B1835" s="141"/>
      <c r="C1835" s="141"/>
      <c r="D1835" s="141"/>
      <c r="E1835" s="141"/>
      <c r="F1835" s="141"/>
      <c r="G1835" s="141"/>
      <c r="H1835" s="73"/>
    </row>
    <row r="1836" spans="1:9" s="212" customFormat="1">
      <c r="A1836" s="150"/>
      <c r="B1836" s="83"/>
      <c r="C1836" s="148"/>
      <c r="D1836" s="84"/>
      <c r="E1836" s="84"/>
      <c r="F1836" s="84"/>
      <c r="G1836" s="146"/>
      <c r="H1836" s="73"/>
    </row>
    <row r="1837" spans="1:9" s="212" customFormat="1">
      <c r="A1837" s="150"/>
      <c r="B1837" s="83"/>
      <c r="C1837" s="148"/>
      <c r="D1837" s="84"/>
      <c r="E1837" s="84"/>
      <c r="F1837" s="84"/>
      <c r="G1837" s="146"/>
      <c r="H1837" s="221"/>
    </row>
    <row r="1838" spans="1:9" s="212" customFormat="1">
      <c r="A1838" s="84"/>
      <c r="B1838" s="83"/>
      <c r="C1838" s="84"/>
      <c r="D1838" s="84"/>
      <c r="E1838" s="84"/>
      <c r="G1838" s="213"/>
      <c r="H1838" s="222"/>
    </row>
    <row r="1839" spans="1:9" s="212" customFormat="1">
      <c r="A1839" s="120"/>
      <c r="B1839" s="73"/>
      <c r="C1839" s="73"/>
      <c r="D1839" s="73"/>
      <c r="E1839" s="73"/>
      <c r="G1839" s="73"/>
      <c r="H1839" s="222"/>
    </row>
    <row r="1840" spans="1:9" s="212" customFormat="1">
      <c r="A1840" s="220"/>
      <c r="B1840" s="141"/>
      <c r="C1840" s="141"/>
      <c r="D1840" s="141"/>
      <c r="E1840" s="141"/>
      <c r="F1840" s="141"/>
      <c r="G1840" s="141"/>
      <c r="H1840" s="222"/>
    </row>
    <row r="1841" spans="1:8" s="212" customFormat="1" ht="16.5">
      <c r="A1841" s="150"/>
      <c r="B1841" s="161"/>
      <c r="C1841" s="148"/>
      <c r="D1841" s="84"/>
      <c r="E1841" s="84"/>
      <c r="F1841" s="84"/>
      <c r="G1841" s="146"/>
      <c r="H1841" s="222"/>
    </row>
    <row r="1842" spans="1:8" s="212" customFormat="1" ht="16.5">
      <c r="A1842" s="150"/>
      <c r="B1842" s="161"/>
      <c r="C1842" s="148"/>
      <c r="D1842" s="84"/>
      <c r="E1842" s="84"/>
      <c r="F1842" s="84"/>
      <c r="G1842" s="146"/>
      <c r="H1842" s="222"/>
    </row>
    <row r="1843" spans="1:8" s="212" customFormat="1" ht="16.5">
      <c r="A1843" s="150"/>
      <c r="B1843" s="161"/>
      <c r="C1843" s="148"/>
      <c r="D1843" s="84"/>
      <c r="E1843" s="84"/>
      <c r="F1843" s="84"/>
      <c r="G1843" s="146"/>
      <c r="H1843" s="221"/>
    </row>
    <row r="1844" spans="1:8" s="212" customFormat="1">
      <c r="A1844" s="91"/>
      <c r="B1844" s="91"/>
      <c r="C1844" s="91"/>
      <c r="D1844" s="91"/>
      <c r="E1844" s="91"/>
      <c r="G1844" s="213"/>
      <c r="H1844" s="222"/>
    </row>
    <row r="1845" spans="1:8" s="212" customFormat="1">
      <c r="A1845" s="120"/>
      <c r="B1845" s="73"/>
      <c r="C1845" s="73"/>
      <c r="D1845" s="73"/>
      <c r="E1845" s="73"/>
      <c r="G1845" s="73"/>
      <c r="H1845" s="222"/>
    </row>
    <row r="1846" spans="1:8" s="212" customFormat="1">
      <c r="A1846" s="220"/>
      <c r="B1846" s="141"/>
      <c r="C1846" s="141"/>
      <c r="D1846" s="141"/>
      <c r="E1846" s="141"/>
      <c r="F1846" s="141"/>
      <c r="G1846" s="141"/>
      <c r="H1846" s="222"/>
    </row>
    <row r="1847" spans="1:8" s="212" customFormat="1">
      <c r="A1847" s="146"/>
      <c r="B1847" s="83"/>
      <c r="C1847" s="148"/>
      <c r="D1847" s="84"/>
      <c r="E1847" s="84"/>
      <c r="F1847" s="84"/>
      <c r="G1847" s="146"/>
      <c r="H1847" s="221"/>
    </row>
    <row r="1848" spans="1:8" s="212" customFormat="1">
      <c r="A1848" s="91"/>
      <c r="B1848" s="91"/>
      <c r="C1848" s="91"/>
      <c r="D1848" s="91"/>
      <c r="E1848" s="91"/>
      <c r="G1848" s="213"/>
      <c r="H1848" s="222"/>
    </row>
    <row r="1849" spans="1:8" s="212" customFormat="1">
      <c r="A1849" s="120"/>
      <c r="B1849" s="73"/>
      <c r="C1849" s="73"/>
      <c r="D1849" s="73"/>
      <c r="E1849" s="73"/>
      <c r="G1849" s="73"/>
      <c r="H1849" s="222"/>
    </row>
    <row r="1850" spans="1:8" s="212" customFormat="1">
      <c r="A1850" s="220"/>
      <c r="B1850" s="141"/>
      <c r="C1850" s="141"/>
      <c r="D1850" s="141"/>
      <c r="E1850" s="141"/>
      <c r="F1850" s="141"/>
      <c r="G1850" s="141"/>
      <c r="H1850" s="222"/>
    </row>
    <row r="1851" spans="1:8" s="212" customFormat="1">
      <c r="A1851" s="142"/>
      <c r="B1851" s="143"/>
      <c r="C1851" s="143"/>
      <c r="D1851" s="143"/>
      <c r="E1851" s="143"/>
      <c r="F1851" s="84"/>
      <c r="G1851" s="146"/>
      <c r="H1851" s="221"/>
    </row>
    <row r="1852" spans="1:8" s="212" customFormat="1">
      <c r="A1852" s="123"/>
      <c r="B1852" s="95"/>
      <c r="C1852" s="95"/>
      <c r="D1852" s="95"/>
      <c r="E1852" s="95"/>
      <c r="G1852" s="213"/>
      <c r="H1852" s="73"/>
    </row>
    <row r="1853" spans="1:8" s="212" customFormat="1">
      <c r="A1853" s="123"/>
      <c r="B1853" s="95"/>
      <c r="C1853" s="95"/>
      <c r="D1853" s="95"/>
      <c r="E1853" s="95"/>
      <c r="G1853" s="73"/>
      <c r="H1853" s="225"/>
    </row>
    <row r="1854" spans="1:8" s="212" customFormat="1">
      <c r="B1854" s="97"/>
      <c r="C1854" s="98"/>
      <c r="D1854" s="98"/>
      <c r="E1854" s="98"/>
      <c r="G1854" s="220"/>
    </row>
    <row r="1855" spans="1:8" s="212" customFormat="1">
      <c r="B1855" s="97"/>
      <c r="C1855" s="98"/>
      <c r="D1855" s="98"/>
      <c r="E1855" s="98"/>
      <c r="F1855" s="220"/>
      <c r="G1855" s="225"/>
      <c r="H1855" s="226"/>
    </row>
    <row r="1856" spans="1:8" s="212" customFormat="1">
      <c r="A1856" s="633"/>
      <c r="B1856" s="633"/>
      <c r="C1856" s="633"/>
      <c r="D1856" s="633"/>
      <c r="E1856" s="633"/>
      <c r="F1856" s="633"/>
      <c r="G1856" s="633"/>
    </row>
    <row r="1857" spans="1:9" s="212" customFormat="1">
      <c r="H1857" s="227"/>
      <c r="I1857" s="228"/>
    </row>
    <row r="1858" spans="1:9" s="212" customFormat="1">
      <c r="A1858" s="658"/>
      <c r="B1858" s="227"/>
      <c r="C1858" s="227"/>
      <c r="D1858" s="227"/>
      <c r="E1858" s="227"/>
      <c r="F1858" s="227"/>
      <c r="G1858" s="227"/>
      <c r="H1858" s="227"/>
      <c r="I1858" s="229"/>
    </row>
    <row r="1859" spans="1:9" s="212" customFormat="1">
      <c r="A1859" s="658"/>
      <c r="B1859" s="227"/>
      <c r="C1859" s="227"/>
      <c r="D1859" s="227"/>
      <c r="E1859" s="227"/>
      <c r="F1859" s="227"/>
      <c r="G1859" s="227"/>
    </row>
    <row r="1860" spans="1:9" s="212" customFormat="1">
      <c r="A1860" s="69"/>
      <c r="B1860" s="69"/>
      <c r="C1860" s="69"/>
      <c r="D1860" s="69"/>
      <c r="E1860" s="69"/>
    </row>
    <row r="1861" spans="1:9" s="212" customFormat="1">
      <c r="A1861" s="120"/>
      <c r="B1861" s="73"/>
      <c r="C1861" s="73"/>
      <c r="D1861" s="73"/>
      <c r="E1861" s="73"/>
      <c r="F1861" s="73"/>
      <c r="G1861" s="73"/>
      <c r="H1861" s="73"/>
    </row>
    <row r="1862" spans="1:9" s="212" customFormat="1">
      <c r="A1862" s="220"/>
      <c r="B1862" s="141"/>
      <c r="C1862" s="141"/>
      <c r="D1862" s="141"/>
      <c r="E1862" s="141"/>
      <c r="F1862" s="141"/>
      <c r="G1862" s="141"/>
      <c r="H1862" s="73"/>
    </row>
    <row r="1863" spans="1:9" s="212" customFormat="1">
      <c r="A1863" s="142"/>
      <c r="B1863" s="143"/>
      <c r="C1863" s="143"/>
      <c r="D1863" s="143"/>
      <c r="E1863" s="143"/>
      <c r="F1863" s="84"/>
      <c r="G1863" s="146"/>
      <c r="H1863" s="221"/>
    </row>
    <row r="1864" spans="1:9" s="212" customFormat="1">
      <c r="A1864" s="84"/>
      <c r="B1864" s="83"/>
      <c r="C1864" s="84"/>
      <c r="D1864" s="84"/>
      <c r="E1864" s="84"/>
      <c r="G1864" s="213"/>
      <c r="H1864" s="222"/>
    </row>
    <row r="1865" spans="1:9" s="212" customFormat="1">
      <c r="A1865" s="120"/>
      <c r="B1865" s="73"/>
      <c r="C1865" s="73"/>
      <c r="D1865" s="73"/>
      <c r="E1865" s="73"/>
      <c r="G1865" s="73"/>
      <c r="H1865" s="222"/>
    </row>
    <row r="1866" spans="1:9" s="212" customFormat="1">
      <c r="A1866" s="220"/>
      <c r="B1866" s="141"/>
      <c r="C1866" s="141"/>
      <c r="D1866" s="141"/>
      <c r="E1866" s="141"/>
      <c r="F1866" s="141"/>
      <c r="G1866" s="141"/>
      <c r="H1866" s="222"/>
    </row>
    <row r="1867" spans="1:9" s="212" customFormat="1">
      <c r="A1867" s="150"/>
      <c r="B1867" s="83"/>
      <c r="C1867" s="148"/>
      <c r="D1867" s="84"/>
      <c r="E1867" s="84"/>
      <c r="F1867" s="84"/>
      <c r="G1867" s="146"/>
      <c r="H1867" s="222"/>
    </row>
    <row r="1868" spans="1:9" s="212" customFormat="1">
      <c r="A1868" s="150"/>
      <c r="B1868" s="83"/>
      <c r="C1868" s="148"/>
      <c r="D1868" s="84"/>
      <c r="E1868" s="84"/>
      <c r="F1868" s="84"/>
      <c r="G1868" s="146"/>
      <c r="H1868" s="222"/>
    </row>
    <row r="1869" spans="1:9" s="212" customFormat="1">
      <c r="A1869" s="150"/>
      <c r="B1869" s="83"/>
      <c r="C1869" s="148"/>
      <c r="D1869" s="84"/>
      <c r="E1869" s="84"/>
      <c r="F1869" s="84"/>
      <c r="G1869" s="224"/>
      <c r="H1869" s="221"/>
    </row>
    <row r="1870" spans="1:9" s="212" customFormat="1">
      <c r="A1870" s="91"/>
      <c r="B1870" s="91"/>
      <c r="C1870" s="91"/>
      <c r="D1870" s="91"/>
      <c r="E1870" s="91"/>
      <c r="G1870" s="213"/>
      <c r="H1870" s="222"/>
    </row>
    <row r="1871" spans="1:9" s="212" customFormat="1">
      <c r="A1871" s="120"/>
      <c r="B1871" s="73"/>
      <c r="C1871" s="73"/>
      <c r="D1871" s="73"/>
      <c r="E1871" s="73"/>
      <c r="G1871" s="73"/>
      <c r="H1871" s="222"/>
    </row>
    <row r="1872" spans="1:9" s="212" customFormat="1">
      <c r="A1872" s="220"/>
      <c r="B1872" s="141"/>
      <c r="C1872" s="141"/>
      <c r="D1872" s="141"/>
      <c r="E1872" s="141"/>
      <c r="F1872" s="141"/>
      <c r="G1872" s="141"/>
      <c r="H1872" s="222"/>
    </row>
    <row r="1873" spans="1:9" s="212" customFormat="1">
      <c r="A1873" s="146"/>
      <c r="B1873" s="83"/>
      <c r="C1873" s="148"/>
      <c r="D1873" s="84"/>
      <c r="E1873" s="84"/>
      <c r="F1873" s="84"/>
      <c r="G1873" s="146"/>
      <c r="H1873" s="221"/>
    </row>
    <row r="1874" spans="1:9" s="212" customFormat="1">
      <c r="A1874" s="91"/>
      <c r="B1874" s="91"/>
      <c r="C1874" s="91"/>
      <c r="D1874" s="91"/>
      <c r="E1874" s="91"/>
      <c r="G1874" s="213"/>
      <c r="H1874" s="222"/>
    </row>
    <row r="1875" spans="1:9" s="212" customFormat="1">
      <c r="A1875" s="120"/>
      <c r="B1875" s="73"/>
      <c r="C1875" s="73"/>
      <c r="D1875" s="73"/>
      <c r="E1875" s="73"/>
      <c r="G1875" s="73"/>
      <c r="H1875" s="222"/>
    </row>
    <row r="1876" spans="1:9" s="212" customFormat="1" ht="71.25" customHeight="1">
      <c r="A1876" s="220"/>
      <c r="B1876" s="141"/>
      <c r="C1876" s="141"/>
      <c r="D1876" s="141"/>
      <c r="E1876" s="141"/>
      <c r="F1876" s="141"/>
      <c r="G1876" s="141"/>
      <c r="H1876" s="222"/>
    </row>
    <row r="1877" spans="1:9" s="212" customFormat="1">
      <c r="A1877" s="142"/>
      <c r="B1877" s="143"/>
      <c r="C1877" s="143"/>
      <c r="D1877" s="143"/>
      <c r="E1877" s="143"/>
      <c r="F1877" s="84"/>
      <c r="G1877" s="146"/>
      <c r="H1877" s="221"/>
    </row>
    <row r="1878" spans="1:9" s="212" customFormat="1">
      <c r="A1878" s="123"/>
      <c r="B1878" s="95"/>
      <c r="C1878" s="95"/>
      <c r="D1878" s="95"/>
      <c r="E1878" s="95"/>
      <c r="G1878" s="213"/>
      <c r="H1878" s="73"/>
    </row>
    <row r="1879" spans="1:9" s="212" customFormat="1">
      <c r="A1879" s="123"/>
      <c r="B1879" s="95"/>
      <c r="C1879" s="95"/>
      <c r="D1879" s="95"/>
      <c r="E1879" s="95"/>
      <c r="G1879" s="73"/>
      <c r="H1879" s="225"/>
    </row>
    <row r="1880" spans="1:9" s="212" customFormat="1">
      <c r="B1880" s="97"/>
      <c r="C1880" s="98"/>
      <c r="D1880" s="98"/>
      <c r="E1880" s="98"/>
      <c r="G1880" s="220"/>
    </row>
    <row r="1881" spans="1:9" s="212" customFormat="1">
      <c r="B1881" s="97"/>
      <c r="C1881" s="98"/>
      <c r="D1881" s="98"/>
      <c r="E1881" s="98"/>
      <c r="F1881" s="220"/>
      <c r="G1881" s="225"/>
      <c r="H1881" s="226"/>
    </row>
    <row r="1882" spans="1:9" s="212" customFormat="1">
      <c r="A1882" s="633"/>
      <c r="B1882" s="633"/>
      <c r="C1882" s="633"/>
      <c r="D1882" s="633"/>
      <c r="E1882" s="633"/>
      <c r="F1882" s="633"/>
      <c r="G1882" s="633"/>
    </row>
    <row r="1883" spans="1:9" s="212" customFormat="1">
      <c r="H1883" s="227"/>
      <c r="I1883" s="228"/>
    </row>
    <row r="1884" spans="1:9" s="212" customFormat="1">
      <c r="A1884" s="658"/>
      <c r="B1884" s="227"/>
      <c r="C1884" s="227"/>
      <c r="D1884" s="227"/>
      <c r="E1884" s="227"/>
      <c r="F1884" s="227"/>
      <c r="G1884" s="227"/>
      <c r="H1884" s="227"/>
      <c r="I1884" s="229"/>
    </row>
    <row r="1885" spans="1:9" s="212" customFormat="1">
      <c r="A1885" s="658"/>
      <c r="B1885" s="227"/>
      <c r="C1885" s="227"/>
      <c r="D1885" s="227"/>
      <c r="E1885" s="227"/>
      <c r="F1885" s="227"/>
      <c r="G1885" s="227"/>
    </row>
    <row r="1886" spans="1:9" s="212" customFormat="1">
      <c r="A1886" s="69"/>
      <c r="B1886" s="69"/>
      <c r="C1886" s="69"/>
      <c r="D1886" s="69"/>
      <c r="E1886" s="69"/>
    </row>
    <row r="1887" spans="1:9" s="212" customFormat="1">
      <c r="A1887" s="120"/>
      <c r="B1887" s="73"/>
      <c r="C1887" s="73"/>
      <c r="D1887" s="73"/>
      <c r="E1887" s="73"/>
      <c r="F1887" s="73"/>
      <c r="G1887" s="73"/>
      <c r="H1887" s="73"/>
    </row>
    <row r="1888" spans="1:9" s="212" customFormat="1">
      <c r="A1888" s="220"/>
      <c r="B1888" s="141"/>
      <c r="C1888" s="141"/>
      <c r="D1888" s="141"/>
      <c r="E1888" s="141"/>
      <c r="F1888" s="141"/>
      <c r="G1888" s="141"/>
      <c r="H1888" s="73"/>
    </row>
    <row r="1889" spans="1:8" s="212" customFormat="1">
      <c r="A1889" s="142"/>
      <c r="B1889" s="167"/>
      <c r="C1889" s="143"/>
      <c r="D1889" s="84"/>
      <c r="E1889" s="84"/>
      <c r="F1889" s="84"/>
      <c r="G1889" s="224"/>
      <c r="H1889" s="221"/>
    </row>
    <row r="1890" spans="1:8" s="212" customFormat="1">
      <c r="A1890" s="84"/>
      <c r="B1890" s="83"/>
      <c r="C1890" s="84"/>
      <c r="D1890" s="84"/>
      <c r="E1890" s="84"/>
      <c r="G1890" s="213"/>
      <c r="H1890" s="222"/>
    </row>
    <row r="1891" spans="1:8" s="212" customFormat="1">
      <c r="A1891" s="120"/>
      <c r="B1891" s="73"/>
      <c r="C1891" s="73"/>
      <c r="D1891" s="73"/>
      <c r="E1891" s="73"/>
      <c r="G1891" s="73"/>
      <c r="H1891" s="222"/>
    </row>
    <row r="1892" spans="1:8" s="212" customFormat="1">
      <c r="A1892" s="220"/>
      <c r="B1892" s="141"/>
      <c r="C1892" s="141"/>
      <c r="D1892" s="141"/>
      <c r="E1892" s="141"/>
      <c r="F1892" s="141"/>
      <c r="G1892" s="141"/>
      <c r="H1892" s="222"/>
    </row>
    <row r="1893" spans="1:8" s="212" customFormat="1">
      <c r="A1893" s="150"/>
      <c r="B1893" s="83"/>
      <c r="C1893" s="148"/>
      <c r="D1893" s="84"/>
      <c r="E1893" s="84"/>
      <c r="F1893" s="84"/>
      <c r="G1893" s="146"/>
      <c r="H1893" s="222"/>
    </row>
    <row r="1894" spans="1:8" s="212" customFormat="1">
      <c r="A1894" s="150"/>
      <c r="B1894" s="83"/>
      <c r="C1894" s="148"/>
      <c r="D1894" s="84"/>
      <c r="E1894" s="84"/>
      <c r="F1894" s="84"/>
      <c r="G1894" s="146"/>
      <c r="H1894" s="222"/>
    </row>
    <row r="1895" spans="1:8" s="212" customFormat="1">
      <c r="A1895" s="150"/>
      <c r="B1895" s="83"/>
      <c r="C1895" s="148"/>
      <c r="D1895" s="84"/>
      <c r="E1895" s="84"/>
      <c r="F1895" s="84"/>
      <c r="G1895" s="224"/>
      <c r="H1895" s="221"/>
    </row>
    <row r="1896" spans="1:8" s="212" customFormat="1">
      <c r="A1896" s="91"/>
      <c r="B1896" s="91"/>
      <c r="C1896" s="91"/>
      <c r="D1896" s="91"/>
      <c r="E1896" s="91"/>
      <c r="G1896" s="213"/>
      <c r="H1896" s="222"/>
    </row>
    <row r="1897" spans="1:8" s="212" customFormat="1">
      <c r="A1897" s="120"/>
      <c r="B1897" s="73"/>
      <c r="C1897" s="73"/>
      <c r="D1897" s="73"/>
      <c r="E1897" s="73"/>
      <c r="G1897" s="73"/>
      <c r="H1897" s="222"/>
    </row>
    <row r="1898" spans="1:8" s="212" customFormat="1">
      <c r="A1898" s="220"/>
      <c r="B1898" s="141"/>
      <c r="C1898" s="141"/>
      <c r="D1898" s="141"/>
      <c r="E1898" s="141"/>
      <c r="F1898" s="141"/>
      <c r="G1898" s="141"/>
      <c r="H1898" s="222"/>
    </row>
    <row r="1899" spans="1:8" s="212" customFormat="1">
      <c r="A1899" s="146"/>
      <c r="B1899" s="83"/>
      <c r="C1899" s="148"/>
      <c r="D1899" s="84"/>
      <c r="E1899" s="84"/>
      <c r="F1899" s="84"/>
      <c r="G1899" s="146"/>
      <c r="H1899" s="221"/>
    </row>
    <row r="1900" spans="1:8" s="212" customFormat="1">
      <c r="A1900" s="91"/>
      <c r="B1900" s="91"/>
      <c r="C1900" s="91"/>
      <c r="D1900" s="91"/>
      <c r="E1900" s="91"/>
      <c r="G1900" s="213"/>
      <c r="H1900" s="222"/>
    </row>
    <row r="1901" spans="1:8" s="212" customFormat="1">
      <c r="A1901" s="120"/>
      <c r="B1901" s="73"/>
      <c r="C1901" s="73"/>
      <c r="D1901" s="73"/>
      <c r="E1901" s="73"/>
      <c r="G1901" s="73"/>
      <c r="H1901" s="222"/>
    </row>
    <row r="1902" spans="1:8" s="212" customFormat="1">
      <c r="A1902" s="220"/>
      <c r="B1902" s="141"/>
      <c r="C1902" s="141"/>
      <c r="D1902" s="141"/>
      <c r="E1902" s="141"/>
      <c r="F1902" s="141"/>
      <c r="G1902" s="141"/>
      <c r="H1902" s="222"/>
    </row>
    <row r="1903" spans="1:8" s="212" customFormat="1">
      <c r="A1903" s="142"/>
      <c r="B1903" s="143"/>
      <c r="C1903" s="143"/>
      <c r="D1903" s="143"/>
      <c r="E1903" s="143"/>
      <c r="F1903" s="84"/>
      <c r="G1903" s="146"/>
      <c r="H1903" s="221"/>
    </row>
    <row r="1904" spans="1:8" s="212" customFormat="1">
      <c r="A1904" s="123"/>
      <c r="B1904" s="95"/>
      <c r="C1904" s="95"/>
      <c r="D1904" s="95"/>
      <c r="E1904" s="95"/>
      <c r="G1904" s="213"/>
      <c r="H1904" s="73"/>
    </row>
    <row r="1905" spans="1:9" s="212" customFormat="1">
      <c r="A1905" s="123"/>
      <c r="B1905" s="95"/>
      <c r="C1905" s="95"/>
      <c r="D1905" s="95"/>
      <c r="E1905" s="95"/>
      <c r="G1905" s="73"/>
      <c r="H1905" s="225"/>
    </row>
    <row r="1906" spans="1:9" s="212" customFormat="1">
      <c r="B1906" s="97"/>
      <c r="C1906" s="98"/>
      <c r="D1906" s="98"/>
      <c r="E1906" s="98"/>
      <c r="G1906" s="220"/>
    </row>
    <row r="1907" spans="1:9" s="212" customFormat="1">
      <c r="B1907" s="97"/>
      <c r="C1907" s="98"/>
      <c r="D1907" s="98"/>
      <c r="E1907" s="98"/>
      <c r="F1907" s="220"/>
      <c r="G1907" s="225"/>
      <c r="H1907" s="226"/>
    </row>
    <row r="1908" spans="1:9" s="212" customFormat="1">
      <c r="A1908" s="633"/>
      <c r="B1908" s="633"/>
      <c r="C1908" s="633"/>
      <c r="D1908" s="633"/>
      <c r="E1908" s="633"/>
      <c r="F1908" s="633"/>
      <c r="G1908" s="633"/>
    </row>
    <row r="1909" spans="1:9" s="212" customFormat="1">
      <c r="H1909" s="227"/>
      <c r="I1909" s="228"/>
    </row>
    <row r="1910" spans="1:9" s="212" customFormat="1">
      <c r="A1910" s="658"/>
      <c r="B1910" s="227"/>
      <c r="C1910" s="227"/>
      <c r="D1910" s="227"/>
      <c r="E1910" s="227"/>
      <c r="F1910" s="227"/>
      <c r="G1910" s="227"/>
      <c r="H1910" s="227"/>
      <c r="I1910" s="229"/>
    </row>
    <row r="1911" spans="1:9" s="212" customFormat="1">
      <c r="A1911" s="658"/>
      <c r="B1911" s="227"/>
      <c r="C1911" s="227"/>
      <c r="D1911" s="227"/>
      <c r="E1911" s="227"/>
      <c r="F1911" s="227"/>
      <c r="G1911" s="227"/>
    </row>
    <row r="1912" spans="1:9" s="212" customFormat="1">
      <c r="A1912" s="69"/>
      <c r="B1912" s="69"/>
      <c r="C1912" s="69"/>
      <c r="D1912" s="69"/>
      <c r="E1912" s="69"/>
    </row>
    <row r="1913" spans="1:9" s="212" customFormat="1">
      <c r="A1913" s="120"/>
      <c r="B1913" s="73"/>
      <c r="C1913" s="73"/>
      <c r="D1913" s="73"/>
      <c r="E1913" s="73"/>
      <c r="F1913" s="73"/>
      <c r="G1913" s="73"/>
      <c r="H1913" s="73"/>
    </row>
    <row r="1914" spans="1:9" s="212" customFormat="1">
      <c r="A1914" s="220"/>
      <c r="B1914" s="141"/>
      <c r="C1914" s="141"/>
      <c r="D1914" s="141"/>
      <c r="E1914" s="141"/>
      <c r="F1914" s="141"/>
      <c r="G1914" s="141"/>
      <c r="H1914" s="73"/>
    </row>
    <row r="1915" spans="1:9" s="212" customFormat="1">
      <c r="A1915" s="142"/>
      <c r="B1915" s="167"/>
      <c r="C1915" s="143"/>
      <c r="D1915" s="84"/>
      <c r="E1915" s="84"/>
      <c r="F1915" s="84"/>
      <c r="G1915" s="224"/>
      <c r="H1915" s="221"/>
    </row>
    <row r="1916" spans="1:9" s="212" customFormat="1">
      <c r="A1916" s="84"/>
      <c r="B1916" s="83"/>
      <c r="C1916" s="84"/>
      <c r="D1916" s="84"/>
      <c r="E1916" s="84"/>
      <c r="G1916" s="213"/>
      <c r="H1916" s="222"/>
    </row>
    <row r="1917" spans="1:9" s="212" customFormat="1">
      <c r="A1917" s="120"/>
      <c r="B1917" s="73"/>
      <c r="C1917" s="73"/>
      <c r="D1917" s="73"/>
      <c r="E1917" s="73"/>
      <c r="G1917" s="73"/>
      <c r="H1917" s="222"/>
    </row>
    <row r="1918" spans="1:9" s="212" customFormat="1">
      <c r="A1918" s="220"/>
      <c r="B1918" s="141"/>
      <c r="C1918" s="141"/>
      <c r="D1918" s="141"/>
      <c r="E1918" s="141"/>
      <c r="F1918" s="141"/>
      <c r="G1918" s="141"/>
      <c r="H1918" s="222"/>
    </row>
    <row r="1919" spans="1:9" s="212" customFormat="1">
      <c r="A1919" s="150"/>
      <c r="B1919" s="83"/>
      <c r="C1919" s="148"/>
      <c r="D1919" s="84"/>
      <c r="E1919" s="84"/>
      <c r="F1919" s="84"/>
      <c r="G1919" s="146"/>
      <c r="H1919" s="222"/>
    </row>
    <row r="1920" spans="1:9" s="212" customFormat="1">
      <c r="A1920" s="150"/>
      <c r="B1920" s="83"/>
      <c r="C1920" s="148"/>
      <c r="D1920" s="84"/>
      <c r="E1920" s="84"/>
      <c r="F1920" s="84"/>
      <c r="G1920" s="146"/>
      <c r="H1920" s="222"/>
    </row>
    <row r="1921" spans="1:9" s="212" customFormat="1">
      <c r="A1921" s="150"/>
      <c r="B1921" s="83"/>
      <c r="C1921" s="148"/>
      <c r="D1921" s="84"/>
      <c r="E1921" s="84"/>
      <c r="F1921" s="84"/>
      <c r="G1921" s="224"/>
      <c r="H1921" s="221"/>
    </row>
    <row r="1922" spans="1:9" s="212" customFormat="1">
      <c r="A1922" s="91"/>
      <c r="B1922" s="91"/>
      <c r="C1922" s="91"/>
      <c r="D1922" s="91"/>
      <c r="E1922" s="91"/>
      <c r="G1922" s="213"/>
      <c r="H1922" s="222"/>
    </row>
    <row r="1923" spans="1:9" s="212" customFormat="1">
      <c r="A1923" s="120"/>
      <c r="B1923" s="73"/>
      <c r="C1923" s="73"/>
      <c r="D1923" s="73"/>
      <c r="E1923" s="73"/>
      <c r="G1923" s="73"/>
      <c r="H1923" s="222"/>
    </row>
    <row r="1924" spans="1:9" s="212" customFormat="1">
      <c r="A1924" s="220"/>
      <c r="B1924" s="141"/>
      <c r="C1924" s="141"/>
      <c r="D1924" s="141"/>
      <c r="E1924" s="141"/>
      <c r="F1924" s="141"/>
      <c r="G1924" s="141"/>
      <c r="H1924" s="222"/>
    </row>
    <row r="1925" spans="1:9" s="212" customFormat="1">
      <c r="A1925" s="146"/>
      <c r="B1925" s="83"/>
      <c r="C1925" s="148"/>
      <c r="D1925" s="84"/>
      <c r="E1925" s="84"/>
      <c r="F1925" s="84"/>
      <c r="G1925" s="146"/>
      <c r="H1925" s="221"/>
    </row>
    <row r="1926" spans="1:9" s="212" customFormat="1">
      <c r="A1926" s="91"/>
      <c r="B1926" s="91"/>
      <c r="C1926" s="91"/>
      <c r="D1926" s="91"/>
      <c r="E1926" s="91"/>
      <c r="G1926" s="213"/>
      <c r="H1926" s="222"/>
    </row>
    <row r="1927" spans="1:9" s="212" customFormat="1">
      <c r="A1927" s="120"/>
      <c r="B1927" s="73"/>
      <c r="C1927" s="73"/>
      <c r="D1927" s="73"/>
      <c r="E1927" s="73"/>
      <c r="G1927" s="73"/>
      <c r="H1927" s="222"/>
    </row>
    <row r="1928" spans="1:9" s="212" customFormat="1">
      <c r="A1928" s="220"/>
      <c r="B1928" s="141"/>
      <c r="C1928" s="141"/>
      <c r="D1928" s="141"/>
      <c r="E1928" s="141"/>
      <c r="F1928" s="141"/>
      <c r="G1928" s="141"/>
      <c r="H1928" s="222"/>
    </row>
    <row r="1929" spans="1:9" s="212" customFormat="1">
      <c r="A1929" s="142"/>
      <c r="B1929" s="143"/>
      <c r="C1929" s="143"/>
      <c r="D1929" s="143"/>
      <c r="E1929" s="143"/>
      <c r="F1929" s="84"/>
      <c r="G1929" s="146"/>
      <c r="H1929" s="221"/>
    </row>
    <row r="1930" spans="1:9" s="212" customFormat="1">
      <c r="A1930" s="123"/>
      <c r="B1930" s="95"/>
      <c r="C1930" s="95"/>
      <c r="D1930" s="95"/>
      <c r="E1930" s="95"/>
      <c r="G1930" s="213"/>
      <c r="H1930" s="73"/>
    </row>
    <row r="1931" spans="1:9" s="212" customFormat="1">
      <c r="A1931" s="123"/>
      <c r="B1931" s="95"/>
      <c r="C1931" s="95"/>
      <c r="D1931" s="95"/>
      <c r="E1931" s="95"/>
      <c r="G1931" s="73"/>
      <c r="H1931" s="225"/>
    </row>
    <row r="1932" spans="1:9" s="212" customFormat="1">
      <c r="B1932" s="97"/>
      <c r="C1932" s="98"/>
      <c r="D1932" s="98"/>
      <c r="E1932" s="98"/>
      <c r="G1932" s="220"/>
    </row>
    <row r="1933" spans="1:9" s="212" customFormat="1">
      <c r="B1933" s="97"/>
      <c r="C1933" s="98"/>
      <c r="D1933" s="98"/>
      <c r="E1933" s="98"/>
      <c r="F1933" s="220"/>
      <c r="G1933" s="225"/>
      <c r="H1933" s="226"/>
    </row>
    <row r="1934" spans="1:9" s="212" customFormat="1">
      <c r="A1934" s="633"/>
      <c r="B1934" s="633"/>
      <c r="C1934" s="633"/>
      <c r="D1934" s="633"/>
      <c r="E1934" s="633"/>
      <c r="F1934" s="633"/>
      <c r="G1934" s="633"/>
    </row>
    <row r="1935" spans="1:9" s="212" customFormat="1">
      <c r="H1935" s="227"/>
      <c r="I1935" s="228"/>
    </row>
    <row r="1936" spans="1:9" s="212" customFormat="1">
      <c r="A1936" s="658"/>
      <c r="B1936" s="227"/>
      <c r="C1936" s="227"/>
      <c r="D1936" s="227"/>
      <c r="E1936" s="227"/>
      <c r="F1936" s="227"/>
      <c r="G1936" s="227"/>
      <c r="H1936" s="227"/>
      <c r="I1936" s="229"/>
    </row>
    <row r="1937" spans="1:8" s="212" customFormat="1">
      <c r="A1937" s="658"/>
      <c r="B1937" s="227"/>
      <c r="C1937" s="227"/>
      <c r="D1937" s="227"/>
      <c r="E1937" s="227"/>
      <c r="F1937" s="227"/>
      <c r="G1937" s="227"/>
    </row>
    <row r="1938" spans="1:8" s="212" customFormat="1">
      <c r="A1938" s="69"/>
      <c r="B1938" s="69"/>
      <c r="C1938" s="69"/>
      <c r="D1938" s="69"/>
      <c r="E1938" s="69"/>
    </row>
    <row r="1939" spans="1:8" s="212" customFormat="1">
      <c r="A1939" s="120"/>
      <c r="B1939" s="73"/>
      <c r="C1939" s="73"/>
      <c r="D1939" s="73"/>
      <c r="E1939" s="73"/>
      <c r="F1939" s="73"/>
      <c r="G1939" s="73"/>
      <c r="H1939" s="73"/>
    </row>
    <row r="1940" spans="1:8" s="212" customFormat="1">
      <c r="A1940" s="220"/>
      <c r="B1940" s="141"/>
      <c r="C1940" s="141"/>
      <c r="D1940" s="141"/>
      <c r="E1940" s="141"/>
      <c r="F1940" s="141"/>
      <c r="G1940" s="141"/>
      <c r="H1940" s="73"/>
    </row>
    <row r="1941" spans="1:8" s="212" customFormat="1">
      <c r="A1941" s="142"/>
      <c r="B1941" s="167"/>
      <c r="C1941" s="143"/>
      <c r="D1941" s="84"/>
      <c r="E1941" s="84"/>
      <c r="F1941" s="84"/>
      <c r="G1941" s="224"/>
      <c r="H1941" s="221"/>
    </row>
    <row r="1942" spans="1:8" s="212" customFormat="1">
      <c r="A1942" s="84"/>
      <c r="B1942" s="83"/>
      <c r="C1942" s="84"/>
      <c r="D1942" s="84"/>
      <c r="E1942" s="84"/>
      <c r="G1942" s="213"/>
      <c r="H1942" s="222"/>
    </row>
    <row r="1943" spans="1:8" s="212" customFormat="1">
      <c r="A1943" s="120"/>
      <c r="B1943" s="73"/>
      <c r="C1943" s="73"/>
      <c r="D1943" s="73"/>
      <c r="E1943" s="73"/>
      <c r="G1943" s="73"/>
      <c r="H1943" s="222"/>
    </row>
    <row r="1944" spans="1:8" s="212" customFormat="1">
      <c r="A1944" s="220"/>
      <c r="B1944" s="141"/>
      <c r="C1944" s="141"/>
      <c r="D1944" s="141"/>
      <c r="E1944" s="141"/>
      <c r="F1944" s="141"/>
      <c r="G1944" s="141"/>
      <c r="H1944" s="222"/>
    </row>
    <row r="1945" spans="1:8" s="212" customFormat="1">
      <c r="A1945" s="150"/>
      <c r="B1945" s="83"/>
      <c r="C1945" s="148"/>
      <c r="D1945" s="84"/>
      <c r="E1945" s="84"/>
      <c r="F1945" s="84"/>
      <c r="G1945" s="146"/>
      <c r="H1945" s="222"/>
    </row>
    <row r="1946" spans="1:8" s="212" customFormat="1">
      <c r="A1946" s="150"/>
      <c r="B1946" s="83"/>
      <c r="C1946" s="148"/>
      <c r="D1946" s="84"/>
      <c r="E1946" s="84"/>
      <c r="F1946" s="84"/>
      <c r="G1946" s="146"/>
      <c r="H1946" s="222"/>
    </row>
    <row r="1947" spans="1:8" s="212" customFormat="1">
      <c r="A1947" s="150"/>
      <c r="B1947" s="83"/>
      <c r="C1947" s="148"/>
      <c r="D1947" s="84"/>
      <c r="E1947" s="84"/>
      <c r="F1947" s="84"/>
      <c r="G1947" s="224"/>
      <c r="H1947" s="221"/>
    </row>
    <row r="1948" spans="1:8" s="212" customFormat="1">
      <c r="A1948" s="91"/>
      <c r="B1948" s="91"/>
      <c r="C1948" s="91"/>
      <c r="D1948" s="91"/>
      <c r="E1948" s="91"/>
      <c r="G1948" s="213"/>
      <c r="H1948" s="222"/>
    </row>
    <row r="1949" spans="1:8" s="212" customFormat="1">
      <c r="A1949" s="120"/>
      <c r="B1949" s="73"/>
      <c r="C1949" s="73"/>
      <c r="D1949" s="73"/>
      <c r="E1949" s="73"/>
      <c r="G1949" s="73"/>
      <c r="H1949" s="222"/>
    </row>
    <row r="1950" spans="1:8" s="212" customFormat="1">
      <c r="A1950" s="220"/>
      <c r="B1950" s="141"/>
      <c r="C1950" s="141"/>
      <c r="D1950" s="141"/>
      <c r="E1950" s="141"/>
      <c r="F1950" s="141"/>
      <c r="G1950" s="141"/>
      <c r="H1950" s="222"/>
    </row>
    <row r="1951" spans="1:8" s="212" customFormat="1">
      <c r="A1951" s="146"/>
      <c r="B1951" s="83"/>
      <c r="C1951" s="148"/>
      <c r="D1951" s="84"/>
      <c r="E1951" s="84"/>
      <c r="F1951" s="84"/>
      <c r="G1951" s="146"/>
      <c r="H1951" s="221"/>
    </row>
    <row r="1952" spans="1:8" s="212" customFormat="1">
      <c r="A1952" s="91"/>
      <c r="B1952" s="91"/>
      <c r="C1952" s="91"/>
      <c r="D1952" s="91"/>
      <c r="E1952" s="91"/>
      <c r="G1952" s="213"/>
      <c r="H1952" s="222"/>
    </row>
    <row r="1953" spans="1:9" s="212" customFormat="1">
      <c r="A1953" s="120"/>
      <c r="B1953" s="73"/>
      <c r="C1953" s="73"/>
      <c r="D1953" s="73"/>
      <c r="E1953" s="73"/>
      <c r="G1953" s="73"/>
      <c r="H1953" s="222"/>
    </row>
    <row r="1954" spans="1:9" s="212" customFormat="1">
      <c r="A1954" s="220"/>
      <c r="B1954" s="141"/>
      <c r="C1954" s="141"/>
      <c r="D1954" s="141"/>
      <c r="E1954" s="141"/>
      <c r="F1954" s="141"/>
      <c r="G1954" s="141"/>
      <c r="H1954" s="222"/>
    </row>
    <row r="1955" spans="1:9" s="212" customFormat="1">
      <c r="A1955" s="142"/>
      <c r="B1955" s="143"/>
      <c r="C1955" s="143"/>
      <c r="D1955" s="143"/>
      <c r="E1955" s="143"/>
      <c r="F1955" s="84"/>
      <c r="G1955" s="146"/>
      <c r="H1955" s="221"/>
    </row>
    <row r="1956" spans="1:9" s="212" customFormat="1">
      <c r="A1956" s="123"/>
      <c r="B1956" s="95"/>
      <c r="C1956" s="95"/>
      <c r="D1956" s="95"/>
      <c r="E1956" s="95"/>
      <c r="G1956" s="213"/>
      <c r="H1956" s="73"/>
    </row>
    <row r="1957" spans="1:9" s="212" customFormat="1">
      <c r="A1957" s="123"/>
      <c r="B1957" s="95"/>
      <c r="C1957" s="95"/>
      <c r="D1957" s="95"/>
      <c r="E1957" s="95"/>
      <c r="G1957" s="73"/>
      <c r="H1957" s="225"/>
    </row>
    <row r="1958" spans="1:9" s="212" customFormat="1">
      <c r="B1958" s="97"/>
      <c r="C1958" s="98"/>
      <c r="D1958" s="98"/>
      <c r="E1958" s="98"/>
      <c r="G1958" s="220"/>
    </row>
    <row r="1959" spans="1:9" s="212" customFormat="1">
      <c r="B1959" s="97"/>
      <c r="C1959" s="98"/>
      <c r="D1959" s="98"/>
      <c r="E1959" s="98"/>
      <c r="F1959" s="220"/>
      <c r="G1959" s="225"/>
      <c r="H1959" s="226"/>
    </row>
    <row r="1960" spans="1:9" s="212" customFormat="1">
      <c r="A1960" s="633"/>
      <c r="B1960" s="633"/>
      <c r="C1960" s="633"/>
      <c r="D1960" s="633"/>
      <c r="E1960" s="633"/>
      <c r="F1960" s="633"/>
      <c r="G1960" s="633"/>
    </row>
    <row r="1961" spans="1:9" s="212" customFormat="1">
      <c r="H1961" s="227"/>
      <c r="I1961" s="228"/>
    </row>
    <row r="1962" spans="1:9" s="212" customFormat="1">
      <c r="A1962" s="658"/>
      <c r="B1962" s="227"/>
      <c r="C1962" s="227"/>
      <c r="D1962" s="227"/>
      <c r="E1962" s="227"/>
      <c r="F1962" s="227"/>
      <c r="G1962" s="227"/>
      <c r="H1962" s="227"/>
      <c r="I1962" s="229"/>
    </row>
    <row r="1963" spans="1:9" s="212" customFormat="1">
      <c r="A1963" s="658"/>
      <c r="B1963" s="227"/>
      <c r="C1963" s="227"/>
      <c r="D1963" s="227"/>
      <c r="E1963" s="227"/>
      <c r="F1963" s="227"/>
      <c r="G1963" s="227"/>
    </row>
    <row r="1964" spans="1:9" s="212" customFormat="1">
      <c r="A1964" s="69"/>
      <c r="B1964" s="69"/>
      <c r="C1964" s="69"/>
      <c r="D1964" s="69"/>
      <c r="E1964" s="69"/>
    </row>
    <row r="1965" spans="1:9" s="212" customFormat="1">
      <c r="A1965" s="120"/>
      <c r="B1965" s="73"/>
      <c r="C1965" s="73"/>
      <c r="D1965" s="73"/>
      <c r="E1965" s="73"/>
      <c r="F1965" s="73"/>
      <c r="G1965" s="73"/>
      <c r="H1965" s="73"/>
    </row>
    <row r="1966" spans="1:9" s="212" customFormat="1">
      <c r="A1966" s="220"/>
      <c r="B1966" s="141"/>
      <c r="C1966" s="141"/>
      <c r="D1966" s="141"/>
      <c r="E1966" s="141"/>
      <c r="F1966" s="141"/>
      <c r="G1966" s="141"/>
      <c r="H1966" s="73"/>
    </row>
    <row r="1967" spans="1:9" s="212" customFormat="1">
      <c r="A1967" s="150"/>
      <c r="B1967" s="84"/>
      <c r="C1967" s="148"/>
      <c r="D1967" s="84"/>
      <c r="E1967" s="84"/>
      <c r="F1967" s="84"/>
      <c r="G1967" s="146"/>
      <c r="H1967" s="221"/>
    </row>
    <row r="1968" spans="1:9" s="212" customFormat="1">
      <c r="A1968" s="84"/>
      <c r="B1968" s="83"/>
      <c r="C1968" s="84"/>
      <c r="D1968" s="84"/>
      <c r="E1968" s="84"/>
      <c r="G1968" s="213"/>
      <c r="H1968" s="222"/>
    </row>
    <row r="1969" spans="1:8" s="212" customFormat="1">
      <c r="A1969" s="120"/>
      <c r="B1969" s="73"/>
      <c r="C1969" s="73"/>
      <c r="D1969" s="73"/>
      <c r="E1969" s="73"/>
      <c r="G1969" s="73"/>
      <c r="H1969" s="222"/>
    </row>
    <row r="1970" spans="1:8" s="212" customFormat="1">
      <c r="A1970" s="220"/>
      <c r="B1970" s="141"/>
      <c r="C1970" s="141"/>
      <c r="D1970" s="141"/>
      <c r="E1970" s="141"/>
      <c r="F1970" s="141"/>
      <c r="G1970" s="141"/>
      <c r="H1970" s="222"/>
    </row>
    <row r="1971" spans="1:8" s="212" customFormat="1">
      <c r="A1971" s="150"/>
      <c r="B1971" s="83"/>
      <c r="C1971" s="148"/>
      <c r="D1971" s="160"/>
      <c r="E1971" s="84"/>
      <c r="F1971" s="84"/>
      <c r="G1971" s="146"/>
      <c r="H1971" s="221"/>
    </row>
    <row r="1972" spans="1:8" s="212" customFormat="1">
      <c r="A1972" s="91"/>
      <c r="B1972" s="91"/>
      <c r="C1972" s="91"/>
      <c r="D1972" s="91"/>
      <c r="E1972" s="91"/>
      <c r="G1972" s="213"/>
      <c r="H1972" s="222"/>
    </row>
    <row r="1973" spans="1:8" s="212" customFormat="1">
      <c r="A1973" s="120"/>
      <c r="B1973" s="73"/>
      <c r="C1973" s="73"/>
      <c r="D1973" s="73"/>
      <c r="E1973" s="73"/>
      <c r="G1973" s="73"/>
      <c r="H1973" s="222"/>
    </row>
    <row r="1974" spans="1:8" s="212" customFormat="1">
      <c r="A1974" s="220"/>
      <c r="B1974" s="141"/>
      <c r="C1974" s="141"/>
      <c r="D1974" s="141"/>
      <c r="E1974" s="141"/>
      <c r="F1974" s="141"/>
      <c r="G1974" s="141"/>
      <c r="H1974" s="222"/>
    </row>
    <row r="1975" spans="1:8" s="212" customFormat="1">
      <c r="A1975" s="150"/>
      <c r="B1975" s="84"/>
      <c r="C1975" s="148"/>
      <c r="D1975" s="84"/>
      <c r="E1975" s="84"/>
      <c r="F1975" s="84"/>
      <c r="G1975" s="146"/>
      <c r="H1975" s="221"/>
    </row>
    <row r="1976" spans="1:8" s="212" customFormat="1">
      <c r="A1976" s="91"/>
      <c r="B1976" s="91"/>
      <c r="C1976" s="91"/>
      <c r="D1976" s="91"/>
      <c r="E1976" s="91"/>
      <c r="G1976" s="213"/>
      <c r="H1976" s="222"/>
    </row>
    <row r="1977" spans="1:8" s="212" customFormat="1">
      <c r="A1977" s="120"/>
      <c r="B1977" s="73"/>
      <c r="C1977" s="73"/>
      <c r="D1977" s="73"/>
      <c r="E1977" s="73"/>
      <c r="G1977" s="73"/>
      <c r="H1977" s="222"/>
    </row>
    <row r="1978" spans="1:8" s="212" customFormat="1">
      <c r="A1978" s="220"/>
      <c r="B1978" s="141"/>
      <c r="C1978" s="141"/>
      <c r="D1978" s="141"/>
      <c r="E1978" s="141"/>
      <c r="F1978" s="141"/>
      <c r="G1978" s="141"/>
      <c r="H1978" s="222"/>
    </row>
    <row r="1979" spans="1:8" s="212" customFormat="1">
      <c r="A1979" s="142"/>
      <c r="B1979" s="143"/>
      <c r="C1979" s="143"/>
      <c r="D1979" s="143"/>
      <c r="E1979" s="143"/>
      <c r="F1979" s="84"/>
      <c r="G1979" s="146"/>
      <c r="H1979" s="221"/>
    </row>
    <row r="1980" spans="1:8" s="212" customFormat="1">
      <c r="A1980" s="123"/>
      <c r="B1980" s="95"/>
      <c r="C1980" s="95"/>
      <c r="D1980" s="95"/>
      <c r="E1980" s="95"/>
      <c r="G1980" s="213"/>
      <c r="H1980" s="73"/>
    </row>
    <row r="1981" spans="1:8" s="212" customFormat="1">
      <c r="A1981" s="123"/>
      <c r="B1981" s="95"/>
      <c r="C1981" s="95"/>
      <c r="D1981" s="95"/>
      <c r="E1981" s="95"/>
      <c r="G1981" s="73"/>
      <c r="H1981" s="225"/>
    </row>
    <row r="1982" spans="1:8" s="212" customFormat="1">
      <c r="B1982" s="97"/>
      <c r="C1982" s="98"/>
      <c r="D1982" s="98"/>
      <c r="E1982" s="98"/>
      <c r="G1982" s="220"/>
    </row>
    <row r="1983" spans="1:8" s="212" customFormat="1">
      <c r="B1983" s="97"/>
      <c r="C1983" s="98"/>
      <c r="D1983" s="98"/>
      <c r="E1983" s="98"/>
      <c r="F1983" s="220"/>
      <c r="G1983" s="225"/>
      <c r="H1983" s="226"/>
    </row>
    <row r="1984" spans="1:8" s="212" customFormat="1">
      <c r="A1984" s="633"/>
      <c r="B1984" s="633"/>
      <c r="C1984" s="633"/>
      <c r="D1984" s="633"/>
      <c r="E1984" s="633"/>
      <c r="F1984" s="633"/>
      <c r="G1984" s="633"/>
    </row>
    <row r="1985" spans="1:9" s="212" customFormat="1">
      <c r="H1985" s="227"/>
      <c r="I1985" s="228"/>
    </row>
    <row r="1986" spans="1:9" s="212" customFormat="1">
      <c r="A1986" s="658"/>
      <c r="B1986" s="227"/>
      <c r="C1986" s="227"/>
      <c r="D1986" s="227"/>
      <c r="E1986" s="227"/>
      <c r="F1986" s="227"/>
      <c r="G1986" s="227"/>
      <c r="H1986" s="227"/>
      <c r="I1986" s="229"/>
    </row>
    <row r="1987" spans="1:9" s="212" customFormat="1">
      <c r="A1987" s="658"/>
      <c r="B1987" s="227"/>
      <c r="C1987" s="227"/>
      <c r="D1987" s="227"/>
      <c r="E1987" s="227"/>
      <c r="F1987" s="227"/>
      <c r="G1987" s="227"/>
    </row>
    <row r="1988" spans="1:9" s="212" customFormat="1">
      <c r="A1988" s="69"/>
      <c r="B1988" s="69"/>
      <c r="C1988" s="69"/>
      <c r="D1988" s="69"/>
      <c r="E1988" s="69"/>
    </row>
    <row r="1989" spans="1:9" s="212" customFormat="1">
      <c r="A1989" s="120"/>
      <c r="B1989" s="73"/>
      <c r="C1989" s="73"/>
      <c r="D1989" s="73"/>
      <c r="E1989" s="73"/>
      <c r="F1989" s="73"/>
      <c r="G1989" s="73"/>
      <c r="H1989" s="73"/>
    </row>
    <row r="1990" spans="1:9" s="212" customFormat="1">
      <c r="A1990" s="220"/>
      <c r="B1990" s="141"/>
      <c r="C1990" s="141"/>
      <c r="D1990" s="141"/>
      <c r="E1990" s="141"/>
      <c r="F1990" s="141"/>
      <c r="G1990" s="141"/>
      <c r="H1990" s="73"/>
    </row>
    <row r="1991" spans="1:9" s="212" customFormat="1">
      <c r="A1991" s="150"/>
      <c r="B1991" s="84"/>
      <c r="C1991" s="148"/>
      <c r="D1991" s="84"/>
      <c r="E1991" s="84"/>
      <c r="F1991" s="84"/>
      <c r="G1991" s="146"/>
      <c r="H1991" s="221"/>
    </row>
    <row r="1992" spans="1:9" s="212" customFormat="1">
      <c r="A1992" s="84"/>
      <c r="B1992" s="83"/>
      <c r="C1992" s="84"/>
      <c r="D1992" s="84"/>
      <c r="E1992" s="84"/>
      <c r="G1992" s="213"/>
      <c r="H1992" s="222"/>
    </row>
    <row r="1993" spans="1:9" s="212" customFormat="1">
      <c r="A1993" s="120"/>
      <c r="B1993" s="73"/>
      <c r="C1993" s="73"/>
      <c r="D1993" s="73"/>
      <c r="E1993" s="73"/>
      <c r="G1993" s="73"/>
      <c r="H1993" s="222"/>
    </row>
    <row r="1994" spans="1:9" s="212" customFormat="1">
      <c r="A1994" s="220"/>
      <c r="B1994" s="141"/>
      <c r="C1994" s="141"/>
      <c r="D1994" s="141"/>
      <c r="E1994" s="141"/>
      <c r="F1994" s="141"/>
      <c r="G1994" s="141"/>
      <c r="H1994" s="222"/>
    </row>
    <row r="1995" spans="1:9" s="212" customFormat="1">
      <c r="A1995" s="150"/>
      <c r="B1995" s="83"/>
      <c r="C1995" s="148"/>
      <c r="D1995" s="160"/>
      <c r="E1995" s="84"/>
      <c r="F1995" s="84"/>
      <c r="G1995" s="146"/>
      <c r="H1995" s="221"/>
    </row>
    <row r="1996" spans="1:9" s="212" customFormat="1">
      <c r="A1996" s="91"/>
      <c r="B1996" s="91"/>
      <c r="C1996" s="91"/>
      <c r="D1996" s="91"/>
      <c r="E1996" s="91"/>
      <c r="G1996" s="213"/>
      <c r="H1996" s="222"/>
    </row>
    <row r="1997" spans="1:9" s="212" customFormat="1">
      <c r="A1997" s="120"/>
      <c r="B1997" s="73"/>
      <c r="C1997" s="73"/>
      <c r="D1997" s="73"/>
      <c r="E1997" s="73"/>
      <c r="G1997" s="73"/>
      <c r="H1997" s="222"/>
    </row>
    <row r="1998" spans="1:9" s="212" customFormat="1">
      <c r="A1998" s="220"/>
      <c r="B1998" s="141"/>
      <c r="C1998" s="141"/>
      <c r="D1998" s="141"/>
      <c r="E1998" s="141"/>
      <c r="F1998" s="141"/>
      <c r="G1998" s="141"/>
      <c r="H1998" s="222"/>
    </row>
    <row r="1999" spans="1:9" s="212" customFormat="1">
      <c r="A1999" s="150"/>
      <c r="B1999" s="84"/>
      <c r="C1999" s="148"/>
      <c r="D1999" s="84"/>
      <c r="E1999" s="84"/>
      <c r="F1999" s="84"/>
      <c r="G1999" s="146"/>
      <c r="H1999" s="221"/>
    </row>
    <row r="2000" spans="1:9" s="212" customFormat="1">
      <c r="A2000" s="91"/>
      <c r="B2000" s="91"/>
      <c r="C2000" s="91"/>
      <c r="D2000" s="91"/>
      <c r="E2000" s="91"/>
      <c r="G2000" s="213"/>
      <c r="H2000" s="222"/>
    </row>
    <row r="2001" spans="1:9" s="212" customFormat="1">
      <c r="A2001" s="120"/>
      <c r="B2001" s="73"/>
      <c r="C2001" s="73"/>
      <c r="D2001" s="73"/>
      <c r="E2001" s="73"/>
      <c r="G2001" s="73"/>
      <c r="H2001" s="222"/>
    </row>
    <row r="2002" spans="1:9" s="212" customFormat="1">
      <c r="A2002" s="220"/>
      <c r="B2002" s="141"/>
      <c r="C2002" s="141"/>
      <c r="D2002" s="141"/>
      <c r="E2002" s="141"/>
      <c r="F2002" s="141"/>
      <c r="G2002" s="141"/>
      <c r="H2002" s="222"/>
    </row>
    <row r="2003" spans="1:9" s="212" customFormat="1">
      <c r="A2003" s="142"/>
      <c r="B2003" s="143"/>
      <c r="C2003" s="143"/>
      <c r="D2003" s="143"/>
      <c r="E2003" s="143"/>
      <c r="F2003" s="84"/>
      <c r="G2003" s="146"/>
      <c r="H2003" s="221"/>
    </row>
    <row r="2004" spans="1:9" s="212" customFormat="1">
      <c r="A2004" s="123"/>
      <c r="B2004" s="95"/>
      <c r="C2004" s="95"/>
      <c r="D2004" s="95"/>
      <c r="E2004" s="95"/>
      <c r="G2004" s="213"/>
      <c r="H2004" s="73"/>
    </row>
    <row r="2005" spans="1:9" s="212" customFormat="1">
      <c r="A2005" s="123"/>
      <c r="B2005" s="95"/>
      <c r="C2005" s="95"/>
      <c r="D2005" s="95"/>
      <c r="E2005" s="95"/>
      <c r="G2005" s="73"/>
      <c r="H2005" s="225"/>
    </row>
    <row r="2006" spans="1:9" s="212" customFormat="1">
      <c r="B2006" s="97"/>
      <c r="C2006" s="98"/>
      <c r="D2006" s="98"/>
      <c r="E2006" s="98"/>
      <c r="G2006" s="220"/>
    </row>
    <row r="2007" spans="1:9" s="212" customFormat="1">
      <c r="B2007" s="97"/>
      <c r="C2007" s="98"/>
      <c r="D2007" s="98"/>
      <c r="E2007" s="98"/>
      <c r="F2007" s="220"/>
      <c r="G2007" s="225"/>
      <c r="H2007" s="226"/>
    </row>
    <row r="2008" spans="1:9" s="212" customFormat="1">
      <c r="A2008" s="633"/>
      <c r="B2008" s="633"/>
      <c r="C2008" s="633"/>
      <c r="D2008" s="633"/>
      <c r="E2008" s="633"/>
      <c r="F2008" s="633"/>
      <c r="G2008" s="633"/>
    </row>
    <row r="2009" spans="1:9" s="212" customFormat="1">
      <c r="H2009" s="227"/>
      <c r="I2009" s="228"/>
    </row>
    <row r="2010" spans="1:9" s="212" customFormat="1">
      <c r="A2010" s="658"/>
      <c r="B2010" s="227"/>
      <c r="C2010" s="227"/>
      <c r="D2010" s="227"/>
      <c r="E2010" s="227"/>
      <c r="F2010" s="227"/>
      <c r="G2010" s="227"/>
      <c r="H2010" s="227"/>
      <c r="I2010" s="229"/>
    </row>
    <row r="2011" spans="1:9" s="212" customFormat="1">
      <c r="A2011" s="658"/>
      <c r="B2011" s="227"/>
      <c r="C2011" s="227"/>
      <c r="D2011" s="227"/>
      <c r="E2011" s="227"/>
      <c r="F2011" s="227"/>
      <c r="G2011" s="227"/>
    </row>
    <row r="2012" spans="1:9" s="212" customFormat="1">
      <c r="A2012" s="69"/>
      <c r="B2012" s="69"/>
      <c r="C2012" s="69"/>
      <c r="D2012" s="69"/>
      <c r="E2012" s="69"/>
    </row>
    <row r="2013" spans="1:9" s="212" customFormat="1">
      <c r="A2013" s="120"/>
      <c r="B2013" s="73"/>
      <c r="C2013" s="73"/>
      <c r="D2013" s="73"/>
      <c r="E2013" s="73"/>
      <c r="F2013" s="73"/>
      <c r="G2013" s="73"/>
      <c r="H2013" s="73"/>
    </row>
    <row r="2014" spans="1:9" s="212" customFormat="1">
      <c r="A2014" s="220"/>
      <c r="B2014" s="141"/>
      <c r="C2014" s="141"/>
      <c r="D2014" s="141"/>
      <c r="E2014" s="141"/>
      <c r="F2014" s="141"/>
      <c r="G2014" s="141"/>
      <c r="H2014" s="73"/>
    </row>
    <row r="2015" spans="1:9" s="212" customFormat="1">
      <c r="A2015" s="150"/>
      <c r="B2015" s="84"/>
      <c r="C2015" s="148"/>
      <c r="D2015" s="84"/>
      <c r="E2015" s="84"/>
      <c r="F2015" s="84"/>
      <c r="G2015" s="146"/>
      <c r="H2015" s="221"/>
    </row>
    <row r="2016" spans="1:9" s="212" customFormat="1">
      <c r="A2016" s="84"/>
      <c r="B2016" s="83"/>
      <c r="C2016" s="84"/>
      <c r="D2016" s="84"/>
      <c r="E2016" s="84"/>
      <c r="G2016" s="213"/>
      <c r="H2016" s="222"/>
    </row>
    <row r="2017" spans="1:8" s="212" customFormat="1">
      <c r="A2017" s="120"/>
      <c r="B2017" s="73"/>
      <c r="C2017" s="73"/>
      <c r="D2017" s="73"/>
      <c r="E2017" s="73"/>
      <c r="G2017" s="73"/>
      <c r="H2017" s="222"/>
    </row>
    <row r="2018" spans="1:8" s="212" customFormat="1">
      <c r="A2018" s="220"/>
      <c r="B2018" s="141"/>
      <c r="C2018" s="141"/>
      <c r="D2018" s="141"/>
      <c r="E2018" s="141"/>
      <c r="F2018" s="141"/>
      <c r="G2018" s="141"/>
      <c r="H2018" s="222"/>
    </row>
    <row r="2019" spans="1:8" s="212" customFormat="1">
      <c r="A2019" s="150"/>
      <c r="B2019" s="83"/>
      <c r="C2019" s="148"/>
      <c r="D2019" s="160"/>
      <c r="E2019" s="84"/>
      <c r="F2019" s="84"/>
      <c r="G2019" s="146"/>
      <c r="H2019" s="221"/>
    </row>
    <row r="2020" spans="1:8" s="212" customFormat="1">
      <c r="A2020" s="91"/>
      <c r="B2020" s="91"/>
      <c r="C2020" s="91"/>
      <c r="D2020" s="91"/>
      <c r="E2020" s="91"/>
      <c r="G2020" s="213"/>
      <c r="H2020" s="222"/>
    </row>
    <row r="2021" spans="1:8" s="212" customFormat="1">
      <c r="A2021" s="120"/>
      <c r="B2021" s="73"/>
      <c r="C2021" s="73"/>
      <c r="D2021" s="73"/>
      <c r="E2021" s="73"/>
      <c r="G2021" s="73"/>
      <c r="H2021" s="222"/>
    </row>
    <row r="2022" spans="1:8" s="212" customFormat="1">
      <c r="A2022" s="220"/>
      <c r="B2022" s="141"/>
      <c r="C2022" s="141"/>
      <c r="D2022" s="141"/>
      <c r="E2022" s="141"/>
      <c r="F2022" s="141"/>
      <c r="G2022" s="141"/>
      <c r="H2022" s="222"/>
    </row>
    <row r="2023" spans="1:8" s="212" customFormat="1">
      <c r="A2023" s="150"/>
      <c r="B2023" s="84"/>
      <c r="C2023" s="148"/>
      <c r="D2023" s="84"/>
      <c r="E2023" s="84"/>
      <c r="F2023" s="84"/>
      <c r="G2023" s="146"/>
      <c r="H2023" s="221"/>
    </row>
    <row r="2024" spans="1:8" s="212" customFormat="1">
      <c r="A2024" s="91"/>
      <c r="B2024" s="91"/>
      <c r="C2024" s="91"/>
      <c r="D2024" s="91"/>
      <c r="E2024" s="91"/>
      <c r="G2024" s="213"/>
      <c r="H2024" s="222"/>
    </row>
    <row r="2025" spans="1:8" s="212" customFormat="1">
      <c r="A2025" s="120"/>
      <c r="B2025" s="73"/>
      <c r="C2025" s="73"/>
      <c r="D2025" s="73"/>
      <c r="E2025" s="73"/>
      <c r="G2025" s="73"/>
      <c r="H2025" s="222"/>
    </row>
    <row r="2026" spans="1:8" s="212" customFormat="1">
      <c r="A2026" s="220"/>
      <c r="B2026" s="141"/>
      <c r="C2026" s="141"/>
      <c r="D2026" s="141"/>
      <c r="E2026" s="141"/>
      <c r="F2026" s="141"/>
      <c r="G2026" s="141"/>
      <c r="H2026" s="222"/>
    </row>
    <row r="2027" spans="1:8" s="212" customFormat="1">
      <c r="A2027" s="142"/>
      <c r="B2027" s="143"/>
      <c r="C2027" s="143"/>
      <c r="D2027" s="143"/>
      <c r="E2027" s="143"/>
      <c r="F2027" s="84"/>
      <c r="G2027" s="146"/>
      <c r="H2027" s="221"/>
    </row>
    <row r="2028" spans="1:8" s="212" customFormat="1">
      <c r="A2028" s="123"/>
      <c r="B2028" s="95"/>
      <c r="C2028" s="95"/>
      <c r="D2028" s="95"/>
      <c r="E2028" s="95"/>
      <c r="G2028" s="213"/>
      <c r="H2028" s="73"/>
    </row>
    <row r="2029" spans="1:8" s="212" customFormat="1">
      <c r="A2029" s="123"/>
      <c r="B2029" s="95"/>
      <c r="C2029" s="95"/>
      <c r="D2029" s="95"/>
      <c r="E2029" s="95"/>
      <c r="G2029" s="73"/>
      <c r="H2029" s="225"/>
    </row>
    <row r="2030" spans="1:8" s="212" customFormat="1">
      <c r="B2030" s="97"/>
      <c r="C2030" s="98"/>
      <c r="D2030" s="98"/>
      <c r="E2030" s="98"/>
      <c r="G2030" s="220"/>
    </row>
    <row r="2031" spans="1:8" s="212" customFormat="1">
      <c r="B2031" s="97"/>
      <c r="C2031" s="98"/>
      <c r="D2031" s="98"/>
      <c r="E2031" s="98"/>
      <c r="F2031" s="220"/>
      <c r="G2031" s="225"/>
      <c r="H2031" s="226"/>
    </row>
    <row r="2032" spans="1:8" s="212" customFormat="1">
      <c r="A2032" s="633"/>
      <c r="B2032" s="633"/>
      <c r="C2032" s="633"/>
      <c r="D2032" s="633"/>
      <c r="E2032" s="633"/>
      <c r="F2032" s="633"/>
      <c r="G2032" s="633"/>
    </row>
    <row r="2033" spans="1:9" s="212" customFormat="1">
      <c r="H2033" s="227"/>
      <c r="I2033" s="228"/>
    </row>
    <row r="2034" spans="1:9" s="212" customFormat="1">
      <c r="A2034" s="658"/>
      <c r="B2034" s="227"/>
      <c r="C2034" s="227"/>
      <c r="D2034" s="227"/>
      <c r="E2034" s="227"/>
      <c r="F2034" s="227"/>
      <c r="G2034" s="227"/>
      <c r="H2034" s="227"/>
      <c r="I2034" s="229"/>
    </row>
    <row r="2035" spans="1:9" s="212" customFormat="1">
      <c r="A2035" s="658"/>
      <c r="B2035" s="227"/>
      <c r="C2035" s="227"/>
      <c r="D2035" s="227"/>
      <c r="E2035" s="227"/>
      <c r="F2035" s="227"/>
      <c r="G2035" s="227"/>
    </row>
    <row r="2036" spans="1:9" s="212" customFormat="1">
      <c r="A2036" s="69"/>
      <c r="B2036" s="69"/>
      <c r="C2036" s="69"/>
      <c r="D2036" s="69"/>
      <c r="E2036" s="69"/>
    </row>
    <row r="2037" spans="1:9" s="212" customFormat="1">
      <c r="A2037" s="120"/>
      <c r="B2037" s="73"/>
      <c r="C2037" s="73"/>
      <c r="D2037" s="73"/>
      <c r="E2037" s="73"/>
      <c r="F2037" s="73"/>
      <c r="G2037" s="73"/>
      <c r="H2037" s="73"/>
    </row>
    <row r="2038" spans="1:9" s="212" customFormat="1">
      <c r="A2038" s="220"/>
      <c r="B2038" s="141"/>
      <c r="C2038" s="141"/>
      <c r="D2038" s="141"/>
      <c r="E2038" s="141"/>
      <c r="F2038" s="141"/>
      <c r="G2038" s="141"/>
      <c r="H2038" s="73"/>
    </row>
    <row r="2039" spans="1:9" s="212" customFormat="1">
      <c r="A2039" s="150"/>
      <c r="B2039" s="84"/>
      <c r="C2039" s="148"/>
      <c r="D2039" s="84"/>
      <c r="E2039" s="84"/>
      <c r="F2039" s="84"/>
      <c r="G2039" s="146"/>
      <c r="H2039" s="221"/>
    </row>
    <row r="2040" spans="1:9" s="212" customFormat="1">
      <c r="A2040" s="84"/>
      <c r="B2040" s="83"/>
      <c r="C2040" s="84"/>
      <c r="D2040" s="84"/>
      <c r="E2040" s="84"/>
      <c r="G2040" s="213"/>
      <c r="H2040" s="222"/>
    </row>
    <row r="2041" spans="1:9" s="212" customFormat="1">
      <c r="A2041" s="120"/>
      <c r="B2041" s="73"/>
      <c r="C2041" s="73"/>
      <c r="D2041" s="73"/>
      <c r="E2041" s="73"/>
      <c r="G2041" s="73"/>
      <c r="H2041" s="222"/>
    </row>
    <row r="2042" spans="1:9" s="212" customFormat="1">
      <c r="A2042" s="220"/>
      <c r="B2042" s="141"/>
      <c r="C2042" s="141"/>
      <c r="D2042" s="141"/>
      <c r="E2042" s="141"/>
      <c r="F2042" s="141"/>
      <c r="G2042" s="141"/>
      <c r="H2042" s="222"/>
    </row>
    <row r="2043" spans="1:9" s="212" customFormat="1">
      <c r="A2043" s="150"/>
      <c r="B2043" s="83"/>
      <c r="C2043" s="148"/>
      <c r="D2043" s="160"/>
      <c r="E2043" s="84"/>
      <c r="F2043" s="84"/>
      <c r="G2043" s="146"/>
      <c r="H2043" s="221"/>
    </row>
    <row r="2044" spans="1:9" s="212" customFormat="1">
      <c r="A2044" s="91"/>
      <c r="B2044" s="91"/>
      <c r="C2044" s="91"/>
      <c r="D2044" s="91"/>
      <c r="E2044" s="91"/>
      <c r="G2044" s="213"/>
      <c r="H2044" s="222"/>
    </row>
    <row r="2045" spans="1:9" s="212" customFormat="1">
      <c r="A2045" s="120"/>
      <c r="B2045" s="73"/>
      <c r="C2045" s="73"/>
      <c r="D2045" s="73"/>
      <c r="E2045" s="73"/>
      <c r="G2045" s="73"/>
      <c r="H2045" s="222"/>
    </row>
    <row r="2046" spans="1:9" s="212" customFormat="1">
      <c r="A2046" s="220"/>
      <c r="B2046" s="141"/>
      <c r="C2046" s="141"/>
      <c r="D2046" s="141"/>
      <c r="E2046" s="141"/>
      <c r="F2046" s="141"/>
      <c r="G2046" s="141"/>
      <c r="H2046" s="222"/>
    </row>
    <row r="2047" spans="1:9" s="212" customFormat="1">
      <c r="A2047" s="150"/>
      <c r="B2047" s="84"/>
      <c r="C2047" s="148"/>
      <c r="D2047" s="84"/>
      <c r="E2047" s="84"/>
      <c r="F2047" s="84"/>
      <c r="G2047" s="146"/>
      <c r="H2047" s="221"/>
    </row>
    <row r="2048" spans="1:9" s="212" customFormat="1">
      <c r="A2048" s="91"/>
      <c r="B2048" s="91"/>
      <c r="C2048" s="91"/>
      <c r="D2048" s="91"/>
      <c r="E2048" s="91"/>
      <c r="G2048" s="213"/>
      <c r="H2048" s="222"/>
    </row>
    <row r="2049" spans="1:9" s="212" customFormat="1">
      <c r="A2049" s="120"/>
      <c r="B2049" s="73"/>
      <c r="C2049" s="73"/>
      <c r="D2049" s="73"/>
      <c r="E2049" s="73"/>
      <c r="G2049" s="73"/>
      <c r="H2049" s="222"/>
    </row>
    <row r="2050" spans="1:9" s="212" customFormat="1">
      <c r="A2050" s="220"/>
      <c r="B2050" s="141"/>
      <c r="C2050" s="141"/>
      <c r="D2050" s="141"/>
      <c r="E2050" s="141"/>
      <c r="F2050" s="141"/>
      <c r="G2050" s="141"/>
      <c r="H2050" s="222"/>
    </row>
    <row r="2051" spans="1:9" s="212" customFormat="1">
      <c r="A2051" s="142"/>
      <c r="B2051" s="143"/>
      <c r="C2051" s="143"/>
      <c r="D2051" s="143"/>
      <c r="E2051" s="143"/>
      <c r="F2051" s="84"/>
      <c r="G2051" s="146"/>
      <c r="H2051" s="221"/>
    </row>
    <row r="2052" spans="1:9" s="212" customFormat="1">
      <c r="A2052" s="123"/>
      <c r="B2052" s="95"/>
      <c r="C2052" s="95"/>
      <c r="D2052" s="95"/>
      <c r="E2052" s="95"/>
      <c r="G2052" s="213"/>
      <c r="H2052" s="73"/>
    </row>
    <row r="2053" spans="1:9" s="212" customFormat="1">
      <c r="A2053" s="123"/>
      <c r="B2053" s="95"/>
      <c r="C2053" s="95"/>
      <c r="D2053" s="95"/>
      <c r="E2053" s="95"/>
      <c r="G2053" s="73"/>
      <c r="H2053" s="225"/>
    </row>
    <row r="2054" spans="1:9" s="212" customFormat="1">
      <c r="B2054" s="97"/>
      <c r="C2054" s="98"/>
      <c r="D2054" s="98"/>
      <c r="E2054" s="98"/>
      <c r="G2054" s="220"/>
    </row>
    <row r="2055" spans="1:9" s="212" customFormat="1">
      <c r="B2055" s="97"/>
      <c r="C2055" s="98"/>
      <c r="D2055" s="98"/>
      <c r="E2055" s="98"/>
      <c r="F2055" s="220"/>
      <c r="G2055" s="225"/>
      <c r="H2055" s="226"/>
    </row>
    <row r="2056" spans="1:9" s="212" customFormat="1">
      <c r="A2056" s="633"/>
      <c r="B2056" s="633"/>
      <c r="C2056" s="633"/>
      <c r="D2056" s="633"/>
      <c r="E2056" s="633"/>
      <c r="F2056" s="633"/>
      <c r="G2056" s="633"/>
    </row>
    <row r="2057" spans="1:9" s="212" customFormat="1">
      <c r="H2057" s="227"/>
      <c r="I2057" s="228"/>
    </row>
    <row r="2058" spans="1:9" s="212" customFormat="1">
      <c r="A2058" s="658"/>
      <c r="B2058" s="227"/>
      <c r="C2058" s="227"/>
      <c r="D2058" s="227"/>
      <c r="E2058" s="227"/>
      <c r="F2058" s="227"/>
      <c r="G2058" s="227"/>
      <c r="H2058" s="227"/>
      <c r="I2058" s="229"/>
    </row>
    <row r="2059" spans="1:9" s="212" customFormat="1">
      <c r="A2059" s="658"/>
      <c r="B2059" s="227"/>
      <c r="C2059" s="227"/>
      <c r="D2059" s="227"/>
      <c r="E2059" s="227"/>
      <c r="F2059" s="227"/>
      <c r="G2059" s="227"/>
    </row>
    <row r="2060" spans="1:9" s="212" customFormat="1">
      <c r="A2060" s="69"/>
      <c r="B2060" s="69"/>
      <c r="C2060" s="69"/>
      <c r="D2060" s="69"/>
      <c r="E2060" s="69"/>
    </row>
    <row r="2061" spans="1:9" s="212" customFormat="1">
      <c r="A2061" s="120"/>
      <c r="B2061" s="73"/>
      <c r="C2061" s="73"/>
      <c r="D2061" s="73"/>
      <c r="E2061" s="73"/>
      <c r="F2061" s="73"/>
      <c r="G2061" s="73"/>
      <c r="H2061" s="73"/>
    </row>
    <row r="2062" spans="1:9" s="212" customFormat="1">
      <c r="A2062" s="220"/>
      <c r="B2062" s="141"/>
      <c r="C2062" s="141"/>
      <c r="D2062" s="141"/>
      <c r="E2062" s="141"/>
      <c r="F2062" s="141"/>
      <c r="G2062" s="141"/>
      <c r="H2062" s="73"/>
    </row>
    <row r="2063" spans="1:9" s="212" customFormat="1">
      <c r="A2063" s="150"/>
      <c r="B2063" s="84"/>
      <c r="C2063" s="148"/>
      <c r="D2063" s="84"/>
      <c r="E2063" s="84"/>
      <c r="F2063" s="84"/>
      <c r="G2063" s="146"/>
      <c r="H2063" s="221"/>
    </row>
    <row r="2064" spans="1:9" s="212" customFormat="1">
      <c r="A2064" s="84"/>
      <c r="B2064" s="83"/>
      <c r="C2064" s="84"/>
      <c r="D2064" s="84"/>
      <c r="E2064" s="84"/>
      <c r="G2064" s="213"/>
      <c r="H2064" s="222"/>
    </row>
    <row r="2065" spans="1:8" s="212" customFormat="1">
      <c r="A2065" s="120"/>
      <c r="B2065" s="73"/>
      <c r="C2065" s="73"/>
      <c r="D2065" s="73"/>
      <c r="E2065" s="73"/>
      <c r="G2065" s="73"/>
      <c r="H2065" s="222"/>
    </row>
    <row r="2066" spans="1:8" s="212" customFormat="1">
      <c r="A2066" s="220"/>
      <c r="B2066" s="141"/>
      <c r="C2066" s="141"/>
      <c r="D2066" s="141"/>
      <c r="E2066" s="141"/>
      <c r="F2066" s="141"/>
      <c r="G2066" s="141"/>
      <c r="H2066" s="222"/>
    </row>
    <row r="2067" spans="1:8" s="212" customFormat="1">
      <c r="A2067" s="150"/>
      <c r="B2067" s="83"/>
      <c r="C2067" s="148"/>
      <c r="D2067" s="160"/>
      <c r="E2067" s="84"/>
      <c r="F2067" s="84"/>
      <c r="G2067" s="146"/>
      <c r="H2067" s="221"/>
    </row>
    <row r="2068" spans="1:8" s="212" customFormat="1">
      <c r="A2068" s="91"/>
      <c r="B2068" s="91"/>
      <c r="C2068" s="91"/>
      <c r="D2068" s="91"/>
      <c r="E2068" s="91"/>
      <c r="G2068" s="213"/>
      <c r="H2068" s="222"/>
    </row>
    <row r="2069" spans="1:8" s="212" customFormat="1">
      <c r="A2069" s="120"/>
      <c r="B2069" s="73"/>
      <c r="C2069" s="73"/>
      <c r="D2069" s="73"/>
      <c r="E2069" s="73"/>
      <c r="G2069" s="73"/>
      <c r="H2069" s="222"/>
    </row>
    <row r="2070" spans="1:8" s="212" customFormat="1">
      <c r="A2070" s="220"/>
      <c r="B2070" s="141"/>
      <c r="C2070" s="141"/>
      <c r="D2070" s="141"/>
      <c r="E2070" s="141"/>
      <c r="F2070" s="141"/>
      <c r="G2070" s="141"/>
      <c r="H2070" s="222"/>
    </row>
    <row r="2071" spans="1:8" s="212" customFormat="1">
      <c r="A2071" s="150"/>
      <c r="B2071" s="84"/>
      <c r="C2071" s="148"/>
      <c r="D2071" s="84"/>
      <c r="E2071" s="84"/>
      <c r="F2071" s="84"/>
      <c r="G2071" s="146"/>
      <c r="H2071" s="221"/>
    </row>
    <row r="2072" spans="1:8" s="212" customFormat="1">
      <c r="A2072" s="91"/>
      <c r="B2072" s="91"/>
      <c r="C2072" s="91"/>
      <c r="D2072" s="91"/>
      <c r="E2072" s="91"/>
      <c r="G2072" s="213"/>
      <c r="H2072" s="222"/>
    </row>
    <row r="2073" spans="1:8" s="212" customFormat="1">
      <c r="A2073" s="120"/>
      <c r="B2073" s="73"/>
      <c r="C2073" s="73"/>
      <c r="D2073" s="73"/>
      <c r="E2073" s="73"/>
      <c r="G2073" s="73"/>
      <c r="H2073" s="222"/>
    </row>
    <row r="2074" spans="1:8" s="212" customFormat="1">
      <c r="A2074" s="220"/>
      <c r="B2074" s="141"/>
      <c r="C2074" s="141"/>
      <c r="D2074" s="141"/>
      <c r="E2074" s="141"/>
      <c r="F2074" s="141"/>
      <c r="G2074" s="141"/>
      <c r="H2074" s="222"/>
    </row>
    <row r="2075" spans="1:8" s="212" customFormat="1">
      <c r="A2075" s="142"/>
      <c r="B2075" s="143"/>
      <c r="C2075" s="143"/>
      <c r="D2075" s="143"/>
      <c r="E2075" s="143"/>
      <c r="F2075" s="84"/>
      <c r="G2075" s="146"/>
      <c r="H2075" s="221"/>
    </row>
    <row r="2076" spans="1:8" s="212" customFormat="1">
      <c r="A2076" s="123"/>
      <c r="B2076" s="95"/>
      <c r="C2076" s="95"/>
      <c r="D2076" s="95"/>
      <c r="E2076" s="95"/>
      <c r="G2076" s="213"/>
      <c r="H2076" s="73"/>
    </row>
    <row r="2077" spans="1:8" s="212" customFormat="1">
      <c r="A2077" s="123"/>
      <c r="B2077" s="95"/>
      <c r="C2077" s="95"/>
      <c r="D2077" s="95"/>
      <c r="E2077" s="95"/>
      <c r="G2077" s="73"/>
      <c r="H2077" s="225"/>
    </row>
    <row r="2078" spans="1:8" s="212" customFormat="1">
      <c r="B2078" s="97"/>
      <c r="C2078" s="98"/>
      <c r="D2078" s="98"/>
      <c r="E2078" s="98"/>
      <c r="G2078" s="220"/>
    </row>
    <row r="2079" spans="1:8" s="212" customFormat="1">
      <c r="B2079" s="97"/>
      <c r="C2079" s="98"/>
      <c r="D2079" s="98"/>
      <c r="E2079" s="98"/>
      <c r="F2079" s="220"/>
      <c r="G2079" s="225"/>
      <c r="H2079" s="226"/>
    </row>
    <row r="2080" spans="1:8" s="212" customFormat="1">
      <c r="A2080" s="633"/>
      <c r="B2080" s="633"/>
      <c r="C2080" s="633"/>
      <c r="D2080" s="633"/>
      <c r="E2080" s="633"/>
      <c r="F2080" s="633"/>
      <c r="G2080" s="633"/>
    </row>
    <row r="2081" spans="1:9" s="212" customFormat="1"/>
    <row r="2082" spans="1:9" s="212" customFormat="1">
      <c r="H2082" s="227"/>
      <c r="I2082" s="228"/>
    </row>
    <row r="2083" spans="1:9" s="212" customFormat="1">
      <c r="A2083" s="658"/>
      <c r="B2083" s="227"/>
      <c r="C2083" s="227"/>
      <c r="D2083" s="227"/>
      <c r="E2083" s="227"/>
      <c r="F2083" s="227"/>
      <c r="G2083" s="227"/>
      <c r="H2083" s="227"/>
      <c r="I2083" s="229"/>
    </row>
    <row r="2084" spans="1:9" s="212" customFormat="1">
      <c r="A2084" s="658"/>
      <c r="B2084" s="227"/>
      <c r="C2084" s="227"/>
      <c r="D2084" s="227"/>
      <c r="E2084" s="227"/>
      <c r="F2084" s="227"/>
      <c r="G2084" s="227"/>
    </row>
    <row r="2085" spans="1:9" s="212" customFormat="1">
      <c r="A2085" s="69"/>
      <c r="B2085" s="69"/>
      <c r="C2085" s="69"/>
      <c r="D2085" s="69"/>
      <c r="E2085" s="69"/>
    </row>
    <row r="2086" spans="1:9" s="212" customFormat="1">
      <c r="A2086" s="120"/>
      <c r="B2086" s="73"/>
      <c r="C2086" s="73"/>
      <c r="D2086" s="73"/>
      <c r="E2086" s="73"/>
      <c r="F2086" s="73"/>
      <c r="G2086" s="73"/>
      <c r="H2086" s="73"/>
    </row>
    <row r="2087" spans="1:9" s="212" customFormat="1">
      <c r="A2087" s="220"/>
      <c r="B2087" s="141"/>
      <c r="C2087" s="141"/>
      <c r="D2087" s="141"/>
      <c r="E2087" s="141"/>
      <c r="F2087" s="141"/>
      <c r="G2087" s="141"/>
      <c r="H2087" s="73"/>
    </row>
    <row r="2088" spans="1:9" s="212" customFormat="1">
      <c r="A2088" s="150"/>
      <c r="B2088" s="84"/>
      <c r="C2088" s="148"/>
      <c r="D2088" s="84"/>
      <c r="E2088" s="84"/>
      <c r="F2088" s="84"/>
      <c r="G2088" s="146"/>
      <c r="H2088" s="221"/>
    </row>
    <row r="2089" spans="1:9" s="212" customFormat="1">
      <c r="A2089" s="84"/>
      <c r="B2089" s="83"/>
      <c r="C2089" s="84"/>
      <c r="D2089" s="84"/>
      <c r="E2089" s="84"/>
      <c r="G2089" s="213"/>
      <c r="H2089" s="222"/>
    </row>
    <row r="2090" spans="1:9" s="212" customFormat="1">
      <c r="A2090" s="120"/>
      <c r="B2090" s="73"/>
      <c r="C2090" s="73"/>
      <c r="D2090" s="73"/>
      <c r="E2090" s="73"/>
      <c r="G2090" s="73"/>
      <c r="H2090" s="222"/>
    </row>
    <row r="2091" spans="1:9" s="212" customFormat="1">
      <c r="A2091" s="220"/>
      <c r="B2091" s="141"/>
      <c r="C2091" s="141"/>
      <c r="D2091" s="141"/>
      <c r="E2091" s="141"/>
      <c r="F2091" s="141"/>
      <c r="G2091" s="141"/>
      <c r="H2091" s="222"/>
    </row>
    <row r="2092" spans="1:9" s="212" customFormat="1">
      <c r="A2092" s="150"/>
      <c r="B2092" s="83"/>
      <c r="C2092" s="148"/>
      <c r="D2092" s="160"/>
      <c r="E2092" s="84"/>
      <c r="F2092" s="84"/>
      <c r="G2092" s="146"/>
      <c r="H2092" s="221"/>
    </row>
    <row r="2093" spans="1:9" s="212" customFormat="1">
      <c r="A2093" s="91"/>
      <c r="B2093" s="91"/>
      <c r="C2093" s="91"/>
      <c r="D2093" s="91"/>
      <c r="E2093" s="91"/>
      <c r="G2093" s="213"/>
      <c r="H2093" s="222"/>
    </row>
    <row r="2094" spans="1:9" s="212" customFormat="1">
      <c r="A2094" s="120"/>
      <c r="B2094" s="73"/>
      <c r="C2094" s="73"/>
      <c r="D2094" s="73"/>
      <c r="E2094" s="73"/>
      <c r="G2094" s="73"/>
      <c r="H2094" s="222"/>
    </row>
    <row r="2095" spans="1:9" s="212" customFormat="1">
      <c r="A2095" s="220"/>
      <c r="B2095" s="141"/>
      <c r="C2095" s="141"/>
      <c r="D2095" s="141"/>
      <c r="E2095" s="141"/>
      <c r="F2095" s="141"/>
      <c r="G2095" s="141"/>
      <c r="H2095" s="222"/>
    </row>
    <row r="2096" spans="1:9" s="212" customFormat="1">
      <c r="A2096" s="150"/>
      <c r="B2096" s="84"/>
      <c r="C2096" s="148"/>
      <c r="D2096" s="84"/>
      <c r="E2096" s="84"/>
      <c r="F2096" s="84"/>
      <c r="G2096" s="146"/>
      <c r="H2096" s="221"/>
    </row>
    <row r="2097" spans="1:9" s="212" customFormat="1">
      <c r="A2097" s="91"/>
      <c r="B2097" s="91"/>
      <c r="C2097" s="91"/>
      <c r="D2097" s="91"/>
      <c r="E2097" s="91"/>
      <c r="G2097" s="213"/>
      <c r="H2097" s="222"/>
    </row>
    <row r="2098" spans="1:9" s="212" customFormat="1">
      <c r="A2098" s="120"/>
      <c r="B2098" s="73"/>
      <c r="C2098" s="73"/>
      <c r="D2098" s="73"/>
      <c r="E2098" s="73"/>
      <c r="G2098" s="73"/>
      <c r="H2098" s="222"/>
    </row>
    <row r="2099" spans="1:9" s="212" customFormat="1">
      <c r="A2099" s="220"/>
      <c r="B2099" s="141"/>
      <c r="C2099" s="141"/>
      <c r="D2099" s="141"/>
      <c r="E2099" s="141"/>
      <c r="F2099" s="141"/>
      <c r="G2099" s="141"/>
      <c r="H2099" s="222"/>
    </row>
    <row r="2100" spans="1:9" s="212" customFormat="1">
      <c r="A2100" s="142"/>
      <c r="B2100" s="143"/>
      <c r="C2100" s="143"/>
      <c r="D2100" s="143"/>
      <c r="E2100" s="143"/>
      <c r="F2100" s="84"/>
      <c r="G2100" s="146"/>
      <c r="H2100" s="221"/>
    </row>
    <row r="2101" spans="1:9" s="212" customFormat="1">
      <c r="A2101" s="123"/>
      <c r="B2101" s="95"/>
      <c r="C2101" s="95"/>
      <c r="D2101" s="95"/>
      <c r="E2101" s="95"/>
      <c r="G2101" s="213"/>
      <c r="H2101" s="73"/>
    </row>
    <row r="2102" spans="1:9" s="212" customFormat="1">
      <c r="A2102" s="123"/>
      <c r="B2102" s="95"/>
      <c r="C2102" s="95"/>
      <c r="D2102" s="95"/>
      <c r="E2102" s="95"/>
      <c r="G2102" s="73"/>
      <c r="H2102" s="225"/>
    </row>
    <row r="2103" spans="1:9" s="212" customFormat="1">
      <c r="B2103" s="97"/>
      <c r="C2103" s="98"/>
      <c r="D2103" s="98"/>
      <c r="E2103" s="98"/>
      <c r="G2103" s="220"/>
    </row>
    <row r="2104" spans="1:9" s="212" customFormat="1">
      <c r="B2104" s="97"/>
      <c r="C2104" s="98"/>
      <c r="D2104" s="98"/>
      <c r="E2104" s="98"/>
      <c r="F2104" s="220"/>
      <c r="G2104" s="225"/>
      <c r="H2104" s="226"/>
    </row>
    <row r="2105" spans="1:9" s="212" customFormat="1">
      <c r="A2105" s="633"/>
      <c r="B2105" s="633"/>
      <c r="C2105" s="633"/>
      <c r="D2105" s="633"/>
      <c r="E2105" s="633"/>
      <c r="F2105" s="633"/>
      <c r="G2105" s="633"/>
    </row>
    <row r="2106" spans="1:9" s="212" customFormat="1">
      <c r="H2106" s="227"/>
      <c r="I2106" s="228"/>
    </row>
    <row r="2107" spans="1:9" s="212" customFormat="1">
      <c r="A2107" s="658"/>
      <c r="B2107" s="227"/>
      <c r="C2107" s="227"/>
      <c r="D2107" s="227"/>
      <c r="E2107" s="227"/>
      <c r="F2107" s="227"/>
      <c r="G2107" s="227"/>
      <c r="H2107" s="227"/>
      <c r="I2107" s="229"/>
    </row>
    <row r="2108" spans="1:9" s="212" customFormat="1">
      <c r="A2108" s="658"/>
      <c r="B2108" s="227"/>
      <c r="C2108" s="227"/>
      <c r="D2108" s="227"/>
      <c r="E2108" s="227"/>
      <c r="F2108" s="227"/>
      <c r="G2108" s="227"/>
    </row>
    <row r="2109" spans="1:9" s="212" customFormat="1">
      <c r="A2109" s="69"/>
      <c r="B2109" s="69"/>
      <c r="C2109" s="69"/>
      <c r="D2109" s="69"/>
      <c r="E2109" s="69"/>
    </row>
    <row r="2110" spans="1:9" s="212" customFormat="1">
      <c r="A2110" s="120"/>
      <c r="B2110" s="73"/>
      <c r="C2110" s="73"/>
      <c r="D2110" s="73"/>
      <c r="E2110" s="73"/>
      <c r="F2110" s="73"/>
      <c r="G2110" s="73"/>
      <c r="H2110" s="73"/>
    </row>
    <row r="2111" spans="1:9" s="212" customFormat="1">
      <c r="A2111" s="220"/>
      <c r="B2111" s="141"/>
      <c r="C2111" s="141"/>
      <c r="D2111" s="141"/>
      <c r="E2111" s="141"/>
      <c r="F2111" s="141"/>
      <c r="G2111" s="141"/>
      <c r="H2111" s="73"/>
    </row>
    <row r="2112" spans="1:9" s="212" customFormat="1">
      <c r="A2112" s="150"/>
      <c r="B2112" s="84"/>
      <c r="C2112" s="148"/>
      <c r="D2112" s="84"/>
      <c r="E2112" s="84"/>
      <c r="F2112" s="84"/>
      <c r="G2112" s="146"/>
      <c r="H2112" s="221"/>
    </row>
    <row r="2113" spans="1:8" s="212" customFormat="1">
      <c r="A2113" s="84"/>
      <c r="B2113" s="83"/>
      <c r="C2113" s="84"/>
      <c r="D2113" s="84"/>
      <c r="E2113" s="84"/>
      <c r="G2113" s="213"/>
      <c r="H2113" s="222"/>
    </row>
    <row r="2114" spans="1:8" s="212" customFormat="1">
      <c r="A2114" s="120"/>
      <c r="B2114" s="73"/>
      <c r="C2114" s="73"/>
      <c r="D2114" s="73"/>
      <c r="E2114" s="73"/>
      <c r="G2114" s="73"/>
      <c r="H2114" s="222"/>
    </row>
    <row r="2115" spans="1:8" s="212" customFormat="1">
      <c r="A2115" s="220"/>
      <c r="B2115" s="141"/>
      <c r="C2115" s="141"/>
      <c r="D2115" s="141"/>
      <c r="E2115" s="141"/>
      <c r="F2115" s="141"/>
      <c r="G2115" s="141"/>
      <c r="H2115" s="222"/>
    </row>
    <row r="2116" spans="1:8" s="212" customFormat="1">
      <c r="A2116" s="150"/>
      <c r="B2116" s="83"/>
      <c r="C2116" s="148"/>
      <c r="D2116" s="160"/>
      <c r="E2116" s="84"/>
      <c r="F2116" s="84"/>
      <c r="G2116" s="146"/>
      <c r="H2116" s="221"/>
    </row>
    <row r="2117" spans="1:8" s="212" customFormat="1">
      <c r="A2117" s="91"/>
      <c r="B2117" s="91"/>
      <c r="C2117" s="91"/>
      <c r="D2117" s="91"/>
      <c r="E2117" s="91"/>
      <c r="G2117" s="213"/>
      <c r="H2117" s="222"/>
    </row>
    <row r="2118" spans="1:8" s="212" customFormat="1">
      <c r="A2118" s="120"/>
      <c r="B2118" s="73"/>
      <c r="C2118" s="73"/>
      <c r="D2118" s="73"/>
      <c r="E2118" s="73"/>
      <c r="G2118" s="73"/>
      <c r="H2118" s="222"/>
    </row>
    <row r="2119" spans="1:8" s="212" customFormat="1">
      <c r="A2119" s="220"/>
      <c r="B2119" s="141"/>
      <c r="C2119" s="141"/>
      <c r="D2119" s="141"/>
      <c r="E2119" s="141"/>
      <c r="F2119" s="141"/>
      <c r="G2119" s="141"/>
      <c r="H2119" s="222"/>
    </row>
    <row r="2120" spans="1:8" s="212" customFormat="1">
      <c r="A2120" s="150"/>
      <c r="B2120" s="84"/>
      <c r="C2120" s="148"/>
      <c r="D2120" s="84"/>
      <c r="E2120" s="84"/>
      <c r="F2120" s="84"/>
      <c r="G2120" s="146"/>
      <c r="H2120" s="221"/>
    </row>
    <row r="2121" spans="1:8" s="212" customFormat="1">
      <c r="A2121" s="91"/>
      <c r="B2121" s="91"/>
      <c r="C2121" s="91"/>
      <c r="D2121" s="91"/>
      <c r="E2121" s="91"/>
      <c r="G2121" s="213"/>
      <c r="H2121" s="222"/>
    </row>
    <row r="2122" spans="1:8" s="212" customFormat="1">
      <c r="A2122" s="120"/>
      <c r="B2122" s="73"/>
      <c r="C2122" s="73"/>
      <c r="D2122" s="73"/>
      <c r="E2122" s="73"/>
      <c r="G2122" s="73"/>
      <c r="H2122" s="222"/>
    </row>
    <row r="2123" spans="1:8" s="212" customFormat="1">
      <c r="A2123" s="220"/>
      <c r="B2123" s="141"/>
      <c r="C2123" s="141"/>
      <c r="D2123" s="141"/>
      <c r="E2123" s="141"/>
      <c r="F2123" s="141"/>
      <c r="G2123" s="141"/>
      <c r="H2123" s="222"/>
    </row>
    <row r="2124" spans="1:8" s="212" customFormat="1">
      <c r="A2124" s="142"/>
      <c r="B2124" s="143"/>
      <c r="C2124" s="143"/>
      <c r="D2124" s="143"/>
      <c r="E2124" s="143"/>
      <c r="F2124" s="84"/>
      <c r="G2124" s="146"/>
      <c r="H2124" s="221"/>
    </row>
    <row r="2125" spans="1:8" s="212" customFormat="1">
      <c r="A2125" s="123"/>
      <c r="B2125" s="95"/>
      <c r="C2125" s="95"/>
      <c r="D2125" s="95"/>
      <c r="E2125" s="95"/>
      <c r="G2125" s="213"/>
      <c r="H2125" s="73"/>
    </row>
    <row r="2126" spans="1:8" s="212" customFormat="1">
      <c r="A2126" s="123"/>
      <c r="B2126" s="95"/>
      <c r="C2126" s="95"/>
      <c r="D2126" s="95"/>
      <c r="E2126" s="95"/>
      <c r="G2126" s="73"/>
      <c r="H2126" s="225"/>
    </row>
    <row r="2127" spans="1:8" s="212" customFormat="1">
      <c r="B2127" s="97"/>
      <c r="C2127" s="98"/>
      <c r="D2127" s="98"/>
      <c r="E2127" s="98"/>
      <c r="G2127" s="220"/>
    </row>
    <row r="2128" spans="1:8" s="212" customFormat="1">
      <c r="B2128" s="97"/>
      <c r="C2128" s="98"/>
      <c r="D2128" s="98"/>
      <c r="E2128" s="98"/>
      <c r="F2128" s="220"/>
      <c r="G2128" s="225"/>
      <c r="H2128" s="226"/>
    </row>
    <row r="2129" spans="1:9" s="212" customFormat="1">
      <c r="A2129" s="633"/>
      <c r="B2129" s="633"/>
      <c r="C2129" s="633"/>
      <c r="D2129" s="633"/>
      <c r="E2129" s="633"/>
      <c r="F2129" s="633"/>
      <c r="G2129" s="633"/>
    </row>
    <row r="2130" spans="1:9" s="212" customFormat="1">
      <c r="H2130" s="227"/>
      <c r="I2130" s="228"/>
    </row>
    <row r="2131" spans="1:9" s="212" customFormat="1">
      <c r="A2131" s="658"/>
      <c r="B2131" s="227"/>
      <c r="C2131" s="227"/>
      <c r="D2131" s="227"/>
      <c r="E2131" s="227"/>
      <c r="F2131" s="227"/>
      <c r="G2131" s="227"/>
      <c r="H2131" s="227"/>
      <c r="I2131" s="229"/>
    </row>
    <row r="2132" spans="1:9" s="212" customFormat="1">
      <c r="A2132" s="658"/>
      <c r="B2132" s="227"/>
      <c r="C2132" s="227"/>
      <c r="D2132" s="227"/>
      <c r="E2132" s="227"/>
      <c r="F2132" s="227"/>
      <c r="G2132" s="227"/>
    </row>
    <row r="2133" spans="1:9" s="212" customFormat="1">
      <c r="A2133" s="69"/>
      <c r="B2133" s="69"/>
      <c r="C2133" s="69"/>
      <c r="D2133" s="69"/>
      <c r="E2133" s="69"/>
    </row>
    <row r="2134" spans="1:9" s="212" customFormat="1">
      <c r="A2134" s="120"/>
      <c r="B2134" s="73"/>
      <c r="C2134" s="73"/>
      <c r="D2134" s="73"/>
      <c r="E2134" s="73"/>
      <c r="F2134" s="73"/>
      <c r="G2134" s="73"/>
      <c r="H2134" s="73"/>
    </row>
    <row r="2135" spans="1:9" s="212" customFormat="1">
      <c r="A2135" s="220"/>
      <c r="B2135" s="141"/>
      <c r="C2135" s="141"/>
      <c r="D2135" s="141"/>
      <c r="E2135" s="141"/>
      <c r="F2135" s="141"/>
      <c r="G2135" s="141"/>
      <c r="H2135" s="73"/>
    </row>
    <row r="2136" spans="1:9" s="212" customFormat="1">
      <c r="A2136" s="150"/>
      <c r="B2136" s="84"/>
      <c r="C2136" s="148"/>
      <c r="D2136" s="84"/>
      <c r="E2136" s="84"/>
      <c r="F2136" s="84"/>
      <c r="G2136" s="146"/>
      <c r="H2136" s="221"/>
    </row>
    <row r="2137" spans="1:9" s="212" customFormat="1">
      <c r="A2137" s="84"/>
      <c r="B2137" s="83"/>
      <c r="C2137" s="84"/>
      <c r="D2137" s="84"/>
      <c r="E2137" s="84"/>
      <c r="G2137" s="213"/>
      <c r="H2137" s="222"/>
    </row>
    <row r="2138" spans="1:9" s="212" customFormat="1">
      <c r="A2138" s="120"/>
      <c r="B2138" s="73"/>
      <c r="C2138" s="73"/>
      <c r="D2138" s="73"/>
      <c r="E2138" s="73"/>
      <c r="G2138" s="73"/>
      <c r="H2138" s="222"/>
    </row>
    <row r="2139" spans="1:9" s="212" customFormat="1">
      <c r="A2139" s="220"/>
      <c r="B2139" s="141"/>
      <c r="C2139" s="141"/>
      <c r="D2139" s="141"/>
      <c r="E2139" s="141"/>
      <c r="F2139" s="141"/>
      <c r="G2139" s="141"/>
      <c r="H2139" s="222"/>
    </row>
    <row r="2140" spans="1:9" s="212" customFormat="1">
      <c r="A2140" s="150"/>
      <c r="B2140" s="83"/>
      <c r="C2140" s="148"/>
      <c r="D2140" s="165"/>
      <c r="E2140" s="84"/>
      <c r="F2140" s="84"/>
      <c r="G2140" s="146"/>
      <c r="H2140" s="221"/>
    </row>
    <row r="2141" spans="1:9" s="212" customFormat="1">
      <c r="A2141" s="91"/>
      <c r="B2141" s="91"/>
      <c r="C2141" s="91"/>
      <c r="D2141" s="91"/>
      <c r="E2141" s="91"/>
      <c r="G2141" s="213"/>
      <c r="H2141" s="222"/>
    </row>
    <row r="2142" spans="1:9" s="212" customFormat="1">
      <c r="A2142" s="120"/>
      <c r="B2142" s="73"/>
      <c r="C2142" s="73"/>
      <c r="D2142" s="73"/>
      <c r="E2142" s="73"/>
      <c r="G2142" s="73"/>
      <c r="H2142" s="222"/>
    </row>
    <row r="2143" spans="1:9" s="212" customFormat="1">
      <c r="A2143" s="220"/>
      <c r="B2143" s="141"/>
      <c r="C2143" s="141"/>
      <c r="D2143" s="141"/>
      <c r="E2143" s="141"/>
      <c r="F2143" s="141"/>
      <c r="G2143" s="141"/>
      <c r="H2143" s="222"/>
    </row>
    <row r="2144" spans="1:9" s="212" customFormat="1">
      <c r="A2144" s="150"/>
      <c r="B2144" s="84"/>
      <c r="C2144" s="148"/>
      <c r="D2144" s="84"/>
      <c r="E2144" s="84"/>
      <c r="F2144" s="84"/>
      <c r="G2144" s="146"/>
      <c r="H2144" s="221"/>
    </row>
    <row r="2145" spans="1:9" s="212" customFormat="1">
      <c r="A2145" s="91"/>
      <c r="B2145" s="91"/>
      <c r="C2145" s="91"/>
      <c r="D2145" s="91"/>
      <c r="E2145" s="91"/>
      <c r="G2145" s="213"/>
      <c r="H2145" s="222"/>
    </row>
    <row r="2146" spans="1:9" s="212" customFormat="1">
      <c r="A2146" s="120"/>
      <c r="B2146" s="73"/>
      <c r="C2146" s="73"/>
      <c r="D2146" s="73"/>
      <c r="E2146" s="73"/>
      <c r="G2146" s="73"/>
      <c r="H2146" s="222"/>
    </row>
    <row r="2147" spans="1:9" s="212" customFormat="1">
      <c r="A2147" s="220"/>
      <c r="B2147" s="141"/>
      <c r="C2147" s="141"/>
      <c r="D2147" s="141"/>
      <c r="E2147" s="141"/>
      <c r="F2147" s="141"/>
      <c r="G2147" s="141"/>
      <c r="H2147" s="222"/>
    </row>
    <row r="2148" spans="1:9" s="212" customFormat="1">
      <c r="A2148" s="142"/>
      <c r="B2148" s="143"/>
      <c r="C2148" s="143"/>
      <c r="D2148" s="143"/>
      <c r="E2148" s="143"/>
      <c r="F2148" s="84"/>
      <c r="G2148" s="146"/>
      <c r="H2148" s="221"/>
    </row>
    <row r="2149" spans="1:9" s="212" customFormat="1">
      <c r="A2149" s="123"/>
      <c r="B2149" s="95"/>
      <c r="C2149" s="95"/>
      <c r="D2149" s="95"/>
      <c r="E2149" s="95"/>
      <c r="G2149" s="213"/>
      <c r="H2149" s="73"/>
    </row>
    <row r="2150" spans="1:9" s="212" customFormat="1">
      <c r="A2150" s="123"/>
      <c r="B2150" s="95"/>
      <c r="C2150" s="95"/>
      <c r="D2150" s="95"/>
      <c r="E2150" s="95"/>
      <c r="G2150" s="73"/>
      <c r="H2150" s="225"/>
    </row>
    <row r="2151" spans="1:9" s="212" customFormat="1">
      <c r="B2151" s="97"/>
      <c r="C2151" s="98"/>
      <c r="D2151" s="98"/>
      <c r="E2151" s="98"/>
      <c r="G2151" s="220"/>
    </row>
    <row r="2152" spans="1:9" s="212" customFormat="1">
      <c r="B2152" s="97"/>
      <c r="C2152" s="98"/>
      <c r="D2152" s="98"/>
      <c r="E2152" s="98"/>
      <c r="F2152" s="220"/>
      <c r="G2152" s="225"/>
      <c r="H2152" s="226"/>
    </row>
    <row r="2153" spans="1:9" s="212" customFormat="1">
      <c r="A2153" s="633"/>
      <c r="B2153" s="633"/>
      <c r="C2153" s="633"/>
      <c r="D2153" s="633"/>
      <c r="E2153" s="633"/>
      <c r="F2153" s="633"/>
      <c r="G2153" s="633"/>
    </row>
    <row r="2154" spans="1:9" s="212" customFormat="1">
      <c r="H2154" s="227"/>
      <c r="I2154" s="228"/>
    </row>
    <row r="2155" spans="1:9" s="212" customFormat="1">
      <c r="A2155" s="658"/>
      <c r="B2155" s="227"/>
      <c r="C2155" s="227"/>
      <c r="D2155" s="227"/>
      <c r="E2155" s="227"/>
      <c r="F2155" s="227"/>
      <c r="G2155" s="227"/>
      <c r="H2155" s="227"/>
      <c r="I2155" s="229"/>
    </row>
    <row r="2156" spans="1:9" s="212" customFormat="1">
      <c r="A2156" s="658"/>
      <c r="B2156" s="227"/>
      <c r="C2156" s="227"/>
      <c r="D2156" s="227"/>
      <c r="E2156" s="227"/>
      <c r="F2156" s="227"/>
      <c r="G2156" s="227"/>
    </row>
    <row r="2157" spans="1:9" s="212" customFormat="1">
      <c r="A2157" s="69"/>
      <c r="B2157" s="69"/>
      <c r="C2157" s="69"/>
      <c r="D2157" s="69"/>
      <c r="E2157" s="69"/>
    </row>
    <row r="2158" spans="1:9" s="212" customFormat="1">
      <c r="A2158" s="120"/>
      <c r="B2158" s="73"/>
      <c r="C2158" s="73"/>
      <c r="D2158" s="73"/>
      <c r="E2158" s="73"/>
      <c r="F2158" s="73"/>
      <c r="G2158" s="73"/>
      <c r="H2158" s="73"/>
    </row>
    <row r="2159" spans="1:9" s="212" customFormat="1">
      <c r="A2159" s="220"/>
      <c r="B2159" s="141"/>
      <c r="C2159" s="141"/>
      <c r="D2159" s="141"/>
      <c r="E2159" s="141"/>
      <c r="F2159" s="141"/>
      <c r="G2159" s="141"/>
      <c r="H2159" s="73"/>
    </row>
    <row r="2160" spans="1:9" s="212" customFormat="1">
      <c r="A2160" s="150"/>
      <c r="B2160" s="84"/>
      <c r="C2160" s="148"/>
      <c r="D2160" s="84"/>
      <c r="E2160" s="84"/>
      <c r="F2160" s="84"/>
      <c r="G2160" s="146"/>
      <c r="H2160" s="221"/>
    </row>
    <row r="2161" spans="1:8" s="212" customFormat="1">
      <c r="A2161" s="84"/>
      <c r="B2161" s="83"/>
      <c r="C2161" s="84"/>
      <c r="D2161" s="84"/>
      <c r="E2161" s="84"/>
      <c r="G2161" s="213"/>
      <c r="H2161" s="222"/>
    </row>
    <row r="2162" spans="1:8" s="212" customFormat="1">
      <c r="A2162" s="120"/>
      <c r="B2162" s="73"/>
      <c r="C2162" s="73"/>
      <c r="D2162" s="73"/>
      <c r="E2162" s="73"/>
      <c r="G2162" s="73"/>
      <c r="H2162" s="222"/>
    </row>
    <row r="2163" spans="1:8" s="212" customFormat="1">
      <c r="A2163" s="220"/>
      <c r="B2163" s="141"/>
      <c r="C2163" s="141"/>
      <c r="D2163" s="141"/>
      <c r="E2163" s="141"/>
      <c r="F2163" s="141"/>
      <c r="G2163" s="141"/>
      <c r="H2163" s="222"/>
    </row>
    <row r="2164" spans="1:8" s="212" customFormat="1">
      <c r="A2164" s="150"/>
      <c r="B2164" s="83"/>
      <c r="C2164" s="148"/>
      <c r="D2164" s="165"/>
      <c r="E2164" s="84"/>
      <c r="F2164" s="84"/>
      <c r="G2164" s="146"/>
      <c r="H2164" s="221"/>
    </row>
    <row r="2165" spans="1:8" s="212" customFormat="1">
      <c r="A2165" s="91"/>
      <c r="B2165" s="91"/>
      <c r="C2165" s="91"/>
      <c r="D2165" s="91"/>
      <c r="E2165" s="91"/>
      <c r="G2165" s="213"/>
      <c r="H2165" s="222"/>
    </row>
    <row r="2166" spans="1:8" s="212" customFormat="1">
      <c r="A2166" s="120"/>
      <c r="B2166" s="73"/>
      <c r="C2166" s="73"/>
      <c r="D2166" s="73"/>
      <c r="E2166" s="73"/>
      <c r="G2166" s="73"/>
      <c r="H2166" s="222"/>
    </row>
    <row r="2167" spans="1:8" s="212" customFormat="1">
      <c r="A2167" s="220"/>
      <c r="B2167" s="141"/>
      <c r="C2167" s="141"/>
      <c r="D2167" s="141"/>
      <c r="E2167" s="141"/>
      <c r="F2167" s="141"/>
      <c r="G2167" s="141"/>
      <c r="H2167" s="222"/>
    </row>
    <row r="2168" spans="1:8" s="212" customFormat="1">
      <c r="A2168" s="150"/>
      <c r="B2168" s="84"/>
      <c r="C2168" s="148"/>
      <c r="D2168" s="84"/>
      <c r="E2168" s="84"/>
      <c r="F2168" s="84"/>
      <c r="G2168" s="146"/>
      <c r="H2168" s="221"/>
    </row>
    <row r="2169" spans="1:8" s="212" customFormat="1">
      <c r="A2169" s="91"/>
      <c r="B2169" s="91"/>
      <c r="C2169" s="91"/>
      <c r="D2169" s="91"/>
      <c r="E2169" s="91"/>
      <c r="G2169" s="213"/>
      <c r="H2169" s="222"/>
    </row>
    <row r="2170" spans="1:8" s="212" customFormat="1">
      <c r="A2170" s="120"/>
      <c r="B2170" s="73"/>
      <c r="C2170" s="73"/>
      <c r="D2170" s="73"/>
      <c r="E2170" s="73"/>
      <c r="G2170" s="73"/>
      <c r="H2170" s="222"/>
    </row>
    <row r="2171" spans="1:8" s="212" customFormat="1">
      <c r="A2171" s="220"/>
      <c r="B2171" s="141"/>
      <c r="C2171" s="141"/>
      <c r="D2171" s="141"/>
      <c r="E2171" s="141"/>
      <c r="F2171" s="141"/>
      <c r="G2171" s="141"/>
      <c r="H2171" s="222"/>
    </row>
    <row r="2172" spans="1:8" s="212" customFormat="1">
      <c r="A2172" s="142"/>
      <c r="B2172" s="143"/>
      <c r="C2172" s="143"/>
      <c r="D2172" s="143"/>
      <c r="E2172" s="143"/>
      <c r="F2172" s="84"/>
      <c r="G2172" s="146"/>
      <c r="H2172" s="221"/>
    </row>
    <row r="2173" spans="1:8" s="212" customFormat="1">
      <c r="A2173" s="123"/>
      <c r="B2173" s="95"/>
      <c r="C2173" s="95"/>
      <c r="D2173" s="95"/>
      <c r="E2173" s="95"/>
      <c r="G2173" s="213"/>
      <c r="H2173" s="73"/>
    </row>
    <row r="2174" spans="1:8" s="212" customFormat="1">
      <c r="A2174" s="123"/>
      <c r="B2174" s="95"/>
      <c r="C2174" s="95"/>
      <c r="D2174" s="95"/>
      <c r="E2174" s="95"/>
      <c r="G2174" s="73"/>
      <c r="H2174" s="225"/>
    </row>
    <row r="2175" spans="1:8" s="212" customFormat="1">
      <c r="B2175" s="97"/>
      <c r="C2175" s="98"/>
      <c r="D2175" s="98"/>
      <c r="E2175" s="98"/>
      <c r="G2175" s="220"/>
    </row>
    <row r="2176" spans="1:8" s="212" customFormat="1">
      <c r="B2176" s="97"/>
      <c r="C2176" s="98"/>
      <c r="D2176" s="98"/>
      <c r="E2176" s="98"/>
      <c r="F2176" s="220"/>
      <c r="G2176" s="225"/>
      <c r="H2176" s="226"/>
    </row>
    <row r="2177" spans="1:9" s="212" customFormat="1">
      <c r="A2177" s="633"/>
      <c r="B2177" s="633"/>
      <c r="C2177" s="633"/>
      <c r="D2177" s="633"/>
      <c r="E2177" s="633"/>
      <c r="F2177" s="633"/>
      <c r="G2177" s="633"/>
    </row>
    <row r="2178" spans="1:9" s="212" customFormat="1">
      <c r="H2178" s="227"/>
      <c r="I2178" s="228"/>
    </row>
    <row r="2179" spans="1:9" s="212" customFormat="1">
      <c r="A2179" s="658"/>
      <c r="B2179" s="227"/>
      <c r="C2179" s="227"/>
      <c r="D2179" s="227"/>
      <c r="E2179" s="227"/>
      <c r="F2179" s="227"/>
      <c r="G2179" s="227"/>
      <c r="H2179" s="227"/>
      <c r="I2179" s="229"/>
    </row>
    <row r="2180" spans="1:9" s="212" customFormat="1">
      <c r="A2180" s="658"/>
      <c r="B2180" s="227"/>
      <c r="C2180" s="227"/>
      <c r="D2180" s="227"/>
      <c r="E2180" s="227"/>
      <c r="F2180" s="227"/>
      <c r="G2180" s="227"/>
    </row>
    <row r="2181" spans="1:9" s="212" customFormat="1">
      <c r="A2181" s="69"/>
      <c r="B2181" s="69"/>
      <c r="C2181" s="69"/>
      <c r="D2181" s="69"/>
      <c r="E2181" s="69"/>
    </row>
    <row r="2182" spans="1:9" s="212" customFormat="1">
      <c r="A2182" s="120"/>
      <c r="B2182" s="73"/>
      <c r="C2182" s="73"/>
      <c r="D2182" s="73"/>
      <c r="E2182" s="73"/>
      <c r="F2182" s="73"/>
      <c r="G2182" s="73"/>
      <c r="H2182" s="73"/>
    </row>
    <row r="2183" spans="1:9" s="212" customFormat="1">
      <c r="A2183" s="220"/>
      <c r="B2183" s="141"/>
      <c r="C2183" s="141"/>
      <c r="D2183" s="141"/>
      <c r="E2183" s="141"/>
      <c r="F2183" s="141"/>
      <c r="G2183" s="141"/>
      <c r="H2183" s="73"/>
    </row>
    <row r="2184" spans="1:9" s="212" customFormat="1">
      <c r="A2184" s="150"/>
      <c r="B2184" s="84"/>
      <c r="C2184" s="148"/>
      <c r="D2184" s="84"/>
      <c r="E2184" s="84"/>
      <c r="F2184" s="84"/>
      <c r="G2184" s="146"/>
      <c r="H2184" s="221"/>
    </row>
    <row r="2185" spans="1:9" s="212" customFormat="1">
      <c r="A2185" s="84"/>
      <c r="B2185" s="83"/>
      <c r="C2185" s="84"/>
      <c r="D2185" s="84"/>
      <c r="E2185" s="84"/>
      <c r="G2185" s="213"/>
      <c r="H2185" s="222"/>
    </row>
    <row r="2186" spans="1:9" s="212" customFormat="1">
      <c r="A2186" s="120"/>
      <c r="B2186" s="73"/>
      <c r="C2186" s="73"/>
      <c r="D2186" s="73"/>
      <c r="E2186" s="73"/>
      <c r="G2186" s="73"/>
      <c r="H2186" s="222"/>
    </row>
    <row r="2187" spans="1:9" s="212" customFormat="1">
      <c r="A2187" s="220"/>
      <c r="B2187" s="141"/>
      <c r="C2187" s="141"/>
      <c r="D2187" s="141"/>
      <c r="E2187" s="141"/>
      <c r="F2187" s="141"/>
      <c r="G2187" s="141"/>
      <c r="H2187" s="222"/>
    </row>
    <row r="2188" spans="1:9" s="212" customFormat="1">
      <c r="A2188" s="150"/>
      <c r="B2188" s="83"/>
      <c r="C2188" s="148"/>
      <c r="D2188" s="165"/>
      <c r="E2188" s="84"/>
      <c r="F2188" s="84"/>
      <c r="G2188" s="146"/>
      <c r="H2188" s="221"/>
    </row>
    <row r="2189" spans="1:9" s="212" customFormat="1">
      <c r="A2189" s="91"/>
      <c r="B2189" s="91"/>
      <c r="C2189" s="91"/>
      <c r="D2189" s="91"/>
      <c r="E2189" s="91"/>
      <c r="G2189" s="213"/>
      <c r="H2189" s="222"/>
    </row>
    <row r="2190" spans="1:9" s="212" customFormat="1">
      <c r="A2190" s="120"/>
      <c r="B2190" s="73"/>
      <c r="C2190" s="73"/>
      <c r="D2190" s="73"/>
      <c r="E2190" s="73"/>
      <c r="G2190" s="73"/>
      <c r="H2190" s="222"/>
    </row>
    <row r="2191" spans="1:9" s="212" customFormat="1">
      <c r="A2191" s="220"/>
      <c r="B2191" s="141"/>
      <c r="C2191" s="141"/>
      <c r="D2191" s="141"/>
      <c r="E2191" s="141"/>
      <c r="F2191" s="141"/>
      <c r="G2191" s="141"/>
      <c r="H2191" s="222"/>
    </row>
    <row r="2192" spans="1:9" s="212" customFormat="1">
      <c r="A2192" s="150"/>
      <c r="B2192" s="84"/>
      <c r="C2192" s="148"/>
      <c r="D2192" s="84"/>
      <c r="E2192" s="84"/>
      <c r="F2192" s="84"/>
      <c r="G2192" s="146"/>
      <c r="H2192" s="221"/>
    </row>
    <row r="2193" spans="1:9" s="212" customFormat="1">
      <c r="A2193" s="91"/>
      <c r="B2193" s="91"/>
      <c r="C2193" s="91"/>
      <c r="D2193" s="91"/>
      <c r="E2193" s="91"/>
      <c r="G2193" s="213"/>
      <c r="H2193" s="222"/>
    </row>
    <row r="2194" spans="1:9" s="212" customFormat="1">
      <c r="A2194" s="120"/>
      <c r="B2194" s="73"/>
      <c r="C2194" s="73"/>
      <c r="D2194" s="73"/>
      <c r="E2194" s="73"/>
      <c r="G2194" s="73"/>
      <c r="H2194" s="222"/>
    </row>
    <row r="2195" spans="1:9" s="212" customFormat="1">
      <c r="A2195" s="220"/>
      <c r="B2195" s="141"/>
      <c r="C2195" s="141"/>
      <c r="D2195" s="141"/>
      <c r="E2195" s="141"/>
      <c r="F2195" s="141"/>
      <c r="G2195" s="141"/>
      <c r="H2195" s="222"/>
    </row>
    <row r="2196" spans="1:9" s="212" customFormat="1">
      <c r="A2196" s="142"/>
      <c r="B2196" s="143"/>
      <c r="C2196" s="143"/>
      <c r="D2196" s="143"/>
      <c r="E2196" s="143"/>
      <c r="F2196" s="84"/>
      <c r="G2196" s="146"/>
      <c r="H2196" s="221"/>
    </row>
    <row r="2197" spans="1:9" s="212" customFormat="1">
      <c r="A2197" s="123"/>
      <c r="B2197" s="95"/>
      <c r="C2197" s="95"/>
      <c r="D2197" s="95"/>
      <c r="E2197" s="95"/>
      <c r="G2197" s="213"/>
      <c r="H2197" s="73"/>
    </row>
    <row r="2198" spans="1:9" s="212" customFormat="1">
      <c r="A2198" s="123"/>
      <c r="B2198" s="95"/>
      <c r="C2198" s="95"/>
      <c r="D2198" s="95"/>
      <c r="E2198" s="95"/>
      <c r="G2198" s="73"/>
      <c r="H2198" s="225"/>
    </row>
    <row r="2199" spans="1:9" s="212" customFormat="1">
      <c r="B2199" s="97"/>
      <c r="C2199" s="98"/>
      <c r="D2199" s="98"/>
      <c r="E2199" s="98"/>
      <c r="G2199" s="220"/>
    </row>
    <row r="2200" spans="1:9" s="212" customFormat="1">
      <c r="B2200" s="97"/>
      <c r="C2200" s="98"/>
      <c r="D2200" s="98"/>
      <c r="E2200" s="98"/>
      <c r="F2200" s="220"/>
      <c r="G2200" s="225"/>
      <c r="H2200" s="226"/>
    </row>
    <row r="2201" spans="1:9" s="212" customFormat="1">
      <c r="A2201" s="633"/>
      <c r="B2201" s="633"/>
      <c r="C2201" s="633"/>
      <c r="D2201" s="633"/>
      <c r="E2201" s="633"/>
      <c r="F2201" s="633"/>
      <c r="G2201" s="633"/>
    </row>
    <row r="2202" spans="1:9" s="212" customFormat="1">
      <c r="H2202" s="227"/>
      <c r="I2202" s="228"/>
    </row>
    <row r="2203" spans="1:9" s="212" customFormat="1">
      <c r="A2203" s="658"/>
      <c r="B2203" s="227"/>
      <c r="C2203" s="227"/>
      <c r="D2203" s="227"/>
      <c r="E2203" s="227"/>
      <c r="F2203" s="227"/>
      <c r="G2203" s="227"/>
      <c r="H2203" s="227"/>
      <c r="I2203" s="229"/>
    </row>
    <row r="2204" spans="1:9" s="212" customFormat="1">
      <c r="A2204" s="658"/>
      <c r="B2204" s="227"/>
      <c r="C2204" s="227"/>
      <c r="D2204" s="227"/>
      <c r="E2204" s="227"/>
      <c r="F2204" s="227"/>
      <c r="G2204" s="227"/>
    </row>
    <row r="2205" spans="1:9" s="212" customFormat="1">
      <c r="A2205" s="69"/>
      <c r="B2205" s="69"/>
      <c r="C2205" s="69"/>
      <c r="D2205" s="69"/>
      <c r="E2205" s="69"/>
    </row>
    <row r="2206" spans="1:9" s="212" customFormat="1">
      <c r="A2206" s="120"/>
      <c r="B2206" s="73"/>
      <c r="C2206" s="73"/>
      <c r="D2206" s="73"/>
      <c r="E2206" s="73"/>
      <c r="F2206" s="73"/>
      <c r="G2206" s="73"/>
      <c r="H2206" s="73"/>
    </row>
    <row r="2207" spans="1:9" s="212" customFormat="1">
      <c r="A2207" s="220"/>
      <c r="B2207" s="141"/>
      <c r="C2207" s="141"/>
      <c r="D2207" s="141"/>
      <c r="E2207" s="141"/>
      <c r="F2207" s="141"/>
      <c r="G2207" s="141"/>
      <c r="H2207" s="73"/>
    </row>
    <row r="2208" spans="1:9" s="212" customFormat="1">
      <c r="A2208" s="142"/>
      <c r="B2208" s="143"/>
      <c r="C2208" s="143"/>
      <c r="D2208" s="143"/>
      <c r="E2208" s="143"/>
      <c r="F2208" s="84"/>
      <c r="G2208" s="146"/>
      <c r="H2208" s="221"/>
    </row>
    <row r="2209" spans="1:8" s="212" customFormat="1">
      <c r="A2209" s="84"/>
      <c r="B2209" s="83"/>
      <c r="C2209" s="84"/>
      <c r="D2209" s="84"/>
      <c r="E2209" s="84"/>
      <c r="G2209" s="213"/>
      <c r="H2209" s="222"/>
    </row>
    <row r="2210" spans="1:8" s="212" customFormat="1">
      <c r="A2210" s="120"/>
      <c r="B2210" s="73"/>
      <c r="C2210" s="73"/>
      <c r="D2210" s="73"/>
      <c r="E2210" s="73"/>
      <c r="G2210" s="73"/>
      <c r="H2210" s="222"/>
    </row>
    <row r="2211" spans="1:8" s="212" customFormat="1">
      <c r="A2211" s="220"/>
      <c r="B2211" s="141"/>
      <c r="C2211" s="141"/>
      <c r="D2211" s="141"/>
      <c r="E2211" s="141"/>
      <c r="F2211" s="141"/>
      <c r="G2211" s="141"/>
      <c r="H2211" s="222"/>
    </row>
    <row r="2212" spans="1:8" s="212" customFormat="1">
      <c r="A2212" s="150"/>
      <c r="B2212" s="83"/>
      <c r="C2212" s="148"/>
      <c r="D2212" s="160"/>
      <c r="E2212" s="84"/>
      <c r="F2212" s="84"/>
      <c r="G2212" s="146"/>
      <c r="H2212" s="221"/>
    </row>
    <row r="2213" spans="1:8" s="212" customFormat="1">
      <c r="A2213" s="91"/>
      <c r="B2213" s="91"/>
      <c r="C2213" s="91"/>
      <c r="D2213" s="91"/>
      <c r="E2213" s="91"/>
      <c r="G2213" s="213"/>
      <c r="H2213" s="222"/>
    </row>
    <row r="2214" spans="1:8" s="212" customFormat="1">
      <c r="A2214" s="120"/>
      <c r="B2214" s="73"/>
      <c r="C2214" s="73"/>
      <c r="D2214" s="73"/>
      <c r="E2214" s="73"/>
      <c r="G2214" s="73"/>
      <c r="H2214" s="222"/>
    </row>
    <row r="2215" spans="1:8" s="212" customFormat="1">
      <c r="A2215" s="220"/>
      <c r="B2215" s="141"/>
      <c r="C2215" s="141"/>
      <c r="D2215" s="141"/>
      <c r="E2215" s="141"/>
      <c r="F2215" s="141"/>
      <c r="G2215" s="141"/>
      <c r="H2215" s="222"/>
    </row>
    <row r="2216" spans="1:8" s="212" customFormat="1">
      <c r="A2216" s="142"/>
      <c r="B2216" s="143"/>
      <c r="C2216" s="143"/>
      <c r="D2216" s="143"/>
      <c r="E2216" s="143"/>
      <c r="F2216" s="84"/>
      <c r="G2216" s="146"/>
      <c r="H2216" s="221"/>
    </row>
    <row r="2217" spans="1:8" s="212" customFormat="1">
      <c r="A2217" s="91"/>
      <c r="B2217" s="91"/>
      <c r="C2217" s="91"/>
      <c r="D2217" s="91"/>
      <c r="E2217" s="91"/>
      <c r="G2217" s="213"/>
      <c r="H2217" s="222"/>
    </row>
    <row r="2218" spans="1:8" s="212" customFormat="1">
      <c r="A2218" s="120"/>
      <c r="B2218" s="73"/>
      <c r="C2218" s="73"/>
      <c r="D2218" s="73"/>
      <c r="E2218" s="73"/>
      <c r="G2218" s="73"/>
      <c r="H2218" s="222"/>
    </row>
    <row r="2219" spans="1:8" s="212" customFormat="1">
      <c r="A2219" s="220"/>
      <c r="B2219" s="141"/>
      <c r="C2219" s="141"/>
      <c r="D2219" s="141"/>
      <c r="E2219" s="141"/>
      <c r="F2219" s="141"/>
      <c r="G2219" s="141"/>
      <c r="H2219" s="222"/>
    </row>
    <row r="2220" spans="1:8" s="212" customFormat="1">
      <c r="A2220" s="142"/>
      <c r="B2220" s="143"/>
      <c r="C2220" s="143"/>
      <c r="D2220" s="143"/>
      <c r="E2220" s="143"/>
      <c r="F2220" s="84"/>
      <c r="G2220" s="146"/>
      <c r="H2220" s="221"/>
    </row>
    <row r="2221" spans="1:8" s="212" customFormat="1">
      <c r="A2221" s="123"/>
      <c r="B2221" s="95"/>
      <c r="C2221" s="95"/>
      <c r="D2221" s="95"/>
      <c r="E2221" s="95"/>
      <c r="G2221" s="213"/>
      <c r="H2221" s="73"/>
    </row>
    <row r="2222" spans="1:8" s="212" customFormat="1">
      <c r="A2222" s="123"/>
      <c r="B2222" s="95"/>
      <c r="C2222" s="95"/>
      <c r="D2222" s="95"/>
      <c r="E2222" s="95"/>
      <c r="G2222" s="73"/>
      <c r="H2222" s="225"/>
    </row>
    <row r="2223" spans="1:8" s="212" customFormat="1">
      <c r="B2223" s="97"/>
      <c r="C2223" s="98"/>
      <c r="D2223" s="98"/>
      <c r="E2223" s="98"/>
      <c r="G2223" s="220"/>
    </row>
    <row r="2224" spans="1:8" s="212" customFormat="1">
      <c r="B2224" s="97"/>
      <c r="C2224" s="98"/>
      <c r="D2224" s="98"/>
      <c r="E2224" s="98"/>
      <c r="F2224" s="220"/>
      <c r="G2224" s="225"/>
      <c r="H2224" s="226"/>
    </row>
    <row r="2225" spans="1:9" s="212" customFormat="1">
      <c r="A2225" s="633"/>
      <c r="B2225" s="633"/>
      <c r="C2225" s="633"/>
      <c r="D2225" s="633"/>
      <c r="E2225" s="633"/>
      <c r="F2225" s="633"/>
      <c r="G2225" s="633"/>
    </row>
    <row r="2226" spans="1:9" s="212" customFormat="1">
      <c r="H2226" s="227"/>
      <c r="I2226" s="228"/>
    </row>
    <row r="2227" spans="1:9" s="212" customFormat="1">
      <c r="A2227" s="658"/>
      <c r="B2227" s="227"/>
      <c r="C2227" s="227"/>
      <c r="D2227" s="227"/>
      <c r="E2227" s="227"/>
      <c r="F2227" s="227"/>
      <c r="G2227" s="227"/>
      <c r="H2227" s="227"/>
      <c r="I2227" s="229"/>
    </row>
    <row r="2228" spans="1:9" s="212" customFormat="1">
      <c r="A2228" s="658"/>
      <c r="B2228" s="227"/>
      <c r="C2228" s="227"/>
      <c r="D2228" s="227"/>
      <c r="E2228" s="227"/>
      <c r="F2228" s="227"/>
      <c r="G2228" s="227"/>
    </row>
    <row r="2229" spans="1:9" s="212" customFormat="1">
      <c r="A2229" s="69"/>
      <c r="B2229" s="69"/>
      <c r="C2229" s="69"/>
      <c r="D2229" s="69"/>
      <c r="E2229" s="69"/>
    </row>
    <row r="2230" spans="1:9" s="212" customFormat="1">
      <c r="A2230" s="120"/>
      <c r="B2230" s="73"/>
      <c r="C2230" s="73"/>
      <c r="D2230" s="73"/>
      <c r="E2230" s="73"/>
      <c r="F2230" s="73"/>
      <c r="G2230" s="73"/>
      <c r="H2230" s="73"/>
    </row>
    <row r="2231" spans="1:9" s="212" customFormat="1">
      <c r="A2231" s="220"/>
      <c r="B2231" s="141"/>
      <c r="C2231" s="141"/>
      <c r="D2231" s="141"/>
      <c r="E2231" s="141"/>
      <c r="F2231" s="141"/>
      <c r="G2231" s="141"/>
      <c r="H2231" s="73"/>
    </row>
    <row r="2232" spans="1:9" s="212" customFormat="1">
      <c r="A2232" s="142"/>
      <c r="B2232" s="143"/>
      <c r="C2232" s="143"/>
      <c r="D2232" s="143"/>
      <c r="E2232" s="143"/>
      <c r="F2232" s="84"/>
      <c r="G2232" s="146"/>
      <c r="H2232" s="221"/>
    </row>
    <row r="2233" spans="1:9" s="212" customFormat="1">
      <c r="A2233" s="84"/>
      <c r="B2233" s="83"/>
      <c r="C2233" s="84"/>
      <c r="D2233" s="84"/>
      <c r="E2233" s="84"/>
      <c r="G2233" s="213"/>
      <c r="H2233" s="222"/>
    </row>
    <row r="2234" spans="1:9" s="212" customFormat="1">
      <c r="A2234" s="120"/>
      <c r="B2234" s="73"/>
      <c r="C2234" s="73"/>
      <c r="D2234" s="73"/>
      <c r="E2234" s="73"/>
      <c r="G2234" s="73"/>
      <c r="H2234" s="222"/>
    </row>
    <row r="2235" spans="1:9" s="212" customFormat="1">
      <c r="A2235" s="220"/>
      <c r="B2235" s="141"/>
      <c r="C2235" s="141"/>
      <c r="D2235" s="141"/>
      <c r="E2235" s="141"/>
      <c r="F2235" s="141"/>
      <c r="G2235" s="141"/>
      <c r="H2235" s="222"/>
    </row>
    <row r="2236" spans="1:9" s="212" customFormat="1">
      <c r="A2236" s="150"/>
      <c r="B2236" s="83"/>
      <c r="C2236" s="148"/>
      <c r="D2236" s="160"/>
      <c r="E2236" s="84"/>
      <c r="F2236" s="84"/>
      <c r="G2236" s="146"/>
      <c r="H2236" s="221"/>
    </row>
    <row r="2237" spans="1:9" s="212" customFormat="1">
      <c r="A2237" s="91"/>
      <c r="B2237" s="91"/>
      <c r="C2237" s="91"/>
      <c r="D2237" s="91"/>
      <c r="E2237" s="91"/>
      <c r="G2237" s="213"/>
      <c r="H2237" s="222"/>
    </row>
    <row r="2238" spans="1:9" s="212" customFormat="1">
      <c r="A2238" s="120"/>
      <c r="B2238" s="73"/>
      <c r="C2238" s="73"/>
      <c r="D2238" s="73"/>
      <c r="E2238" s="73"/>
      <c r="G2238" s="73"/>
      <c r="H2238" s="222"/>
    </row>
    <row r="2239" spans="1:9" s="212" customFormat="1">
      <c r="A2239" s="220"/>
      <c r="B2239" s="141"/>
      <c r="C2239" s="141"/>
      <c r="D2239" s="141"/>
      <c r="E2239" s="141"/>
      <c r="F2239" s="141"/>
      <c r="G2239" s="141"/>
      <c r="H2239" s="222"/>
    </row>
    <row r="2240" spans="1:9" s="212" customFormat="1">
      <c r="A2240" s="142"/>
      <c r="B2240" s="143"/>
      <c r="C2240" s="143"/>
      <c r="D2240" s="143"/>
      <c r="E2240" s="143"/>
      <c r="F2240" s="84"/>
      <c r="G2240" s="146"/>
      <c r="H2240" s="221"/>
    </row>
    <row r="2241" spans="1:9" s="212" customFormat="1">
      <c r="A2241" s="91"/>
      <c r="B2241" s="91"/>
      <c r="C2241" s="91"/>
      <c r="D2241" s="91"/>
      <c r="E2241" s="91"/>
      <c r="G2241" s="213"/>
      <c r="H2241" s="222"/>
    </row>
    <row r="2242" spans="1:9" s="212" customFormat="1">
      <c r="A2242" s="120"/>
      <c r="B2242" s="73"/>
      <c r="C2242" s="73"/>
      <c r="D2242" s="73"/>
      <c r="E2242" s="73"/>
      <c r="G2242" s="73"/>
      <c r="H2242" s="222"/>
    </row>
    <row r="2243" spans="1:9" s="212" customFormat="1">
      <c r="A2243" s="220"/>
      <c r="B2243" s="141"/>
      <c r="C2243" s="141"/>
      <c r="D2243" s="141"/>
      <c r="E2243" s="141"/>
      <c r="F2243" s="141"/>
      <c r="G2243" s="141"/>
      <c r="H2243" s="222"/>
    </row>
    <row r="2244" spans="1:9" s="212" customFormat="1">
      <c r="A2244" s="142"/>
      <c r="B2244" s="143"/>
      <c r="C2244" s="143"/>
      <c r="D2244" s="143"/>
      <c r="E2244" s="143"/>
      <c r="F2244" s="84"/>
      <c r="G2244" s="146"/>
      <c r="H2244" s="221"/>
    </row>
    <row r="2245" spans="1:9" s="212" customFormat="1">
      <c r="A2245" s="123"/>
      <c r="B2245" s="95"/>
      <c r="C2245" s="95"/>
      <c r="D2245" s="95"/>
      <c r="E2245" s="95"/>
      <c r="G2245" s="213"/>
      <c r="H2245" s="73"/>
    </row>
    <row r="2246" spans="1:9" s="212" customFormat="1">
      <c r="A2246" s="123"/>
      <c r="B2246" s="95"/>
      <c r="C2246" s="95"/>
      <c r="D2246" s="95"/>
      <c r="E2246" s="95"/>
      <c r="G2246" s="73"/>
      <c r="H2246" s="225"/>
    </row>
    <row r="2247" spans="1:9" s="212" customFormat="1">
      <c r="B2247" s="97"/>
      <c r="C2247" s="98"/>
      <c r="D2247" s="98"/>
      <c r="E2247" s="98"/>
      <c r="G2247" s="220"/>
    </row>
    <row r="2248" spans="1:9" s="212" customFormat="1">
      <c r="B2248" s="97"/>
      <c r="C2248" s="98"/>
      <c r="D2248" s="98"/>
      <c r="E2248" s="98"/>
      <c r="F2248" s="220"/>
      <c r="G2248" s="225"/>
      <c r="H2248" s="226"/>
    </row>
    <row r="2249" spans="1:9" s="212" customFormat="1">
      <c r="A2249" s="633"/>
      <c r="B2249" s="633"/>
      <c r="C2249" s="633"/>
      <c r="D2249" s="633"/>
      <c r="E2249" s="633"/>
      <c r="F2249" s="633"/>
      <c r="G2249" s="633"/>
    </row>
    <row r="2250" spans="1:9" s="212" customFormat="1">
      <c r="H2250" s="227"/>
      <c r="I2250" s="228"/>
    </row>
    <row r="2251" spans="1:9" s="212" customFormat="1">
      <c r="A2251" s="658"/>
      <c r="B2251" s="227"/>
      <c r="C2251" s="227"/>
      <c r="D2251" s="227"/>
      <c r="E2251" s="227"/>
      <c r="F2251" s="227"/>
      <c r="G2251" s="227"/>
      <c r="H2251" s="227"/>
      <c r="I2251" s="229"/>
    </row>
    <row r="2252" spans="1:9" s="212" customFormat="1">
      <c r="A2252" s="658"/>
      <c r="B2252" s="227"/>
      <c r="C2252" s="227"/>
      <c r="D2252" s="227"/>
      <c r="E2252" s="227"/>
      <c r="F2252" s="227"/>
      <c r="G2252" s="227"/>
    </row>
    <row r="2253" spans="1:9" s="212" customFormat="1">
      <c r="A2253" s="69"/>
      <c r="B2253" s="69"/>
      <c r="C2253" s="69"/>
      <c r="D2253" s="69"/>
      <c r="E2253" s="69"/>
    </row>
    <row r="2254" spans="1:9" s="212" customFormat="1">
      <c r="A2254" s="120"/>
      <c r="B2254" s="73"/>
      <c r="C2254" s="73"/>
      <c r="D2254" s="73"/>
      <c r="E2254" s="73"/>
      <c r="F2254" s="73"/>
      <c r="G2254" s="73"/>
      <c r="H2254" s="73"/>
    </row>
    <row r="2255" spans="1:9" s="212" customFormat="1">
      <c r="A2255" s="220"/>
      <c r="B2255" s="141"/>
      <c r="C2255" s="141"/>
      <c r="D2255" s="141"/>
      <c r="E2255" s="141"/>
      <c r="F2255" s="141"/>
      <c r="G2255" s="141"/>
      <c r="H2255" s="73"/>
    </row>
    <row r="2256" spans="1:9" s="212" customFormat="1">
      <c r="A2256" s="142"/>
      <c r="B2256" s="143"/>
      <c r="C2256" s="143"/>
      <c r="D2256" s="143"/>
      <c r="E2256" s="143"/>
      <c r="F2256" s="84"/>
      <c r="G2256" s="146"/>
      <c r="H2256" s="221"/>
    </row>
    <row r="2257" spans="1:8" s="212" customFormat="1">
      <c r="A2257" s="84"/>
      <c r="B2257" s="83"/>
      <c r="C2257" s="84"/>
      <c r="D2257" s="84"/>
      <c r="E2257" s="84"/>
      <c r="G2257" s="213"/>
      <c r="H2257" s="222"/>
    </row>
    <row r="2258" spans="1:8" s="212" customFormat="1">
      <c r="A2258" s="120"/>
      <c r="B2258" s="73"/>
      <c r="C2258" s="73"/>
      <c r="D2258" s="73"/>
      <c r="E2258" s="73"/>
      <c r="G2258" s="73"/>
      <c r="H2258" s="222"/>
    </row>
    <row r="2259" spans="1:8" s="212" customFormat="1">
      <c r="A2259" s="220"/>
      <c r="B2259" s="141"/>
      <c r="C2259" s="141"/>
      <c r="D2259" s="141"/>
      <c r="E2259" s="141"/>
      <c r="F2259" s="141"/>
      <c r="G2259" s="141"/>
      <c r="H2259" s="222"/>
    </row>
    <row r="2260" spans="1:8" s="212" customFormat="1">
      <c r="A2260" s="150"/>
      <c r="B2260" s="83"/>
      <c r="C2260" s="148"/>
      <c r="D2260" s="160"/>
      <c r="E2260" s="84"/>
      <c r="F2260" s="84"/>
      <c r="G2260" s="146"/>
      <c r="H2260" s="221"/>
    </row>
    <row r="2261" spans="1:8" s="212" customFormat="1">
      <c r="A2261" s="91"/>
      <c r="B2261" s="91"/>
      <c r="C2261" s="91"/>
      <c r="D2261" s="91"/>
      <c r="E2261" s="91"/>
      <c r="G2261" s="213"/>
      <c r="H2261" s="222"/>
    </row>
    <row r="2262" spans="1:8" s="212" customFormat="1">
      <c r="A2262" s="120"/>
      <c r="B2262" s="73"/>
      <c r="C2262" s="73"/>
      <c r="D2262" s="73"/>
      <c r="E2262" s="73"/>
      <c r="G2262" s="73"/>
      <c r="H2262" s="222"/>
    </row>
    <row r="2263" spans="1:8" s="212" customFormat="1">
      <c r="A2263" s="220"/>
      <c r="B2263" s="141"/>
      <c r="C2263" s="141"/>
      <c r="D2263" s="141"/>
      <c r="E2263" s="141"/>
      <c r="F2263" s="141"/>
      <c r="G2263" s="141"/>
      <c r="H2263" s="222"/>
    </row>
    <row r="2264" spans="1:8" s="212" customFormat="1">
      <c r="A2264" s="142"/>
      <c r="B2264" s="143"/>
      <c r="C2264" s="143"/>
      <c r="D2264" s="143"/>
      <c r="E2264" s="143"/>
      <c r="F2264" s="84"/>
      <c r="G2264" s="146"/>
      <c r="H2264" s="221"/>
    </row>
    <row r="2265" spans="1:8" s="212" customFormat="1">
      <c r="A2265" s="91"/>
      <c r="B2265" s="91"/>
      <c r="C2265" s="91"/>
      <c r="D2265" s="91"/>
      <c r="E2265" s="91"/>
      <c r="G2265" s="213"/>
      <c r="H2265" s="222"/>
    </row>
    <row r="2266" spans="1:8" s="212" customFormat="1">
      <c r="A2266" s="120"/>
      <c r="B2266" s="73"/>
      <c r="C2266" s="73"/>
      <c r="D2266" s="73"/>
      <c r="E2266" s="73"/>
      <c r="G2266" s="73"/>
      <c r="H2266" s="222"/>
    </row>
    <row r="2267" spans="1:8" s="212" customFormat="1">
      <c r="A2267" s="220"/>
      <c r="B2267" s="141"/>
      <c r="C2267" s="141"/>
      <c r="D2267" s="141"/>
      <c r="E2267" s="141"/>
      <c r="F2267" s="141"/>
      <c r="G2267" s="141"/>
      <c r="H2267" s="222"/>
    </row>
    <row r="2268" spans="1:8" s="212" customFormat="1">
      <c r="A2268" s="142"/>
      <c r="B2268" s="143"/>
      <c r="C2268" s="143"/>
      <c r="D2268" s="143"/>
      <c r="E2268" s="143"/>
      <c r="F2268" s="84"/>
      <c r="G2268" s="146"/>
      <c r="H2268" s="221"/>
    </row>
    <row r="2269" spans="1:8" s="212" customFormat="1">
      <c r="A2269" s="123"/>
      <c r="B2269" s="95"/>
      <c r="C2269" s="95"/>
      <c r="D2269" s="95"/>
      <c r="E2269" s="95"/>
      <c r="G2269" s="213"/>
      <c r="H2269" s="73"/>
    </row>
    <row r="2270" spans="1:8" s="212" customFormat="1">
      <c r="A2270" s="123"/>
      <c r="B2270" s="95"/>
      <c r="C2270" s="95"/>
      <c r="D2270" s="95"/>
      <c r="E2270" s="95"/>
      <c r="G2270" s="73"/>
      <c r="H2270" s="225"/>
    </row>
    <row r="2271" spans="1:8" s="212" customFormat="1">
      <c r="B2271" s="97"/>
      <c r="C2271" s="98"/>
      <c r="D2271" s="98"/>
      <c r="E2271" s="98"/>
      <c r="G2271" s="220"/>
    </row>
    <row r="2272" spans="1:8" s="212" customFormat="1">
      <c r="B2272" s="97"/>
      <c r="C2272" s="98"/>
      <c r="D2272" s="98"/>
      <c r="E2272" s="98"/>
      <c r="F2272" s="220"/>
      <c r="G2272" s="225"/>
      <c r="H2272" s="226"/>
    </row>
    <row r="2273" spans="1:9" s="212" customFormat="1">
      <c r="A2273" s="633"/>
      <c r="B2273" s="633"/>
      <c r="C2273" s="633"/>
      <c r="D2273" s="633"/>
      <c r="E2273" s="633"/>
      <c r="F2273" s="633"/>
      <c r="G2273" s="633"/>
    </row>
    <row r="2274" spans="1:9" s="212" customFormat="1">
      <c r="H2274" s="227"/>
      <c r="I2274" s="228"/>
    </row>
    <row r="2275" spans="1:9" s="212" customFormat="1">
      <c r="A2275" s="658"/>
      <c r="B2275" s="227"/>
      <c r="C2275" s="227"/>
      <c r="D2275" s="227"/>
      <c r="E2275" s="227"/>
      <c r="F2275" s="227"/>
      <c r="G2275" s="227"/>
      <c r="H2275" s="227"/>
      <c r="I2275" s="229"/>
    </row>
    <row r="2276" spans="1:9" s="212" customFormat="1">
      <c r="A2276" s="658"/>
      <c r="B2276" s="227"/>
      <c r="C2276" s="227"/>
      <c r="D2276" s="227"/>
      <c r="E2276" s="227"/>
      <c r="F2276" s="227"/>
      <c r="G2276" s="227"/>
    </row>
    <row r="2277" spans="1:9" s="212" customFormat="1">
      <c r="A2277" s="69"/>
      <c r="B2277" s="69"/>
      <c r="C2277" s="69"/>
      <c r="D2277" s="69"/>
      <c r="E2277" s="69"/>
    </row>
    <row r="2278" spans="1:9" s="212" customFormat="1">
      <c r="A2278" s="120"/>
      <c r="B2278" s="73"/>
      <c r="C2278" s="73"/>
      <c r="D2278" s="73"/>
      <c r="E2278" s="73"/>
      <c r="F2278" s="73"/>
      <c r="G2278" s="73"/>
      <c r="H2278" s="73"/>
    </row>
    <row r="2279" spans="1:9" s="212" customFormat="1">
      <c r="A2279" s="220"/>
      <c r="B2279" s="141"/>
      <c r="C2279" s="141"/>
      <c r="D2279" s="141"/>
      <c r="E2279" s="141"/>
      <c r="F2279" s="141"/>
      <c r="G2279" s="141"/>
      <c r="H2279" s="73"/>
    </row>
    <row r="2280" spans="1:9" s="212" customFormat="1">
      <c r="A2280" s="150"/>
      <c r="B2280" s="83"/>
      <c r="C2280" s="148"/>
      <c r="D2280" s="84"/>
      <c r="E2280" s="84"/>
      <c r="F2280" s="84"/>
      <c r="G2280" s="146"/>
      <c r="H2280" s="221"/>
    </row>
    <row r="2281" spans="1:9" s="212" customFormat="1">
      <c r="A2281" s="84"/>
      <c r="B2281" s="83"/>
      <c r="C2281" s="84"/>
      <c r="D2281" s="84"/>
      <c r="E2281" s="84"/>
      <c r="G2281" s="213"/>
      <c r="H2281" s="222"/>
    </row>
    <row r="2282" spans="1:9" s="212" customFormat="1">
      <c r="A2282" s="120"/>
      <c r="B2282" s="73"/>
      <c r="C2282" s="73"/>
      <c r="D2282" s="73"/>
      <c r="E2282" s="73"/>
      <c r="G2282" s="73"/>
      <c r="H2282" s="222"/>
    </row>
    <row r="2283" spans="1:9" s="212" customFormat="1">
      <c r="A2283" s="220"/>
      <c r="B2283" s="141"/>
      <c r="C2283" s="141"/>
      <c r="D2283" s="141"/>
      <c r="E2283" s="141"/>
      <c r="F2283" s="141"/>
      <c r="G2283" s="141"/>
      <c r="H2283" s="222"/>
    </row>
    <row r="2284" spans="1:9" s="212" customFormat="1" ht="16.5">
      <c r="A2284" s="150"/>
      <c r="B2284" s="161"/>
      <c r="C2284" s="148"/>
      <c r="D2284" s="84"/>
      <c r="E2284" s="84"/>
      <c r="F2284" s="84"/>
      <c r="G2284" s="146"/>
      <c r="H2284" s="222"/>
    </row>
    <row r="2285" spans="1:9" s="212" customFormat="1" ht="16.5">
      <c r="A2285" s="150"/>
      <c r="B2285" s="161"/>
      <c r="C2285" s="148"/>
      <c r="D2285" s="84"/>
      <c r="E2285" s="84"/>
      <c r="F2285" s="84"/>
      <c r="G2285" s="146"/>
      <c r="H2285" s="222"/>
    </row>
    <row r="2286" spans="1:9" s="212" customFormat="1" ht="16.5">
      <c r="A2286" s="150"/>
      <c r="B2286" s="161"/>
      <c r="C2286" s="148"/>
      <c r="D2286" s="84"/>
      <c r="E2286" s="84"/>
      <c r="F2286" s="84"/>
      <c r="G2286" s="146"/>
      <c r="H2286" s="221"/>
    </row>
    <row r="2287" spans="1:9" s="212" customFormat="1">
      <c r="A2287" s="91"/>
      <c r="B2287" s="91"/>
      <c r="C2287" s="91"/>
      <c r="D2287" s="91"/>
      <c r="E2287" s="91"/>
      <c r="G2287" s="213"/>
      <c r="H2287" s="222"/>
    </row>
    <row r="2288" spans="1:9" s="212" customFormat="1">
      <c r="A2288" s="120"/>
      <c r="B2288" s="73"/>
      <c r="C2288" s="73"/>
      <c r="D2288" s="73"/>
      <c r="E2288" s="73"/>
      <c r="G2288" s="73"/>
      <c r="H2288" s="222"/>
    </row>
    <row r="2289" spans="1:9" s="212" customFormat="1">
      <c r="A2289" s="220"/>
      <c r="B2289" s="141"/>
      <c r="C2289" s="141"/>
      <c r="D2289" s="141"/>
      <c r="E2289" s="141"/>
      <c r="F2289" s="141"/>
      <c r="G2289" s="141"/>
      <c r="H2289" s="222"/>
    </row>
    <row r="2290" spans="1:9" s="212" customFormat="1">
      <c r="A2290" s="146"/>
      <c r="B2290" s="83"/>
      <c r="C2290" s="148"/>
      <c r="D2290" s="84"/>
      <c r="E2290" s="84"/>
      <c r="F2290" s="84"/>
      <c r="G2290" s="146"/>
      <c r="H2290" s="221"/>
    </row>
    <row r="2291" spans="1:9" s="212" customFormat="1">
      <c r="A2291" s="91"/>
      <c r="B2291" s="91"/>
      <c r="C2291" s="91"/>
      <c r="D2291" s="91"/>
      <c r="E2291" s="91"/>
      <c r="G2291" s="213"/>
      <c r="H2291" s="222"/>
    </row>
    <row r="2292" spans="1:9" s="212" customFormat="1">
      <c r="A2292" s="120"/>
      <c r="B2292" s="73"/>
      <c r="C2292" s="73"/>
      <c r="D2292" s="73"/>
      <c r="E2292" s="73"/>
      <c r="G2292" s="73"/>
      <c r="H2292" s="222"/>
    </row>
    <row r="2293" spans="1:9" s="212" customFormat="1">
      <c r="A2293" s="220"/>
      <c r="B2293" s="141"/>
      <c r="C2293" s="141"/>
      <c r="D2293" s="141"/>
      <c r="E2293" s="141"/>
      <c r="F2293" s="141"/>
      <c r="G2293" s="141"/>
      <c r="H2293" s="222"/>
    </row>
    <row r="2294" spans="1:9" s="212" customFormat="1">
      <c r="A2294" s="142"/>
      <c r="B2294" s="143"/>
      <c r="C2294" s="143"/>
      <c r="D2294" s="143"/>
      <c r="E2294" s="143"/>
      <c r="F2294" s="84"/>
      <c r="G2294" s="146"/>
      <c r="H2294" s="221"/>
    </row>
    <row r="2295" spans="1:9" s="212" customFormat="1">
      <c r="A2295" s="123"/>
      <c r="B2295" s="95"/>
      <c r="C2295" s="95"/>
      <c r="D2295" s="95"/>
      <c r="E2295" s="95"/>
      <c r="G2295" s="213"/>
      <c r="H2295" s="73"/>
    </row>
    <row r="2296" spans="1:9" s="212" customFormat="1">
      <c r="A2296" s="123"/>
      <c r="B2296" s="95"/>
      <c r="C2296" s="95"/>
      <c r="D2296" s="95"/>
      <c r="E2296" s="95"/>
      <c r="G2296" s="73"/>
      <c r="H2296" s="225"/>
    </row>
    <row r="2297" spans="1:9" s="212" customFormat="1">
      <c r="B2297" s="97"/>
      <c r="C2297" s="98"/>
      <c r="D2297" s="98"/>
      <c r="E2297" s="98"/>
      <c r="G2297" s="220"/>
    </row>
    <row r="2298" spans="1:9" s="212" customFormat="1">
      <c r="B2298" s="97"/>
      <c r="C2298" s="98"/>
      <c r="D2298" s="98"/>
      <c r="E2298" s="98"/>
      <c r="F2298" s="220"/>
      <c r="G2298" s="225"/>
      <c r="H2298" s="226"/>
    </row>
    <row r="2299" spans="1:9" s="212" customFormat="1">
      <c r="A2299" s="633"/>
      <c r="B2299" s="633"/>
      <c r="C2299" s="633"/>
      <c r="D2299" s="633"/>
      <c r="E2299" s="633"/>
      <c r="F2299" s="633"/>
      <c r="G2299" s="633"/>
    </row>
    <row r="2300" spans="1:9" s="212" customFormat="1">
      <c r="H2300" s="227"/>
      <c r="I2300" s="228"/>
    </row>
    <row r="2301" spans="1:9" s="212" customFormat="1">
      <c r="A2301" s="658"/>
      <c r="B2301" s="227"/>
      <c r="C2301" s="227"/>
      <c r="D2301" s="227"/>
      <c r="E2301" s="227"/>
      <c r="F2301" s="227"/>
      <c r="G2301" s="227"/>
      <c r="H2301" s="227"/>
      <c r="I2301" s="229"/>
    </row>
    <row r="2302" spans="1:9" s="212" customFormat="1">
      <c r="A2302" s="658"/>
      <c r="B2302" s="227"/>
      <c r="C2302" s="227"/>
      <c r="D2302" s="227"/>
      <c r="E2302" s="227"/>
      <c r="F2302" s="227"/>
      <c r="G2302" s="227"/>
    </row>
    <row r="2303" spans="1:9" s="212" customFormat="1">
      <c r="A2303" s="69"/>
      <c r="B2303" s="69"/>
      <c r="C2303" s="69"/>
      <c r="D2303" s="69"/>
      <c r="E2303" s="69"/>
    </row>
    <row r="2304" spans="1:9" s="212" customFormat="1">
      <c r="A2304" s="120"/>
      <c r="B2304" s="73"/>
      <c r="C2304" s="73"/>
      <c r="D2304" s="73"/>
      <c r="E2304" s="73"/>
      <c r="F2304" s="73"/>
      <c r="G2304" s="73"/>
      <c r="H2304" s="73"/>
    </row>
    <row r="2305" spans="1:8" s="212" customFormat="1">
      <c r="A2305" s="220"/>
      <c r="B2305" s="141"/>
      <c r="C2305" s="141"/>
      <c r="D2305" s="141"/>
      <c r="E2305" s="141"/>
      <c r="F2305" s="141"/>
      <c r="G2305" s="141"/>
      <c r="H2305" s="73"/>
    </row>
    <row r="2306" spans="1:8" s="212" customFormat="1">
      <c r="A2306" s="150"/>
      <c r="B2306" s="83"/>
      <c r="C2306" s="148"/>
      <c r="D2306" s="84"/>
      <c r="E2306" s="84"/>
      <c r="F2306" s="84"/>
      <c r="G2306" s="146"/>
      <c r="H2306" s="221"/>
    </row>
    <row r="2307" spans="1:8" s="212" customFormat="1">
      <c r="A2307" s="84"/>
      <c r="B2307" s="83"/>
      <c r="C2307" s="84"/>
      <c r="D2307" s="84"/>
      <c r="E2307" s="84"/>
      <c r="G2307" s="213"/>
      <c r="H2307" s="222"/>
    </row>
    <row r="2308" spans="1:8" s="212" customFormat="1">
      <c r="A2308" s="120"/>
      <c r="B2308" s="73"/>
      <c r="C2308" s="73"/>
      <c r="D2308" s="73"/>
      <c r="E2308" s="73"/>
      <c r="G2308" s="73"/>
      <c r="H2308" s="222"/>
    </row>
    <row r="2309" spans="1:8" s="212" customFormat="1">
      <c r="A2309" s="220"/>
      <c r="B2309" s="141"/>
      <c r="C2309" s="141"/>
      <c r="D2309" s="141"/>
      <c r="E2309" s="141"/>
      <c r="F2309" s="141"/>
      <c r="G2309" s="141"/>
      <c r="H2309" s="222"/>
    </row>
    <row r="2310" spans="1:8" s="212" customFormat="1" ht="16.5">
      <c r="A2310" s="150"/>
      <c r="B2310" s="161"/>
      <c r="C2310" s="148"/>
      <c r="D2310" s="84"/>
      <c r="E2310" s="84"/>
      <c r="F2310" s="84"/>
      <c r="G2310" s="146"/>
      <c r="H2310" s="222"/>
    </row>
    <row r="2311" spans="1:8" s="212" customFormat="1" ht="16.5">
      <c r="A2311" s="150"/>
      <c r="B2311" s="161"/>
      <c r="C2311" s="148"/>
      <c r="D2311" s="84"/>
      <c r="E2311" s="84"/>
      <c r="F2311" s="84"/>
      <c r="G2311" s="146"/>
      <c r="H2311" s="222"/>
    </row>
    <row r="2312" spans="1:8" s="212" customFormat="1" ht="16.5">
      <c r="A2312" s="150"/>
      <c r="B2312" s="161"/>
      <c r="C2312" s="148"/>
      <c r="D2312" s="84"/>
      <c r="E2312" s="84"/>
      <c r="F2312" s="84"/>
      <c r="G2312" s="146"/>
      <c r="H2312" s="221"/>
    </row>
    <row r="2313" spans="1:8" s="212" customFormat="1">
      <c r="A2313" s="91"/>
      <c r="B2313" s="91"/>
      <c r="C2313" s="91"/>
      <c r="D2313" s="91"/>
      <c r="E2313" s="91"/>
      <c r="G2313" s="213"/>
      <c r="H2313" s="222"/>
    </row>
    <row r="2314" spans="1:8" s="212" customFormat="1">
      <c r="A2314" s="120"/>
      <c r="B2314" s="73"/>
      <c r="C2314" s="73"/>
      <c r="D2314" s="73"/>
      <c r="E2314" s="73"/>
      <c r="G2314" s="73"/>
      <c r="H2314" s="222"/>
    </row>
    <row r="2315" spans="1:8" s="212" customFormat="1">
      <c r="A2315" s="220"/>
      <c r="B2315" s="141"/>
      <c r="C2315" s="141"/>
      <c r="D2315" s="141"/>
      <c r="E2315" s="141"/>
      <c r="F2315" s="141"/>
      <c r="G2315" s="141"/>
      <c r="H2315" s="222"/>
    </row>
    <row r="2316" spans="1:8" s="212" customFormat="1">
      <c r="A2316" s="146"/>
      <c r="B2316" s="83"/>
      <c r="C2316" s="148"/>
      <c r="D2316" s="84"/>
      <c r="E2316" s="84"/>
      <c r="F2316" s="84"/>
      <c r="G2316" s="146"/>
      <c r="H2316" s="221"/>
    </row>
    <row r="2317" spans="1:8" s="212" customFormat="1">
      <c r="A2317" s="91"/>
      <c r="B2317" s="91"/>
      <c r="C2317" s="91"/>
      <c r="D2317" s="91"/>
      <c r="E2317" s="91"/>
      <c r="G2317" s="213"/>
      <c r="H2317" s="222"/>
    </row>
    <row r="2318" spans="1:8" s="212" customFormat="1">
      <c r="A2318" s="120"/>
      <c r="B2318" s="73"/>
      <c r="C2318" s="73"/>
      <c r="D2318" s="73"/>
      <c r="E2318" s="73"/>
      <c r="G2318" s="73"/>
      <c r="H2318" s="222"/>
    </row>
    <row r="2319" spans="1:8" s="212" customFormat="1">
      <c r="A2319" s="220"/>
      <c r="B2319" s="141"/>
      <c r="C2319" s="141"/>
      <c r="D2319" s="141"/>
      <c r="E2319" s="141"/>
      <c r="F2319" s="141"/>
      <c r="G2319" s="141"/>
      <c r="H2319" s="222"/>
    </row>
    <row r="2320" spans="1:8" s="212" customFormat="1">
      <c r="A2320" s="142"/>
      <c r="B2320" s="143"/>
      <c r="C2320" s="143"/>
      <c r="D2320" s="143"/>
      <c r="E2320" s="143"/>
      <c r="F2320" s="84"/>
      <c r="G2320" s="146"/>
      <c r="H2320" s="221"/>
    </row>
    <row r="2321" spans="1:9" s="212" customFormat="1">
      <c r="A2321" s="123"/>
      <c r="B2321" s="95"/>
      <c r="C2321" s="95"/>
      <c r="D2321" s="95"/>
      <c r="E2321" s="95"/>
      <c r="G2321" s="213"/>
      <c r="H2321" s="73"/>
    </row>
    <row r="2322" spans="1:9" s="212" customFormat="1">
      <c r="A2322" s="123"/>
      <c r="B2322" s="95"/>
      <c r="C2322" s="95"/>
      <c r="D2322" s="95"/>
      <c r="E2322" s="95"/>
      <c r="G2322" s="73"/>
      <c r="H2322" s="225"/>
    </row>
    <row r="2323" spans="1:9" s="212" customFormat="1">
      <c r="B2323" s="97"/>
      <c r="C2323" s="98"/>
      <c r="D2323" s="98"/>
      <c r="E2323" s="98"/>
      <c r="G2323" s="220"/>
    </row>
    <row r="2324" spans="1:9" s="212" customFormat="1">
      <c r="B2324" s="97"/>
      <c r="C2324" s="98"/>
      <c r="D2324" s="98"/>
      <c r="E2324" s="98"/>
      <c r="F2324" s="220"/>
      <c r="G2324" s="225"/>
      <c r="H2324" s="226"/>
    </row>
    <row r="2325" spans="1:9" s="212" customFormat="1">
      <c r="A2325" s="633"/>
      <c r="B2325" s="633"/>
      <c r="C2325" s="633"/>
      <c r="D2325" s="633"/>
      <c r="E2325" s="633"/>
      <c r="F2325" s="633"/>
      <c r="G2325" s="633"/>
    </row>
    <row r="2326" spans="1:9" s="212" customFormat="1">
      <c r="H2326" s="227"/>
      <c r="I2326" s="228"/>
    </row>
    <row r="2327" spans="1:9" s="212" customFormat="1">
      <c r="A2327" s="658"/>
      <c r="B2327" s="227"/>
      <c r="C2327" s="227"/>
      <c r="D2327" s="227"/>
      <c r="E2327" s="227"/>
      <c r="F2327" s="227"/>
      <c r="G2327" s="227"/>
      <c r="H2327" s="227"/>
      <c r="I2327" s="229"/>
    </row>
    <row r="2328" spans="1:9" s="212" customFormat="1">
      <c r="A2328" s="658"/>
      <c r="B2328" s="227"/>
      <c r="C2328" s="227"/>
      <c r="D2328" s="227"/>
      <c r="E2328" s="227"/>
      <c r="F2328" s="227"/>
      <c r="G2328" s="227"/>
    </row>
    <row r="2329" spans="1:9" s="212" customFormat="1">
      <c r="A2329" s="69"/>
      <c r="B2329" s="69"/>
      <c r="C2329" s="69"/>
      <c r="D2329" s="69"/>
      <c r="E2329" s="69"/>
    </row>
    <row r="2330" spans="1:9" s="212" customFormat="1">
      <c r="A2330" s="120"/>
      <c r="B2330" s="73"/>
      <c r="C2330" s="73"/>
      <c r="D2330" s="73"/>
      <c r="E2330" s="73"/>
      <c r="F2330" s="73"/>
      <c r="G2330" s="73"/>
      <c r="H2330" s="73"/>
    </row>
    <row r="2331" spans="1:9" s="212" customFormat="1">
      <c r="A2331" s="220"/>
      <c r="B2331" s="141"/>
      <c r="C2331" s="141"/>
      <c r="D2331" s="141"/>
      <c r="E2331" s="141"/>
      <c r="F2331" s="141"/>
      <c r="G2331" s="141"/>
      <c r="H2331" s="73"/>
    </row>
    <row r="2332" spans="1:9" s="212" customFormat="1">
      <c r="A2332" s="150"/>
      <c r="B2332" s="83"/>
      <c r="C2332" s="148"/>
      <c r="D2332" s="84"/>
      <c r="E2332" s="84"/>
      <c r="F2332" s="84"/>
      <c r="G2332" s="146"/>
      <c r="H2332" s="221"/>
    </row>
    <row r="2333" spans="1:9" s="212" customFormat="1">
      <c r="A2333" s="84"/>
      <c r="B2333" s="83"/>
      <c r="C2333" s="84"/>
      <c r="D2333" s="84"/>
      <c r="E2333" s="84"/>
      <c r="G2333" s="213"/>
      <c r="H2333" s="222"/>
    </row>
    <row r="2334" spans="1:9" s="212" customFormat="1">
      <c r="A2334" s="120"/>
      <c r="B2334" s="73"/>
      <c r="C2334" s="73"/>
      <c r="D2334" s="73"/>
      <c r="E2334" s="73"/>
      <c r="G2334" s="73"/>
      <c r="H2334" s="222"/>
    </row>
    <row r="2335" spans="1:9" s="212" customFormat="1">
      <c r="A2335" s="220"/>
      <c r="B2335" s="141"/>
      <c r="C2335" s="141"/>
      <c r="D2335" s="141"/>
      <c r="E2335" s="141"/>
      <c r="F2335" s="141"/>
      <c r="G2335" s="141"/>
      <c r="H2335" s="222"/>
    </row>
    <row r="2336" spans="1:9" s="212" customFormat="1" ht="16.5">
      <c r="A2336" s="150"/>
      <c r="B2336" s="161"/>
      <c r="C2336" s="148"/>
      <c r="D2336" s="84"/>
      <c r="E2336" s="84"/>
      <c r="F2336" s="84"/>
      <c r="G2336" s="146"/>
      <c r="H2336" s="222"/>
    </row>
    <row r="2337" spans="1:9" s="212" customFormat="1" ht="16.5">
      <c r="A2337" s="150"/>
      <c r="B2337" s="161"/>
      <c r="C2337" s="148"/>
      <c r="D2337" s="84"/>
      <c r="E2337" s="84"/>
      <c r="F2337" s="84"/>
      <c r="G2337" s="146"/>
      <c r="H2337" s="222"/>
    </row>
    <row r="2338" spans="1:9" s="212" customFormat="1" ht="16.5">
      <c r="A2338" s="150"/>
      <c r="B2338" s="161"/>
      <c r="C2338" s="148"/>
      <c r="D2338" s="84"/>
      <c r="E2338" s="84"/>
      <c r="F2338" s="84"/>
      <c r="G2338" s="146"/>
      <c r="H2338" s="221"/>
    </row>
    <row r="2339" spans="1:9" s="212" customFormat="1">
      <c r="A2339" s="91"/>
      <c r="B2339" s="91"/>
      <c r="C2339" s="91"/>
      <c r="D2339" s="91"/>
      <c r="E2339" s="91"/>
      <c r="G2339" s="213"/>
      <c r="H2339" s="222"/>
    </row>
    <row r="2340" spans="1:9" s="212" customFormat="1">
      <c r="A2340" s="120"/>
      <c r="B2340" s="73"/>
      <c r="C2340" s="73"/>
      <c r="D2340" s="73"/>
      <c r="E2340" s="73"/>
      <c r="G2340" s="73"/>
      <c r="H2340" s="222"/>
    </row>
    <row r="2341" spans="1:9" s="212" customFormat="1">
      <c r="A2341" s="220"/>
      <c r="B2341" s="141"/>
      <c r="C2341" s="141"/>
      <c r="D2341" s="141"/>
      <c r="E2341" s="141"/>
      <c r="F2341" s="141"/>
      <c r="G2341" s="141"/>
      <c r="H2341" s="222"/>
    </row>
    <row r="2342" spans="1:9" s="212" customFormat="1">
      <c r="A2342" s="146"/>
      <c r="B2342" s="83"/>
      <c r="C2342" s="148"/>
      <c r="D2342" s="84"/>
      <c r="E2342" s="84"/>
      <c r="F2342" s="84"/>
      <c r="G2342" s="146"/>
      <c r="H2342" s="221"/>
    </row>
    <row r="2343" spans="1:9" s="212" customFormat="1">
      <c r="A2343" s="91"/>
      <c r="B2343" s="91"/>
      <c r="C2343" s="91"/>
      <c r="D2343" s="91"/>
      <c r="E2343" s="91"/>
      <c r="G2343" s="213"/>
      <c r="H2343" s="222"/>
    </row>
    <row r="2344" spans="1:9" s="212" customFormat="1">
      <c r="A2344" s="120"/>
      <c r="B2344" s="73"/>
      <c r="C2344" s="73"/>
      <c r="D2344" s="73"/>
      <c r="E2344" s="73"/>
      <c r="G2344" s="73"/>
      <c r="H2344" s="222"/>
    </row>
    <row r="2345" spans="1:9" s="212" customFormat="1">
      <c r="A2345" s="220"/>
      <c r="B2345" s="141"/>
      <c r="C2345" s="141"/>
      <c r="D2345" s="141"/>
      <c r="E2345" s="141"/>
      <c r="F2345" s="141"/>
      <c r="G2345" s="141"/>
      <c r="H2345" s="222"/>
    </row>
    <row r="2346" spans="1:9" s="212" customFormat="1">
      <c r="A2346" s="142"/>
      <c r="B2346" s="143"/>
      <c r="C2346" s="143"/>
      <c r="D2346" s="143"/>
      <c r="E2346" s="143"/>
      <c r="F2346" s="84"/>
      <c r="G2346" s="146"/>
      <c r="H2346" s="221"/>
    </row>
    <row r="2347" spans="1:9" s="212" customFormat="1">
      <c r="A2347" s="123"/>
      <c r="B2347" s="95"/>
      <c r="C2347" s="95"/>
      <c r="D2347" s="95"/>
      <c r="E2347" s="95"/>
      <c r="G2347" s="213"/>
      <c r="H2347" s="73"/>
    </row>
    <row r="2348" spans="1:9" s="212" customFormat="1">
      <c r="A2348" s="123"/>
      <c r="B2348" s="95"/>
      <c r="C2348" s="95"/>
      <c r="D2348" s="95"/>
      <c r="E2348" s="95"/>
      <c r="G2348" s="73"/>
      <c r="H2348" s="225"/>
    </row>
    <row r="2349" spans="1:9" s="212" customFormat="1">
      <c r="B2349" s="97"/>
      <c r="C2349" s="98"/>
      <c r="D2349" s="98"/>
      <c r="E2349" s="98"/>
      <c r="G2349" s="220"/>
    </row>
    <row r="2350" spans="1:9" s="212" customFormat="1">
      <c r="B2350" s="97"/>
      <c r="C2350" s="98"/>
      <c r="D2350" s="98"/>
      <c r="E2350" s="98"/>
      <c r="F2350" s="220"/>
      <c r="G2350" s="225"/>
      <c r="H2350" s="226"/>
    </row>
    <row r="2351" spans="1:9" s="212" customFormat="1">
      <c r="A2351" s="633"/>
      <c r="B2351" s="633"/>
      <c r="C2351" s="633"/>
      <c r="D2351" s="633"/>
      <c r="E2351" s="633"/>
      <c r="F2351" s="633"/>
      <c r="G2351" s="633"/>
    </row>
    <row r="2352" spans="1:9" s="212" customFormat="1">
      <c r="H2352" s="227"/>
      <c r="I2352" s="228"/>
    </row>
    <row r="2353" spans="1:9" s="212" customFormat="1">
      <c r="A2353" s="658"/>
      <c r="B2353" s="227"/>
      <c r="C2353" s="227"/>
      <c r="D2353" s="227"/>
      <c r="E2353" s="227"/>
      <c r="F2353" s="227"/>
      <c r="G2353" s="227"/>
      <c r="H2353" s="227"/>
      <c r="I2353" s="229"/>
    </row>
    <row r="2354" spans="1:9" s="212" customFormat="1">
      <c r="A2354" s="658"/>
      <c r="B2354" s="227"/>
      <c r="C2354" s="227"/>
      <c r="D2354" s="227"/>
      <c r="E2354" s="227"/>
      <c r="F2354" s="227"/>
      <c r="G2354" s="227"/>
    </row>
    <row r="2355" spans="1:9" s="212" customFormat="1">
      <c r="A2355" s="69"/>
      <c r="B2355" s="69"/>
      <c r="C2355" s="69"/>
      <c r="D2355" s="69"/>
      <c r="E2355" s="69"/>
    </row>
    <row r="2356" spans="1:9" s="212" customFormat="1">
      <c r="A2356" s="120"/>
      <c r="B2356" s="73"/>
      <c r="C2356" s="73"/>
      <c r="D2356" s="73"/>
      <c r="E2356" s="73"/>
      <c r="F2356" s="73"/>
      <c r="G2356" s="73"/>
      <c r="H2356" s="73"/>
    </row>
    <row r="2357" spans="1:9" s="212" customFormat="1">
      <c r="A2357" s="220"/>
      <c r="B2357" s="141"/>
      <c r="C2357" s="141"/>
      <c r="D2357" s="141"/>
      <c r="E2357" s="141"/>
      <c r="F2357" s="141"/>
      <c r="G2357" s="141"/>
      <c r="H2357" s="73"/>
    </row>
    <row r="2358" spans="1:9" s="212" customFormat="1">
      <c r="A2358" s="150"/>
      <c r="B2358" s="83"/>
      <c r="C2358" s="148"/>
      <c r="D2358" s="84"/>
      <c r="E2358" s="84"/>
      <c r="F2358" s="84"/>
      <c r="G2358" s="146"/>
      <c r="H2358" s="221"/>
    </row>
    <row r="2359" spans="1:9" s="212" customFormat="1">
      <c r="A2359" s="84"/>
      <c r="B2359" s="83"/>
      <c r="C2359" s="84"/>
      <c r="D2359" s="84"/>
      <c r="E2359" s="84"/>
      <c r="G2359" s="213"/>
      <c r="H2359" s="222"/>
    </row>
    <row r="2360" spans="1:9" s="212" customFormat="1">
      <c r="A2360" s="120"/>
      <c r="B2360" s="73"/>
      <c r="C2360" s="73"/>
      <c r="D2360" s="73"/>
      <c r="E2360" s="73"/>
      <c r="G2360" s="73"/>
      <c r="H2360" s="222"/>
    </row>
    <row r="2361" spans="1:9" s="212" customFormat="1">
      <c r="A2361" s="220"/>
      <c r="B2361" s="141"/>
      <c r="C2361" s="141"/>
      <c r="D2361" s="141"/>
      <c r="E2361" s="141"/>
      <c r="F2361" s="141"/>
      <c r="G2361" s="141"/>
      <c r="H2361" s="222"/>
    </row>
    <row r="2362" spans="1:9" s="212" customFormat="1" ht="16.5">
      <c r="A2362" s="150"/>
      <c r="B2362" s="161"/>
      <c r="C2362" s="148"/>
      <c r="D2362" s="84"/>
      <c r="E2362" s="84"/>
      <c r="F2362" s="84"/>
      <c r="G2362" s="146"/>
      <c r="H2362" s="222"/>
    </row>
    <row r="2363" spans="1:9" s="212" customFormat="1" ht="16.5">
      <c r="A2363" s="150"/>
      <c r="B2363" s="161"/>
      <c r="C2363" s="148"/>
      <c r="D2363" s="84"/>
      <c r="E2363" s="84"/>
      <c r="F2363" s="84"/>
      <c r="G2363" s="146"/>
      <c r="H2363" s="222"/>
    </row>
    <row r="2364" spans="1:9" s="212" customFormat="1" ht="16.5">
      <c r="A2364" s="150"/>
      <c r="B2364" s="161"/>
      <c r="C2364" s="148"/>
      <c r="D2364" s="84"/>
      <c r="E2364" s="84"/>
      <c r="F2364" s="84"/>
      <c r="G2364" s="146"/>
      <c r="H2364" s="221"/>
    </row>
    <row r="2365" spans="1:9" s="212" customFormat="1">
      <c r="A2365" s="91"/>
      <c r="B2365" s="91"/>
      <c r="C2365" s="91"/>
      <c r="D2365" s="91"/>
      <c r="E2365" s="91"/>
      <c r="G2365" s="213"/>
      <c r="H2365" s="222"/>
    </row>
    <row r="2366" spans="1:9" s="212" customFormat="1">
      <c r="A2366" s="120"/>
      <c r="B2366" s="73"/>
      <c r="C2366" s="73"/>
      <c r="D2366" s="73"/>
      <c r="E2366" s="73"/>
      <c r="G2366" s="73"/>
      <c r="H2366" s="222"/>
    </row>
    <row r="2367" spans="1:9" s="212" customFormat="1">
      <c r="A2367" s="220"/>
      <c r="B2367" s="141"/>
      <c r="C2367" s="141"/>
      <c r="D2367" s="141"/>
      <c r="E2367" s="141"/>
      <c r="F2367" s="141"/>
      <c r="G2367" s="141"/>
      <c r="H2367" s="222"/>
    </row>
    <row r="2368" spans="1:9" s="212" customFormat="1">
      <c r="A2368" s="146"/>
      <c r="B2368" s="83"/>
      <c r="C2368" s="148"/>
      <c r="D2368" s="84"/>
      <c r="E2368" s="84"/>
      <c r="F2368" s="84"/>
      <c r="G2368" s="146"/>
      <c r="H2368" s="221"/>
    </row>
    <row r="2369" spans="1:9" s="212" customFormat="1">
      <c r="A2369" s="91"/>
      <c r="B2369" s="91"/>
      <c r="C2369" s="91"/>
      <c r="D2369" s="91"/>
      <c r="E2369" s="91"/>
      <c r="G2369" s="213"/>
      <c r="H2369" s="222"/>
    </row>
    <row r="2370" spans="1:9" s="212" customFormat="1">
      <c r="A2370" s="120"/>
      <c r="B2370" s="73"/>
      <c r="C2370" s="73"/>
      <c r="D2370" s="73"/>
      <c r="E2370" s="73"/>
      <c r="G2370" s="73"/>
      <c r="H2370" s="222"/>
    </row>
    <row r="2371" spans="1:9" s="212" customFormat="1">
      <c r="A2371" s="220"/>
      <c r="B2371" s="141"/>
      <c r="C2371" s="141"/>
      <c r="D2371" s="141"/>
      <c r="E2371" s="141"/>
      <c r="F2371" s="141"/>
      <c r="G2371" s="141"/>
      <c r="H2371" s="222"/>
    </row>
    <row r="2372" spans="1:9" s="212" customFormat="1">
      <c r="A2372" s="142"/>
      <c r="B2372" s="143"/>
      <c r="C2372" s="143"/>
      <c r="D2372" s="143"/>
      <c r="E2372" s="143"/>
      <c r="F2372" s="84"/>
      <c r="G2372" s="146"/>
      <c r="H2372" s="221"/>
    </row>
    <row r="2373" spans="1:9" s="212" customFormat="1">
      <c r="A2373" s="123"/>
      <c r="B2373" s="95"/>
      <c r="C2373" s="95"/>
      <c r="D2373" s="95"/>
      <c r="E2373" s="95"/>
      <c r="G2373" s="213"/>
      <c r="H2373" s="73"/>
    </row>
    <row r="2374" spans="1:9" s="212" customFormat="1">
      <c r="A2374" s="123"/>
      <c r="B2374" s="95"/>
      <c r="C2374" s="95"/>
      <c r="D2374" s="95"/>
      <c r="E2374" s="95"/>
      <c r="G2374" s="73"/>
      <c r="H2374" s="225"/>
    </row>
    <row r="2375" spans="1:9" s="212" customFormat="1">
      <c r="B2375" s="97"/>
      <c r="C2375" s="98"/>
      <c r="D2375" s="98"/>
      <c r="E2375" s="98"/>
      <c r="G2375" s="220"/>
    </row>
    <row r="2376" spans="1:9" s="212" customFormat="1">
      <c r="B2376" s="97"/>
      <c r="C2376" s="98"/>
      <c r="D2376" s="98"/>
      <c r="E2376" s="98"/>
      <c r="F2376" s="220"/>
      <c r="G2376" s="225"/>
      <c r="H2376" s="226"/>
    </row>
    <row r="2377" spans="1:9" s="212" customFormat="1">
      <c r="A2377" s="633"/>
      <c r="B2377" s="633"/>
      <c r="C2377" s="633"/>
      <c r="D2377" s="633"/>
      <c r="E2377" s="633"/>
      <c r="F2377" s="633"/>
      <c r="G2377" s="633"/>
    </row>
    <row r="2378" spans="1:9" s="212" customFormat="1">
      <c r="H2378" s="227"/>
      <c r="I2378" s="228"/>
    </row>
    <row r="2379" spans="1:9" s="212" customFormat="1">
      <c r="A2379" s="658"/>
      <c r="B2379" s="227"/>
      <c r="C2379" s="227"/>
      <c r="D2379" s="227"/>
      <c r="E2379" s="227"/>
      <c r="F2379" s="227"/>
      <c r="G2379" s="227"/>
      <c r="H2379" s="227"/>
      <c r="I2379" s="229"/>
    </row>
    <row r="2380" spans="1:9" s="212" customFormat="1">
      <c r="A2380" s="658"/>
      <c r="B2380" s="227"/>
      <c r="C2380" s="227"/>
      <c r="D2380" s="227"/>
      <c r="E2380" s="227"/>
      <c r="F2380" s="227"/>
      <c r="G2380" s="227"/>
    </row>
    <row r="2381" spans="1:9" s="212" customFormat="1">
      <c r="A2381" s="69"/>
      <c r="B2381" s="69"/>
      <c r="C2381" s="69"/>
      <c r="D2381" s="69"/>
      <c r="E2381" s="69"/>
    </row>
    <row r="2382" spans="1:9" s="212" customFormat="1">
      <c r="A2382" s="120"/>
      <c r="B2382" s="73"/>
      <c r="C2382" s="73"/>
      <c r="D2382" s="73"/>
      <c r="E2382" s="73"/>
      <c r="F2382" s="73"/>
      <c r="G2382" s="73"/>
      <c r="H2382" s="73"/>
    </row>
    <row r="2383" spans="1:9" s="212" customFormat="1">
      <c r="A2383" s="220"/>
      <c r="B2383" s="141"/>
      <c r="C2383" s="141"/>
      <c r="D2383" s="141"/>
      <c r="E2383" s="141"/>
      <c r="F2383" s="141"/>
      <c r="G2383" s="141"/>
      <c r="H2383" s="73"/>
    </row>
    <row r="2384" spans="1:9" s="212" customFormat="1">
      <c r="A2384" s="150"/>
      <c r="B2384" s="83"/>
      <c r="C2384" s="148"/>
      <c r="D2384" s="84"/>
      <c r="E2384" s="84"/>
      <c r="F2384" s="84"/>
      <c r="G2384" s="146"/>
      <c r="H2384" s="221"/>
    </row>
    <row r="2385" spans="1:8" s="212" customFormat="1">
      <c r="A2385" s="84"/>
      <c r="B2385" s="83"/>
      <c r="C2385" s="84"/>
      <c r="D2385" s="84"/>
      <c r="E2385" s="84"/>
      <c r="G2385" s="213"/>
      <c r="H2385" s="222"/>
    </row>
    <row r="2386" spans="1:8" s="212" customFormat="1">
      <c r="A2386" s="120"/>
      <c r="B2386" s="73"/>
      <c r="C2386" s="73"/>
      <c r="D2386" s="73"/>
      <c r="E2386" s="73"/>
      <c r="G2386" s="73"/>
      <c r="H2386" s="222"/>
    </row>
    <row r="2387" spans="1:8" s="212" customFormat="1">
      <c r="A2387" s="220"/>
      <c r="B2387" s="141"/>
      <c r="C2387" s="141"/>
      <c r="D2387" s="141"/>
      <c r="E2387" s="141"/>
      <c r="F2387" s="141"/>
      <c r="G2387" s="141"/>
      <c r="H2387" s="222"/>
    </row>
    <row r="2388" spans="1:8" s="212" customFormat="1" ht="16.5">
      <c r="A2388" s="150"/>
      <c r="B2388" s="161"/>
      <c r="C2388" s="148"/>
      <c r="D2388" s="168"/>
      <c r="E2388" s="84"/>
      <c r="F2388" s="84"/>
      <c r="G2388" s="146"/>
      <c r="H2388" s="221"/>
    </row>
    <row r="2389" spans="1:8" s="212" customFormat="1">
      <c r="A2389" s="91"/>
      <c r="B2389" s="91"/>
      <c r="C2389" s="91"/>
      <c r="D2389" s="91"/>
      <c r="E2389" s="91"/>
      <c r="G2389" s="213"/>
      <c r="H2389" s="222"/>
    </row>
    <row r="2390" spans="1:8" s="212" customFormat="1">
      <c r="A2390" s="120"/>
      <c r="B2390" s="73"/>
      <c r="C2390" s="73"/>
      <c r="D2390" s="73"/>
      <c r="E2390" s="73"/>
      <c r="G2390" s="73"/>
      <c r="H2390" s="222"/>
    </row>
    <row r="2391" spans="1:8" s="212" customFormat="1">
      <c r="A2391" s="220"/>
      <c r="B2391" s="141"/>
      <c r="C2391" s="141"/>
      <c r="D2391" s="141"/>
      <c r="E2391" s="141"/>
      <c r="F2391" s="141"/>
      <c r="G2391" s="141"/>
      <c r="H2391" s="222"/>
    </row>
    <row r="2392" spans="1:8" s="212" customFormat="1">
      <c r="A2392" s="146"/>
      <c r="B2392" s="83"/>
      <c r="C2392" s="148"/>
      <c r="D2392" s="84"/>
      <c r="E2392" s="84"/>
      <c r="F2392" s="84"/>
      <c r="G2392" s="146"/>
      <c r="H2392" s="221"/>
    </row>
    <row r="2393" spans="1:8" s="212" customFormat="1">
      <c r="A2393" s="91"/>
      <c r="B2393" s="91"/>
      <c r="C2393" s="91"/>
      <c r="D2393" s="91"/>
      <c r="E2393" s="91"/>
      <c r="G2393" s="213"/>
      <c r="H2393" s="222"/>
    </row>
    <row r="2394" spans="1:8" s="212" customFormat="1">
      <c r="A2394" s="120"/>
      <c r="B2394" s="73"/>
      <c r="C2394" s="73"/>
      <c r="D2394" s="73"/>
      <c r="E2394" s="73"/>
      <c r="G2394" s="73"/>
      <c r="H2394" s="222"/>
    </row>
    <row r="2395" spans="1:8" s="212" customFormat="1">
      <c r="A2395" s="220"/>
      <c r="B2395" s="141"/>
      <c r="C2395" s="141"/>
      <c r="D2395" s="141"/>
      <c r="E2395" s="141"/>
      <c r="F2395" s="141"/>
      <c r="G2395" s="141"/>
      <c r="H2395" s="222"/>
    </row>
    <row r="2396" spans="1:8" s="212" customFormat="1">
      <c r="A2396" s="142"/>
      <c r="B2396" s="143"/>
      <c r="C2396" s="143"/>
      <c r="D2396" s="143"/>
      <c r="E2396" s="143"/>
      <c r="F2396" s="84"/>
      <c r="G2396" s="146"/>
      <c r="H2396" s="221"/>
    </row>
    <row r="2397" spans="1:8" s="212" customFormat="1">
      <c r="A2397" s="123"/>
      <c r="B2397" s="95"/>
      <c r="C2397" s="95"/>
      <c r="D2397" s="95"/>
      <c r="E2397" s="95"/>
      <c r="G2397" s="213"/>
      <c r="H2397" s="73"/>
    </row>
    <row r="2398" spans="1:8" s="212" customFormat="1">
      <c r="A2398" s="123"/>
      <c r="B2398" s="95"/>
      <c r="C2398" s="95"/>
      <c r="D2398" s="95"/>
      <c r="E2398" s="95"/>
      <c r="G2398" s="73"/>
      <c r="H2398" s="225"/>
    </row>
    <row r="2399" spans="1:8" s="212" customFormat="1">
      <c r="B2399" s="97"/>
      <c r="C2399" s="98"/>
      <c r="D2399" s="98"/>
      <c r="E2399" s="98"/>
      <c r="G2399" s="220"/>
    </row>
    <row r="2400" spans="1:8" s="212" customFormat="1">
      <c r="B2400" s="97"/>
      <c r="C2400" s="98"/>
      <c r="D2400" s="98"/>
      <c r="E2400" s="98"/>
      <c r="F2400" s="220"/>
      <c r="G2400" s="225"/>
      <c r="H2400" s="226"/>
    </row>
    <row r="2401" spans="1:9" s="212" customFormat="1">
      <c r="A2401" s="633"/>
      <c r="B2401" s="633"/>
      <c r="C2401" s="633"/>
      <c r="D2401" s="633"/>
      <c r="E2401" s="633"/>
      <c r="F2401" s="633"/>
      <c r="G2401" s="633"/>
    </row>
    <row r="2402" spans="1:9" s="212" customFormat="1">
      <c r="H2402" s="227"/>
      <c r="I2402" s="228"/>
    </row>
    <row r="2403" spans="1:9" s="212" customFormat="1">
      <c r="A2403" s="658"/>
      <c r="B2403" s="227"/>
      <c r="C2403" s="227"/>
      <c r="D2403" s="227"/>
      <c r="E2403" s="227"/>
      <c r="F2403" s="227"/>
      <c r="G2403" s="227"/>
      <c r="H2403" s="227"/>
      <c r="I2403" s="229"/>
    </row>
    <row r="2404" spans="1:9" s="212" customFormat="1">
      <c r="A2404" s="658"/>
      <c r="B2404" s="227"/>
      <c r="C2404" s="227"/>
      <c r="D2404" s="227"/>
      <c r="E2404" s="227"/>
      <c r="F2404" s="227"/>
      <c r="G2404" s="227"/>
    </row>
    <row r="2405" spans="1:9" s="212" customFormat="1">
      <c r="A2405" s="69"/>
      <c r="B2405" s="69"/>
      <c r="C2405" s="69"/>
      <c r="D2405" s="69"/>
      <c r="E2405" s="69"/>
    </row>
    <row r="2406" spans="1:9" s="212" customFormat="1">
      <c r="A2406" s="120"/>
      <c r="B2406" s="73"/>
      <c r="C2406" s="73"/>
      <c r="D2406" s="73"/>
      <c r="E2406" s="73"/>
      <c r="F2406" s="73"/>
      <c r="G2406" s="73"/>
      <c r="H2406" s="73"/>
    </row>
    <row r="2407" spans="1:9" s="212" customFormat="1">
      <c r="A2407" s="220"/>
      <c r="B2407" s="141"/>
      <c r="C2407" s="141"/>
      <c r="D2407" s="141"/>
      <c r="E2407" s="141"/>
      <c r="F2407" s="141"/>
      <c r="G2407" s="141"/>
      <c r="H2407" s="73"/>
    </row>
    <row r="2408" spans="1:9" s="212" customFormat="1">
      <c r="A2408" s="150"/>
      <c r="B2408" s="84"/>
      <c r="C2408" s="148"/>
      <c r="D2408" s="84"/>
      <c r="E2408" s="84"/>
      <c r="F2408" s="84"/>
      <c r="G2408" s="146"/>
      <c r="H2408" s="221"/>
    </row>
    <row r="2409" spans="1:9" s="212" customFormat="1">
      <c r="A2409" s="84"/>
      <c r="B2409" s="83"/>
      <c r="C2409" s="84"/>
      <c r="D2409" s="84"/>
      <c r="E2409" s="84"/>
      <c r="G2409" s="213"/>
      <c r="H2409" s="222"/>
    </row>
    <row r="2410" spans="1:9" s="212" customFormat="1">
      <c r="A2410" s="120"/>
      <c r="B2410" s="73"/>
      <c r="C2410" s="73"/>
      <c r="D2410" s="73"/>
      <c r="E2410" s="73"/>
      <c r="G2410" s="73"/>
      <c r="H2410" s="222"/>
    </row>
    <row r="2411" spans="1:9" s="212" customFormat="1">
      <c r="A2411" s="220"/>
      <c r="B2411" s="141"/>
      <c r="C2411" s="141"/>
      <c r="D2411" s="141"/>
      <c r="E2411" s="141"/>
      <c r="F2411" s="141"/>
      <c r="G2411" s="141"/>
      <c r="H2411" s="222"/>
    </row>
    <row r="2412" spans="1:9" s="212" customFormat="1">
      <c r="A2412" s="150"/>
      <c r="B2412" s="83"/>
      <c r="C2412" s="148"/>
      <c r="D2412" s="168"/>
      <c r="E2412" s="84"/>
      <c r="F2412" s="84"/>
      <c r="G2412" s="146"/>
      <c r="H2412" s="221"/>
    </row>
    <row r="2413" spans="1:9" s="212" customFormat="1">
      <c r="A2413" s="91"/>
      <c r="B2413" s="91"/>
      <c r="C2413" s="91"/>
      <c r="D2413" s="91"/>
      <c r="E2413" s="91"/>
      <c r="G2413" s="213"/>
      <c r="H2413" s="222"/>
    </row>
    <row r="2414" spans="1:9" s="212" customFormat="1">
      <c r="A2414" s="120"/>
      <c r="B2414" s="73"/>
      <c r="C2414" s="73"/>
      <c r="D2414" s="73"/>
      <c r="E2414" s="73"/>
      <c r="G2414" s="73"/>
      <c r="H2414" s="222"/>
    </row>
    <row r="2415" spans="1:9" s="212" customFormat="1">
      <c r="A2415" s="220"/>
      <c r="B2415" s="141"/>
      <c r="C2415" s="141"/>
      <c r="D2415" s="141"/>
      <c r="E2415" s="141"/>
      <c r="F2415" s="141"/>
      <c r="G2415" s="141"/>
      <c r="H2415" s="222"/>
    </row>
    <row r="2416" spans="1:9" s="212" customFormat="1">
      <c r="A2416" s="146"/>
      <c r="B2416" s="83"/>
      <c r="C2416" s="148"/>
      <c r="D2416" s="84"/>
      <c r="E2416" s="84"/>
      <c r="F2416" s="84"/>
      <c r="G2416" s="146"/>
      <c r="H2416" s="221"/>
    </row>
    <row r="2417" spans="1:9" s="212" customFormat="1">
      <c r="A2417" s="91"/>
      <c r="B2417" s="91"/>
      <c r="C2417" s="91"/>
      <c r="D2417" s="91"/>
      <c r="E2417" s="91"/>
      <c r="G2417" s="213"/>
      <c r="H2417" s="222"/>
    </row>
    <row r="2418" spans="1:9" s="212" customFormat="1">
      <c r="A2418" s="120"/>
      <c r="B2418" s="73"/>
      <c r="C2418" s="73"/>
      <c r="D2418" s="73"/>
      <c r="E2418" s="73"/>
      <c r="G2418" s="73"/>
      <c r="H2418" s="222"/>
    </row>
    <row r="2419" spans="1:9" s="212" customFormat="1">
      <c r="A2419" s="220"/>
      <c r="B2419" s="141"/>
      <c r="C2419" s="141"/>
      <c r="D2419" s="141"/>
      <c r="E2419" s="141"/>
      <c r="F2419" s="141"/>
      <c r="G2419" s="141"/>
      <c r="H2419" s="222"/>
    </row>
    <row r="2420" spans="1:9" s="212" customFormat="1">
      <c r="A2420" s="142"/>
      <c r="B2420" s="143"/>
      <c r="C2420" s="143"/>
      <c r="D2420" s="143"/>
      <c r="E2420" s="143"/>
      <c r="F2420" s="84"/>
      <c r="G2420" s="146"/>
      <c r="H2420" s="221"/>
    </row>
    <row r="2421" spans="1:9" s="212" customFormat="1">
      <c r="A2421" s="123"/>
      <c r="B2421" s="95"/>
      <c r="C2421" s="95"/>
      <c r="D2421" s="95"/>
      <c r="E2421" s="95"/>
      <c r="G2421" s="213"/>
      <c r="H2421" s="73"/>
    </row>
    <row r="2422" spans="1:9" s="212" customFormat="1">
      <c r="A2422" s="123"/>
      <c r="B2422" s="95"/>
      <c r="C2422" s="95"/>
      <c r="D2422" s="95"/>
      <c r="E2422" s="95"/>
      <c r="G2422" s="73"/>
      <c r="H2422" s="225"/>
    </row>
    <row r="2423" spans="1:9" s="212" customFormat="1">
      <c r="B2423" s="97"/>
      <c r="C2423" s="98"/>
      <c r="D2423" s="98"/>
      <c r="E2423" s="98"/>
      <c r="G2423" s="220"/>
    </row>
    <row r="2424" spans="1:9" s="212" customFormat="1">
      <c r="B2424" s="97"/>
      <c r="C2424" s="98"/>
      <c r="D2424" s="98"/>
      <c r="E2424" s="98"/>
      <c r="F2424" s="220"/>
      <c r="G2424" s="225"/>
      <c r="H2424" s="226"/>
    </row>
    <row r="2425" spans="1:9" s="212" customFormat="1">
      <c r="A2425" s="633"/>
      <c r="B2425" s="633"/>
      <c r="C2425" s="633"/>
      <c r="D2425" s="633"/>
      <c r="E2425" s="633"/>
      <c r="F2425" s="633"/>
      <c r="G2425" s="633"/>
    </row>
    <row r="2426" spans="1:9" s="212" customFormat="1">
      <c r="H2426" s="227"/>
      <c r="I2426" s="228"/>
    </row>
    <row r="2427" spans="1:9" s="212" customFormat="1">
      <c r="A2427" s="658"/>
      <c r="B2427" s="227"/>
      <c r="C2427" s="227"/>
      <c r="D2427" s="227"/>
      <c r="E2427" s="227"/>
      <c r="F2427" s="227"/>
      <c r="G2427" s="227"/>
      <c r="H2427" s="227"/>
      <c r="I2427" s="229"/>
    </row>
    <row r="2428" spans="1:9" s="212" customFormat="1">
      <c r="A2428" s="658"/>
      <c r="B2428" s="227"/>
      <c r="C2428" s="227"/>
      <c r="D2428" s="227"/>
      <c r="E2428" s="227"/>
      <c r="F2428" s="227"/>
      <c r="G2428" s="227"/>
    </row>
    <row r="2429" spans="1:9" s="212" customFormat="1">
      <c r="A2429" s="69"/>
      <c r="B2429" s="69"/>
      <c r="C2429" s="69"/>
      <c r="D2429" s="69"/>
      <c r="E2429" s="69"/>
    </row>
    <row r="2430" spans="1:9" s="212" customFormat="1">
      <c r="A2430" s="120"/>
      <c r="B2430" s="73"/>
      <c r="C2430" s="73"/>
      <c r="D2430" s="73"/>
      <c r="E2430" s="73"/>
      <c r="F2430" s="73"/>
      <c r="G2430" s="73"/>
      <c r="H2430" s="73"/>
    </row>
    <row r="2431" spans="1:9" s="212" customFormat="1">
      <c r="A2431" s="220"/>
      <c r="B2431" s="141"/>
      <c r="C2431" s="141"/>
      <c r="D2431" s="141"/>
      <c r="E2431" s="141"/>
      <c r="F2431" s="141"/>
      <c r="G2431" s="141"/>
      <c r="H2431" s="73"/>
    </row>
    <row r="2432" spans="1:9" s="212" customFormat="1">
      <c r="A2432" s="150"/>
      <c r="B2432" s="84"/>
      <c r="C2432" s="148"/>
      <c r="D2432" s="84"/>
      <c r="E2432" s="84"/>
      <c r="F2432" s="84"/>
      <c r="G2432" s="146"/>
      <c r="H2432" s="221"/>
    </row>
    <row r="2433" spans="1:8" s="212" customFormat="1">
      <c r="A2433" s="84"/>
      <c r="B2433" s="83"/>
      <c r="C2433" s="84"/>
      <c r="D2433" s="84"/>
      <c r="E2433" s="84"/>
      <c r="G2433" s="213"/>
      <c r="H2433" s="222"/>
    </row>
    <row r="2434" spans="1:8" s="212" customFormat="1">
      <c r="A2434" s="120"/>
      <c r="B2434" s="73"/>
      <c r="C2434" s="73"/>
      <c r="D2434" s="73"/>
      <c r="E2434" s="73"/>
      <c r="G2434" s="73"/>
      <c r="H2434" s="222"/>
    </row>
    <row r="2435" spans="1:8" s="212" customFormat="1">
      <c r="A2435" s="220"/>
      <c r="B2435" s="141"/>
      <c r="C2435" s="141"/>
      <c r="D2435" s="141"/>
      <c r="E2435" s="141"/>
      <c r="F2435" s="141"/>
      <c r="G2435" s="141"/>
      <c r="H2435" s="222"/>
    </row>
    <row r="2436" spans="1:8" s="212" customFormat="1">
      <c r="A2436" s="150"/>
      <c r="B2436" s="83"/>
      <c r="C2436" s="148"/>
      <c r="D2436" s="168"/>
      <c r="E2436" s="84"/>
      <c r="F2436" s="84"/>
      <c r="G2436" s="146"/>
      <c r="H2436" s="221"/>
    </row>
    <row r="2437" spans="1:8" s="212" customFormat="1">
      <c r="A2437" s="91"/>
      <c r="B2437" s="91"/>
      <c r="C2437" s="91"/>
      <c r="D2437" s="91"/>
      <c r="E2437" s="91"/>
      <c r="G2437" s="213"/>
      <c r="H2437" s="222"/>
    </row>
    <row r="2438" spans="1:8" s="212" customFormat="1">
      <c r="A2438" s="120"/>
      <c r="B2438" s="73"/>
      <c r="C2438" s="73"/>
      <c r="D2438" s="73"/>
      <c r="E2438" s="73"/>
      <c r="G2438" s="73"/>
      <c r="H2438" s="222"/>
    </row>
    <row r="2439" spans="1:8" s="212" customFormat="1">
      <c r="A2439" s="220"/>
      <c r="B2439" s="141"/>
      <c r="C2439" s="141"/>
      <c r="D2439" s="141"/>
      <c r="E2439" s="141"/>
      <c r="F2439" s="141"/>
      <c r="G2439" s="141"/>
      <c r="H2439" s="222"/>
    </row>
    <row r="2440" spans="1:8" s="212" customFormat="1">
      <c r="A2440" s="142"/>
      <c r="B2440" s="143"/>
      <c r="C2440" s="143"/>
      <c r="D2440" s="143"/>
      <c r="E2440" s="143"/>
      <c r="F2440" s="84"/>
      <c r="G2440" s="146"/>
      <c r="H2440" s="221"/>
    </row>
    <row r="2441" spans="1:8" s="212" customFormat="1">
      <c r="A2441" s="91"/>
      <c r="B2441" s="91"/>
      <c r="C2441" s="91"/>
      <c r="D2441" s="91"/>
      <c r="E2441" s="91"/>
      <c r="G2441" s="213"/>
      <c r="H2441" s="222"/>
    </row>
    <row r="2442" spans="1:8" s="212" customFormat="1">
      <c r="A2442" s="120"/>
      <c r="B2442" s="73"/>
      <c r="C2442" s="73"/>
      <c r="D2442" s="73"/>
      <c r="E2442" s="73"/>
      <c r="G2442" s="73"/>
      <c r="H2442" s="222"/>
    </row>
    <row r="2443" spans="1:8" s="212" customFormat="1">
      <c r="A2443" s="220"/>
      <c r="B2443" s="141"/>
      <c r="C2443" s="141"/>
      <c r="D2443" s="141"/>
      <c r="E2443" s="141"/>
      <c r="F2443" s="141"/>
      <c r="G2443" s="141"/>
      <c r="H2443" s="222"/>
    </row>
    <row r="2444" spans="1:8" s="212" customFormat="1">
      <c r="A2444" s="142"/>
      <c r="B2444" s="143"/>
      <c r="C2444" s="143"/>
      <c r="D2444" s="143"/>
      <c r="E2444" s="143"/>
      <c r="F2444" s="84"/>
      <c r="G2444" s="146"/>
      <c r="H2444" s="221"/>
    </row>
    <row r="2445" spans="1:8" s="212" customFormat="1">
      <c r="A2445" s="123"/>
      <c r="B2445" s="95"/>
      <c r="C2445" s="95"/>
      <c r="D2445" s="95"/>
      <c r="E2445" s="95"/>
      <c r="G2445" s="213"/>
      <c r="H2445" s="73"/>
    </row>
    <row r="2446" spans="1:8" s="212" customFormat="1">
      <c r="A2446" s="123"/>
      <c r="B2446" s="95"/>
      <c r="C2446" s="95"/>
      <c r="D2446" s="95"/>
      <c r="E2446" s="95"/>
      <c r="G2446" s="73"/>
      <c r="H2446" s="225"/>
    </row>
    <row r="2447" spans="1:8" s="212" customFormat="1">
      <c r="B2447" s="97"/>
      <c r="C2447" s="98"/>
      <c r="D2447" s="98"/>
      <c r="E2447" s="98"/>
      <c r="G2447" s="220"/>
    </row>
    <row r="2448" spans="1:8" s="212" customFormat="1">
      <c r="B2448" s="97"/>
      <c r="C2448" s="98"/>
      <c r="D2448" s="98"/>
      <c r="E2448" s="98"/>
      <c r="F2448" s="220"/>
      <c r="G2448" s="225"/>
      <c r="H2448" s="226"/>
    </row>
    <row r="2449" spans="1:9" s="212" customFormat="1">
      <c r="A2449" s="633"/>
      <c r="B2449" s="633"/>
      <c r="C2449" s="633"/>
      <c r="D2449" s="633"/>
      <c r="E2449" s="633"/>
      <c r="F2449" s="633"/>
      <c r="G2449" s="633"/>
    </row>
    <row r="2450" spans="1:9" s="212" customFormat="1">
      <c r="H2450" s="227"/>
      <c r="I2450" s="228"/>
    </row>
    <row r="2451" spans="1:9" s="212" customFormat="1">
      <c r="A2451" s="658"/>
      <c r="B2451" s="227"/>
      <c r="C2451" s="227"/>
      <c r="D2451" s="227"/>
      <c r="E2451" s="227"/>
      <c r="F2451" s="227"/>
      <c r="G2451" s="227"/>
      <c r="H2451" s="227"/>
      <c r="I2451" s="229"/>
    </row>
    <row r="2452" spans="1:9" s="212" customFormat="1">
      <c r="A2452" s="658"/>
      <c r="B2452" s="227"/>
      <c r="C2452" s="227"/>
      <c r="D2452" s="227"/>
      <c r="E2452" s="227"/>
      <c r="F2452" s="227"/>
      <c r="G2452" s="227"/>
    </row>
    <row r="2453" spans="1:9" s="212" customFormat="1">
      <c r="A2453" s="69"/>
      <c r="B2453" s="69"/>
      <c r="C2453" s="69"/>
      <c r="D2453" s="69"/>
      <c r="E2453" s="69"/>
    </row>
    <row r="2454" spans="1:9" s="212" customFormat="1">
      <c r="A2454" s="120"/>
      <c r="B2454" s="73"/>
      <c r="C2454" s="73"/>
      <c r="D2454" s="73"/>
      <c r="E2454" s="73"/>
      <c r="F2454" s="73"/>
      <c r="G2454" s="73"/>
      <c r="H2454" s="73"/>
    </row>
    <row r="2455" spans="1:9" s="212" customFormat="1">
      <c r="A2455" s="220"/>
      <c r="B2455" s="141"/>
      <c r="C2455" s="141"/>
      <c r="D2455" s="141"/>
      <c r="E2455" s="141"/>
      <c r="F2455" s="141"/>
      <c r="G2455" s="141"/>
      <c r="H2455" s="73"/>
    </row>
    <row r="2456" spans="1:9" s="212" customFormat="1">
      <c r="A2456" s="150"/>
      <c r="B2456" s="84"/>
      <c r="C2456" s="148"/>
      <c r="D2456" s="84"/>
      <c r="E2456" s="84"/>
      <c r="F2456" s="84"/>
      <c r="G2456" s="146"/>
      <c r="H2456" s="221"/>
    </row>
    <row r="2457" spans="1:9" s="212" customFormat="1">
      <c r="A2457" s="84"/>
      <c r="B2457" s="83"/>
      <c r="C2457" s="84"/>
      <c r="D2457" s="84"/>
      <c r="E2457" s="84"/>
      <c r="G2457" s="213"/>
      <c r="H2457" s="222"/>
    </row>
    <row r="2458" spans="1:9" s="212" customFormat="1">
      <c r="A2458" s="120"/>
      <c r="B2458" s="73"/>
      <c r="C2458" s="73"/>
      <c r="D2458" s="73"/>
      <c r="E2458" s="73"/>
      <c r="G2458" s="73"/>
      <c r="H2458" s="222"/>
    </row>
    <row r="2459" spans="1:9" s="212" customFormat="1">
      <c r="A2459" s="220"/>
      <c r="B2459" s="141"/>
      <c r="C2459" s="141"/>
      <c r="D2459" s="141"/>
      <c r="E2459" s="141"/>
      <c r="F2459" s="141"/>
      <c r="G2459" s="141"/>
      <c r="H2459" s="222"/>
    </row>
    <row r="2460" spans="1:9" s="212" customFormat="1">
      <c r="A2460" s="150"/>
      <c r="B2460" s="83"/>
      <c r="C2460" s="148"/>
      <c r="D2460" s="168"/>
      <c r="E2460" s="84"/>
      <c r="F2460" s="84"/>
      <c r="G2460" s="146"/>
      <c r="H2460" s="221"/>
    </row>
    <row r="2461" spans="1:9" s="212" customFormat="1">
      <c r="A2461" s="91"/>
      <c r="B2461" s="91"/>
      <c r="C2461" s="91"/>
      <c r="D2461" s="91"/>
      <c r="E2461" s="91"/>
      <c r="G2461" s="213"/>
      <c r="H2461" s="222"/>
    </row>
    <row r="2462" spans="1:9" s="212" customFormat="1">
      <c r="A2462" s="120"/>
      <c r="B2462" s="73"/>
      <c r="C2462" s="73"/>
      <c r="D2462" s="73"/>
      <c r="E2462" s="73"/>
      <c r="G2462" s="73"/>
      <c r="H2462" s="222"/>
    </row>
    <row r="2463" spans="1:9" s="212" customFormat="1">
      <c r="A2463" s="220"/>
      <c r="B2463" s="141"/>
      <c r="C2463" s="141"/>
      <c r="D2463" s="141"/>
      <c r="E2463" s="141"/>
      <c r="F2463" s="141"/>
      <c r="G2463" s="141"/>
      <c r="H2463" s="222"/>
    </row>
    <row r="2464" spans="1:9" s="212" customFormat="1">
      <c r="A2464" s="142"/>
      <c r="B2464" s="143"/>
      <c r="C2464" s="143"/>
      <c r="D2464" s="143"/>
      <c r="E2464" s="143"/>
      <c r="F2464" s="84"/>
      <c r="G2464" s="146"/>
      <c r="H2464" s="221"/>
    </row>
    <row r="2465" spans="1:9" s="212" customFormat="1">
      <c r="A2465" s="91"/>
      <c r="B2465" s="91"/>
      <c r="C2465" s="91"/>
      <c r="D2465" s="91"/>
      <c r="E2465" s="91"/>
      <c r="G2465" s="213"/>
      <c r="H2465" s="222"/>
    </row>
    <row r="2466" spans="1:9" s="212" customFormat="1">
      <c r="A2466" s="120"/>
      <c r="B2466" s="73"/>
      <c r="C2466" s="73"/>
      <c r="D2466" s="73"/>
      <c r="E2466" s="73"/>
      <c r="G2466" s="73"/>
      <c r="H2466" s="222"/>
    </row>
    <row r="2467" spans="1:9" s="212" customFormat="1">
      <c r="A2467" s="220"/>
      <c r="B2467" s="141"/>
      <c r="C2467" s="141"/>
      <c r="D2467" s="141"/>
      <c r="E2467" s="141"/>
      <c r="F2467" s="141"/>
      <c r="G2467" s="141"/>
      <c r="H2467" s="222"/>
    </row>
    <row r="2468" spans="1:9" s="212" customFormat="1">
      <c r="A2468" s="142"/>
      <c r="B2468" s="143"/>
      <c r="C2468" s="143"/>
      <c r="D2468" s="143"/>
      <c r="E2468" s="143"/>
      <c r="F2468" s="84"/>
      <c r="G2468" s="146"/>
      <c r="H2468" s="221"/>
    </row>
    <row r="2469" spans="1:9" s="212" customFormat="1">
      <c r="A2469" s="123"/>
      <c r="B2469" s="95"/>
      <c r="C2469" s="95"/>
      <c r="D2469" s="95"/>
      <c r="E2469" s="95"/>
      <c r="G2469" s="213"/>
      <c r="H2469" s="73"/>
    </row>
    <row r="2470" spans="1:9" s="212" customFormat="1">
      <c r="A2470" s="123"/>
      <c r="B2470" s="95"/>
      <c r="C2470" s="95"/>
      <c r="D2470" s="95"/>
      <c r="E2470" s="95"/>
      <c r="G2470" s="73"/>
      <c r="H2470" s="225"/>
    </row>
    <row r="2471" spans="1:9" s="212" customFormat="1">
      <c r="B2471" s="97"/>
      <c r="C2471" s="98"/>
      <c r="D2471" s="98"/>
      <c r="E2471" s="98"/>
      <c r="G2471" s="220"/>
    </row>
    <row r="2472" spans="1:9" s="212" customFormat="1">
      <c r="B2472" s="97"/>
      <c r="C2472" s="98"/>
      <c r="D2472" s="98"/>
      <c r="E2472" s="98"/>
      <c r="F2472" s="220"/>
      <c r="G2472" s="225"/>
      <c r="H2472" s="226"/>
    </row>
    <row r="2473" spans="1:9" s="212" customFormat="1">
      <c r="A2473" s="633"/>
      <c r="B2473" s="633"/>
      <c r="C2473" s="633"/>
      <c r="D2473" s="633"/>
      <c r="E2473" s="633"/>
      <c r="F2473" s="633"/>
      <c r="G2473" s="633"/>
    </row>
    <row r="2474" spans="1:9" s="212" customFormat="1">
      <c r="H2474" s="227"/>
      <c r="I2474" s="228"/>
    </row>
    <row r="2475" spans="1:9" s="212" customFormat="1">
      <c r="A2475" s="658"/>
      <c r="B2475" s="227"/>
      <c r="C2475" s="227"/>
      <c r="D2475" s="227"/>
      <c r="E2475" s="227"/>
      <c r="F2475" s="227"/>
      <c r="G2475" s="227"/>
      <c r="H2475" s="227"/>
      <c r="I2475" s="229"/>
    </row>
    <row r="2476" spans="1:9" s="212" customFormat="1">
      <c r="A2476" s="658"/>
      <c r="B2476" s="227"/>
      <c r="C2476" s="227"/>
      <c r="D2476" s="227"/>
      <c r="E2476" s="227"/>
      <c r="F2476" s="227"/>
      <c r="G2476" s="227"/>
    </row>
    <row r="2477" spans="1:9" s="212" customFormat="1">
      <c r="A2477" s="69"/>
      <c r="B2477" s="69"/>
      <c r="C2477" s="69"/>
      <c r="D2477" s="69"/>
      <c r="E2477" s="69"/>
    </row>
    <row r="2478" spans="1:9" s="212" customFormat="1">
      <c r="A2478" s="120"/>
      <c r="B2478" s="73"/>
      <c r="C2478" s="73"/>
      <c r="D2478" s="73"/>
      <c r="E2478" s="73"/>
      <c r="F2478" s="73"/>
      <c r="G2478" s="73"/>
      <c r="H2478" s="73"/>
    </row>
    <row r="2479" spans="1:9" s="212" customFormat="1">
      <c r="A2479" s="220"/>
      <c r="B2479" s="141"/>
      <c r="C2479" s="141"/>
      <c r="D2479" s="141"/>
      <c r="E2479" s="141"/>
      <c r="F2479" s="141"/>
      <c r="G2479" s="141"/>
      <c r="H2479" s="73"/>
    </row>
    <row r="2480" spans="1:9" s="212" customFormat="1">
      <c r="A2480" s="150"/>
      <c r="B2480" s="84"/>
      <c r="C2480" s="148"/>
      <c r="D2480" s="84"/>
      <c r="E2480" s="84"/>
      <c r="F2480" s="84"/>
      <c r="G2480" s="146"/>
      <c r="H2480" s="221"/>
    </row>
    <row r="2481" spans="1:8" s="212" customFormat="1">
      <c r="A2481" s="84"/>
      <c r="B2481" s="83"/>
      <c r="C2481" s="84"/>
      <c r="D2481" s="84"/>
      <c r="E2481" s="84"/>
      <c r="G2481" s="213"/>
      <c r="H2481" s="222"/>
    </row>
    <row r="2482" spans="1:8" s="212" customFormat="1">
      <c r="A2482" s="120"/>
      <c r="B2482" s="73"/>
      <c r="C2482" s="73"/>
      <c r="D2482" s="73"/>
      <c r="E2482" s="73"/>
      <c r="G2482" s="73"/>
      <c r="H2482" s="222"/>
    </row>
    <row r="2483" spans="1:8" s="212" customFormat="1">
      <c r="A2483" s="220"/>
      <c r="B2483" s="141"/>
      <c r="C2483" s="141"/>
      <c r="D2483" s="141"/>
      <c r="E2483" s="141"/>
      <c r="F2483" s="141"/>
      <c r="G2483" s="141"/>
      <c r="H2483" s="222"/>
    </row>
    <row r="2484" spans="1:8" s="212" customFormat="1">
      <c r="A2484" s="150"/>
      <c r="B2484" s="83"/>
      <c r="C2484" s="148"/>
      <c r="D2484" s="168"/>
      <c r="E2484" s="84"/>
      <c r="F2484" s="84"/>
      <c r="G2484" s="146"/>
      <c r="H2484" s="221"/>
    </row>
    <row r="2485" spans="1:8" s="212" customFormat="1">
      <c r="A2485" s="91"/>
      <c r="B2485" s="91"/>
      <c r="C2485" s="91"/>
      <c r="D2485" s="91"/>
      <c r="E2485" s="91"/>
      <c r="G2485" s="213"/>
      <c r="H2485" s="222"/>
    </row>
    <row r="2486" spans="1:8" s="212" customFormat="1">
      <c r="A2486" s="120"/>
      <c r="B2486" s="73"/>
      <c r="C2486" s="73"/>
      <c r="D2486" s="73"/>
      <c r="E2486" s="73"/>
      <c r="G2486" s="73"/>
      <c r="H2486" s="222"/>
    </row>
    <row r="2487" spans="1:8" s="212" customFormat="1">
      <c r="A2487" s="220"/>
      <c r="B2487" s="141"/>
      <c r="C2487" s="141"/>
      <c r="D2487" s="141"/>
      <c r="E2487" s="141"/>
      <c r="F2487" s="141"/>
      <c r="G2487" s="141"/>
      <c r="H2487" s="222"/>
    </row>
    <row r="2488" spans="1:8" s="212" customFormat="1">
      <c r="A2488" s="142"/>
      <c r="B2488" s="143"/>
      <c r="C2488" s="143"/>
      <c r="D2488" s="143"/>
      <c r="E2488" s="143"/>
      <c r="F2488" s="84"/>
      <c r="G2488" s="146"/>
      <c r="H2488" s="221"/>
    </row>
    <row r="2489" spans="1:8" s="212" customFormat="1">
      <c r="A2489" s="91"/>
      <c r="B2489" s="91"/>
      <c r="C2489" s="91"/>
      <c r="D2489" s="91"/>
      <c r="E2489" s="91"/>
      <c r="G2489" s="213"/>
      <c r="H2489" s="222"/>
    </row>
    <row r="2490" spans="1:8" s="212" customFormat="1">
      <c r="A2490" s="120"/>
      <c r="B2490" s="73"/>
      <c r="C2490" s="73"/>
      <c r="D2490" s="73"/>
      <c r="E2490" s="73"/>
      <c r="G2490" s="73"/>
      <c r="H2490" s="222"/>
    </row>
    <row r="2491" spans="1:8" s="212" customFormat="1">
      <c r="A2491" s="220"/>
      <c r="B2491" s="141"/>
      <c r="C2491" s="141"/>
      <c r="D2491" s="141"/>
      <c r="E2491" s="141"/>
      <c r="F2491" s="141"/>
      <c r="G2491" s="141"/>
      <c r="H2491" s="222"/>
    </row>
    <row r="2492" spans="1:8" s="212" customFormat="1">
      <c r="A2492" s="142"/>
      <c r="B2492" s="143"/>
      <c r="C2492" s="143"/>
      <c r="D2492" s="143"/>
      <c r="E2492" s="143"/>
      <c r="F2492" s="84"/>
      <c r="G2492" s="146"/>
      <c r="H2492" s="221"/>
    </row>
    <row r="2493" spans="1:8" s="212" customFormat="1">
      <c r="A2493" s="123"/>
      <c r="B2493" s="95"/>
      <c r="C2493" s="95"/>
      <c r="D2493" s="95"/>
      <c r="E2493" s="95"/>
      <c r="G2493" s="213"/>
      <c r="H2493" s="73"/>
    </row>
    <row r="2494" spans="1:8" s="212" customFormat="1">
      <c r="A2494" s="123"/>
      <c r="B2494" s="95"/>
      <c r="C2494" s="95"/>
      <c r="D2494" s="95"/>
      <c r="E2494" s="95"/>
      <c r="G2494" s="73"/>
      <c r="H2494" s="225"/>
    </row>
    <row r="2495" spans="1:8" s="212" customFormat="1">
      <c r="B2495" s="97"/>
      <c r="C2495" s="98"/>
      <c r="D2495" s="98"/>
      <c r="E2495" s="98"/>
      <c r="G2495" s="220"/>
    </row>
    <row r="2496" spans="1:8" s="212" customFormat="1">
      <c r="B2496" s="97"/>
      <c r="C2496" s="98"/>
      <c r="D2496" s="98"/>
      <c r="E2496" s="98"/>
      <c r="F2496" s="220"/>
      <c r="G2496" s="225"/>
      <c r="H2496" s="226"/>
    </row>
    <row r="2497" spans="1:9" s="212" customFormat="1">
      <c r="A2497" s="633"/>
      <c r="B2497" s="633"/>
      <c r="C2497" s="633"/>
      <c r="D2497" s="633"/>
      <c r="E2497" s="633"/>
      <c r="F2497" s="633"/>
      <c r="G2497" s="633"/>
    </row>
    <row r="2498" spans="1:9" s="212" customFormat="1">
      <c r="H2498" s="227"/>
      <c r="I2498" s="228"/>
    </row>
    <row r="2499" spans="1:9" s="212" customFormat="1">
      <c r="A2499" s="658"/>
      <c r="B2499" s="227"/>
      <c r="C2499" s="227"/>
      <c r="D2499" s="227"/>
      <c r="E2499" s="227"/>
      <c r="F2499" s="227"/>
      <c r="G2499" s="227"/>
      <c r="H2499" s="227"/>
      <c r="I2499" s="229"/>
    </row>
    <row r="2500" spans="1:9" s="212" customFormat="1">
      <c r="A2500" s="658"/>
      <c r="B2500" s="227"/>
      <c r="C2500" s="227"/>
      <c r="D2500" s="227"/>
      <c r="E2500" s="227"/>
      <c r="F2500" s="227"/>
      <c r="G2500" s="227"/>
    </row>
    <row r="2501" spans="1:9" s="212" customFormat="1">
      <c r="A2501" s="69"/>
      <c r="B2501" s="69"/>
      <c r="C2501" s="69"/>
      <c r="D2501" s="69"/>
      <c r="E2501" s="69"/>
    </row>
    <row r="2502" spans="1:9" s="212" customFormat="1">
      <c r="A2502" s="120"/>
      <c r="B2502" s="73"/>
      <c r="C2502" s="73"/>
      <c r="D2502" s="73"/>
      <c r="E2502" s="73"/>
      <c r="F2502" s="73"/>
      <c r="G2502" s="73"/>
      <c r="H2502" s="73"/>
    </row>
    <row r="2503" spans="1:9" s="212" customFormat="1">
      <c r="A2503" s="220"/>
      <c r="B2503" s="141"/>
      <c r="C2503" s="141"/>
      <c r="D2503" s="141"/>
      <c r="E2503" s="141"/>
      <c r="F2503" s="141"/>
      <c r="G2503" s="141"/>
      <c r="H2503" s="73"/>
    </row>
    <row r="2504" spans="1:9" s="212" customFormat="1">
      <c r="A2504" s="150"/>
      <c r="B2504" s="84"/>
      <c r="C2504" s="148"/>
      <c r="D2504" s="84"/>
      <c r="E2504" s="84"/>
      <c r="F2504" s="84"/>
      <c r="G2504" s="146"/>
      <c r="H2504" s="221"/>
    </row>
    <row r="2505" spans="1:9" s="212" customFormat="1">
      <c r="A2505" s="84"/>
      <c r="B2505" s="83"/>
      <c r="C2505" s="84"/>
      <c r="D2505" s="84"/>
      <c r="E2505" s="84"/>
      <c r="G2505" s="213"/>
      <c r="H2505" s="222"/>
    </row>
    <row r="2506" spans="1:9" s="212" customFormat="1">
      <c r="A2506" s="120"/>
      <c r="B2506" s="73"/>
      <c r="C2506" s="73"/>
      <c r="D2506" s="73"/>
      <c r="E2506" s="73"/>
      <c r="G2506" s="73"/>
      <c r="H2506" s="222"/>
    </row>
    <row r="2507" spans="1:9" s="212" customFormat="1">
      <c r="A2507" s="220"/>
      <c r="B2507" s="141"/>
      <c r="C2507" s="141"/>
      <c r="D2507" s="141"/>
      <c r="E2507" s="141"/>
      <c r="F2507" s="141"/>
      <c r="G2507" s="141"/>
      <c r="H2507" s="222"/>
    </row>
    <row r="2508" spans="1:9" s="212" customFormat="1">
      <c r="A2508" s="150"/>
      <c r="B2508" s="83"/>
      <c r="C2508" s="148"/>
      <c r="D2508" s="168"/>
      <c r="E2508" s="84"/>
      <c r="F2508" s="84"/>
      <c r="G2508" s="146"/>
      <c r="H2508" s="221"/>
    </row>
    <row r="2509" spans="1:9" s="212" customFormat="1">
      <c r="A2509" s="91"/>
      <c r="B2509" s="91"/>
      <c r="C2509" s="91"/>
      <c r="D2509" s="91"/>
      <c r="E2509" s="91"/>
      <c r="G2509" s="213"/>
      <c r="H2509" s="222"/>
    </row>
    <row r="2510" spans="1:9" s="212" customFormat="1">
      <c r="A2510" s="120"/>
      <c r="B2510" s="73"/>
      <c r="C2510" s="73"/>
      <c r="D2510" s="73"/>
      <c r="E2510" s="73"/>
      <c r="G2510" s="73"/>
      <c r="H2510" s="222"/>
    </row>
    <row r="2511" spans="1:9" s="212" customFormat="1">
      <c r="A2511" s="220"/>
      <c r="B2511" s="141"/>
      <c r="C2511" s="141"/>
      <c r="D2511" s="141"/>
      <c r="E2511" s="141"/>
      <c r="F2511" s="141"/>
      <c r="G2511" s="141"/>
      <c r="H2511" s="222"/>
    </row>
    <row r="2512" spans="1:9" s="212" customFormat="1">
      <c r="A2512" s="142"/>
      <c r="B2512" s="143"/>
      <c r="C2512" s="143"/>
      <c r="D2512" s="143"/>
      <c r="E2512" s="143"/>
      <c r="F2512" s="84"/>
      <c r="G2512" s="146"/>
      <c r="H2512" s="221"/>
    </row>
    <row r="2513" spans="1:9" s="212" customFormat="1">
      <c r="A2513" s="91"/>
      <c r="B2513" s="91"/>
      <c r="C2513" s="91"/>
      <c r="D2513" s="91"/>
      <c r="E2513" s="91"/>
      <c r="G2513" s="213"/>
      <c r="H2513" s="222"/>
    </row>
    <row r="2514" spans="1:9" s="212" customFormat="1">
      <c r="A2514" s="120"/>
      <c r="B2514" s="73"/>
      <c r="C2514" s="73"/>
      <c r="D2514" s="73"/>
      <c r="E2514" s="73"/>
      <c r="G2514" s="73"/>
      <c r="H2514" s="222"/>
    </row>
    <row r="2515" spans="1:9" s="212" customFormat="1">
      <c r="A2515" s="220"/>
      <c r="B2515" s="141"/>
      <c r="C2515" s="141"/>
      <c r="D2515" s="141"/>
      <c r="E2515" s="141"/>
      <c r="F2515" s="141"/>
      <c r="G2515" s="141"/>
      <c r="H2515" s="222"/>
    </row>
    <row r="2516" spans="1:9" s="212" customFormat="1">
      <c r="A2516" s="142"/>
      <c r="B2516" s="143"/>
      <c r="C2516" s="143"/>
      <c r="D2516" s="143"/>
      <c r="E2516" s="143"/>
      <c r="F2516" s="84"/>
      <c r="G2516" s="146"/>
      <c r="H2516" s="221"/>
    </row>
    <row r="2517" spans="1:9" s="212" customFormat="1">
      <c r="A2517" s="123"/>
      <c r="B2517" s="95"/>
      <c r="C2517" s="95"/>
      <c r="D2517" s="95"/>
      <c r="E2517" s="95"/>
      <c r="G2517" s="213"/>
      <c r="H2517" s="73"/>
    </row>
    <row r="2518" spans="1:9" s="212" customFormat="1">
      <c r="A2518" s="123"/>
      <c r="B2518" s="95"/>
      <c r="C2518" s="95"/>
      <c r="D2518" s="95"/>
      <c r="E2518" s="95"/>
      <c r="G2518" s="73"/>
      <c r="H2518" s="225"/>
    </row>
    <row r="2519" spans="1:9" s="212" customFormat="1">
      <c r="B2519" s="97"/>
      <c r="C2519" s="98"/>
      <c r="D2519" s="98"/>
      <c r="E2519" s="98"/>
      <c r="G2519" s="220"/>
    </row>
    <row r="2520" spans="1:9" s="212" customFormat="1">
      <c r="B2520" s="97"/>
      <c r="C2520" s="98"/>
      <c r="D2520" s="98"/>
      <c r="E2520" s="98"/>
      <c r="F2520" s="220"/>
      <c r="G2520" s="225"/>
      <c r="H2520" s="226"/>
    </row>
    <row r="2521" spans="1:9" s="212" customFormat="1">
      <c r="A2521" s="633"/>
      <c r="B2521" s="633"/>
      <c r="C2521" s="633"/>
      <c r="D2521" s="633"/>
      <c r="E2521" s="633"/>
      <c r="F2521" s="633"/>
      <c r="G2521" s="633"/>
    </row>
    <row r="2522" spans="1:9" s="212" customFormat="1">
      <c r="H2522" s="227"/>
      <c r="I2522" s="228"/>
    </row>
    <row r="2523" spans="1:9" s="212" customFormat="1">
      <c r="A2523" s="658"/>
      <c r="B2523" s="227"/>
      <c r="C2523" s="227"/>
      <c r="D2523" s="227"/>
      <c r="E2523" s="227"/>
      <c r="F2523" s="227"/>
      <c r="G2523" s="227"/>
      <c r="H2523" s="227"/>
      <c r="I2523" s="229"/>
    </row>
    <row r="2524" spans="1:9" s="212" customFormat="1">
      <c r="A2524" s="658"/>
      <c r="B2524" s="227"/>
      <c r="C2524" s="227"/>
      <c r="D2524" s="227"/>
      <c r="E2524" s="227"/>
      <c r="F2524" s="227"/>
      <c r="G2524" s="227"/>
    </row>
    <row r="2525" spans="1:9" s="212" customFormat="1">
      <c r="A2525" s="69"/>
      <c r="B2525" s="69"/>
      <c r="C2525" s="69"/>
      <c r="D2525" s="69"/>
      <c r="E2525" s="69"/>
    </row>
    <row r="2526" spans="1:9" s="212" customFormat="1">
      <c r="A2526" s="120"/>
      <c r="B2526" s="73"/>
      <c r="C2526" s="73"/>
      <c r="D2526" s="73"/>
      <c r="E2526" s="73"/>
      <c r="F2526" s="73"/>
      <c r="G2526" s="73"/>
      <c r="H2526" s="73"/>
    </row>
    <row r="2527" spans="1:9" s="212" customFormat="1">
      <c r="A2527" s="220"/>
      <c r="B2527" s="141"/>
      <c r="C2527" s="141"/>
      <c r="D2527" s="141"/>
      <c r="E2527" s="141"/>
      <c r="F2527" s="141"/>
      <c r="G2527" s="141"/>
      <c r="H2527" s="73"/>
    </row>
    <row r="2528" spans="1:9" s="212" customFormat="1">
      <c r="A2528" s="150"/>
      <c r="B2528" s="84"/>
      <c r="C2528" s="148"/>
      <c r="D2528" s="84"/>
      <c r="E2528" s="84"/>
      <c r="F2528" s="84"/>
      <c r="G2528" s="146"/>
      <c r="H2528" s="221"/>
    </row>
    <row r="2529" spans="1:8" s="212" customFormat="1">
      <c r="A2529" s="84"/>
      <c r="B2529" s="83"/>
      <c r="C2529" s="84"/>
      <c r="D2529" s="84"/>
      <c r="E2529" s="84"/>
      <c r="G2529" s="213"/>
      <c r="H2529" s="222"/>
    </row>
    <row r="2530" spans="1:8" s="212" customFormat="1">
      <c r="A2530" s="120"/>
      <c r="B2530" s="73"/>
      <c r="C2530" s="73"/>
      <c r="D2530" s="73"/>
      <c r="E2530" s="73"/>
      <c r="G2530" s="73"/>
      <c r="H2530" s="222"/>
    </row>
    <row r="2531" spans="1:8" s="212" customFormat="1">
      <c r="A2531" s="220"/>
      <c r="B2531" s="141"/>
      <c r="C2531" s="141"/>
      <c r="D2531" s="141"/>
      <c r="E2531" s="141"/>
      <c r="F2531" s="141"/>
      <c r="G2531" s="141"/>
      <c r="H2531" s="222"/>
    </row>
    <row r="2532" spans="1:8" s="212" customFormat="1">
      <c r="A2532" s="150"/>
      <c r="B2532" s="83"/>
      <c r="C2532" s="148"/>
      <c r="D2532" s="168"/>
      <c r="E2532" s="84"/>
      <c r="F2532" s="84"/>
      <c r="G2532" s="146"/>
      <c r="H2532" s="221"/>
    </row>
    <row r="2533" spans="1:8" s="212" customFormat="1">
      <c r="A2533" s="91"/>
      <c r="B2533" s="91"/>
      <c r="C2533" s="91"/>
      <c r="D2533" s="91"/>
      <c r="E2533" s="91"/>
      <c r="G2533" s="213"/>
      <c r="H2533" s="222"/>
    </row>
    <row r="2534" spans="1:8" s="212" customFormat="1" ht="21" customHeight="1">
      <c r="A2534" s="120"/>
      <c r="B2534" s="73"/>
      <c r="C2534" s="73"/>
      <c r="D2534" s="73"/>
      <c r="E2534" s="73"/>
      <c r="G2534" s="73"/>
      <c r="H2534" s="222"/>
    </row>
    <row r="2535" spans="1:8" s="212" customFormat="1">
      <c r="A2535" s="220"/>
      <c r="B2535" s="141"/>
      <c r="C2535" s="141"/>
      <c r="D2535" s="141"/>
      <c r="E2535" s="141"/>
      <c r="F2535" s="141"/>
      <c r="G2535" s="141"/>
      <c r="H2535" s="222"/>
    </row>
    <row r="2536" spans="1:8" s="212" customFormat="1">
      <c r="A2536" s="142"/>
      <c r="B2536" s="143"/>
      <c r="C2536" s="143"/>
      <c r="D2536" s="143"/>
      <c r="E2536" s="143"/>
      <c r="F2536" s="84"/>
      <c r="G2536" s="146"/>
      <c r="H2536" s="221"/>
    </row>
    <row r="2537" spans="1:8" s="212" customFormat="1">
      <c r="A2537" s="91"/>
      <c r="B2537" s="91"/>
      <c r="C2537" s="91"/>
      <c r="D2537" s="91"/>
      <c r="E2537" s="91"/>
      <c r="G2537" s="213"/>
      <c r="H2537" s="222"/>
    </row>
    <row r="2538" spans="1:8" s="212" customFormat="1">
      <c r="A2538" s="120"/>
      <c r="B2538" s="73"/>
      <c r="C2538" s="73"/>
      <c r="D2538" s="73"/>
      <c r="E2538" s="73"/>
      <c r="G2538" s="73"/>
      <c r="H2538" s="222"/>
    </row>
    <row r="2539" spans="1:8" s="212" customFormat="1">
      <c r="A2539" s="220"/>
      <c r="B2539" s="141"/>
      <c r="C2539" s="141"/>
      <c r="D2539" s="141"/>
      <c r="E2539" s="141"/>
      <c r="F2539" s="141"/>
      <c r="G2539" s="141"/>
      <c r="H2539" s="222"/>
    </row>
    <row r="2540" spans="1:8" s="212" customFormat="1">
      <c r="A2540" s="142"/>
      <c r="B2540" s="143"/>
      <c r="C2540" s="143"/>
      <c r="D2540" s="143"/>
      <c r="E2540" s="143"/>
      <c r="F2540" s="84"/>
      <c r="G2540" s="146"/>
      <c r="H2540" s="221"/>
    </row>
    <row r="2541" spans="1:8" s="212" customFormat="1">
      <c r="A2541" s="123"/>
      <c r="B2541" s="95"/>
      <c r="C2541" s="95"/>
      <c r="D2541" s="95"/>
      <c r="E2541" s="95"/>
      <c r="G2541" s="213"/>
      <c r="H2541" s="73"/>
    </row>
    <row r="2542" spans="1:8" s="212" customFormat="1">
      <c r="A2542" s="123"/>
      <c r="B2542" s="95"/>
      <c r="C2542" s="95"/>
      <c r="D2542" s="95"/>
      <c r="E2542" s="95"/>
      <c r="G2542" s="73"/>
      <c r="H2542" s="225"/>
    </row>
    <row r="2543" spans="1:8" s="212" customFormat="1">
      <c r="B2543" s="97"/>
      <c r="C2543" s="98"/>
      <c r="D2543" s="98"/>
      <c r="E2543" s="98"/>
      <c r="G2543" s="220"/>
    </row>
    <row r="2544" spans="1:8" s="212" customFormat="1">
      <c r="B2544" s="97"/>
      <c r="C2544" s="98"/>
      <c r="D2544" s="98"/>
      <c r="E2544" s="98"/>
      <c r="F2544" s="220"/>
      <c r="G2544" s="225"/>
      <c r="H2544" s="226"/>
    </row>
    <row r="2545" spans="1:9" s="212" customFormat="1">
      <c r="A2545" s="633"/>
      <c r="B2545" s="633"/>
      <c r="C2545" s="633"/>
      <c r="D2545" s="633"/>
      <c r="E2545" s="633"/>
      <c r="F2545" s="633"/>
      <c r="G2545" s="633"/>
    </row>
    <row r="2546" spans="1:9" s="212" customFormat="1">
      <c r="H2546" s="227"/>
      <c r="I2546" s="228"/>
    </row>
    <row r="2547" spans="1:9" s="212" customFormat="1">
      <c r="A2547" s="658"/>
      <c r="B2547" s="227"/>
      <c r="C2547" s="227"/>
      <c r="D2547" s="227"/>
      <c r="E2547" s="227"/>
      <c r="F2547" s="227"/>
      <c r="G2547" s="227"/>
      <c r="H2547" s="227"/>
      <c r="I2547" s="229"/>
    </row>
    <row r="2548" spans="1:9" s="212" customFormat="1">
      <c r="A2548" s="658"/>
      <c r="B2548" s="227"/>
      <c r="C2548" s="227"/>
      <c r="D2548" s="227"/>
      <c r="E2548" s="227"/>
      <c r="F2548" s="227"/>
      <c r="G2548" s="227"/>
    </row>
    <row r="2549" spans="1:9" s="212" customFormat="1">
      <c r="A2549" s="69"/>
      <c r="B2549" s="69"/>
      <c r="C2549" s="69"/>
      <c r="D2549" s="69"/>
      <c r="E2549" s="69"/>
    </row>
    <row r="2550" spans="1:9" s="212" customFormat="1">
      <c r="A2550" s="120"/>
      <c r="B2550" s="73"/>
      <c r="C2550" s="73"/>
      <c r="D2550" s="73"/>
      <c r="E2550" s="73"/>
      <c r="F2550" s="73"/>
      <c r="G2550" s="73"/>
      <c r="H2550" s="73"/>
    </row>
    <row r="2551" spans="1:9" s="212" customFormat="1">
      <c r="A2551" s="220"/>
      <c r="B2551" s="141"/>
      <c r="C2551" s="141"/>
      <c r="D2551" s="141"/>
      <c r="E2551" s="141"/>
      <c r="F2551" s="141"/>
      <c r="G2551" s="141"/>
      <c r="H2551" s="73"/>
    </row>
    <row r="2552" spans="1:9" s="212" customFormat="1">
      <c r="A2552" s="150"/>
      <c r="B2552" s="84"/>
      <c r="C2552" s="148"/>
      <c r="D2552" s="84"/>
      <c r="E2552" s="84"/>
      <c r="F2552" s="84"/>
      <c r="G2552" s="146"/>
      <c r="H2552" s="221"/>
    </row>
    <row r="2553" spans="1:9" s="212" customFormat="1">
      <c r="A2553" s="84"/>
      <c r="B2553" s="83"/>
      <c r="C2553" s="84"/>
      <c r="D2553" s="84"/>
      <c r="E2553" s="84"/>
      <c r="G2553" s="213"/>
      <c r="H2553" s="222"/>
    </row>
    <row r="2554" spans="1:9" s="212" customFormat="1">
      <c r="A2554" s="120"/>
      <c r="B2554" s="73"/>
      <c r="C2554" s="73"/>
      <c r="D2554" s="73"/>
      <c r="E2554" s="73"/>
      <c r="G2554" s="73"/>
      <c r="H2554" s="222"/>
    </row>
    <row r="2555" spans="1:9" s="212" customFormat="1">
      <c r="A2555" s="220"/>
      <c r="B2555" s="141"/>
      <c r="C2555" s="141"/>
      <c r="D2555" s="141"/>
      <c r="E2555" s="141"/>
      <c r="F2555" s="141"/>
      <c r="G2555" s="141"/>
      <c r="H2555" s="222"/>
    </row>
    <row r="2556" spans="1:9" s="212" customFormat="1">
      <c r="A2556" s="150"/>
      <c r="B2556" s="83"/>
      <c r="C2556" s="148"/>
      <c r="D2556" s="168"/>
      <c r="E2556" s="84"/>
      <c r="F2556" s="84"/>
      <c r="G2556" s="146"/>
      <c r="H2556" s="221"/>
    </row>
    <row r="2557" spans="1:9" s="212" customFormat="1">
      <c r="A2557" s="91"/>
      <c r="B2557" s="91"/>
      <c r="C2557" s="91"/>
      <c r="D2557" s="91"/>
      <c r="E2557" s="91"/>
      <c r="G2557" s="213"/>
      <c r="H2557" s="222"/>
    </row>
    <row r="2558" spans="1:9" s="212" customFormat="1">
      <c r="A2558" s="120"/>
      <c r="B2558" s="73"/>
      <c r="C2558" s="73"/>
      <c r="D2558" s="73"/>
      <c r="E2558" s="73"/>
      <c r="G2558" s="73"/>
      <c r="H2558" s="222"/>
    </row>
    <row r="2559" spans="1:9" s="212" customFormat="1">
      <c r="A2559" s="220"/>
      <c r="B2559" s="141"/>
      <c r="C2559" s="141"/>
      <c r="D2559" s="141"/>
      <c r="E2559" s="141"/>
      <c r="F2559" s="141"/>
      <c r="G2559" s="141"/>
      <c r="H2559" s="222"/>
    </row>
    <row r="2560" spans="1:9" s="212" customFormat="1">
      <c r="A2560" s="142"/>
      <c r="B2560" s="143"/>
      <c r="C2560" s="143"/>
      <c r="D2560" s="143"/>
      <c r="E2560" s="143"/>
      <c r="F2560" s="84"/>
      <c r="G2560" s="146"/>
      <c r="H2560" s="221"/>
    </row>
    <row r="2561" spans="1:9" s="212" customFormat="1">
      <c r="A2561" s="91"/>
      <c r="B2561" s="91"/>
      <c r="C2561" s="91"/>
      <c r="D2561" s="91"/>
      <c r="E2561" s="91"/>
      <c r="G2561" s="213"/>
      <c r="H2561" s="222"/>
    </row>
    <row r="2562" spans="1:9" s="212" customFormat="1">
      <c r="A2562" s="120"/>
      <c r="B2562" s="73"/>
      <c r="C2562" s="73"/>
      <c r="D2562" s="73"/>
      <c r="E2562" s="73"/>
      <c r="G2562" s="73"/>
      <c r="H2562" s="222"/>
    </row>
    <row r="2563" spans="1:9" s="212" customFormat="1">
      <c r="A2563" s="220"/>
      <c r="B2563" s="141"/>
      <c r="C2563" s="141"/>
      <c r="D2563" s="141"/>
      <c r="E2563" s="141"/>
      <c r="F2563" s="141"/>
      <c r="G2563" s="141"/>
      <c r="H2563" s="222"/>
    </row>
    <row r="2564" spans="1:9" s="212" customFormat="1">
      <c r="A2564" s="142"/>
      <c r="B2564" s="143"/>
      <c r="C2564" s="143"/>
      <c r="D2564" s="143"/>
      <c r="E2564" s="143"/>
      <c r="F2564" s="84"/>
      <c r="G2564" s="146"/>
      <c r="H2564" s="221"/>
    </row>
    <row r="2565" spans="1:9" s="212" customFormat="1">
      <c r="A2565" s="123"/>
      <c r="B2565" s="95"/>
      <c r="C2565" s="95"/>
      <c r="D2565" s="95"/>
      <c r="E2565" s="95"/>
      <c r="G2565" s="213"/>
      <c r="H2565" s="73"/>
    </row>
    <row r="2566" spans="1:9" s="212" customFormat="1">
      <c r="A2566" s="123"/>
      <c r="B2566" s="95"/>
      <c r="C2566" s="95"/>
      <c r="D2566" s="95"/>
      <c r="E2566" s="95"/>
      <c r="G2566" s="73"/>
      <c r="H2566" s="225"/>
    </row>
    <row r="2567" spans="1:9" s="212" customFormat="1" ht="21" customHeight="1">
      <c r="B2567" s="97"/>
      <c r="C2567" s="98"/>
      <c r="D2567" s="98"/>
      <c r="E2567" s="98"/>
      <c r="G2567" s="220"/>
    </row>
    <row r="2568" spans="1:9" s="212" customFormat="1">
      <c r="B2568" s="97"/>
      <c r="C2568" s="98"/>
      <c r="D2568" s="98"/>
      <c r="E2568" s="98"/>
      <c r="F2568" s="220"/>
      <c r="G2568" s="225"/>
      <c r="H2568" s="226"/>
    </row>
    <row r="2569" spans="1:9" s="212" customFormat="1">
      <c r="A2569" s="633"/>
      <c r="B2569" s="633"/>
      <c r="C2569" s="633"/>
      <c r="D2569" s="633"/>
      <c r="E2569" s="633"/>
      <c r="F2569" s="633"/>
      <c r="G2569" s="633"/>
    </row>
    <row r="2570" spans="1:9" s="212" customFormat="1">
      <c r="H2570" s="227"/>
      <c r="I2570" s="228"/>
    </row>
    <row r="2571" spans="1:9" s="212" customFormat="1">
      <c r="A2571" s="658"/>
      <c r="B2571" s="227"/>
      <c r="C2571" s="227"/>
      <c r="D2571" s="227"/>
      <c r="E2571" s="227"/>
      <c r="F2571" s="227"/>
      <c r="G2571" s="227"/>
      <c r="H2571" s="227"/>
      <c r="I2571" s="229"/>
    </row>
    <row r="2572" spans="1:9" s="212" customFormat="1">
      <c r="A2572" s="658"/>
      <c r="B2572" s="227"/>
      <c r="C2572" s="227"/>
      <c r="D2572" s="227"/>
      <c r="E2572" s="227"/>
      <c r="F2572" s="227"/>
      <c r="G2572" s="227"/>
    </row>
    <row r="2573" spans="1:9" s="212" customFormat="1">
      <c r="A2573" s="69"/>
      <c r="B2573" s="69"/>
      <c r="C2573" s="69"/>
      <c r="D2573" s="69"/>
      <c r="E2573" s="69"/>
    </row>
    <row r="2574" spans="1:9" s="212" customFormat="1">
      <c r="A2574" s="120"/>
      <c r="B2574" s="73"/>
      <c r="C2574" s="73"/>
      <c r="D2574" s="73"/>
      <c r="E2574" s="73"/>
      <c r="F2574" s="73"/>
      <c r="G2574" s="73"/>
      <c r="H2574" s="73"/>
    </row>
    <row r="2575" spans="1:9" s="212" customFormat="1">
      <c r="A2575" s="220"/>
      <c r="B2575" s="141"/>
      <c r="C2575" s="141"/>
      <c r="D2575" s="141"/>
      <c r="E2575" s="141"/>
      <c r="F2575" s="141"/>
      <c r="G2575" s="141"/>
      <c r="H2575" s="73"/>
    </row>
    <row r="2576" spans="1:9" s="212" customFormat="1">
      <c r="A2576" s="150"/>
      <c r="B2576" s="84"/>
      <c r="C2576" s="148"/>
      <c r="D2576" s="84"/>
      <c r="E2576" s="84"/>
      <c r="F2576" s="84"/>
      <c r="G2576" s="146"/>
      <c r="H2576" s="221"/>
    </row>
    <row r="2577" spans="1:8" s="212" customFormat="1">
      <c r="A2577" s="84"/>
      <c r="B2577" s="83"/>
      <c r="C2577" s="84"/>
      <c r="D2577" s="84"/>
      <c r="E2577" s="84"/>
      <c r="G2577" s="213"/>
      <c r="H2577" s="222"/>
    </row>
    <row r="2578" spans="1:8" s="212" customFormat="1">
      <c r="A2578" s="120"/>
      <c r="B2578" s="73"/>
      <c r="C2578" s="73"/>
      <c r="D2578" s="73"/>
      <c r="E2578" s="73"/>
      <c r="G2578" s="73"/>
      <c r="H2578" s="222"/>
    </row>
    <row r="2579" spans="1:8" s="212" customFormat="1">
      <c r="A2579" s="220"/>
      <c r="B2579" s="141"/>
      <c r="C2579" s="141"/>
      <c r="D2579" s="141"/>
      <c r="E2579" s="141"/>
      <c r="F2579" s="141"/>
      <c r="G2579" s="141"/>
      <c r="H2579" s="222"/>
    </row>
    <row r="2580" spans="1:8" s="212" customFormat="1">
      <c r="A2580" s="150"/>
      <c r="B2580" s="83"/>
      <c r="C2580" s="148"/>
      <c r="D2580" s="168"/>
      <c r="E2580" s="84"/>
      <c r="F2580" s="84"/>
      <c r="G2580" s="146"/>
      <c r="H2580" s="221"/>
    </row>
    <row r="2581" spans="1:8" s="212" customFormat="1">
      <c r="A2581" s="91"/>
      <c r="B2581" s="91"/>
      <c r="C2581" s="91"/>
      <c r="D2581" s="91"/>
      <c r="E2581" s="91"/>
      <c r="G2581" s="213"/>
      <c r="H2581" s="222"/>
    </row>
    <row r="2582" spans="1:8" s="212" customFormat="1">
      <c r="A2582" s="120"/>
      <c r="B2582" s="73"/>
      <c r="C2582" s="73"/>
      <c r="D2582" s="73"/>
      <c r="E2582" s="73"/>
      <c r="G2582" s="73"/>
      <c r="H2582" s="222"/>
    </row>
    <row r="2583" spans="1:8" s="212" customFormat="1">
      <c r="A2583" s="220"/>
      <c r="B2583" s="141"/>
      <c r="C2583" s="141"/>
      <c r="D2583" s="141"/>
      <c r="E2583" s="141"/>
      <c r="F2583" s="141"/>
      <c r="G2583" s="141"/>
      <c r="H2583" s="222"/>
    </row>
    <row r="2584" spans="1:8" s="212" customFormat="1">
      <c r="A2584" s="142"/>
      <c r="B2584" s="143"/>
      <c r="C2584" s="143"/>
      <c r="D2584" s="143"/>
      <c r="E2584" s="143"/>
      <c r="F2584" s="84"/>
      <c r="G2584" s="146"/>
      <c r="H2584" s="221"/>
    </row>
    <row r="2585" spans="1:8" s="212" customFormat="1">
      <c r="A2585" s="91"/>
      <c r="B2585" s="91"/>
      <c r="C2585" s="91"/>
      <c r="D2585" s="91"/>
      <c r="E2585" s="91"/>
      <c r="G2585" s="213"/>
      <c r="H2585" s="222"/>
    </row>
    <row r="2586" spans="1:8" s="212" customFormat="1">
      <c r="A2586" s="120"/>
      <c r="B2586" s="73"/>
      <c r="C2586" s="73"/>
      <c r="D2586" s="73"/>
      <c r="E2586" s="73"/>
      <c r="G2586" s="73"/>
      <c r="H2586" s="222"/>
    </row>
    <row r="2587" spans="1:8" s="212" customFormat="1">
      <c r="A2587" s="220"/>
      <c r="B2587" s="141"/>
      <c r="C2587" s="141"/>
      <c r="D2587" s="141"/>
      <c r="E2587" s="141"/>
      <c r="F2587" s="141"/>
      <c r="G2587" s="141"/>
      <c r="H2587" s="222"/>
    </row>
    <row r="2588" spans="1:8" s="212" customFormat="1">
      <c r="A2588" s="142"/>
      <c r="B2588" s="143"/>
      <c r="C2588" s="143"/>
      <c r="D2588" s="143"/>
      <c r="E2588" s="143"/>
      <c r="F2588" s="84"/>
      <c r="G2588" s="146"/>
      <c r="H2588" s="221"/>
    </row>
    <row r="2589" spans="1:8" s="212" customFormat="1">
      <c r="A2589" s="123"/>
      <c r="B2589" s="95"/>
      <c r="C2589" s="95"/>
      <c r="D2589" s="95"/>
      <c r="E2589" s="95"/>
      <c r="G2589" s="213"/>
      <c r="H2589" s="73"/>
    </row>
    <row r="2590" spans="1:8" s="212" customFormat="1">
      <c r="A2590" s="123"/>
      <c r="B2590" s="95"/>
      <c r="C2590" s="95"/>
      <c r="D2590" s="95"/>
      <c r="E2590" s="95"/>
      <c r="G2590" s="73"/>
      <c r="H2590" s="225"/>
    </row>
    <row r="2591" spans="1:8" s="212" customFormat="1">
      <c r="B2591" s="97"/>
      <c r="C2591" s="98"/>
      <c r="D2591" s="98"/>
      <c r="E2591" s="98"/>
      <c r="G2591" s="220"/>
    </row>
    <row r="2592" spans="1:8" s="212" customFormat="1">
      <c r="B2592" s="97"/>
      <c r="C2592" s="98"/>
      <c r="D2592" s="98"/>
      <c r="E2592" s="98"/>
      <c r="F2592" s="220"/>
      <c r="G2592" s="225"/>
      <c r="H2592" s="226"/>
    </row>
    <row r="2593" spans="1:9" s="212" customFormat="1">
      <c r="A2593" s="633"/>
      <c r="B2593" s="633"/>
      <c r="C2593" s="633"/>
      <c r="D2593" s="633"/>
      <c r="E2593" s="633"/>
      <c r="F2593" s="633"/>
      <c r="G2593" s="633"/>
    </row>
    <row r="2594" spans="1:9" s="212" customFormat="1">
      <c r="H2594" s="227"/>
      <c r="I2594" s="228"/>
    </row>
    <row r="2595" spans="1:9" s="212" customFormat="1">
      <c r="A2595" s="658"/>
      <c r="B2595" s="227"/>
      <c r="C2595" s="227"/>
      <c r="D2595" s="227"/>
      <c r="E2595" s="227"/>
      <c r="F2595" s="227"/>
      <c r="G2595" s="227"/>
      <c r="H2595" s="227"/>
      <c r="I2595" s="229"/>
    </row>
    <row r="2596" spans="1:9" s="212" customFormat="1">
      <c r="A2596" s="658"/>
      <c r="B2596" s="227"/>
      <c r="C2596" s="227"/>
      <c r="D2596" s="227"/>
      <c r="E2596" s="227"/>
      <c r="F2596" s="227"/>
      <c r="G2596" s="227"/>
    </row>
    <row r="2597" spans="1:9" s="212" customFormat="1">
      <c r="A2597" s="69"/>
      <c r="B2597" s="69"/>
      <c r="C2597" s="69"/>
      <c r="D2597" s="69"/>
      <c r="E2597" s="69"/>
    </row>
    <row r="2598" spans="1:9" s="212" customFormat="1">
      <c r="A2598" s="120"/>
      <c r="B2598" s="73"/>
      <c r="C2598" s="73"/>
      <c r="D2598" s="73"/>
      <c r="E2598" s="73"/>
      <c r="F2598" s="73"/>
      <c r="G2598" s="73"/>
      <c r="H2598" s="73"/>
    </row>
    <row r="2599" spans="1:9" s="212" customFormat="1">
      <c r="A2599" s="220"/>
      <c r="B2599" s="141"/>
      <c r="C2599" s="141"/>
      <c r="D2599" s="141"/>
      <c r="E2599" s="141"/>
      <c r="F2599" s="141"/>
      <c r="G2599" s="141"/>
      <c r="H2599" s="73"/>
    </row>
    <row r="2600" spans="1:9" s="212" customFormat="1">
      <c r="A2600" s="150"/>
      <c r="B2600" s="84"/>
      <c r="C2600" s="148"/>
      <c r="D2600" s="84"/>
      <c r="E2600" s="84"/>
      <c r="F2600" s="84"/>
      <c r="G2600" s="146"/>
      <c r="H2600" s="221"/>
    </row>
    <row r="2601" spans="1:9" s="212" customFormat="1">
      <c r="A2601" s="84"/>
      <c r="B2601" s="83"/>
      <c r="C2601" s="84"/>
      <c r="D2601" s="84"/>
      <c r="E2601" s="84"/>
      <c r="G2601" s="213"/>
      <c r="H2601" s="222"/>
    </row>
    <row r="2602" spans="1:9" s="212" customFormat="1">
      <c r="A2602" s="120"/>
      <c r="B2602" s="73"/>
      <c r="C2602" s="73"/>
      <c r="D2602" s="73"/>
      <c r="E2602" s="73"/>
      <c r="G2602" s="73"/>
      <c r="H2602" s="222"/>
    </row>
    <row r="2603" spans="1:9" s="212" customFormat="1">
      <c r="A2603" s="220"/>
      <c r="B2603" s="141"/>
      <c r="C2603" s="141"/>
      <c r="D2603" s="141"/>
      <c r="E2603" s="141"/>
      <c r="F2603" s="141"/>
      <c r="G2603" s="141"/>
      <c r="H2603" s="222"/>
    </row>
    <row r="2604" spans="1:9" s="212" customFormat="1">
      <c r="A2604" s="150"/>
      <c r="B2604" s="83"/>
      <c r="C2604" s="148"/>
      <c r="D2604" s="168"/>
      <c r="E2604" s="84"/>
      <c r="F2604" s="84"/>
      <c r="G2604" s="146"/>
      <c r="H2604" s="221"/>
    </row>
    <row r="2605" spans="1:9" s="212" customFormat="1">
      <c r="A2605" s="91"/>
      <c r="B2605" s="91"/>
      <c r="C2605" s="91"/>
      <c r="D2605" s="91"/>
      <c r="E2605" s="91"/>
      <c r="G2605" s="213"/>
      <c r="H2605" s="222"/>
    </row>
    <row r="2606" spans="1:9" s="212" customFormat="1">
      <c r="A2606" s="120"/>
      <c r="B2606" s="73"/>
      <c r="C2606" s="73"/>
      <c r="D2606" s="73"/>
      <c r="E2606" s="73"/>
      <c r="G2606" s="73"/>
      <c r="H2606" s="222"/>
    </row>
    <row r="2607" spans="1:9" s="212" customFormat="1">
      <c r="A2607" s="220"/>
      <c r="B2607" s="141"/>
      <c r="C2607" s="141"/>
      <c r="D2607" s="141"/>
      <c r="E2607" s="141"/>
      <c r="F2607" s="141"/>
      <c r="G2607" s="141"/>
      <c r="H2607" s="222"/>
    </row>
    <row r="2608" spans="1:9" s="212" customFormat="1">
      <c r="A2608" s="142"/>
      <c r="B2608" s="143"/>
      <c r="C2608" s="143"/>
      <c r="D2608" s="143"/>
      <c r="E2608" s="143"/>
      <c r="F2608" s="84"/>
      <c r="G2608" s="146"/>
      <c r="H2608" s="221"/>
    </row>
    <row r="2609" spans="1:9" s="212" customFormat="1">
      <c r="A2609" s="91"/>
      <c r="B2609" s="91"/>
      <c r="C2609" s="91"/>
      <c r="D2609" s="91"/>
      <c r="E2609" s="91"/>
      <c r="G2609" s="213"/>
      <c r="H2609" s="222"/>
    </row>
    <row r="2610" spans="1:9" s="212" customFormat="1">
      <c r="A2610" s="120"/>
      <c r="B2610" s="73"/>
      <c r="C2610" s="73"/>
      <c r="D2610" s="73"/>
      <c r="E2610" s="73"/>
      <c r="G2610" s="73"/>
      <c r="H2610" s="222"/>
    </row>
    <row r="2611" spans="1:9" s="212" customFormat="1">
      <c r="A2611" s="220"/>
      <c r="B2611" s="141"/>
      <c r="C2611" s="141"/>
      <c r="D2611" s="141"/>
      <c r="E2611" s="141"/>
      <c r="F2611" s="141"/>
      <c r="G2611" s="141"/>
      <c r="H2611" s="222"/>
    </row>
    <row r="2612" spans="1:9" s="212" customFormat="1">
      <c r="A2612" s="142"/>
      <c r="B2612" s="143"/>
      <c r="C2612" s="143"/>
      <c r="D2612" s="143"/>
      <c r="E2612" s="143"/>
      <c r="F2612" s="84"/>
      <c r="G2612" s="146"/>
      <c r="H2612" s="221"/>
    </row>
    <row r="2613" spans="1:9" s="212" customFormat="1">
      <c r="A2613" s="123"/>
      <c r="B2613" s="95"/>
      <c r="C2613" s="95"/>
      <c r="D2613" s="95"/>
      <c r="E2613" s="95"/>
      <c r="G2613" s="213"/>
      <c r="H2613" s="73"/>
    </row>
    <row r="2614" spans="1:9" s="212" customFormat="1">
      <c r="A2614" s="123"/>
      <c r="B2614" s="95"/>
      <c r="C2614" s="95"/>
      <c r="D2614" s="95"/>
      <c r="E2614" s="95"/>
      <c r="G2614" s="73"/>
      <c r="H2614" s="225"/>
    </row>
    <row r="2615" spans="1:9" s="212" customFormat="1">
      <c r="B2615" s="97"/>
      <c r="C2615" s="98"/>
      <c r="D2615" s="98"/>
      <c r="E2615" s="98"/>
      <c r="G2615" s="220"/>
    </row>
    <row r="2616" spans="1:9" s="212" customFormat="1">
      <c r="B2616" s="97"/>
      <c r="C2616" s="98"/>
      <c r="D2616" s="98"/>
      <c r="E2616" s="98"/>
      <c r="F2616" s="220"/>
      <c r="G2616" s="225"/>
      <c r="H2616" s="226"/>
    </row>
    <row r="2617" spans="1:9" s="212" customFormat="1">
      <c r="A2617" s="633"/>
      <c r="B2617" s="633"/>
      <c r="C2617" s="633"/>
      <c r="D2617" s="633"/>
      <c r="E2617" s="633"/>
      <c r="F2617" s="633"/>
      <c r="G2617" s="633"/>
    </row>
    <row r="2618" spans="1:9" s="212" customFormat="1">
      <c r="H2618" s="227"/>
      <c r="I2618" s="228"/>
    </row>
    <row r="2619" spans="1:9" s="212" customFormat="1">
      <c r="A2619" s="658"/>
      <c r="B2619" s="227"/>
      <c r="C2619" s="227"/>
      <c r="D2619" s="227"/>
      <c r="E2619" s="227"/>
      <c r="F2619" s="227"/>
      <c r="G2619" s="227"/>
      <c r="H2619" s="227"/>
      <c r="I2619" s="229"/>
    </row>
    <row r="2620" spans="1:9" s="212" customFormat="1">
      <c r="A2620" s="658"/>
      <c r="B2620" s="227"/>
      <c r="C2620" s="227"/>
      <c r="D2620" s="227"/>
      <c r="E2620" s="227"/>
      <c r="F2620" s="227"/>
      <c r="G2620" s="227"/>
    </row>
    <row r="2621" spans="1:9" s="212" customFormat="1">
      <c r="A2621" s="69"/>
      <c r="B2621" s="69"/>
      <c r="C2621" s="69"/>
      <c r="D2621" s="69"/>
      <c r="E2621" s="69"/>
    </row>
    <row r="2622" spans="1:9" s="212" customFormat="1">
      <c r="A2622" s="120"/>
      <c r="B2622" s="73"/>
      <c r="C2622" s="73"/>
      <c r="D2622" s="73"/>
      <c r="E2622" s="73"/>
      <c r="F2622" s="73"/>
      <c r="G2622" s="73"/>
      <c r="H2622" s="73"/>
    </row>
    <row r="2623" spans="1:9" s="212" customFormat="1">
      <c r="A2623" s="220"/>
      <c r="B2623" s="141"/>
      <c r="C2623" s="141"/>
      <c r="D2623" s="141"/>
      <c r="E2623" s="141"/>
      <c r="F2623" s="141"/>
      <c r="G2623" s="141"/>
      <c r="H2623" s="73"/>
    </row>
    <row r="2624" spans="1:9" s="212" customFormat="1">
      <c r="A2624" s="150"/>
      <c r="B2624" s="84"/>
      <c r="C2624" s="148"/>
      <c r="D2624" s="84"/>
      <c r="E2624" s="84"/>
      <c r="F2624" s="84"/>
      <c r="G2624" s="146"/>
      <c r="H2624" s="221"/>
    </row>
    <row r="2625" spans="1:8" s="212" customFormat="1" ht="18" customHeight="1">
      <c r="A2625" s="84"/>
      <c r="B2625" s="83"/>
      <c r="C2625" s="84"/>
      <c r="D2625" s="84"/>
      <c r="E2625" s="84"/>
      <c r="G2625" s="213"/>
      <c r="H2625" s="222"/>
    </row>
    <row r="2626" spans="1:8" s="212" customFormat="1">
      <c r="A2626" s="120"/>
      <c r="B2626" s="73"/>
      <c r="C2626" s="73"/>
      <c r="D2626" s="73"/>
      <c r="E2626" s="73"/>
      <c r="G2626" s="73"/>
      <c r="H2626" s="222"/>
    </row>
    <row r="2627" spans="1:8" s="212" customFormat="1">
      <c r="A2627" s="220"/>
      <c r="B2627" s="141"/>
      <c r="C2627" s="141"/>
      <c r="D2627" s="141"/>
      <c r="E2627" s="141"/>
      <c r="F2627" s="141"/>
      <c r="G2627" s="141"/>
      <c r="H2627" s="222"/>
    </row>
    <row r="2628" spans="1:8" s="212" customFormat="1">
      <c r="A2628" s="150"/>
      <c r="B2628" s="83"/>
      <c r="C2628" s="148"/>
      <c r="D2628" s="168"/>
      <c r="E2628" s="84"/>
      <c r="F2628" s="84"/>
      <c r="G2628" s="146"/>
      <c r="H2628" s="221"/>
    </row>
    <row r="2629" spans="1:8" s="212" customFormat="1">
      <c r="A2629" s="91"/>
      <c r="B2629" s="91"/>
      <c r="C2629" s="91"/>
      <c r="D2629" s="91"/>
      <c r="E2629" s="91"/>
      <c r="G2629" s="213"/>
      <c r="H2629" s="222"/>
    </row>
    <row r="2630" spans="1:8" s="212" customFormat="1">
      <c r="A2630" s="120"/>
      <c r="B2630" s="73"/>
      <c r="C2630" s="73"/>
      <c r="D2630" s="73"/>
      <c r="E2630" s="73"/>
      <c r="G2630" s="73"/>
      <c r="H2630" s="222"/>
    </row>
    <row r="2631" spans="1:8" s="212" customFormat="1">
      <c r="A2631" s="220"/>
      <c r="B2631" s="141"/>
      <c r="C2631" s="141"/>
      <c r="D2631" s="141"/>
      <c r="E2631" s="141"/>
      <c r="F2631" s="141"/>
      <c r="G2631" s="141"/>
      <c r="H2631" s="222"/>
    </row>
    <row r="2632" spans="1:8" s="212" customFormat="1">
      <c r="A2632" s="142"/>
      <c r="B2632" s="143"/>
      <c r="C2632" s="143"/>
      <c r="D2632" s="143"/>
      <c r="E2632" s="143"/>
      <c r="F2632" s="84"/>
      <c r="G2632" s="146"/>
      <c r="H2632" s="221"/>
    </row>
    <row r="2633" spans="1:8" s="212" customFormat="1">
      <c r="A2633" s="91"/>
      <c r="B2633" s="91"/>
      <c r="C2633" s="91"/>
      <c r="D2633" s="91"/>
      <c r="E2633" s="91"/>
      <c r="G2633" s="213"/>
      <c r="H2633" s="222"/>
    </row>
    <row r="2634" spans="1:8" s="212" customFormat="1">
      <c r="A2634" s="120"/>
      <c r="B2634" s="73"/>
      <c r="C2634" s="73"/>
      <c r="D2634" s="73"/>
      <c r="E2634" s="73"/>
      <c r="G2634" s="73"/>
      <c r="H2634" s="222"/>
    </row>
    <row r="2635" spans="1:8" s="212" customFormat="1">
      <c r="A2635" s="220"/>
      <c r="B2635" s="141"/>
      <c r="C2635" s="141"/>
      <c r="D2635" s="141"/>
      <c r="E2635" s="141"/>
      <c r="F2635" s="141"/>
      <c r="G2635" s="141"/>
      <c r="H2635" s="222"/>
    </row>
    <row r="2636" spans="1:8" s="212" customFormat="1">
      <c r="A2636" s="142"/>
      <c r="B2636" s="143"/>
      <c r="C2636" s="143"/>
      <c r="D2636" s="143"/>
      <c r="E2636" s="143"/>
      <c r="F2636" s="84"/>
      <c r="G2636" s="146"/>
      <c r="H2636" s="221"/>
    </row>
    <row r="2637" spans="1:8" s="212" customFormat="1">
      <c r="A2637" s="123"/>
      <c r="B2637" s="95"/>
      <c r="C2637" s="95"/>
      <c r="D2637" s="95"/>
      <c r="E2637" s="95"/>
      <c r="G2637" s="213"/>
      <c r="H2637" s="73"/>
    </row>
    <row r="2638" spans="1:8" s="212" customFormat="1">
      <c r="A2638" s="123"/>
      <c r="B2638" s="95"/>
      <c r="C2638" s="95"/>
      <c r="D2638" s="95"/>
      <c r="E2638" s="95"/>
      <c r="G2638" s="73"/>
      <c r="H2638" s="225"/>
    </row>
    <row r="2639" spans="1:8" s="212" customFormat="1">
      <c r="B2639" s="97"/>
      <c r="C2639" s="98"/>
      <c r="D2639" s="98"/>
      <c r="E2639" s="98"/>
      <c r="G2639" s="220"/>
    </row>
    <row r="2640" spans="1:8" s="212" customFormat="1">
      <c r="B2640" s="97"/>
      <c r="C2640" s="98"/>
      <c r="D2640" s="98"/>
      <c r="E2640" s="98"/>
      <c r="F2640" s="220"/>
      <c r="G2640" s="225"/>
      <c r="H2640" s="226"/>
    </row>
    <row r="2641" spans="1:9" s="212" customFormat="1">
      <c r="A2641" s="633"/>
      <c r="B2641" s="633"/>
      <c r="C2641" s="633"/>
      <c r="D2641" s="633"/>
      <c r="E2641" s="633"/>
      <c r="F2641" s="633"/>
      <c r="G2641" s="633"/>
    </row>
    <row r="2642" spans="1:9" s="212" customFormat="1">
      <c r="H2642" s="227"/>
      <c r="I2642" s="228"/>
    </row>
    <row r="2643" spans="1:9" s="212" customFormat="1">
      <c r="A2643" s="658"/>
      <c r="B2643" s="227"/>
      <c r="C2643" s="227"/>
      <c r="D2643" s="227"/>
      <c r="E2643" s="227"/>
      <c r="F2643" s="227"/>
      <c r="G2643" s="227"/>
      <c r="H2643" s="227"/>
      <c r="I2643" s="229"/>
    </row>
    <row r="2644" spans="1:9" s="212" customFormat="1">
      <c r="A2644" s="658"/>
      <c r="B2644" s="227"/>
      <c r="C2644" s="227"/>
      <c r="D2644" s="227"/>
      <c r="E2644" s="227"/>
      <c r="F2644" s="227"/>
      <c r="G2644" s="227"/>
    </row>
    <row r="2645" spans="1:9" s="212" customFormat="1">
      <c r="A2645" s="69"/>
      <c r="B2645" s="69"/>
      <c r="C2645" s="69"/>
      <c r="D2645" s="69"/>
      <c r="E2645" s="69"/>
    </row>
    <row r="2646" spans="1:9" s="212" customFormat="1">
      <c r="A2646" s="120"/>
      <c r="B2646" s="73"/>
      <c r="C2646" s="73"/>
      <c r="D2646" s="73"/>
      <c r="E2646" s="73"/>
      <c r="F2646" s="73"/>
      <c r="G2646" s="73"/>
      <c r="H2646" s="73"/>
    </row>
    <row r="2647" spans="1:9" s="212" customFormat="1">
      <c r="A2647" s="220"/>
      <c r="B2647" s="141"/>
      <c r="C2647" s="141"/>
      <c r="D2647" s="141"/>
      <c r="E2647" s="141"/>
      <c r="F2647" s="141"/>
      <c r="G2647" s="141"/>
      <c r="H2647" s="73"/>
    </row>
    <row r="2648" spans="1:9" s="212" customFormat="1">
      <c r="A2648" s="150"/>
      <c r="B2648" s="84"/>
      <c r="C2648" s="148"/>
      <c r="D2648" s="84"/>
      <c r="E2648" s="84"/>
      <c r="F2648" s="84"/>
      <c r="G2648" s="146"/>
      <c r="H2648" s="221"/>
    </row>
    <row r="2649" spans="1:9" s="212" customFormat="1">
      <c r="A2649" s="84"/>
      <c r="B2649" s="83"/>
      <c r="C2649" s="84"/>
      <c r="D2649" s="84"/>
      <c r="E2649" s="84"/>
      <c r="G2649" s="213"/>
      <c r="H2649" s="222"/>
    </row>
    <row r="2650" spans="1:9" s="212" customFormat="1">
      <c r="A2650" s="120"/>
      <c r="B2650" s="73"/>
      <c r="C2650" s="73"/>
      <c r="D2650" s="73"/>
      <c r="E2650" s="73"/>
      <c r="G2650" s="73"/>
      <c r="H2650" s="222"/>
    </row>
    <row r="2651" spans="1:9" s="212" customFormat="1">
      <c r="A2651" s="220"/>
      <c r="B2651" s="141"/>
      <c r="C2651" s="141"/>
      <c r="D2651" s="141"/>
      <c r="E2651" s="141"/>
      <c r="F2651" s="141"/>
      <c r="G2651" s="141"/>
      <c r="H2651" s="222"/>
    </row>
    <row r="2652" spans="1:9" s="212" customFormat="1">
      <c r="A2652" s="150"/>
      <c r="B2652" s="83"/>
      <c r="C2652" s="148"/>
      <c r="D2652" s="165"/>
      <c r="E2652" s="84"/>
      <c r="F2652" s="84"/>
      <c r="G2652" s="146"/>
      <c r="H2652" s="221"/>
    </row>
    <row r="2653" spans="1:9" s="212" customFormat="1">
      <c r="A2653" s="91"/>
      <c r="B2653" s="91"/>
      <c r="C2653" s="91"/>
      <c r="D2653" s="91"/>
      <c r="E2653" s="91"/>
      <c r="G2653" s="213"/>
      <c r="H2653" s="222"/>
    </row>
    <row r="2654" spans="1:9" s="212" customFormat="1">
      <c r="A2654" s="120"/>
      <c r="B2654" s="73"/>
      <c r="C2654" s="73"/>
      <c r="D2654" s="73"/>
      <c r="E2654" s="73"/>
      <c r="G2654" s="73"/>
      <c r="H2654" s="222"/>
    </row>
    <row r="2655" spans="1:9" s="212" customFormat="1" ht="15.75" customHeight="1">
      <c r="A2655" s="220"/>
      <c r="B2655" s="141"/>
      <c r="C2655" s="141"/>
      <c r="D2655" s="141"/>
      <c r="E2655" s="141"/>
      <c r="F2655" s="141"/>
      <c r="G2655" s="141"/>
      <c r="H2655" s="222"/>
    </row>
    <row r="2656" spans="1:9" s="212" customFormat="1">
      <c r="A2656" s="150"/>
      <c r="B2656" s="84"/>
      <c r="C2656" s="148"/>
      <c r="D2656" s="84"/>
      <c r="E2656" s="84"/>
      <c r="F2656" s="84"/>
      <c r="G2656" s="146"/>
      <c r="H2656" s="221"/>
    </row>
    <row r="2657" spans="1:9" s="212" customFormat="1">
      <c r="A2657" s="91"/>
      <c r="B2657" s="91"/>
      <c r="C2657" s="91"/>
      <c r="D2657" s="91"/>
      <c r="E2657" s="91"/>
      <c r="G2657" s="213"/>
      <c r="H2657" s="222"/>
    </row>
    <row r="2658" spans="1:9" s="212" customFormat="1">
      <c r="A2658" s="120"/>
      <c r="B2658" s="73"/>
      <c r="C2658" s="73"/>
      <c r="D2658" s="73"/>
      <c r="E2658" s="73"/>
      <c r="G2658" s="73"/>
      <c r="H2658" s="222"/>
    </row>
    <row r="2659" spans="1:9" s="212" customFormat="1">
      <c r="A2659" s="220"/>
      <c r="B2659" s="141"/>
      <c r="C2659" s="141"/>
      <c r="D2659" s="141"/>
      <c r="E2659" s="141"/>
      <c r="F2659" s="141"/>
      <c r="G2659" s="141"/>
      <c r="H2659" s="222"/>
    </row>
    <row r="2660" spans="1:9" s="212" customFormat="1">
      <c r="A2660" s="142"/>
      <c r="B2660" s="143"/>
      <c r="C2660" s="143"/>
      <c r="D2660" s="143"/>
      <c r="E2660" s="143"/>
      <c r="F2660" s="84"/>
      <c r="G2660" s="146"/>
      <c r="H2660" s="221"/>
    </row>
    <row r="2661" spans="1:9" s="212" customFormat="1">
      <c r="A2661" s="123"/>
      <c r="B2661" s="95"/>
      <c r="C2661" s="95"/>
      <c r="D2661" s="95"/>
      <c r="E2661" s="95"/>
      <c r="G2661" s="213"/>
      <c r="H2661" s="73"/>
    </row>
    <row r="2662" spans="1:9" s="212" customFormat="1">
      <c r="A2662" s="123"/>
      <c r="B2662" s="95"/>
      <c r="C2662" s="95"/>
      <c r="D2662" s="95"/>
      <c r="E2662" s="95"/>
      <c r="G2662" s="73"/>
      <c r="H2662" s="225"/>
    </row>
    <row r="2663" spans="1:9" s="212" customFormat="1">
      <c r="B2663" s="97"/>
      <c r="C2663" s="98"/>
      <c r="D2663" s="98"/>
      <c r="E2663" s="98"/>
      <c r="G2663" s="220"/>
    </row>
    <row r="2664" spans="1:9" s="212" customFormat="1">
      <c r="B2664" s="97"/>
      <c r="C2664" s="98"/>
      <c r="D2664" s="98"/>
      <c r="E2664" s="98"/>
      <c r="F2664" s="220"/>
      <c r="G2664" s="225"/>
      <c r="H2664" s="226"/>
    </row>
    <row r="2665" spans="1:9" s="212" customFormat="1">
      <c r="A2665" s="633"/>
      <c r="B2665" s="633"/>
      <c r="C2665" s="633"/>
      <c r="D2665" s="633"/>
      <c r="E2665" s="633"/>
      <c r="F2665" s="633"/>
      <c r="G2665" s="633"/>
    </row>
    <row r="2666" spans="1:9" s="212" customFormat="1">
      <c r="H2666" s="227"/>
      <c r="I2666" s="228"/>
    </row>
    <row r="2667" spans="1:9" s="212" customFormat="1">
      <c r="A2667" s="658"/>
      <c r="B2667" s="227"/>
      <c r="C2667" s="227"/>
      <c r="D2667" s="227"/>
      <c r="E2667" s="227"/>
      <c r="F2667" s="227"/>
      <c r="G2667" s="227"/>
      <c r="H2667" s="227"/>
      <c r="I2667" s="229"/>
    </row>
    <row r="2668" spans="1:9" s="212" customFormat="1">
      <c r="A2668" s="658"/>
      <c r="B2668" s="227"/>
      <c r="C2668" s="227"/>
      <c r="D2668" s="227"/>
      <c r="E2668" s="227"/>
      <c r="F2668" s="227"/>
      <c r="G2668" s="227"/>
    </row>
    <row r="2669" spans="1:9" s="212" customFormat="1">
      <c r="A2669" s="69"/>
      <c r="B2669" s="69"/>
      <c r="C2669" s="69"/>
      <c r="D2669" s="69"/>
      <c r="E2669" s="69"/>
    </row>
    <row r="2670" spans="1:9" s="212" customFormat="1">
      <c r="A2670" s="120"/>
      <c r="B2670" s="73"/>
      <c r="C2670" s="73"/>
      <c r="D2670" s="73"/>
      <c r="E2670" s="73"/>
      <c r="F2670" s="73"/>
      <c r="G2670" s="73"/>
      <c r="H2670" s="73"/>
    </row>
    <row r="2671" spans="1:9" s="212" customFormat="1">
      <c r="A2671" s="220"/>
      <c r="B2671" s="141"/>
      <c r="C2671" s="141"/>
      <c r="D2671" s="141"/>
      <c r="E2671" s="141"/>
      <c r="F2671" s="141"/>
      <c r="G2671" s="141"/>
      <c r="H2671" s="73"/>
    </row>
    <row r="2672" spans="1:9" s="212" customFormat="1">
      <c r="A2672" s="150"/>
      <c r="B2672" s="84"/>
      <c r="C2672" s="148"/>
      <c r="D2672" s="84"/>
      <c r="E2672" s="84"/>
      <c r="F2672" s="84"/>
      <c r="G2672" s="146"/>
      <c r="H2672" s="221"/>
    </row>
    <row r="2673" spans="1:8" s="212" customFormat="1">
      <c r="A2673" s="84"/>
      <c r="B2673" s="83"/>
      <c r="C2673" s="84"/>
      <c r="D2673" s="84"/>
      <c r="E2673" s="84"/>
      <c r="G2673" s="213"/>
      <c r="H2673" s="222"/>
    </row>
    <row r="2674" spans="1:8" s="212" customFormat="1">
      <c r="A2674" s="120"/>
      <c r="B2674" s="73"/>
      <c r="C2674" s="73"/>
      <c r="D2674" s="73"/>
      <c r="E2674" s="73"/>
      <c r="G2674" s="73"/>
      <c r="H2674" s="222"/>
    </row>
    <row r="2675" spans="1:8" s="212" customFormat="1">
      <c r="A2675" s="220"/>
      <c r="B2675" s="141"/>
      <c r="C2675" s="141"/>
      <c r="D2675" s="141"/>
      <c r="E2675" s="141"/>
      <c r="F2675" s="141"/>
      <c r="G2675" s="141"/>
      <c r="H2675" s="222"/>
    </row>
    <row r="2676" spans="1:8" s="212" customFormat="1">
      <c r="A2676" s="150"/>
      <c r="B2676" s="83"/>
      <c r="C2676" s="148"/>
      <c r="D2676" s="165"/>
      <c r="E2676" s="84"/>
      <c r="F2676" s="84"/>
      <c r="G2676" s="146"/>
      <c r="H2676" s="221"/>
    </row>
    <row r="2677" spans="1:8" s="212" customFormat="1">
      <c r="A2677" s="91"/>
      <c r="B2677" s="91"/>
      <c r="C2677" s="91"/>
      <c r="D2677" s="91"/>
      <c r="E2677" s="91"/>
      <c r="G2677" s="213"/>
      <c r="H2677" s="222"/>
    </row>
    <row r="2678" spans="1:8" s="212" customFormat="1">
      <c r="A2678" s="120"/>
      <c r="B2678" s="73"/>
      <c r="C2678" s="73"/>
      <c r="D2678" s="73"/>
      <c r="E2678" s="73"/>
      <c r="G2678" s="73"/>
      <c r="H2678" s="222"/>
    </row>
    <row r="2679" spans="1:8" s="212" customFormat="1">
      <c r="A2679" s="220"/>
      <c r="B2679" s="141"/>
      <c r="C2679" s="141"/>
      <c r="D2679" s="141"/>
      <c r="E2679" s="141"/>
      <c r="F2679" s="141"/>
      <c r="G2679" s="141"/>
      <c r="H2679" s="222"/>
    </row>
    <row r="2680" spans="1:8" s="212" customFormat="1">
      <c r="A2680" s="150"/>
      <c r="B2680" s="84"/>
      <c r="C2680" s="148"/>
      <c r="D2680" s="84"/>
      <c r="E2680" s="84"/>
      <c r="F2680" s="84"/>
      <c r="G2680" s="146"/>
      <c r="H2680" s="221"/>
    </row>
    <row r="2681" spans="1:8" s="212" customFormat="1">
      <c r="A2681" s="91"/>
      <c r="B2681" s="91"/>
      <c r="C2681" s="91"/>
      <c r="D2681" s="91"/>
      <c r="E2681" s="91"/>
      <c r="G2681" s="213"/>
      <c r="H2681" s="222"/>
    </row>
    <row r="2682" spans="1:8" s="212" customFormat="1">
      <c r="A2682" s="120"/>
      <c r="B2682" s="73"/>
      <c r="C2682" s="73"/>
      <c r="D2682" s="73"/>
      <c r="E2682" s="73"/>
      <c r="G2682" s="73"/>
      <c r="H2682" s="222"/>
    </row>
    <row r="2683" spans="1:8" s="212" customFormat="1">
      <c r="A2683" s="220"/>
      <c r="B2683" s="141"/>
      <c r="C2683" s="141"/>
      <c r="D2683" s="141"/>
      <c r="E2683" s="141"/>
      <c r="F2683" s="141"/>
      <c r="G2683" s="141"/>
      <c r="H2683" s="222"/>
    </row>
    <row r="2684" spans="1:8" s="212" customFormat="1" ht="15.75" customHeight="1">
      <c r="A2684" s="142"/>
      <c r="B2684" s="143"/>
      <c r="C2684" s="143"/>
      <c r="D2684" s="143"/>
      <c r="E2684" s="143"/>
      <c r="F2684" s="84"/>
      <c r="G2684" s="146"/>
      <c r="H2684" s="221"/>
    </row>
    <row r="2685" spans="1:8" s="212" customFormat="1">
      <c r="A2685" s="123"/>
      <c r="B2685" s="95"/>
      <c r="C2685" s="95"/>
      <c r="D2685" s="95"/>
      <c r="E2685" s="95"/>
      <c r="G2685" s="213"/>
      <c r="H2685" s="73"/>
    </row>
    <row r="2686" spans="1:8" s="212" customFormat="1">
      <c r="A2686" s="123"/>
      <c r="B2686" s="95"/>
      <c r="C2686" s="95"/>
      <c r="D2686" s="95"/>
      <c r="E2686" s="95"/>
      <c r="G2686" s="73"/>
      <c r="H2686" s="225"/>
    </row>
    <row r="2687" spans="1:8" s="212" customFormat="1">
      <c r="B2687" s="97"/>
      <c r="C2687" s="98"/>
      <c r="D2687" s="98"/>
      <c r="E2687" s="98"/>
      <c r="G2687" s="220"/>
    </row>
    <row r="2688" spans="1:8" s="212" customFormat="1">
      <c r="B2688" s="97"/>
      <c r="C2688" s="98"/>
      <c r="D2688" s="98"/>
      <c r="E2688" s="98"/>
      <c r="F2688" s="220"/>
      <c r="G2688" s="225"/>
      <c r="H2688" s="226"/>
    </row>
    <row r="2689" spans="1:9" s="212" customFormat="1">
      <c r="A2689" s="633"/>
      <c r="B2689" s="633"/>
      <c r="C2689" s="633"/>
      <c r="D2689" s="633"/>
      <c r="E2689" s="633"/>
      <c r="F2689" s="633"/>
      <c r="G2689" s="633"/>
    </row>
    <row r="2690" spans="1:9" s="212" customFormat="1">
      <c r="H2690" s="227"/>
      <c r="I2690" s="228"/>
    </row>
    <row r="2691" spans="1:9" s="212" customFormat="1">
      <c r="A2691" s="658"/>
      <c r="B2691" s="227"/>
      <c r="C2691" s="227"/>
      <c r="D2691" s="227"/>
      <c r="E2691" s="227"/>
      <c r="F2691" s="227"/>
      <c r="G2691" s="227"/>
      <c r="H2691" s="227"/>
      <c r="I2691" s="229"/>
    </row>
    <row r="2692" spans="1:9" s="212" customFormat="1">
      <c r="A2692" s="658"/>
      <c r="B2692" s="227"/>
      <c r="C2692" s="227"/>
      <c r="D2692" s="227"/>
      <c r="E2692" s="227"/>
      <c r="F2692" s="227"/>
      <c r="G2692" s="227"/>
    </row>
    <row r="2693" spans="1:9" s="212" customFormat="1">
      <c r="A2693" s="69"/>
      <c r="B2693" s="69"/>
      <c r="C2693" s="69"/>
      <c r="D2693" s="69"/>
      <c r="E2693" s="69"/>
    </row>
    <row r="2694" spans="1:9" s="212" customFormat="1">
      <c r="A2694" s="120"/>
      <c r="B2694" s="73"/>
      <c r="C2694" s="73"/>
      <c r="D2694" s="73"/>
      <c r="E2694" s="73"/>
      <c r="F2694" s="73"/>
      <c r="G2694" s="73"/>
      <c r="H2694" s="73"/>
    </row>
    <row r="2695" spans="1:9" s="212" customFormat="1">
      <c r="A2695" s="220"/>
      <c r="B2695" s="141"/>
      <c r="C2695" s="141"/>
      <c r="D2695" s="141"/>
      <c r="E2695" s="141"/>
      <c r="F2695" s="141"/>
      <c r="G2695" s="141"/>
      <c r="H2695" s="73"/>
    </row>
    <row r="2696" spans="1:9" s="212" customFormat="1">
      <c r="A2696" s="150"/>
      <c r="B2696" s="84"/>
      <c r="C2696" s="148"/>
      <c r="D2696" s="84"/>
      <c r="E2696" s="84"/>
      <c r="F2696" s="84"/>
      <c r="G2696" s="146"/>
      <c r="H2696" s="73"/>
    </row>
    <row r="2697" spans="1:9" s="212" customFormat="1">
      <c r="A2697" s="150"/>
      <c r="B2697" s="84"/>
      <c r="C2697" s="148"/>
      <c r="D2697" s="84"/>
      <c r="E2697" s="84"/>
      <c r="F2697" s="84"/>
      <c r="G2697" s="146"/>
      <c r="H2697" s="73"/>
    </row>
    <row r="2698" spans="1:9" s="212" customFormat="1">
      <c r="A2698" s="150"/>
      <c r="B2698" s="84"/>
      <c r="C2698" s="148"/>
      <c r="D2698" s="84"/>
      <c r="E2698" s="84"/>
      <c r="F2698" s="84"/>
      <c r="G2698" s="146"/>
      <c r="H2698" s="221"/>
    </row>
    <row r="2699" spans="1:9" s="212" customFormat="1">
      <c r="A2699" s="84"/>
      <c r="B2699" s="83"/>
      <c r="C2699" s="84"/>
      <c r="D2699" s="84"/>
      <c r="E2699" s="84"/>
      <c r="G2699" s="213"/>
      <c r="H2699" s="222"/>
    </row>
    <row r="2700" spans="1:9" s="212" customFormat="1">
      <c r="A2700" s="120"/>
      <c r="B2700" s="73"/>
      <c r="C2700" s="73"/>
      <c r="D2700" s="73"/>
      <c r="E2700" s="73"/>
      <c r="G2700" s="73"/>
      <c r="H2700" s="222"/>
    </row>
    <row r="2701" spans="1:9" s="212" customFormat="1">
      <c r="A2701" s="220"/>
      <c r="B2701" s="141"/>
      <c r="C2701" s="141"/>
      <c r="D2701" s="141"/>
      <c r="E2701" s="141"/>
      <c r="F2701" s="141"/>
      <c r="G2701" s="141"/>
      <c r="H2701" s="222"/>
    </row>
    <row r="2702" spans="1:9" s="212" customFormat="1">
      <c r="A2702" s="150"/>
      <c r="B2702" s="83"/>
      <c r="C2702" s="148"/>
      <c r="D2702" s="165"/>
      <c r="E2702" s="84"/>
      <c r="F2702" s="84"/>
      <c r="G2702" s="146"/>
      <c r="H2702" s="222"/>
    </row>
    <row r="2703" spans="1:9" s="212" customFormat="1">
      <c r="A2703" s="150"/>
      <c r="B2703" s="83"/>
      <c r="C2703" s="148"/>
      <c r="D2703" s="165"/>
      <c r="E2703" s="84"/>
      <c r="F2703" s="84"/>
      <c r="G2703" s="146"/>
      <c r="H2703" s="222"/>
    </row>
    <row r="2704" spans="1:9" s="212" customFormat="1">
      <c r="A2704" s="150"/>
      <c r="B2704" s="83"/>
      <c r="C2704" s="148"/>
      <c r="D2704" s="165"/>
      <c r="E2704" s="84"/>
      <c r="F2704" s="84"/>
      <c r="G2704" s="146"/>
      <c r="H2704" s="221"/>
    </row>
    <row r="2705" spans="1:9" s="212" customFormat="1">
      <c r="A2705" s="91"/>
      <c r="B2705" s="91"/>
      <c r="C2705" s="91"/>
      <c r="D2705" s="91"/>
      <c r="E2705" s="91"/>
      <c r="G2705" s="213"/>
      <c r="H2705" s="222"/>
    </row>
    <row r="2706" spans="1:9" s="212" customFormat="1">
      <c r="A2706" s="120"/>
      <c r="B2706" s="73"/>
      <c r="C2706" s="73"/>
      <c r="D2706" s="73"/>
      <c r="E2706" s="73"/>
      <c r="G2706" s="73"/>
      <c r="H2706" s="222"/>
    </row>
    <row r="2707" spans="1:9" s="212" customFormat="1">
      <c r="A2707" s="220"/>
      <c r="B2707" s="141"/>
      <c r="C2707" s="141"/>
      <c r="D2707" s="141"/>
      <c r="E2707" s="141"/>
      <c r="F2707" s="141"/>
      <c r="G2707" s="141"/>
      <c r="H2707" s="222"/>
    </row>
    <row r="2708" spans="1:9" s="212" customFormat="1">
      <c r="A2708" s="150"/>
      <c r="B2708" s="83"/>
      <c r="C2708" s="148"/>
      <c r="D2708" s="84"/>
      <c r="E2708" s="84"/>
      <c r="F2708" s="84"/>
      <c r="G2708" s="146"/>
      <c r="H2708" s="221"/>
    </row>
    <row r="2709" spans="1:9" s="212" customFormat="1">
      <c r="A2709" s="91"/>
      <c r="B2709" s="91"/>
      <c r="C2709" s="91"/>
      <c r="D2709" s="91"/>
      <c r="E2709" s="91"/>
      <c r="G2709" s="213"/>
      <c r="H2709" s="222"/>
    </row>
    <row r="2710" spans="1:9" s="212" customFormat="1">
      <c r="A2710" s="120"/>
      <c r="B2710" s="73"/>
      <c r="C2710" s="73"/>
      <c r="D2710" s="73"/>
      <c r="E2710" s="73"/>
      <c r="G2710" s="73"/>
      <c r="H2710" s="222"/>
    </row>
    <row r="2711" spans="1:9" s="212" customFormat="1">
      <c r="A2711" s="220"/>
      <c r="B2711" s="141"/>
      <c r="C2711" s="141"/>
      <c r="D2711" s="141"/>
      <c r="E2711" s="141"/>
      <c r="F2711" s="141"/>
      <c r="G2711" s="141"/>
      <c r="H2711" s="222"/>
    </row>
    <row r="2712" spans="1:9" s="212" customFormat="1">
      <c r="A2712" s="142"/>
      <c r="B2712" s="143"/>
      <c r="C2712" s="143"/>
      <c r="D2712" s="143"/>
      <c r="E2712" s="143"/>
      <c r="F2712" s="84"/>
      <c r="G2712" s="146"/>
      <c r="H2712" s="221"/>
    </row>
    <row r="2713" spans="1:9" s="212" customFormat="1">
      <c r="A2713" s="123"/>
      <c r="B2713" s="95"/>
      <c r="C2713" s="95"/>
      <c r="D2713" s="95"/>
      <c r="E2713" s="95"/>
      <c r="G2713" s="213"/>
      <c r="H2713" s="73"/>
    </row>
    <row r="2714" spans="1:9" s="212" customFormat="1">
      <c r="A2714" s="123"/>
      <c r="B2714" s="95"/>
      <c r="C2714" s="95"/>
      <c r="D2714" s="95"/>
      <c r="E2714" s="95"/>
      <c r="G2714" s="73"/>
      <c r="H2714" s="225"/>
    </row>
    <row r="2715" spans="1:9" s="212" customFormat="1">
      <c r="B2715" s="97"/>
      <c r="C2715" s="98"/>
      <c r="D2715" s="98"/>
      <c r="E2715" s="98"/>
      <c r="G2715" s="220"/>
    </row>
    <row r="2716" spans="1:9" s="212" customFormat="1">
      <c r="B2716" s="97"/>
      <c r="C2716" s="98"/>
      <c r="D2716" s="98"/>
      <c r="E2716" s="98"/>
      <c r="F2716" s="220"/>
      <c r="G2716" s="225"/>
      <c r="H2716" s="226"/>
    </row>
    <row r="2717" spans="1:9" s="212" customFormat="1">
      <c r="A2717" s="633"/>
      <c r="B2717" s="633"/>
      <c r="C2717" s="633"/>
      <c r="D2717" s="633"/>
      <c r="E2717" s="633"/>
      <c r="F2717" s="633"/>
      <c r="G2717" s="633"/>
    </row>
    <row r="2718" spans="1:9" s="212" customFormat="1">
      <c r="H2718" s="227"/>
      <c r="I2718" s="228"/>
    </row>
    <row r="2719" spans="1:9" s="212" customFormat="1">
      <c r="A2719" s="658"/>
      <c r="B2719" s="227"/>
      <c r="C2719" s="227"/>
      <c r="D2719" s="227"/>
      <c r="E2719" s="227"/>
      <c r="F2719" s="227"/>
      <c r="G2719" s="227"/>
      <c r="H2719" s="227"/>
      <c r="I2719" s="229"/>
    </row>
    <row r="2720" spans="1:9" s="212" customFormat="1">
      <c r="A2720" s="658"/>
      <c r="B2720" s="227"/>
      <c r="C2720" s="227"/>
      <c r="D2720" s="227"/>
      <c r="E2720" s="227"/>
      <c r="F2720" s="227"/>
      <c r="G2720" s="227"/>
    </row>
    <row r="2721" spans="1:8" s="212" customFormat="1">
      <c r="A2721" s="69"/>
      <c r="B2721" s="69"/>
      <c r="C2721" s="69"/>
      <c r="D2721" s="69"/>
      <c r="E2721" s="69"/>
    </row>
    <row r="2722" spans="1:8" s="212" customFormat="1">
      <c r="A2722" s="120"/>
      <c r="B2722" s="73"/>
      <c r="C2722" s="73"/>
      <c r="D2722" s="73"/>
      <c r="E2722" s="73"/>
      <c r="F2722" s="73"/>
      <c r="G2722" s="73"/>
      <c r="H2722" s="73"/>
    </row>
    <row r="2723" spans="1:8" s="212" customFormat="1">
      <c r="A2723" s="220"/>
      <c r="B2723" s="141"/>
      <c r="C2723" s="141"/>
      <c r="D2723" s="141"/>
      <c r="E2723" s="141"/>
      <c r="F2723" s="141"/>
      <c r="G2723" s="141"/>
      <c r="H2723" s="73"/>
    </row>
    <row r="2724" spans="1:8" s="212" customFormat="1">
      <c r="A2724" s="150"/>
      <c r="B2724" s="84"/>
      <c r="C2724" s="148"/>
      <c r="D2724" s="84"/>
      <c r="E2724" s="84"/>
      <c r="F2724" s="84"/>
      <c r="G2724" s="146"/>
      <c r="H2724" s="221"/>
    </row>
    <row r="2725" spans="1:8" s="212" customFormat="1">
      <c r="A2725" s="84"/>
      <c r="B2725" s="83"/>
      <c r="C2725" s="84"/>
      <c r="D2725" s="84"/>
      <c r="E2725" s="84"/>
      <c r="G2725" s="213"/>
      <c r="H2725" s="222"/>
    </row>
    <row r="2726" spans="1:8" s="212" customFormat="1">
      <c r="A2726" s="120"/>
      <c r="B2726" s="73"/>
      <c r="C2726" s="73"/>
      <c r="D2726" s="73"/>
      <c r="E2726" s="73"/>
      <c r="G2726" s="73"/>
      <c r="H2726" s="222"/>
    </row>
    <row r="2727" spans="1:8" s="212" customFormat="1">
      <c r="A2727" s="220"/>
      <c r="B2727" s="141"/>
      <c r="C2727" s="141"/>
      <c r="D2727" s="141"/>
      <c r="E2727" s="141"/>
      <c r="F2727" s="141"/>
      <c r="G2727" s="141"/>
      <c r="H2727" s="222"/>
    </row>
    <row r="2728" spans="1:8" s="212" customFormat="1">
      <c r="A2728" s="150"/>
      <c r="B2728" s="83"/>
      <c r="C2728" s="148"/>
      <c r="D2728" s="165"/>
      <c r="E2728" s="84"/>
      <c r="F2728" s="84"/>
      <c r="G2728" s="146"/>
      <c r="H2728" s="222"/>
    </row>
    <row r="2729" spans="1:8" s="212" customFormat="1">
      <c r="A2729" s="150"/>
      <c r="B2729" s="83"/>
      <c r="C2729" s="148"/>
      <c r="D2729" s="165"/>
      <c r="E2729" s="84"/>
      <c r="F2729" s="84"/>
      <c r="G2729" s="146"/>
      <c r="H2729" s="221"/>
    </row>
    <row r="2730" spans="1:8" s="212" customFormat="1">
      <c r="A2730" s="91"/>
      <c r="B2730" s="91"/>
      <c r="C2730" s="91"/>
      <c r="D2730" s="91"/>
      <c r="E2730" s="91"/>
      <c r="G2730" s="213"/>
      <c r="H2730" s="222"/>
    </row>
    <row r="2731" spans="1:8" s="212" customFormat="1">
      <c r="A2731" s="120"/>
      <c r="B2731" s="73"/>
      <c r="C2731" s="73"/>
      <c r="D2731" s="73"/>
      <c r="E2731" s="73"/>
      <c r="G2731" s="73"/>
      <c r="H2731" s="222"/>
    </row>
    <row r="2732" spans="1:8" s="212" customFormat="1">
      <c r="A2732" s="220"/>
      <c r="B2732" s="141"/>
      <c r="C2732" s="141"/>
      <c r="D2732" s="141"/>
      <c r="E2732" s="141"/>
      <c r="F2732" s="141"/>
      <c r="G2732" s="141"/>
      <c r="H2732" s="222"/>
    </row>
    <row r="2733" spans="1:8" s="212" customFormat="1">
      <c r="A2733" s="150"/>
      <c r="B2733" s="83"/>
      <c r="C2733" s="148"/>
      <c r="D2733" s="84"/>
      <c r="E2733" s="84"/>
      <c r="F2733" s="84"/>
      <c r="G2733" s="146"/>
      <c r="H2733" s="221"/>
    </row>
    <row r="2734" spans="1:8" s="212" customFormat="1">
      <c r="A2734" s="91"/>
      <c r="B2734" s="91"/>
      <c r="C2734" s="91"/>
      <c r="D2734" s="91"/>
      <c r="E2734" s="91"/>
      <c r="G2734" s="213"/>
      <c r="H2734" s="222"/>
    </row>
    <row r="2735" spans="1:8" s="212" customFormat="1">
      <c r="A2735" s="120"/>
      <c r="B2735" s="73"/>
      <c r="C2735" s="73"/>
      <c r="D2735" s="73"/>
      <c r="E2735" s="73"/>
      <c r="G2735" s="73"/>
      <c r="H2735" s="222"/>
    </row>
    <row r="2736" spans="1:8" s="212" customFormat="1">
      <c r="A2736" s="220"/>
      <c r="B2736" s="141"/>
      <c r="C2736" s="141"/>
      <c r="D2736" s="141"/>
      <c r="E2736" s="141"/>
      <c r="F2736" s="141"/>
      <c r="G2736" s="141"/>
      <c r="H2736" s="222"/>
    </row>
    <row r="2737" spans="1:9" s="212" customFormat="1">
      <c r="A2737" s="142"/>
      <c r="B2737" s="143"/>
      <c r="C2737" s="143"/>
      <c r="D2737" s="143"/>
      <c r="E2737" s="143"/>
      <c r="F2737" s="84"/>
      <c r="G2737" s="146"/>
      <c r="H2737" s="221"/>
    </row>
    <row r="2738" spans="1:9" s="212" customFormat="1">
      <c r="A2738" s="123"/>
      <c r="B2738" s="95"/>
      <c r="C2738" s="95"/>
      <c r="D2738" s="95"/>
      <c r="E2738" s="95"/>
      <c r="G2738" s="213"/>
      <c r="H2738" s="73"/>
    </row>
    <row r="2739" spans="1:9" s="212" customFormat="1">
      <c r="A2739" s="123"/>
      <c r="B2739" s="95"/>
      <c r="C2739" s="95"/>
      <c r="D2739" s="95"/>
      <c r="E2739" s="95"/>
      <c r="G2739" s="73"/>
      <c r="H2739" s="225"/>
    </row>
    <row r="2740" spans="1:9" s="212" customFormat="1">
      <c r="B2740" s="97"/>
      <c r="C2740" s="98"/>
      <c r="D2740" s="98"/>
      <c r="E2740" s="98"/>
      <c r="G2740" s="220"/>
    </row>
    <row r="2741" spans="1:9" s="212" customFormat="1">
      <c r="B2741" s="97"/>
      <c r="C2741" s="98"/>
      <c r="D2741" s="98"/>
      <c r="E2741" s="98"/>
      <c r="F2741" s="220"/>
      <c r="G2741" s="225"/>
      <c r="H2741" s="226"/>
    </row>
    <row r="2742" spans="1:9" s="212" customFormat="1">
      <c r="A2742" s="633"/>
      <c r="B2742" s="633"/>
      <c r="C2742" s="633"/>
      <c r="D2742" s="633"/>
      <c r="E2742" s="633"/>
      <c r="F2742" s="633"/>
      <c r="G2742" s="633"/>
    </row>
    <row r="2743" spans="1:9" s="212" customFormat="1">
      <c r="H2743" s="227"/>
      <c r="I2743" s="228"/>
    </row>
    <row r="2744" spans="1:9" s="212" customFormat="1">
      <c r="A2744" s="658"/>
      <c r="B2744" s="227"/>
      <c r="C2744" s="227"/>
      <c r="D2744" s="227"/>
      <c r="E2744" s="227"/>
      <c r="F2744" s="227"/>
      <c r="G2744" s="227"/>
      <c r="H2744" s="227"/>
      <c r="I2744" s="229"/>
    </row>
    <row r="2745" spans="1:9" s="212" customFormat="1">
      <c r="A2745" s="658"/>
      <c r="B2745" s="227"/>
      <c r="C2745" s="227"/>
      <c r="D2745" s="227"/>
      <c r="E2745" s="227"/>
      <c r="F2745" s="227"/>
      <c r="G2745" s="227"/>
    </row>
    <row r="2746" spans="1:9" s="212" customFormat="1">
      <c r="A2746" s="69"/>
      <c r="B2746" s="69"/>
      <c r="C2746" s="69"/>
      <c r="D2746" s="69"/>
      <c r="E2746" s="69"/>
    </row>
    <row r="2747" spans="1:9" s="212" customFormat="1">
      <c r="A2747" s="120"/>
      <c r="B2747" s="73"/>
      <c r="C2747" s="73"/>
      <c r="D2747" s="73"/>
      <c r="E2747" s="73"/>
      <c r="F2747" s="73"/>
      <c r="G2747" s="73"/>
      <c r="H2747" s="73"/>
    </row>
    <row r="2748" spans="1:9" s="212" customFormat="1">
      <c r="A2748" s="220"/>
      <c r="B2748" s="141"/>
      <c r="C2748" s="141"/>
      <c r="D2748" s="141"/>
      <c r="E2748" s="141"/>
      <c r="F2748" s="141"/>
      <c r="G2748" s="141"/>
      <c r="H2748" s="73"/>
    </row>
    <row r="2749" spans="1:9" s="212" customFormat="1">
      <c r="A2749" s="150"/>
      <c r="B2749" s="83"/>
      <c r="C2749" s="148"/>
      <c r="D2749" s="84"/>
      <c r="E2749" s="84"/>
      <c r="F2749" s="84"/>
      <c r="G2749" s="146"/>
      <c r="H2749" s="73"/>
    </row>
    <row r="2750" spans="1:9" s="212" customFormat="1">
      <c r="A2750" s="150"/>
      <c r="B2750" s="83"/>
      <c r="C2750" s="148"/>
      <c r="D2750" s="84"/>
      <c r="E2750" s="84"/>
      <c r="F2750" s="84"/>
      <c r="G2750" s="146"/>
      <c r="H2750" s="73"/>
    </row>
    <row r="2751" spans="1:9" s="212" customFormat="1">
      <c r="A2751" s="150"/>
      <c r="B2751" s="83"/>
      <c r="C2751" s="148"/>
      <c r="D2751" s="84"/>
      <c r="E2751" s="84"/>
      <c r="F2751" s="84"/>
      <c r="G2751" s="146"/>
      <c r="H2751" s="221"/>
    </row>
    <row r="2752" spans="1:9" s="212" customFormat="1">
      <c r="A2752" s="84"/>
      <c r="B2752" s="83"/>
      <c r="C2752" s="84"/>
      <c r="D2752" s="84"/>
      <c r="E2752" s="84"/>
      <c r="G2752" s="213"/>
      <c r="H2752" s="222"/>
    </row>
    <row r="2753" spans="1:8" s="212" customFormat="1">
      <c r="A2753" s="120"/>
      <c r="B2753" s="73"/>
      <c r="C2753" s="73"/>
      <c r="D2753" s="73"/>
      <c r="E2753" s="73"/>
      <c r="G2753" s="73"/>
      <c r="H2753" s="222"/>
    </row>
    <row r="2754" spans="1:8" s="212" customFormat="1">
      <c r="A2754" s="220"/>
      <c r="B2754" s="141"/>
      <c r="C2754" s="141"/>
      <c r="D2754" s="141"/>
      <c r="E2754" s="141"/>
      <c r="F2754" s="141"/>
      <c r="G2754" s="141"/>
      <c r="H2754" s="222"/>
    </row>
    <row r="2755" spans="1:8" s="212" customFormat="1">
      <c r="A2755" s="150"/>
      <c r="B2755" s="83"/>
      <c r="C2755" s="148"/>
      <c r="D2755" s="165"/>
      <c r="E2755" s="84"/>
      <c r="F2755" s="84"/>
      <c r="G2755" s="146"/>
      <c r="H2755" s="222"/>
    </row>
    <row r="2756" spans="1:8" s="212" customFormat="1">
      <c r="A2756" s="150"/>
      <c r="B2756" s="83"/>
      <c r="C2756" s="148"/>
      <c r="D2756" s="165"/>
      <c r="E2756" s="84"/>
      <c r="F2756" s="84"/>
      <c r="G2756" s="146"/>
      <c r="H2756" s="222"/>
    </row>
    <row r="2757" spans="1:8" s="212" customFormat="1">
      <c r="A2757" s="150"/>
      <c r="B2757" s="83"/>
      <c r="C2757" s="148"/>
      <c r="D2757" s="165"/>
      <c r="E2757" s="84"/>
      <c r="F2757" s="84"/>
      <c r="G2757" s="146"/>
      <c r="H2757" s="221"/>
    </row>
    <row r="2758" spans="1:8" s="212" customFormat="1">
      <c r="A2758" s="91"/>
      <c r="B2758" s="91"/>
      <c r="C2758" s="91"/>
      <c r="D2758" s="91"/>
      <c r="E2758" s="91"/>
      <c r="G2758" s="213"/>
      <c r="H2758" s="222"/>
    </row>
    <row r="2759" spans="1:8" s="212" customFormat="1">
      <c r="A2759" s="120"/>
      <c r="B2759" s="73"/>
      <c r="C2759" s="73"/>
      <c r="D2759" s="73"/>
      <c r="E2759" s="73"/>
      <c r="G2759" s="73"/>
      <c r="H2759" s="222"/>
    </row>
    <row r="2760" spans="1:8" s="212" customFormat="1">
      <c r="A2760" s="220"/>
      <c r="B2760" s="141"/>
      <c r="C2760" s="141"/>
      <c r="D2760" s="141"/>
      <c r="E2760" s="141"/>
      <c r="F2760" s="141"/>
      <c r="G2760" s="141"/>
      <c r="H2760" s="222"/>
    </row>
    <row r="2761" spans="1:8" s="212" customFormat="1">
      <c r="A2761" s="150"/>
      <c r="B2761" s="83"/>
      <c r="C2761" s="148"/>
      <c r="D2761" s="84"/>
      <c r="E2761" s="84"/>
      <c r="F2761" s="84"/>
      <c r="G2761" s="146"/>
      <c r="H2761" s="222"/>
    </row>
    <row r="2762" spans="1:8" s="212" customFormat="1">
      <c r="A2762" s="150"/>
      <c r="B2762" s="83"/>
      <c r="C2762" s="148"/>
      <c r="D2762" s="84"/>
      <c r="E2762" s="84"/>
      <c r="F2762" s="84"/>
      <c r="G2762" s="146"/>
      <c r="H2762" s="221"/>
    </row>
    <row r="2763" spans="1:8" s="212" customFormat="1">
      <c r="A2763" s="91"/>
      <c r="B2763" s="91"/>
      <c r="C2763" s="91"/>
      <c r="D2763" s="91"/>
      <c r="E2763" s="91"/>
      <c r="G2763" s="213"/>
      <c r="H2763" s="222"/>
    </row>
    <row r="2764" spans="1:8" s="212" customFormat="1">
      <c r="A2764" s="120"/>
      <c r="B2764" s="73"/>
      <c r="C2764" s="73"/>
      <c r="D2764" s="73"/>
      <c r="E2764" s="73"/>
      <c r="G2764" s="73"/>
      <c r="H2764" s="222"/>
    </row>
    <row r="2765" spans="1:8" s="212" customFormat="1">
      <c r="A2765" s="220"/>
      <c r="B2765" s="141"/>
      <c r="C2765" s="141"/>
      <c r="D2765" s="141"/>
      <c r="E2765" s="141"/>
      <c r="F2765" s="141"/>
      <c r="G2765" s="141"/>
      <c r="H2765" s="222"/>
    </row>
    <row r="2766" spans="1:8" s="212" customFormat="1">
      <c r="A2766" s="142"/>
      <c r="B2766" s="143"/>
      <c r="C2766" s="143"/>
      <c r="D2766" s="143"/>
      <c r="E2766" s="143"/>
      <c r="F2766" s="84"/>
      <c r="G2766" s="146"/>
      <c r="H2766" s="221"/>
    </row>
    <row r="2767" spans="1:8" s="212" customFormat="1">
      <c r="A2767" s="123"/>
      <c r="B2767" s="95"/>
      <c r="C2767" s="95"/>
      <c r="D2767" s="95"/>
      <c r="E2767" s="95"/>
      <c r="G2767" s="213"/>
      <c r="H2767" s="73"/>
    </row>
    <row r="2768" spans="1:8" s="212" customFormat="1">
      <c r="A2768" s="123"/>
      <c r="B2768" s="95"/>
      <c r="C2768" s="95"/>
      <c r="D2768" s="95"/>
      <c r="E2768" s="95"/>
      <c r="G2768" s="73"/>
      <c r="H2768" s="225"/>
    </row>
    <row r="2769" spans="1:9" s="212" customFormat="1">
      <c r="B2769" s="97"/>
      <c r="C2769" s="98"/>
      <c r="D2769" s="98"/>
      <c r="E2769" s="98"/>
      <c r="G2769" s="220"/>
    </row>
    <row r="2770" spans="1:9" s="212" customFormat="1">
      <c r="B2770" s="97"/>
      <c r="C2770" s="98"/>
      <c r="D2770" s="98"/>
      <c r="E2770" s="98"/>
      <c r="F2770" s="220"/>
      <c r="G2770" s="225"/>
      <c r="H2770" s="226"/>
    </row>
    <row r="2771" spans="1:9" s="212" customFormat="1">
      <c r="A2771" s="633"/>
      <c r="B2771" s="633"/>
      <c r="C2771" s="633"/>
      <c r="D2771" s="633"/>
      <c r="E2771" s="633"/>
      <c r="F2771" s="633"/>
      <c r="G2771" s="633"/>
    </row>
    <row r="2772" spans="1:9" s="212" customFormat="1">
      <c r="H2772" s="227"/>
      <c r="I2772" s="228"/>
    </row>
    <row r="2773" spans="1:9" s="212" customFormat="1">
      <c r="A2773" s="658"/>
      <c r="B2773" s="227"/>
      <c r="C2773" s="227"/>
      <c r="D2773" s="227"/>
      <c r="E2773" s="227"/>
      <c r="F2773" s="227"/>
      <c r="G2773" s="227"/>
      <c r="H2773" s="227"/>
      <c r="I2773" s="229"/>
    </row>
    <row r="2774" spans="1:9" s="212" customFormat="1">
      <c r="A2774" s="658"/>
      <c r="B2774" s="227"/>
      <c r="C2774" s="227"/>
      <c r="D2774" s="227"/>
      <c r="E2774" s="227"/>
      <c r="F2774" s="227"/>
      <c r="G2774" s="227"/>
    </row>
    <row r="2775" spans="1:9" s="212" customFormat="1">
      <c r="A2775" s="69"/>
      <c r="B2775" s="69"/>
      <c r="C2775" s="69"/>
      <c r="D2775" s="69"/>
      <c r="E2775" s="69"/>
    </row>
    <row r="2776" spans="1:9" s="212" customFormat="1">
      <c r="A2776" s="120"/>
      <c r="B2776" s="73"/>
      <c r="C2776" s="73"/>
      <c r="D2776" s="73"/>
      <c r="E2776" s="73"/>
      <c r="F2776" s="73"/>
      <c r="G2776" s="73"/>
      <c r="H2776" s="73"/>
    </row>
    <row r="2777" spans="1:9" s="212" customFormat="1">
      <c r="A2777" s="220"/>
      <c r="B2777" s="141"/>
      <c r="C2777" s="141"/>
      <c r="D2777" s="141"/>
      <c r="E2777" s="141"/>
      <c r="F2777" s="141"/>
      <c r="G2777" s="141"/>
      <c r="H2777" s="73"/>
    </row>
    <row r="2778" spans="1:9" s="212" customFormat="1">
      <c r="A2778" s="150"/>
      <c r="B2778" s="83"/>
      <c r="C2778" s="148"/>
      <c r="D2778" s="84"/>
      <c r="E2778" s="84"/>
      <c r="F2778" s="84"/>
      <c r="G2778" s="146"/>
      <c r="H2778" s="73"/>
    </row>
    <row r="2779" spans="1:9" s="212" customFormat="1">
      <c r="A2779" s="150"/>
      <c r="B2779" s="83"/>
      <c r="C2779" s="148"/>
      <c r="D2779" s="84"/>
      <c r="E2779" s="84"/>
      <c r="F2779" s="84"/>
      <c r="G2779" s="146"/>
      <c r="H2779" s="73"/>
    </row>
    <row r="2780" spans="1:9" s="212" customFormat="1">
      <c r="A2780" s="150"/>
      <c r="B2780" s="83"/>
      <c r="C2780" s="148"/>
      <c r="D2780" s="84"/>
      <c r="E2780" s="84"/>
      <c r="F2780" s="84"/>
      <c r="G2780" s="146"/>
      <c r="H2780" s="221"/>
    </row>
    <row r="2781" spans="1:9" s="212" customFormat="1">
      <c r="A2781" s="84"/>
      <c r="B2781" s="83"/>
      <c r="C2781" s="84"/>
      <c r="D2781" s="84"/>
      <c r="E2781" s="84"/>
      <c r="G2781" s="213"/>
      <c r="H2781" s="222"/>
    </row>
    <row r="2782" spans="1:9" s="212" customFormat="1">
      <c r="A2782" s="120"/>
      <c r="B2782" s="73"/>
      <c r="C2782" s="73"/>
      <c r="D2782" s="73"/>
      <c r="E2782" s="73"/>
      <c r="G2782" s="73"/>
      <c r="H2782" s="222"/>
    </row>
    <row r="2783" spans="1:9" s="212" customFormat="1">
      <c r="A2783" s="220"/>
      <c r="B2783" s="141"/>
      <c r="C2783" s="141"/>
      <c r="D2783" s="141"/>
      <c r="E2783" s="141"/>
      <c r="F2783" s="141"/>
      <c r="G2783" s="141"/>
      <c r="H2783" s="222"/>
    </row>
    <row r="2784" spans="1:9" s="212" customFormat="1">
      <c r="A2784" s="150"/>
      <c r="B2784" s="83"/>
      <c r="C2784" s="148"/>
      <c r="D2784" s="165"/>
      <c r="E2784" s="84"/>
      <c r="F2784" s="84"/>
      <c r="G2784" s="146"/>
      <c r="H2784" s="222"/>
    </row>
    <row r="2785" spans="1:9" s="212" customFormat="1">
      <c r="A2785" s="150"/>
      <c r="B2785" s="83"/>
      <c r="C2785" s="148"/>
      <c r="D2785" s="165"/>
      <c r="E2785" s="84"/>
      <c r="F2785" s="84"/>
      <c r="G2785" s="146"/>
      <c r="H2785" s="222"/>
    </row>
    <row r="2786" spans="1:9" s="212" customFormat="1">
      <c r="A2786" s="150"/>
      <c r="B2786" s="83"/>
      <c r="C2786" s="148"/>
      <c r="D2786" s="165"/>
      <c r="E2786" s="84"/>
      <c r="F2786" s="84"/>
      <c r="G2786" s="146"/>
      <c r="H2786" s="221"/>
    </row>
    <row r="2787" spans="1:9" s="212" customFormat="1">
      <c r="A2787" s="91"/>
      <c r="B2787" s="91"/>
      <c r="C2787" s="91"/>
      <c r="D2787" s="91"/>
      <c r="E2787" s="91"/>
      <c r="G2787" s="213"/>
      <c r="H2787" s="222"/>
    </row>
    <row r="2788" spans="1:9" s="212" customFormat="1">
      <c r="A2788" s="120"/>
      <c r="B2788" s="73"/>
      <c r="C2788" s="73"/>
      <c r="D2788" s="73"/>
      <c r="E2788" s="73"/>
      <c r="G2788" s="73"/>
      <c r="H2788" s="222"/>
    </row>
    <row r="2789" spans="1:9" s="212" customFormat="1">
      <c r="A2789" s="220"/>
      <c r="B2789" s="141"/>
      <c r="C2789" s="141"/>
      <c r="D2789" s="141"/>
      <c r="E2789" s="141"/>
      <c r="F2789" s="141"/>
      <c r="G2789" s="141"/>
      <c r="H2789" s="222"/>
    </row>
    <row r="2790" spans="1:9" s="212" customFormat="1">
      <c r="A2790" s="150"/>
      <c r="B2790" s="83"/>
      <c r="C2790" s="148"/>
      <c r="D2790" s="84"/>
      <c r="E2790" s="84"/>
      <c r="F2790" s="84"/>
      <c r="G2790" s="146"/>
      <c r="H2790" s="221"/>
    </row>
    <row r="2791" spans="1:9" s="212" customFormat="1">
      <c r="A2791" s="91"/>
      <c r="B2791" s="91"/>
      <c r="C2791" s="91"/>
      <c r="D2791" s="91"/>
      <c r="E2791" s="91"/>
      <c r="G2791" s="213"/>
      <c r="H2791" s="222"/>
    </row>
    <row r="2792" spans="1:9" s="212" customFormat="1">
      <c r="A2792" s="120"/>
      <c r="B2792" s="73"/>
      <c r="C2792" s="73"/>
      <c r="D2792" s="73"/>
      <c r="E2792" s="73"/>
      <c r="G2792" s="73"/>
      <c r="H2792" s="222"/>
    </row>
    <row r="2793" spans="1:9" s="212" customFormat="1">
      <c r="A2793" s="220"/>
      <c r="B2793" s="141"/>
      <c r="C2793" s="141"/>
      <c r="D2793" s="141"/>
      <c r="E2793" s="141"/>
      <c r="F2793" s="141"/>
      <c r="G2793" s="141"/>
      <c r="H2793" s="222"/>
    </row>
    <row r="2794" spans="1:9" s="212" customFormat="1">
      <c r="A2794" s="142"/>
      <c r="B2794" s="143"/>
      <c r="C2794" s="143"/>
      <c r="D2794" s="143"/>
      <c r="E2794" s="143"/>
      <c r="F2794" s="84"/>
      <c r="G2794" s="146"/>
      <c r="H2794" s="221"/>
    </row>
    <row r="2795" spans="1:9" s="212" customFormat="1">
      <c r="A2795" s="123"/>
      <c r="B2795" s="95"/>
      <c r="C2795" s="95"/>
      <c r="D2795" s="95"/>
      <c r="E2795" s="95"/>
      <c r="G2795" s="213"/>
      <c r="H2795" s="73"/>
    </row>
    <row r="2796" spans="1:9" s="212" customFormat="1">
      <c r="A2796" s="123"/>
      <c r="B2796" s="95"/>
      <c r="C2796" s="95"/>
      <c r="D2796" s="95"/>
      <c r="E2796" s="95"/>
      <c r="G2796" s="73"/>
      <c r="H2796" s="225"/>
    </row>
    <row r="2797" spans="1:9" s="212" customFormat="1">
      <c r="B2797" s="97"/>
      <c r="C2797" s="98"/>
      <c r="D2797" s="98"/>
      <c r="E2797" s="98"/>
      <c r="G2797" s="220"/>
    </row>
    <row r="2798" spans="1:9" s="212" customFormat="1">
      <c r="B2798" s="97"/>
      <c r="C2798" s="98"/>
      <c r="D2798" s="98"/>
      <c r="E2798" s="98"/>
      <c r="F2798" s="220"/>
      <c r="G2798" s="225"/>
      <c r="H2798" s="226"/>
    </row>
    <row r="2799" spans="1:9" s="212" customFormat="1">
      <c r="A2799" s="633"/>
      <c r="B2799" s="633"/>
      <c r="C2799" s="633"/>
      <c r="D2799" s="633"/>
      <c r="E2799" s="633"/>
      <c r="F2799" s="633"/>
      <c r="G2799" s="633"/>
    </row>
    <row r="2800" spans="1:9" s="212" customFormat="1">
      <c r="H2800" s="227"/>
      <c r="I2800" s="228"/>
    </row>
    <row r="2801" spans="1:9" s="212" customFormat="1">
      <c r="A2801" s="658"/>
      <c r="B2801" s="227"/>
      <c r="C2801" s="227"/>
      <c r="D2801" s="227"/>
      <c r="E2801" s="227"/>
      <c r="F2801" s="227"/>
      <c r="G2801" s="227"/>
      <c r="H2801" s="227"/>
      <c r="I2801" s="229"/>
    </row>
    <row r="2802" spans="1:9" s="212" customFormat="1">
      <c r="A2802" s="658"/>
      <c r="B2802" s="227"/>
      <c r="C2802" s="227"/>
      <c r="D2802" s="227"/>
      <c r="E2802" s="227"/>
      <c r="F2802" s="227"/>
      <c r="G2802" s="227"/>
    </row>
    <row r="2803" spans="1:9" s="212" customFormat="1">
      <c r="A2803" s="69"/>
      <c r="B2803" s="69"/>
      <c r="C2803" s="69"/>
      <c r="D2803" s="69"/>
      <c r="E2803" s="69"/>
    </row>
    <row r="2804" spans="1:9" s="212" customFormat="1">
      <c r="A2804" s="120"/>
      <c r="B2804" s="73"/>
      <c r="C2804" s="73"/>
      <c r="D2804" s="73"/>
      <c r="E2804" s="73"/>
      <c r="F2804" s="73"/>
      <c r="G2804" s="73"/>
      <c r="H2804" s="73"/>
    </row>
    <row r="2805" spans="1:9" s="212" customFormat="1">
      <c r="A2805" s="220"/>
      <c r="B2805" s="141"/>
      <c r="C2805" s="141"/>
      <c r="D2805" s="141"/>
      <c r="E2805" s="141"/>
      <c r="F2805" s="141"/>
      <c r="G2805" s="141"/>
      <c r="H2805" s="73"/>
    </row>
    <row r="2806" spans="1:9" s="212" customFormat="1">
      <c r="A2806" s="150"/>
      <c r="B2806" s="83"/>
      <c r="C2806" s="148"/>
      <c r="D2806" s="84"/>
      <c r="E2806" s="84"/>
      <c r="F2806" s="84"/>
      <c r="G2806" s="146"/>
      <c r="H2806" s="73"/>
    </row>
    <row r="2807" spans="1:9" s="212" customFormat="1">
      <c r="A2807" s="150"/>
      <c r="B2807" s="83"/>
      <c r="C2807" s="148"/>
      <c r="D2807" s="84"/>
      <c r="E2807" s="84"/>
      <c r="F2807" s="84"/>
      <c r="G2807" s="146"/>
      <c r="H2807" s="73"/>
    </row>
    <row r="2808" spans="1:9" s="212" customFormat="1">
      <c r="A2808" s="150"/>
      <c r="B2808" s="83"/>
      <c r="C2808" s="148"/>
      <c r="D2808" s="84"/>
      <c r="E2808" s="84"/>
      <c r="F2808" s="84"/>
      <c r="G2808" s="146"/>
      <c r="H2808" s="221"/>
    </row>
    <row r="2809" spans="1:9" s="212" customFormat="1">
      <c r="A2809" s="84"/>
      <c r="B2809" s="83"/>
      <c r="C2809" s="84"/>
      <c r="D2809" s="84"/>
      <c r="E2809" s="84"/>
      <c r="G2809" s="213"/>
      <c r="H2809" s="222"/>
    </row>
    <row r="2810" spans="1:9" s="212" customFormat="1">
      <c r="A2810" s="120"/>
      <c r="B2810" s="73"/>
      <c r="C2810" s="73"/>
      <c r="D2810" s="73"/>
      <c r="E2810" s="73"/>
      <c r="G2810" s="73"/>
      <c r="H2810" s="222"/>
    </row>
    <row r="2811" spans="1:9" s="212" customFormat="1">
      <c r="A2811" s="220"/>
      <c r="B2811" s="141"/>
      <c r="C2811" s="141"/>
      <c r="D2811" s="141"/>
      <c r="E2811" s="141"/>
      <c r="F2811" s="141"/>
      <c r="G2811" s="141"/>
      <c r="H2811" s="222"/>
    </row>
    <row r="2812" spans="1:9" s="212" customFormat="1">
      <c r="A2812" s="150"/>
      <c r="B2812" s="83"/>
      <c r="C2812" s="148"/>
      <c r="D2812" s="165"/>
      <c r="E2812" s="84"/>
      <c r="F2812" s="84"/>
      <c r="G2812" s="146"/>
      <c r="H2812" s="222"/>
    </row>
    <row r="2813" spans="1:9" s="212" customFormat="1">
      <c r="A2813" s="150"/>
      <c r="B2813" s="83"/>
      <c r="C2813" s="148"/>
      <c r="D2813" s="165"/>
      <c r="E2813" s="84"/>
      <c r="F2813" s="84"/>
      <c r="G2813" s="146"/>
      <c r="H2813" s="222"/>
    </row>
    <row r="2814" spans="1:9" s="212" customFormat="1">
      <c r="A2814" s="150"/>
      <c r="B2814" s="83"/>
      <c r="C2814" s="148"/>
      <c r="D2814" s="165"/>
      <c r="E2814" s="84"/>
      <c r="F2814" s="84"/>
      <c r="G2814" s="146"/>
      <c r="H2814" s="221"/>
    </row>
    <row r="2815" spans="1:9" s="212" customFormat="1">
      <c r="A2815" s="91"/>
      <c r="B2815" s="91"/>
      <c r="C2815" s="91"/>
      <c r="D2815" s="91"/>
      <c r="E2815" s="91"/>
      <c r="G2815" s="213"/>
      <c r="H2815" s="222"/>
    </row>
    <row r="2816" spans="1:9" s="212" customFormat="1">
      <c r="A2816" s="120"/>
      <c r="B2816" s="73"/>
      <c r="C2816" s="73"/>
      <c r="D2816" s="73"/>
      <c r="E2816" s="73"/>
      <c r="G2816" s="73"/>
      <c r="H2816" s="222"/>
    </row>
    <row r="2817" spans="1:9" s="212" customFormat="1">
      <c r="A2817" s="220"/>
      <c r="B2817" s="141"/>
      <c r="C2817" s="141"/>
      <c r="D2817" s="141"/>
      <c r="E2817" s="141"/>
      <c r="F2817" s="141"/>
      <c r="G2817" s="141"/>
      <c r="H2817" s="222"/>
    </row>
    <row r="2818" spans="1:9" s="212" customFormat="1">
      <c r="A2818" s="150"/>
      <c r="B2818" s="83"/>
      <c r="C2818" s="148"/>
      <c r="D2818" s="84"/>
      <c r="E2818" s="84"/>
      <c r="F2818" s="84"/>
      <c r="G2818" s="146"/>
      <c r="H2818" s="222"/>
    </row>
    <row r="2819" spans="1:9" s="212" customFormat="1">
      <c r="A2819" s="150"/>
      <c r="B2819" s="83"/>
      <c r="C2819" s="148"/>
      <c r="D2819" s="84"/>
      <c r="E2819" s="84"/>
      <c r="F2819" s="84"/>
      <c r="G2819" s="146"/>
      <c r="H2819" s="222"/>
    </row>
    <row r="2820" spans="1:9" s="212" customFormat="1">
      <c r="A2820" s="150"/>
      <c r="B2820" s="83"/>
      <c r="C2820" s="148"/>
      <c r="D2820" s="84"/>
      <c r="E2820" s="84"/>
      <c r="F2820" s="84"/>
      <c r="G2820" s="146"/>
      <c r="H2820" s="221"/>
    </row>
    <row r="2821" spans="1:9" s="212" customFormat="1">
      <c r="A2821" s="91"/>
      <c r="B2821" s="91"/>
      <c r="C2821" s="91"/>
      <c r="D2821" s="91"/>
      <c r="E2821" s="91"/>
      <c r="G2821" s="213"/>
      <c r="H2821" s="222"/>
    </row>
    <row r="2822" spans="1:9" s="212" customFormat="1">
      <c r="A2822" s="120"/>
      <c r="B2822" s="73"/>
      <c r="C2822" s="73"/>
      <c r="D2822" s="73"/>
      <c r="E2822" s="73"/>
      <c r="G2822" s="73"/>
      <c r="H2822" s="222"/>
    </row>
    <row r="2823" spans="1:9" s="212" customFormat="1">
      <c r="A2823" s="220"/>
      <c r="B2823" s="141"/>
      <c r="C2823" s="141"/>
      <c r="D2823" s="141"/>
      <c r="E2823" s="141"/>
      <c r="F2823" s="141"/>
      <c r="G2823" s="141"/>
      <c r="H2823" s="222"/>
    </row>
    <row r="2824" spans="1:9" s="212" customFormat="1">
      <c r="A2824" s="142"/>
      <c r="B2824" s="143"/>
      <c r="C2824" s="143"/>
      <c r="D2824" s="143"/>
      <c r="E2824" s="143"/>
      <c r="F2824" s="84"/>
      <c r="G2824" s="146"/>
      <c r="H2824" s="221"/>
    </row>
    <row r="2825" spans="1:9" s="212" customFormat="1">
      <c r="A2825" s="123"/>
      <c r="B2825" s="95"/>
      <c r="C2825" s="95"/>
      <c r="D2825" s="95"/>
      <c r="E2825" s="95"/>
      <c r="G2825" s="213"/>
      <c r="H2825" s="73"/>
    </row>
    <row r="2826" spans="1:9" s="212" customFormat="1">
      <c r="A2826" s="123"/>
      <c r="B2826" s="95"/>
      <c r="C2826" s="95"/>
      <c r="D2826" s="95"/>
      <c r="E2826" s="95"/>
      <c r="G2826" s="73"/>
      <c r="H2826" s="225"/>
    </row>
    <row r="2827" spans="1:9" s="212" customFormat="1">
      <c r="B2827" s="97"/>
      <c r="C2827" s="98"/>
      <c r="D2827" s="98"/>
      <c r="E2827" s="98"/>
      <c r="G2827" s="220"/>
    </row>
    <row r="2828" spans="1:9" s="212" customFormat="1">
      <c r="B2828" s="97"/>
      <c r="C2828" s="98"/>
      <c r="D2828" s="98"/>
      <c r="E2828" s="98"/>
      <c r="F2828" s="220"/>
      <c r="G2828" s="225"/>
      <c r="H2828" s="226"/>
    </row>
    <row r="2829" spans="1:9" s="212" customFormat="1">
      <c r="A2829" s="633"/>
      <c r="B2829" s="633"/>
      <c r="C2829" s="633"/>
      <c r="D2829" s="633"/>
      <c r="E2829" s="633"/>
      <c r="F2829" s="633"/>
      <c r="G2829" s="633"/>
    </row>
    <row r="2830" spans="1:9" s="212" customFormat="1">
      <c r="H2830" s="227"/>
      <c r="I2830" s="228"/>
    </row>
    <row r="2831" spans="1:9" s="212" customFormat="1">
      <c r="A2831" s="658"/>
      <c r="B2831" s="227"/>
      <c r="C2831" s="227"/>
      <c r="D2831" s="227"/>
      <c r="E2831" s="227"/>
      <c r="F2831" s="227"/>
      <c r="G2831" s="227"/>
      <c r="H2831" s="227"/>
      <c r="I2831" s="229"/>
    </row>
    <row r="2832" spans="1:9" s="212" customFormat="1">
      <c r="A2832" s="658"/>
      <c r="B2832" s="227"/>
      <c r="C2832" s="227"/>
      <c r="D2832" s="227"/>
      <c r="E2832" s="227"/>
      <c r="F2832" s="227"/>
      <c r="G2832" s="227"/>
    </row>
    <row r="2833" spans="1:8" s="212" customFormat="1">
      <c r="A2833" s="69"/>
      <c r="B2833" s="69"/>
      <c r="C2833" s="69"/>
      <c r="D2833" s="69"/>
      <c r="E2833" s="69"/>
    </row>
    <row r="2834" spans="1:8" s="212" customFormat="1">
      <c r="A2834" s="120"/>
      <c r="B2834" s="73"/>
      <c r="C2834" s="73"/>
      <c r="D2834" s="73"/>
      <c r="E2834" s="73"/>
      <c r="F2834" s="73"/>
      <c r="G2834" s="73"/>
      <c r="H2834" s="73"/>
    </row>
    <row r="2835" spans="1:8" s="212" customFormat="1">
      <c r="A2835" s="220"/>
      <c r="B2835" s="141"/>
      <c r="C2835" s="141"/>
      <c r="D2835" s="141"/>
      <c r="E2835" s="141"/>
      <c r="F2835" s="141"/>
      <c r="G2835" s="141"/>
      <c r="H2835" s="73"/>
    </row>
    <row r="2836" spans="1:8" s="212" customFormat="1">
      <c r="A2836" s="150"/>
      <c r="B2836" s="83"/>
      <c r="C2836" s="148"/>
      <c r="D2836" s="84"/>
      <c r="E2836" s="84"/>
      <c r="F2836" s="84"/>
      <c r="G2836" s="146"/>
      <c r="H2836" s="221"/>
    </row>
    <row r="2837" spans="1:8" s="212" customFormat="1">
      <c r="A2837" s="84"/>
      <c r="B2837" s="83"/>
      <c r="C2837" s="84"/>
      <c r="D2837" s="84"/>
      <c r="E2837" s="84"/>
      <c r="G2837" s="213"/>
      <c r="H2837" s="222"/>
    </row>
    <row r="2838" spans="1:8" s="212" customFormat="1">
      <c r="A2838" s="120"/>
      <c r="B2838" s="73"/>
      <c r="C2838" s="73"/>
      <c r="D2838" s="73"/>
      <c r="E2838" s="73"/>
      <c r="G2838" s="73"/>
      <c r="H2838" s="222"/>
    </row>
    <row r="2839" spans="1:8" s="212" customFormat="1">
      <c r="A2839" s="220"/>
      <c r="B2839" s="141"/>
      <c r="C2839" s="141"/>
      <c r="D2839" s="141"/>
      <c r="E2839" s="141"/>
      <c r="F2839" s="141"/>
      <c r="G2839" s="141"/>
      <c r="H2839" s="222"/>
    </row>
    <row r="2840" spans="1:8" s="212" customFormat="1">
      <c r="A2840" s="150"/>
      <c r="B2840" s="83"/>
      <c r="C2840" s="148"/>
      <c r="D2840" s="165"/>
      <c r="E2840" s="84"/>
      <c r="F2840" s="84"/>
      <c r="G2840" s="146"/>
      <c r="H2840" s="221"/>
    </row>
    <row r="2841" spans="1:8" s="212" customFormat="1">
      <c r="A2841" s="91"/>
      <c r="B2841" s="91"/>
      <c r="C2841" s="91"/>
      <c r="D2841" s="91"/>
      <c r="E2841" s="91"/>
      <c r="G2841" s="213"/>
      <c r="H2841" s="222"/>
    </row>
    <row r="2842" spans="1:8" s="212" customFormat="1">
      <c r="A2842" s="120"/>
      <c r="B2842" s="73"/>
      <c r="C2842" s="73"/>
      <c r="D2842" s="73"/>
      <c r="E2842" s="73"/>
      <c r="G2842" s="73"/>
      <c r="H2842" s="222"/>
    </row>
    <row r="2843" spans="1:8" s="212" customFormat="1">
      <c r="A2843" s="220"/>
      <c r="B2843" s="141"/>
      <c r="C2843" s="141"/>
      <c r="D2843" s="141"/>
      <c r="E2843" s="141"/>
      <c r="F2843" s="141"/>
      <c r="G2843" s="141"/>
      <c r="H2843" s="222"/>
    </row>
    <row r="2844" spans="1:8" s="212" customFormat="1">
      <c r="A2844" s="150"/>
      <c r="B2844" s="84"/>
      <c r="C2844" s="148"/>
      <c r="D2844" s="84"/>
      <c r="E2844" s="84"/>
      <c r="F2844" s="84"/>
      <c r="G2844" s="146"/>
      <c r="H2844" s="221"/>
    </row>
    <row r="2845" spans="1:8" s="212" customFormat="1">
      <c r="A2845" s="91"/>
      <c r="B2845" s="91"/>
      <c r="C2845" s="91"/>
      <c r="D2845" s="91"/>
      <c r="E2845" s="91"/>
      <c r="G2845" s="213"/>
      <c r="H2845" s="222"/>
    </row>
    <row r="2846" spans="1:8" s="212" customFormat="1">
      <c r="A2846" s="120"/>
      <c r="B2846" s="73"/>
      <c r="C2846" s="73"/>
      <c r="D2846" s="73"/>
      <c r="E2846" s="73"/>
      <c r="G2846" s="73"/>
      <c r="H2846" s="222"/>
    </row>
    <row r="2847" spans="1:8" s="212" customFormat="1">
      <c r="A2847" s="220"/>
      <c r="B2847" s="141"/>
      <c r="C2847" s="141"/>
      <c r="D2847" s="141"/>
      <c r="E2847" s="141"/>
      <c r="F2847" s="141"/>
      <c r="G2847" s="141"/>
      <c r="H2847" s="222"/>
    </row>
    <row r="2848" spans="1:8" s="212" customFormat="1">
      <c r="A2848" s="142"/>
      <c r="B2848" s="143"/>
      <c r="C2848" s="143"/>
      <c r="D2848" s="143"/>
      <c r="E2848" s="143"/>
      <c r="F2848" s="84"/>
      <c r="G2848" s="146"/>
      <c r="H2848" s="221"/>
    </row>
    <row r="2849" spans="1:9" s="212" customFormat="1">
      <c r="A2849" s="123"/>
      <c r="B2849" s="95"/>
      <c r="C2849" s="95"/>
      <c r="D2849" s="95"/>
      <c r="E2849" s="95"/>
      <c r="G2849" s="213"/>
      <c r="H2849" s="73"/>
    </row>
    <row r="2850" spans="1:9" s="212" customFormat="1">
      <c r="A2850" s="123"/>
      <c r="B2850" s="95"/>
      <c r="C2850" s="95"/>
      <c r="D2850" s="95"/>
      <c r="E2850" s="95"/>
      <c r="G2850" s="73"/>
      <c r="H2850" s="225"/>
    </row>
    <row r="2851" spans="1:9" s="212" customFormat="1">
      <c r="B2851" s="97"/>
      <c r="C2851" s="98"/>
      <c r="D2851" s="98"/>
      <c r="E2851" s="98"/>
      <c r="G2851" s="220"/>
    </row>
    <row r="2852" spans="1:9" s="212" customFormat="1">
      <c r="B2852" s="97"/>
      <c r="C2852" s="98"/>
      <c r="D2852" s="98"/>
      <c r="E2852" s="98"/>
      <c r="F2852" s="220"/>
      <c r="G2852" s="225"/>
      <c r="H2852" s="226"/>
    </row>
    <row r="2853" spans="1:9" s="212" customFormat="1">
      <c r="A2853" s="633"/>
      <c r="B2853" s="633"/>
      <c r="C2853" s="633"/>
      <c r="D2853" s="633"/>
      <c r="E2853" s="633"/>
      <c r="F2853" s="633"/>
      <c r="G2853" s="633"/>
    </row>
    <row r="2854" spans="1:9" s="212" customFormat="1">
      <c r="H2854" s="227"/>
      <c r="I2854" s="228"/>
    </row>
    <row r="2855" spans="1:9" s="212" customFormat="1">
      <c r="A2855" s="658"/>
      <c r="B2855" s="227"/>
      <c r="C2855" s="227"/>
      <c r="D2855" s="227"/>
      <c r="E2855" s="227"/>
      <c r="F2855" s="227"/>
      <c r="G2855" s="227"/>
      <c r="H2855" s="227"/>
      <c r="I2855" s="229"/>
    </row>
    <row r="2856" spans="1:9" s="212" customFormat="1">
      <c r="A2856" s="658"/>
      <c r="B2856" s="227"/>
      <c r="C2856" s="227"/>
      <c r="D2856" s="227"/>
      <c r="E2856" s="227"/>
      <c r="F2856" s="227"/>
      <c r="G2856" s="227"/>
    </row>
    <row r="2857" spans="1:9" s="212" customFormat="1">
      <c r="A2857" s="69"/>
      <c r="B2857" s="69"/>
      <c r="C2857" s="69"/>
      <c r="D2857" s="69"/>
      <c r="E2857" s="69"/>
    </row>
    <row r="2858" spans="1:9" s="212" customFormat="1">
      <c r="A2858" s="120"/>
      <c r="B2858" s="73"/>
      <c r="C2858" s="73"/>
      <c r="D2858" s="73"/>
      <c r="E2858" s="73"/>
      <c r="F2858" s="73"/>
      <c r="G2858" s="73"/>
      <c r="H2858" s="73"/>
    </row>
    <row r="2859" spans="1:9" s="212" customFormat="1">
      <c r="A2859" s="220"/>
      <c r="B2859" s="141"/>
      <c r="C2859" s="141"/>
      <c r="D2859" s="141"/>
      <c r="E2859" s="141"/>
      <c r="F2859" s="141"/>
      <c r="G2859" s="141"/>
      <c r="H2859" s="73"/>
    </row>
    <row r="2860" spans="1:9" s="212" customFormat="1">
      <c r="A2860" s="150"/>
      <c r="B2860" s="83"/>
      <c r="C2860" s="148"/>
      <c r="D2860" s="84"/>
      <c r="E2860" s="84"/>
      <c r="F2860" s="84"/>
      <c r="G2860" s="146"/>
      <c r="H2860" s="73"/>
    </row>
    <row r="2861" spans="1:9" s="212" customFormat="1">
      <c r="A2861" s="150"/>
      <c r="B2861" s="83"/>
      <c r="C2861" s="148"/>
      <c r="D2861" s="84"/>
      <c r="E2861" s="84"/>
      <c r="F2861" s="84"/>
      <c r="G2861" s="146"/>
      <c r="H2861" s="221"/>
    </row>
    <row r="2862" spans="1:9" s="212" customFormat="1">
      <c r="A2862" s="84"/>
      <c r="B2862" s="83"/>
      <c r="C2862" s="84"/>
      <c r="D2862" s="84"/>
      <c r="E2862" s="84"/>
      <c r="G2862" s="213"/>
      <c r="H2862" s="222"/>
    </row>
    <row r="2863" spans="1:9" s="212" customFormat="1">
      <c r="A2863" s="120"/>
      <c r="B2863" s="73"/>
      <c r="C2863" s="73"/>
      <c r="D2863" s="73"/>
      <c r="E2863" s="73"/>
      <c r="G2863" s="73"/>
      <c r="H2863" s="222"/>
    </row>
    <row r="2864" spans="1:9" s="212" customFormat="1">
      <c r="A2864" s="220"/>
      <c r="B2864" s="141"/>
      <c r="C2864" s="141"/>
      <c r="D2864" s="141"/>
      <c r="E2864" s="141"/>
      <c r="F2864" s="141"/>
      <c r="G2864" s="141"/>
      <c r="H2864" s="222"/>
    </row>
    <row r="2865" spans="1:9" s="212" customFormat="1" ht="16.5">
      <c r="A2865" s="150"/>
      <c r="B2865" s="161"/>
      <c r="C2865" s="148"/>
      <c r="D2865" s="165"/>
      <c r="E2865" s="84"/>
      <c r="F2865" s="84"/>
      <c r="G2865" s="146"/>
      <c r="H2865" s="221"/>
    </row>
    <row r="2866" spans="1:9" s="212" customFormat="1">
      <c r="A2866" s="91"/>
      <c r="B2866" s="91"/>
      <c r="C2866" s="91"/>
      <c r="D2866" s="91"/>
      <c r="E2866" s="91"/>
      <c r="G2866" s="213"/>
      <c r="H2866" s="222"/>
    </row>
    <row r="2867" spans="1:9" s="212" customFormat="1">
      <c r="A2867" s="120"/>
      <c r="B2867" s="73"/>
      <c r="C2867" s="73"/>
      <c r="D2867" s="73"/>
      <c r="E2867" s="73"/>
      <c r="G2867" s="73"/>
      <c r="H2867" s="222"/>
    </row>
    <row r="2868" spans="1:9" s="212" customFormat="1">
      <c r="A2868" s="220"/>
      <c r="B2868" s="141"/>
      <c r="C2868" s="141"/>
      <c r="D2868" s="141"/>
      <c r="E2868" s="141"/>
      <c r="F2868" s="141"/>
      <c r="G2868" s="141"/>
      <c r="H2868" s="222"/>
    </row>
    <row r="2869" spans="1:9" s="212" customFormat="1">
      <c r="A2869" s="150"/>
      <c r="B2869" s="84"/>
      <c r="C2869" s="148"/>
      <c r="D2869" s="84"/>
      <c r="E2869" s="84"/>
      <c r="F2869" s="84"/>
      <c r="G2869" s="146"/>
      <c r="H2869" s="221"/>
    </row>
    <row r="2870" spans="1:9" s="212" customFormat="1">
      <c r="A2870" s="91"/>
      <c r="B2870" s="91"/>
      <c r="C2870" s="91"/>
      <c r="D2870" s="91"/>
      <c r="E2870" s="91"/>
      <c r="G2870" s="213"/>
      <c r="H2870" s="222"/>
    </row>
    <row r="2871" spans="1:9" s="212" customFormat="1">
      <c r="A2871" s="120"/>
      <c r="B2871" s="73"/>
      <c r="C2871" s="73"/>
      <c r="D2871" s="73"/>
      <c r="E2871" s="73"/>
      <c r="G2871" s="73"/>
      <c r="H2871" s="222"/>
    </row>
    <row r="2872" spans="1:9" s="212" customFormat="1">
      <c r="A2872" s="220"/>
      <c r="B2872" s="141"/>
      <c r="C2872" s="141"/>
      <c r="D2872" s="141"/>
      <c r="E2872" s="141"/>
      <c r="F2872" s="141"/>
      <c r="G2872" s="141"/>
      <c r="H2872" s="222"/>
    </row>
    <row r="2873" spans="1:9" s="212" customFormat="1">
      <c r="A2873" s="142"/>
      <c r="B2873" s="143"/>
      <c r="C2873" s="143"/>
      <c r="D2873" s="143"/>
      <c r="E2873" s="143"/>
      <c r="F2873" s="84"/>
      <c r="G2873" s="146"/>
      <c r="H2873" s="221"/>
    </row>
    <row r="2874" spans="1:9" s="212" customFormat="1">
      <c r="A2874" s="123"/>
      <c r="B2874" s="95"/>
      <c r="C2874" s="95"/>
      <c r="D2874" s="95"/>
      <c r="E2874" s="95"/>
      <c r="G2874" s="213"/>
      <c r="H2874" s="73"/>
    </row>
    <row r="2875" spans="1:9" s="212" customFormat="1">
      <c r="A2875" s="123"/>
      <c r="B2875" s="95"/>
      <c r="C2875" s="95"/>
      <c r="D2875" s="95"/>
      <c r="E2875" s="95"/>
      <c r="G2875" s="73"/>
      <c r="H2875" s="225"/>
    </row>
    <row r="2876" spans="1:9" s="212" customFormat="1">
      <c r="B2876" s="97"/>
      <c r="C2876" s="98"/>
      <c r="D2876" s="98"/>
      <c r="E2876" s="98"/>
      <c r="G2876" s="220"/>
    </row>
    <row r="2877" spans="1:9" s="212" customFormat="1">
      <c r="B2877" s="97"/>
      <c r="C2877" s="98"/>
      <c r="D2877" s="98"/>
      <c r="E2877" s="98"/>
      <c r="F2877" s="220"/>
      <c r="G2877" s="225"/>
      <c r="H2877" s="226"/>
    </row>
    <row r="2878" spans="1:9" s="212" customFormat="1">
      <c r="A2878" s="633"/>
      <c r="B2878" s="633"/>
      <c r="C2878" s="633"/>
      <c r="D2878" s="633"/>
      <c r="E2878" s="633"/>
      <c r="F2878" s="633"/>
      <c r="G2878" s="633"/>
    </row>
    <row r="2879" spans="1:9" s="212" customFormat="1">
      <c r="H2879" s="227"/>
      <c r="I2879" s="228"/>
    </row>
    <row r="2880" spans="1:9" s="212" customFormat="1">
      <c r="A2880" s="658"/>
      <c r="B2880" s="227"/>
      <c r="C2880" s="227"/>
      <c r="D2880" s="227"/>
      <c r="E2880" s="227"/>
      <c r="F2880" s="227"/>
      <c r="G2880" s="227"/>
      <c r="H2880" s="227"/>
      <c r="I2880" s="229"/>
    </row>
    <row r="2881" spans="1:8" s="212" customFormat="1">
      <c r="A2881" s="658"/>
      <c r="B2881" s="227"/>
      <c r="C2881" s="227"/>
      <c r="D2881" s="227"/>
      <c r="E2881" s="227"/>
      <c r="F2881" s="227"/>
      <c r="G2881" s="227"/>
    </row>
    <row r="2882" spans="1:8" s="212" customFormat="1">
      <c r="A2882" s="69"/>
      <c r="B2882" s="69"/>
      <c r="C2882" s="69"/>
      <c r="D2882" s="69"/>
      <c r="E2882" s="69"/>
    </row>
    <row r="2883" spans="1:8" s="212" customFormat="1">
      <c r="A2883" s="120"/>
      <c r="B2883" s="73"/>
      <c r="C2883" s="73"/>
      <c r="D2883" s="73"/>
      <c r="E2883" s="73"/>
      <c r="F2883" s="73"/>
      <c r="G2883" s="73"/>
      <c r="H2883" s="73"/>
    </row>
    <row r="2884" spans="1:8" s="212" customFormat="1">
      <c r="A2884" s="220"/>
      <c r="B2884" s="141"/>
      <c r="C2884" s="141"/>
      <c r="D2884" s="141"/>
      <c r="E2884" s="141"/>
      <c r="F2884" s="141"/>
      <c r="G2884" s="141"/>
      <c r="H2884" s="73"/>
    </row>
    <row r="2885" spans="1:8" s="212" customFormat="1">
      <c r="A2885" s="150"/>
      <c r="B2885" s="84"/>
      <c r="C2885" s="148"/>
      <c r="D2885" s="84"/>
      <c r="E2885" s="84"/>
      <c r="F2885" s="84"/>
      <c r="G2885" s="146"/>
      <c r="H2885" s="221"/>
    </row>
    <row r="2886" spans="1:8" s="212" customFormat="1">
      <c r="A2886" s="84"/>
      <c r="B2886" s="83"/>
      <c r="C2886" s="84"/>
      <c r="D2886" s="84"/>
      <c r="E2886" s="84"/>
      <c r="G2886" s="213"/>
      <c r="H2886" s="222"/>
    </row>
    <row r="2887" spans="1:8" s="212" customFormat="1">
      <c r="A2887" s="120"/>
      <c r="B2887" s="73"/>
      <c r="C2887" s="73"/>
      <c r="D2887" s="73"/>
      <c r="E2887" s="73"/>
      <c r="G2887" s="73"/>
      <c r="H2887" s="222"/>
    </row>
    <row r="2888" spans="1:8" s="212" customFormat="1">
      <c r="A2888" s="220"/>
      <c r="B2888" s="141"/>
      <c r="C2888" s="141"/>
      <c r="D2888" s="141"/>
      <c r="E2888" s="141"/>
      <c r="F2888" s="141"/>
      <c r="G2888" s="141"/>
      <c r="H2888" s="222"/>
    </row>
    <row r="2889" spans="1:8" s="212" customFormat="1" ht="16.5">
      <c r="A2889" s="150"/>
      <c r="B2889" s="161"/>
      <c r="C2889" s="148"/>
      <c r="D2889" s="84"/>
      <c r="E2889" s="84"/>
      <c r="F2889" s="84"/>
      <c r="G2889" s="224"/>
      <c r="H2889" s="222"/>
    </row>
    <row r="2890" spans="1:8" s="212" customFormat="1" ht="16.5">
      <c r="A2890" s="150"/>
      <c r="B2890" s="161"/>
      <c r="C2890" s="148"/>
      <c r="D2890" s="84"/>
      <c r="E2890" s="84"/>
      <c r="F2890" s="84"/>
      <c r="G2890" s="224"/>
      <c r="H2890" s="222"/>
    </row>
    <row r="2891" spans="1:8" s="212" customFormat="1" ht="16.5">
      <c r="A2891" s="150"/>
      <c r="B2891" s="161"/>
      <c r="C2891" s="148"/>
      <c r="D2891" s="84"/>
      <c r="E2891" s="84"/>
      <c r="F2891" s="84"/>
      <c r="G2891" s="224"/>
      <c r="H2891" s="221"/>
    </row>
    <row r="2892" spans="1:8" s="212" customFormat="1">
      <c r="A2892" s="91"/>
      <c r="B2892" s="91"/>
      <c r="C2892" s="91"/>
      <c r="D2892" s="91"/>
      <c r="E2892" s="91"/>
      <c r="G2892" s="213"/>
      <c r="H2892" s="222"/>
    </row>
    <row r="2893" spans="1:8" s="212" customFormat="1">
      <c r="A2893" s="120"/>
      <c r="B2893" s="73"/>
      <c r="C2893" s="73"/>
      <c r="D2893" s="73"/>
      <c r="E2893" s="73"/>
      <c r="G2893" s="73"/>
      <c r="H2893" s="222"/>
    </row>
    <row r="2894" spans="1:8" s="212" customFormat="1">
      <c r="A2894" s="220"/>
      <c r="B2894" s="141"/>
      <c r="C2894" s="141"/>
      <c r="D2894" s="141"/>
      <c r="E2894" s="141"/>
      <c r="F2894" s="141"/>
      <c r="G2894" s="141"/>
      <c r="H2894" s="222"/>
    </row>
    <row r="2895" spans="1:8" s="212" customFormat="1">
      <c r="A2895" s="146"/>
      <c r="B2895" s="83"/>
      <c r="C2895" s="148"/>
      <c r="D2895" s="84"/>
      <c r="E2895" s="84"/>
      <c r="F2895" s="84"/>
      <c r="G2895" s="146"/>
      <c r="H2895" s="221"/>
    </row>
    <row r="2896" spans="1:8" s="212" customFormat="1">
      <c r="A2896" s="91"/>
      <c r="B2896" s="91"/>
      <c r="C2896" s="91"/>
      <c r="D2896" s="91"/>
      <c r="E2896" s="91"/>
      <c r="G2896" s="213"/>
      <c r="H2896" s="222"/>
    </row>
    <row r="2897" spans="1:9" s="212" customFormat="1">
      <c r="A2897" s="120"/>
      <c r="B2897" s="73"/>
      <c r="C2897" s="73"/>
      <c r="D2897" s="73"/>
      <c r="E2897" s="73"/>
      <c r="G2897" s="73"/>
      <c r="H2897" s="222"/>
    </row>
    <row r="2898" spans="1:9" s="212" customFormat="1">
      <c r="A2898" s="220"/>
      <c r="B2898" s="141"/>
      <c r="C2898" s="141"/>
      <c r="D2898" s="141"/>
      <c r="E2898" s="141"/>
      <c r="F2898" s="141"/>
      <c r="G2898" s="141"/>
      <c r="H2898" s="222"/>
    </row>
    <row r="2899" spans="1:9" s="212" customFormat="1">
      <c r="A2899" s="142"/>
      <c r="B2899" s="143"/>
      <c r="C2899" s="143"/>
      <c r="D2899" s="143"/>
      <c r="E2899" s="143"/>
      <c r="F2899" s="84"/>
      <c r="G2899" s="146"/>
      <c r="H2899" s="221"/>
    </row>
    <row r="2900" spans="1:9" s="212" customFormat="1">
      <c r="A2900" s="123"/>
      <c r="B2900" s="95"/>
      <c r="C2900" s="95"/>
      <c r="D2900" s="95"/>
      <c r="E2900" s="95"/>
      <c r="G2900" s="213"/>
      <c r="H2900" s="73"/>
    </row>
    <row r="2901" spans="1:9" s="212" customFormat="1">
      <c r="A2901" s="123"/>
      <c r="B2901" s="95"/>
      <c r="C2901" s="95"/>
      <c r="D2901" s="95"/>
      <c r="E2901" s="95"/>
      <c r="G2901" s="73"/>
      <c r="H2901" s="225"/>
    </row>
    <row r="2902" spans="1:9" s="212" customFormat="1">
      <c r="B2902" s="97"/>
      <c r="C2902" s="98"/>
      <c r="D2902" s="98"/>
      <c r="E2902" s="98"/>
      <c r="G2902" s="220"/>
    </row>
    <row r="2903" spans="1:9" s="212" customFormat="1">
      <c r="B2903" s="97"/>
      <c r="C2903" s="98"/>
      <c r="D2903" s="98"/>
      <c r="E2903" s="98"/>
      <c r="F2903" s="220"/>
      <c r="G2903" s="225"/>
      <c r="H2903" s="226"/>
    </row>
    <row r="2904" spans="1:9" s="212" customFormat="1">
      <c r="A2904" s="633"/>
      <c r="B2904" s="633"/>
      <c r="C2904" s="633"/>
      <c r="D2904" s="633"/>
      <c r="E2904" s="633"/>
      <c r="F2904" s="633"/>
      <c r="G2904" s="633"/>
    </row>
    <row r="2905" spans="1:9" s="212" customFormat="1">
      <c r="H2905" s="227"/>
      <c r="I2905" s="228"/>
    </row>
    <row r="2906" spans="1:9" s="212" customFormat="1">
      <c r="A2906" s="658"/>
      <c r="B2906" s="227"/>
      <c r="C2906" s="227"/>
      <c r="D2906" s="227"/>
      <c r="E2906" s="227"/>
      <c r="F2906" s="227"/>
      <c r="G2906" s="227"/>
      <c r="H2906" s="227"/>
      <c r="I2906" s="229"/>
    </row>
    <row r="2907" spans="1:9" s="212" customFormat="1">
      <c r="A2907" s="658"/>
      <c r="B2907" s="227"/>
      <c r="C2907" s="227"/>
      <c r="D2907" s="227"/>
      <c r="E2907" s="227"/>
      <c r="F2907" s="227"/>
      <c r="G2907" s="227"/>
    </row>
    <row r="2908" spans="1:9" s="212" customFormat="1">
      <c r="A2908" s="69"/>
      <c r="B2908" s="69"/>
      <c r="C2908" s="69"/>
      <c r="D2908" s="69"/>
      <c r="E2908" s="69"/>
    </row>
    <row r="2909" spans="1:9" s="212" customFormat="1">
      <c r="A2909" s="120"/>
      <c r="B2909" s="73"/>
      <c r="C2909" s="73"/>
      <c r="D2909" s="73"/>
      <c r="E2909" s="73"/>
      <c r="F2909" s="73"/>
      <c r="G2909" s="73"/>
      <c r="H2909" s="73"/>
    </row>
    <row r="2910" spans="1:9" s="212" customFormat="1">
      <c r="A2910" s="220"/>
      <c r="B2910" s="141"/>
      <c r="C2910" s="141"/>
      <c r="D2910" s="141"/>
      <c r="E2910" s="141"/>
      <c r="F2910" s="141"/>
      <c r="G2910" s="141"/>
      <c r="H2910" s="73"/>
    </row>
    <row r="2911" spans="1:9" s="212" customFormat="1">
      <c r="A2911" s="150"/>
      <c r="B2911" s="84"/>
      <c r="C2911" s="148"/>
      <c r="D2911" s="84"/>
      <c r="E2911" s="84"/>
      <c r="F2911" s="84"/>
      <c r="G2911" s="146"/>
      <c r="H2911" s="221"/>
    </row>
    <row r="2912" spans="1:9" s="212" customFormat="1">
      <c r="A2912" s="84"/>
      <c r="B2912" s="83"/>
      <c r="C2912" s="84"/>
      <c r="D2912" s="84"/>
      <c r="E2912" s="84"/>
      <c r="G2912" s="213"/>
      <c r="H2912" s="222"/>
    </row>
    <row r="2913" spans="1:8" s="212" customFormat="1">
      <c r="A2913" s="120"/>
      <c r="B2913" s="73"/>
      <c r="C2913" s="73"/>
      <c r="D2913" s="73"/>
      <c r="E2913" s="73"/>
      <c r="G2913" s="73"/>
      <c r="H2913" s="222"/>
    </row>
    <row r="2914" spans="1:8" s="212" customFormat="1">
      <c r="A2914" s="220"/>
      <c r="B2914" s="141"/>
      <c r="C2914" s="141"/>
      <c r="D2914" s="141"/>
      <c r="E2914" s="141"/>
      <c r="F2914" s="141"/>
      <c r="G2914" s="141"/>
      <c r="H2914" s="222"/>
    </row>
    <row r="2915" spans="1:8" s="212" customFormat="1" ht="16.5">
      <c r="A2915" s="150"/>
      <c r="B2915" s="161"/>
      <c r="C2915" s="148"/>
      <c r="D2915" s="84"/>
      <c r="E2915" s="84"/>
      <c r="F2915" s="84"/>
      <c r="G2915" s="224"/>
      <c r="H2915" s="222"/>
    </row>
    <row r="2916" spans="1:8" s="212" customFormat="1" ht="16.5">
      <c r="A2916" s="150"/>
      <c r="B2916" s="161"/>
      <c r="C2916" s="148"/>
      <c r="D2916" s="84"/>
      <c r="E2916" s="84"/>
      <c r="F2916" s="84"/>
      <c r="G2916" s="224"/>
      <c r="H2916" s="222"/>
    </row>
    <row r="2917" spans="1:8" s="212" customFormat="1" ht="16.5">
      <c r="A2917" s="150"/>
      <c r="B2917" s="161"/>
      <c r="C2917" s="148"/>
      <c r="D2917" s="84"/>
      <c r="E2917" s="84"/>
      <c r="F2917" s="84"/>
      <c r="G2917" s="224"/>
      <c r="H2917" s="221"/>
    </row>
    <row r="2918" spans="1:8" s="212" customFormat="1">
      <c r="A2918" s="91"/>
      <c r="B2918" s="91"/>
      <c r="C2918" s="91"/>
      <c r="D2918" s="91"/>
      <c r="E2918" s="91"/>
      <c r="G2918" s="213"/>
      <c r="H2918" s="222"/>
    </row>
    <row r="2919" spans="1:8" s="212" customFormat="1">
      <c r="A2919" s="120"/>
      <c r="B2919" s="73"/>
      <c r="C2919" s="73"/>
      <c r="D2919" s="73"/>
      <c r="E2919" s="73"/>
      <c r="G2919" s="73"/>
      <c r="H2919" s="222"/>
    </row>
    <row r="2920" spans="1:8" s="212" customFormat="1">
      <c r="A2920" s="220"/>
      <c r="B2920" s="141"/>
      <c r="C2920" s="141"/>
      <c r="D2920" s="141"/>
      <c r="E2920" s="141"/>
      <c r="F2920" s="141"/>
      <c r="G2920" s="141"/>
      <c r="H2920" s="222"/>
    </row>
    <row r="2921" spans="1:8" s="212" customFormat="1">
      <c r="A2921" s="146"/>
      <c r="B2921" s="83"/>
      <c r="C2921" s="148"/>
      <c r="D2921" s="84"/>
      <c r="E2921" s="84"/>
      <c r="F2921" s="84"/>
      <c r="G2921" s="146"/>
      <c r="H2921" s="221"/>
    </row>
    <row r="2922" spans="1:8" s="212" customFormat="1">
      <c r="A2922" s="91"/>
      <c r="B2922" s="91"/>
      <c r="C2922" s="91"/>
      <c r="D2922" s="91"/>
      <c r="E2922" s="91"/>
      <c r="G2922" s="213"/>
      <c r="H2922" s="222"/>
    </row>
    <row r="2923" spans="1:8" s="212" customFormat="1">
      <c r="A2923" s="120"/>
      <c r="B2923" s="73"/>
      <c r="C2923" s="73"/>
      <c r="D2923" s="73"/>
      <c r="E2923" s="73"/>
      <c r="G2923" s="73"/>
      <c r="H2923" s="222"/>
    </row>
    <row r="2924" spans="1:8" s="212" customFormat="1">
      <c r="A2924" s="220"/>
      <c r="B2924" s="141"/>
      <c r="C2924" s="141"/>
      <c r="D2924" s="141"/>
      <c r="E2924" s="141"/>
      <c r="F2924" s="141"/>
      <c r="G2924" s="141"/>
      <c r="H2924" s="222"/>
    </row>
    <row r="2925" spans="1:8" s="212" customFormat="1">
      <c r="A2925" s="142"/>
      <c r="B2925" s="143"/>
      <c r="C2925" s="143"/>
      <c r="D2925" s="143"/>
      <c r="E2925" s="143"/>
      <c r="F2925" s="84"/>
      <c r="G2925" s="146"/>
      <c r="H2925" s="221"/>
    </row>
    <row r="2926" spans="1:8" s="212" customFormat="1">
      <c r="A2926" s="123"/>
      <c r="B2926" s="95"/>
      <c r="C2926" s="95"/>
      <c r="D2926" s="95"/>
      <c r="E2926" s="95"/>
      <c r="G2926" s="213"/>
      <c r="H2926" s="73"/>
    </row>
    <row r="2927" spans="1:8" s="212" customFormat="1">
      <c r="A2927" s="123"/>
      <c r="B2927" s="95"/>
      <c r="C2927" s="95"/>
      <c r="D2927" s="95"/>
      <c r="E2927" s="95"/>
      <c r="G2927" s="73"/>
      <c r="H2927" s="225"/>
    </row>
    <row r="2928" spans="1:8" s="212" customFormat="1">
      <c r="B2928" s="97"/>
      <c r="C2928" s="98"/>
      <c r="D2928" s="98"/>
      <c r="E2928" s="98"/>
      <c r="G2928" s="220"/>
    </row>
    <row r="2929" spans="1:9" s="212" customFormat="1">
      <c r="B2929" s="97"/>
      <c r="C2929" s="98"/>
      <c r="D2929" s="98"/>
      <c r="E2929" s="98"/>
      <c r="F2929" s="220"/>
      <c r="G2929" s="225"/>
      <c r="H2929" s="226"/>
    </row>
    <row r="2930" spans="1:9" s="212" customFormat="1">
      <c r="A2930" s="633"/>
      <c r="B2930" s="633"/>
      <c r="C2930" s="633"/>
      <c r="D2930" s="633"/>
      <c r="E2930" s="633"/>
      <c r="F2930" s="633"/>
      <c r="G2930" s="633"/>
    </row>
    <row r="2931" spans="1:9" s="212" customFormat="1">
      <c r="H2931" s="227"/>
      <c r="I2931" s="228"/>
    </row>
    <row r="2932" spans="1:9" s="212" customFormat="1">
      <c r="A2932" s="658"/>
      <c r="B2932" s="227"/>
      <c r="C2932" s="227"/>
      <c r="D2932" s="227"/>
      <c r="E2932" s="227"/>
      <c r="F2932" s="227"/>
      <c r="G2932" s="227"/>
      <c r="H2932" s="227"/>
      <c r="I2932" s="229"/>
    </row>
    <row r="2933" spans="1:9" s="212" customFormat="1">
      <c r="A2933" s="658"/>
      <c r="B2933" s="227"/>
      <c r="C2933" s="227"/>
      <c r="D2933" s="227"/>
      <c r="E2933" s="227"/>
      <c r="F2933" s="227"/>
      <c r="G2933" s="227"/>
    </row>
    <row r="2934" spans="1:9" s="212" customFormat="1">
      <c r="A2934" s="69"/>
      <c r="B2934" s="69"/>
      <c r="C2934" s="69"/>
      <c r="D2934" s="69"/>
      <c r="E2934" s="69"/>
    </row>
    <row r="2935" spans="1:9" s="212" customFormat="1">
      <c r="A2935" s="120"/>
      <c r="B2935" s="73"/>
      <c r="C2935" s="73"/>
      <c r="D2935" s="73"/>
      <c r="E2935" s="73"/>
      <c r="F2935" s="73"/>
      <c r="G2935" s="73"/>
      <c r="H2935" s="73"/>
    </row>
    <row r="2936" spans="1:9" s="212" customFormat="1">
      <c r="A2936" s="220"/>
      <c r="B2936" s="141"/>
      <c r="C2936" s="141"/>
      <c r="D2936" s="141"/>
      <c r="E2936" s="141"/>
      <c r="F2936" s="141"/>
      <c r="G2936" s="141"/>
      <c r="H2936" s="73"/>
    </row>
    <row r="2937" spans="1:9" s="212" customFormat="1" ht="16.5">
      <c r="A2937" s="150"/>
      <c r="B2937" s="161"/>
      <c r="C2937" s="148"/>
      <c r="D2937" s="84"/>
      <c r="E2937" s="84"/>
      <c r="F2937" s="84"/>
      <c r="G2937" s="224"/>
      <c r="H2937" s="73"/>
    </row>
    <row r="2938" spans="1:9" s="212" customFormat="1" ht="16.5">
      <c r="A2938" s="150"/>
      <c r="B2938" s="161"/>
      <c r="C2938" s="148"/>
      <c r="D2938" s="84"/>
      <c r="E2938" s="84"/>
      <c r="F2938" s="84"/>
      <c r="G2938" s="224"/>
      <c r="H2938" s="221"/>
    </row>
    <row r="2939" spans="1:9" s="212" customFormat="1">
      <c r="A2939" s="84"/>
      <c r="B2939" s="83"/>
      <c r="C2939" s="84"/>
      <c r="D2939" s="84"/>
      <c r="E2939" s="84"/>
      <c r="G2939" s="213"/>
      <c r="H2939" s="222"/>
    </row>
    <row r="2940" spans="1:9" s="212" customFormat="1">
      <c r="A2940" s="120"/>
      <c r="B2940" s="73"/>
      <c r="C2940" s="73"/>
      <c r="D2940" s="73"/>
      <c r="E2940" s="73"/>
      <c r="G2940" s="73"/>
      <c r="H2940" s="222"/>
    </row>
    <row r="2941" spans="1:9" s="212" customFormat="1">
      <c r="A2941" s="220"/>
      <c r="B2941" s="141"/>
      <c r="C2941" s="141"/>
      <c r="D2941" s="141"/>
      <c r="E2941" s="141"/>
      <c r="F2941" s="141"/>
      <c r="G2941" s="141"/>
      <c r="H2941" s="222"/>
    </row>
    <row r="2942" spans="1:9" s="212" customFormat="1" ht="16.5">
      <c r="A2942" s="150"/>
      <c r="B2942" s="161"/>
      <c r="C2942" s="148"/>
      <c r="D2942" s="84"/>
      <c r="E2942" s="84"/>
      <c r="F2942" s="84"/>
      <c r="G2942" s="224"/>
      <c r="H2942" s="222"/>
    </row>
    <row r="2943" spans="1:9" s="212" customFormat="1" ht="16.5">
      <c r="A2943" s="150"/>
      <c r="B2943" s="161"/>
      <c r="C2943" s="148"/>
      <c r="D2943" s="84"/>
      <c r="E2943" s="84"/>
      <c r="F2943" s="84"/>
      <c r="G2943" s="224"/>
      <c r="H2943" s="222"/>
    </row>
    <row r="2944" spans="1:9" s="212" customFormat="1" ht="16.5">
      <c r="A2944" s="150"/>
      <c r="B2944" s="161"/>
      <c r="C2944" s="148"/>
      <c r="D2944" s="84"/>
      <c r="E2944" s="84"/>
      <c r="F2944" s="84"/>
      <c r="G2944" s="224"/>
      <c r="H2944" s="222"/>
    </row>
    <row r="2945" spans="1:8" s="212" customFormat="1" ht="16.5">
      <c r="A2945" s="150"/>
      <c r="B2945" s="161"/>
      <c r="C2945" s="148"/>
      <c r="D2945" s="84"/>
      <c r="E2945" s="84"/>
      <c r="F2945" s="84"/>
      <c r="G2945" s="224"/>
      <c r="H2945" s="222"/>
    </row>
    <row r="2946" spans="1:8" s="212" customFormat="1" ht="16.5">
      <c r="A2946" s="150"/>
      <c r="B2946" s="161"/>
      <c r="C2946" s="148"/>
      <c r="D2946" s="84"/>
      <c r="E2946" s="84"/>
      <c r="F2946" s="84"/>
      <c r="G2946" s="224"/>
      <c r="H2946" s="222"/>
    </row>
    <row r="2947" spans="1:8" s="212" customFormat="1" ht="16.5">
      <c r="A2947" s="150"/>
      <c r="B2947" s="161"/>
      <c r="C2947" s="148"/>
      <c r="D2947" s="84"/>
      <c r="E2947" s="84"/>
      <c r="F2947" s="84"/>
      <c r="G2947" s="224"/>
      <c r="H2947" s="222"/>
    </row>
    <row r="2948" spans="1:8" s="212" customFormat="1" ht="16.5">
      <c r="A2948" s="150"/>
      <c r="B2948" s="161"/>
      <c r="C2948" s="148"/>
      <c r="D2948" s="84"/>
      <c r="E2948" s="84"/>
      <c r="F2948" s="84"/>
      <c r="G2948" s="224"/>
      <c r="H2948" s="221"/>
    </row>
    <row r="2949" spans="1:8" s="212" customFormat="1">
      <c r="A2949" s="91"/>
      <c r="B2949" s="91"/>
      <c r="C2949" s="91"/>
      <c r="D2949" s="91"/>
      <c r="E2949" s="91"/>
      <c r="G2949" s="213"/>
      <c r="H2949" s="222"/>
    </row>
    <row r="2950" spans="1:8" s="212" customFormat="1">
      <c r="A2950" s="120"/>
      <c r="B2950" s="73"/>
      <c r="C2950" s="73"/>
      <c r="D2950" s="73"/>
      <c r="E2950" s="73"/>
      <c r="G2950" s="73"/>
      <c r="H2950" s="222"/>
    </row>
    <row r="2951" spans="1:8" s="212" customFormat="1">
      <c r="A2951" s="220"/>
      <c r="B2951" s="141"/>
      <c r="C2951" s="141"/>
      <c r="D2951" s="141"/>
      <c r="E2951" s="141"/>
      <c r="F2951" s="141"/>
      <c r="G2951" s="141"/>
      <c r="H2951" s="222"/>
    </row>
    <row r="2952" spans="1:8" s="212" customFormat="1">
      <c r="A2952" s="146"/>
      <c r="B2952" s="83"/>
      <c r="C2952" s="148"/>
      <c r="D2952" s="84"/>
      <c r="E2952" s="84"/>
      <c r="F2952" s="84"/>
      <c r="G2952" s="146"/>
      <c r="H2952" s="222"/>
    </row>
    <row r="2953" spans="1:8" s="212" customFormat="1">
      <c r="A2953" s="146"/>
      <c r="B2953" s="83"/>
      <c r="C2953" s="148"/>
      <c r="D2953" s="84"/>
      <c r="E2953" s="84"/>
      <c r="F2953" s="84"/>
      <c r="G2953" s="146"/>
      <c r="H2953" s="221"/>
    </row>
    <row r="2954" spans="1:8" s="212" customFormat="1">
      <c r="A2954" s="91"/>
      <c r="B2954" s="91"/>
      <c r="C2954" s="91"/>
      <c r="D2954" s="91"/>
      <c r="E2954" s="91"/>
      <c r="G2954" s="213"/>
      <c r="H2954" s="222"/>
    </row>
    <row r="2955" spans="1:8" s="212" customFormat="1">
      <c r="A2955" s="120"/>
      <c r="B2955" s="73"/>
      <c r="C2955" s="73"/>
      <c r="D2955" s="73"/>
      <c r="E2955" s="73"/>
      <c r="G2955" s="73"/>
      <c r="H2955" s="222"/>
    </row>
    <row r="2956" spans="1:8" s="212" customFormat="1">
      <c r="A2956" s="220"/>
      <c r="B2956" s="141"/>
      <c r="C2956" s="141"/>
      <c r="D2956" s="141"/>
      <c r="E2956" s="141"/>
      <c r="F2956" s="141"/>
      <c r="G2956" s="141"/>
      <c r="H2956" s="222"/>
    </row>
    <row r="2957" spans="1:8" s="212" customFormat="1">
      <c r="A2957" s="142"/>
      <c r="B2957" s="143"/>
      <c r="C2957" s="143"/>
      <c r="D2957" s="143"/>
      <c r="E2957" s="143"/>
      <c r="F2957" s="84"/>
      <c r="G2957" s="146"/>
      <c r="H2957" s="221"/>
    </row>
    <row r="2958" spans="1:8" s="212" customFormat="1">
      <c r="A2958" s="123"/>
      <c r="B2958" s="95"/>
      <c r="C2958" s="95"/>
      <c r="D2958" s="95"/>
      <c r="E2958" s="95"/>
      <c r="G2958" s="213"/>
      <c r="H2958" s="73"/>
    </row>
    <row r="2959" spans="1:8" s="212" customFormat="1">
      <c r="A2959" s="123"/>
      <c r="B2959" s="95"/>
      <c r="C2959" s="95"/>
      <c r="D2959" s="95"/>
      <c r="E2959" s="95"/>
      <c r="G2959" s="73"/>
      <c r="H2959" s="225"/>
    </row>
    <row r="2960" spans="1:8" s="212" customFormat="1">
      <c r="B2960" s="97"/>
      <c r="C2960" s="98"/>
      <c r="D2960" s="98"/>
      <c r="E2960" s="98"/>
      <c r="G2960" s="220"/>
    </row>
    <row r="2961" spans="1:9" s="212" customFormat="1">
      <c r="B2961" s="97"/>
      <c r="C2961" s="98"/>
      <c r="D2961" s="98"/>
      <c r="E2961" s="98"/>
      <c r="F2961" s="220"/>
      <c r="G2961" s="225"/>
      <c r="H2961" s="226"/>
    </row>
    <row r="2962" spans="1:9" s="212" customFormat="1">
      <c r="A2962" s="633"/>
      <c r="B2962" s="633"/>
      <c r="C2962" s="633"/>
      <c r="D2962" s="633"/>
      <c r="E2962" s="633"/>
      <c r="F2962" s="633"/>
      <c r="G2962" s="633"/>
    </row>
    <row r="2963" spans="1:9" s="212" customFormat="1">
      <c r="H2963" s="227"/>
      <c r="I2963" s="228"/>
    </row>
    <row r="2964" spans="1:9" s="212" customFormat="1">
      <c r="A2964" s="658"/>
      <c r="B2964" s="227"/>
      <c r="C2964" s="227"/>
      <c r="D2964" s="227"/>
      <c r="E2964" s="227"/>
      <c r="F2964" s="227"/>
      <c r="G2964" s="227"/>
      <c r="H2964" s="227"/>
      <c r="I2964" s="229"/>
    </row>
    <row r="2965" spans="1:9" s="212" customFormat="1">
      <c r="A2965" s="658"/>
      <c r="B2965" s="227"/>
      <c r="C2965" s="227"/>
      <c r="D2965" s="227"/>
      <c r="E2965" s="227"/>
      <c r="F2965" s="227"/>
      <c r="G2965" s="227"/>
    </row>
    <row r="2966" spans="1:9" s="212" customFormat="1">
      <c r="A2966" s="69"/>
      <c r="B2966" s="69"/>
      <c r="C2966" s="69"/>
      <c r="D2966" s="69"/>
      <c r="E2966" s="69"/>
    </row>
    <row r="2967" spans="1:9" s="212" customFormat="1">
      <c r="A2967" s="120"/>
      <c r="B2967" s="73"/>
      <c r="C2967" s="73"/>
      <c r="D2967" s="73"/>
      <c r="E2967" s="73"/>
      <c r="F2967" s="73"/>
      <c r="G2967" s="73"/>
      <c r="H2967" s="73"/>
    </row>
    <row r="2968" spans="1:9" s="212" customFormat="1">
      <c r="A2968" s="220"/>
      <c r="B2968" s="141"/>
      <c r="C2968" s="141"/>
      <c r="D2968" s="141"/>
      <c r="E2968" s="141"/>
      <c r="F2968" s="141"/>
      <c r="G2968" s="141"/>
      <c r="H2968" s="73"/>
    </row>
    <row r="2969" spans="1:9" s="212" customFormat="1">
      <c r="A2969" s="150"/>
      <c r="B2969" s="83"/>
      <c r="C2969" s="148"/>
      <c r="D2969" s="84"/>
      <c r="E2969" s="84"/>
      <c r="F2969" s="84"/>
      <c r="G2969" s="146"/>
      <c r="H2969" s="221"/>
    </row>
    <row r="2970" spans="1:9" s="212" customFormat="1">
      <c r="A2970" s="84"/>
      <c r="B2970" s="83"/>
      <c r="C2970" s="84"/>
      <c r="D2970" s="84"/>
      <c r="E2970" s="84"/>
      <c r="G2970" s="213"/>
      <c r="H2970" s="222"/>
    </row>
    <row r="2971" spans="1:9" s="212" customFormat="1">
      <c r="A2971" s="120"/>
      <c r="B2971" s="73"/>
      <c r="C2971" s="73"/>
      <c r="D2971" s="73"/>
      <c r="E2971" s="73"/>
      <c r="G2971" s="73"/>
      <c r="H2971" s="222"/>
    </row>
    <row r="2972" spans="1:9" s="212" customFormat="1">
      <c r="A2972" s="220"/>
      <c r="B2972" s="141"/>
      <c r="C2972" s="141"/>
      <c r="D2972" s="141"/>
      <c r="E2972" s="141"/>
      <c r="F2972" s="141"/>
      <c r="G2972" s="141"/>
      <c r="H2972" s="222"/>
    </row>
    <row r="2973" spans="1:9" s="212" customFormat="1" ht="16.5">
      <c r="A2973" s="150"/>
      <c r="B2973" s="161"/>
      <c r="C2973" s="148"/>
      <c r="D2973" s="160"/>
      <c r="E2973" s="84"/>
      <c r="F2973" s="84"/>
      <c r="G2973" s="146"/>
      <c r="H2973" s="221"/>
    </row>
    <row r="2974" spans="1:9" s="212" customFormat="1">
      <c r="A2974" s="91"/>
      <c r="B2974" s="91"/>
      <c r="C2974" s="91"/>
      <c r="D2974" s="91"/>
      <c r="E2974" s="91"/>
      <c r="G2974" s="213"/>
      <c r="H2974" s="222"/>
    </row>
    <row r="2975" spans="1:9" s="212" customFormat="1">
      <c r="A2975" s="120"/>
      <c r="B2975" s="73"/>
      <c r="C2975" s="73"/>
      <c r="D2975" s="73"/>
      <c r="E2975" s="73"/>
      <c r="G2975" s="73"/>
      <c r="H2975" s="222"/>
    </row>
    <row r="2976" spans="1:9" s="212" customFormat="1">
      <c r="A2976" s="220"/>
      <c r="B2976" s="141"/>
      <c r="C2976" s="141"/>
      <c r="D2976" s="141"/>
      <c r="E2976" s="141"/>
      <c r="F2976" s="141"/>
      <c r="G2976" s="141"/>
      <c r="H2976" s="222"/>
    </row>
    <row r="2977" spans="1:9" s="212" customFormat="1">
      <c r="A2977" s="146"/>
      <c r="B2977" s="83"/>
      <c r="C2977" s="148"/>
      <c r="D2977" s="84"/>
      <c r="E2977" s="84"/>
      <c r="F2977" s="84"/>
      <c r="G2977" s="146"/>
      <c r="H2977" s="221"/>
    </row>
    <row r="2978" spans="1:9" s="212" customFormat="1">
      <c r="A2978" s="91"/>
      <c r="B2978" s="91"/>
      <c r="C2978" s="91"/>
      <c r="D2978" s="91"/>
      <c r="E2978" s="91"/>
      <c r="G2978" s="213"/>
      <c r="H2978" s="222"/>
    </row>
    <row r="2979" spans="1:9" s="212" customFormat="1">
      <c r="A2979" s="120"/>
      <c r="B2979" s="73"/>
      <c r="C2979" s="73"/>
      <c r="D2979" s="73"/>
      <c r="E2979" s="73"/>
      <c r="G2979" s="73"/>
      <c r="H2979" s="222"/>
    </row>
    <row r="2980" spans="1:9" s="212" customFormat="1">
      <c r="A2980" s="220"/>
      <c r="B2980" s="141"/>
      <c r="C2980" s="141"/>
      <c r="D2980" s="141"/>
      <c r="E2980" s="141"/>
      <c r="F2980" s="141"/>
      <c r="G2980" s="141"/>
      <c r="H2980" s="222"/>
    </row>
    <row r="2981" spans="1:9" s="212" customFormat="1">
      <c r="A2981" s="142"/>
      <c r="B2981" s="143"/>
      <c r="C2981" s="143"/>
      <c r="D2981" s="143"/>
      <c r="E2981" s="143"/>
      <c r="F2981" s="84"/>
      <c r="G2981" s="146"/>
      <c r="H2981" s="221"/>
    </row>
    <row r="2982" spans="1:9" s="212" customFormat="1">
      <c r="A2982" s="123"/>
      <c r="B2982" s="95"/>
      <c r="C2982" s="95"/>
      <c r="D2982" s="95"/>
      <c r="E2982" s="95"/>
      <c r="G2982" s="213"/>
      <c r="H2982" s="73"/>
    </row>
    <row r="2983" spans="1:9" s="212" customFormat="1">
      <c r="A2983" s="123"/>
      <c r="B2983" s="95"/>
      <c r="C2983" s="95"/>
      <c r="D2983" s="95"/>
      <c r="E2983" s="95"/>
      <c r="G2983" s="73"/>
      <c r="H2983" s="225"/>
    </row>
    <row r="2984" spans="1:9" s="212" customFormat="1">
      <c r="B2984" s="97"/>
      <c r="C2984" s="98"/>
      <c r="D2984" s="98"/>
      <c r="E2984" s="98"/>
      <c r="G2984" s="220"/>
    </row>
    <row r="2985" spans="1:9" s="212" customFormat="1">
      <c r="B2985" s="97"/>
      <c r="C2985" s="98"/>
      <c r="D2985" s="98"/>
      <c r="E2985" s="98"/>
      <c r="F2985" s="220"/>
      <c r="G2985" s="225"/>
      <c r="H2985" s="226"/>
    </row>
    <row r="2986" spans="1:9" s="212" customFormat="1">
      <c r="A2986" s="633"/>
      <c r="B2986" s="633"/>
      <c r="C2986" s="633"/>
      <c r="D2986" s="633"/>
      <c r="E2986" s="633"/>
      <c r="F2986" s="633"/>
      <c r="G2986" s="633"/>
    </row>
    <row r="2987" spans="1:9" s="212" customFormat="1">
      <c r="H2987" s="227"/>
      <c r="I2987" s="228"/>
    </row>
    <row r="2988" spans="1:9" s="212" customFormat="1">
      <c r="A2988" s="658"/>
      <c r="B2988" s="227"/>
      <c r="C2988" s="227"/>
      <c r="D2988" s="227"/>
      <c r="E2988" s="227"/>
      <c r="F2988" s="227"/>
      <c r="G2988" s="227"/>
      <c r="H2988" s="227"/>
      <c r="I2988" s="229"/>
    </row>
    <row r="2989" spans="1:9" s="212" customFormat="1">
      <c r="A2989" s="658"/>
      <c r="B2989" s="227"/>
      <c r="C2989" s="227"/>
      <c r="D2989" s="227"/>
      <c r="E2989" s="227"/>
      <c r="F2989" s="227"/>
      <c r="G2989" s="227"/>
    </row>
    <row r="2990" spans="1:9" s="212" customFormat="1">
      <c r="A2990" s="69"/>
      <c r="B2990" s="69"/>
      <c r="C2990" s="69"/>
      <c r="D2990" s="69"/>
      <c r="E2990" s="69"/>
    </row>
    <row r="2991" spans="1:9" s="212" customFormat="1">
      <c r="A2991" s="120"/>
      <c r="B2991" s="73"/>
      <c r="C2991" s="73"/>
      <c r="D2991" s="73"/>
      <c r="E2991" s="73"/>
      <c r="F2991" s="73"/>
      <c r="G2991" s="73"/>
      <c r="H2991" s="73"/>
    </row>
    <row r="2992" spans="1:9" s="212" customFormat="1">
      <c r="A2992" s="220"/>
      <c r="B2992" s="141"/>
      <c r="C2992" s="141"/>
      <c r="D2992" s="141"/>
      <c r="E2992" s="141"/>
      <c r="F2992" s="141"/>
      <c r="G2992" s="141"/>
      <c r="H2992" s="73"/>
    </row>
    <row r="2993" spans="1:8" s="212" customFormat="1">
      <c r="A2993" s="150"/>
      <c r="B2993" s="83"/>
      <c r="C2993" s="148"/>
      <c r="D2993" s="84"/>
      <c r="E2993" s="84"/>
      <c r="F2993" s="84"/>
      <c r="G2993" s="146"/>
      <c r="H2993" s="221"/>
    </row>
    <row r="2994" spans="1:8" s="212" customFormat="1">
      <c r="A2994" s="84"/>
      <c r="B2994" s="83"/>
      <c r="C2994" s="84"/>
      <c r="D2994" s="84"/>
      <c r="E2994" s="84"/>
      <c r="G2994" s="213"/>
      <c r="H2994" s="222"/>
    </row>
    <row r="2995" spans="1:8" s="212" customFormat="1">
      <c r="A2995" s="120"/>
      <c r="B2995" s="73"/>
      <c r="C2995" s="73"/>
      <c r="D2995" s="73"/>
      <c r="E2995" s="73"/>
      <c r="G2995" s="73"/>
      <c r="H2995" s="222"/>
    </row>
    <row r="2996" spans="1:8" s="212" customFormat="1">
      <c r="A2996" s="220"/>
      <c r="B2996" s="141"/>
      <c r="C2996" s="141"/>
      <c r="D2996" s="141"/>
      <c r="E2996" s="141"/>
      <c r="F2996" s="141"/>
      <c r="G2996" s="141"/>
      <c r="H2996" s="222"/>
    </row>
    <row r="2997" spans="1:8" s="212" customFormat="1" ht="16.5">
      <c r="A2997" s="150"/>
      <c r="B2997" s="161"/>
      <c r="C2997" s="148"/>
      <c r="D2997" s="160"/>
      <c r="E2997" s="84"/>
      <c r="F2997" s="84"/>
      <c r="G2997" s="146"/>
      <c r="H2997" s="221"/>
    </row>
    <row r="2998" spans="1:8" s="212" customFormat="1">
      <c r="A2998" s="91"/>
      <c r="B2998" s="91"/>
      <c r="C2998" s="91"/>
      <c r="D2998" s="91"/>
      <c r="E2998" s="91"/>
      <c r="G2998" s="213"/>
      <c r="H2998" s="222"/>
    </row>
    <row r="2999" spans="1:8" s="212" customFormat="1">
      <c r="A2999" s="120"/>
      <c r="B2999" s="73"/>
      <c r="C2999" s="73"/>
      <c r="D2999" s="73"/>
      <c r="E2999" s="73"/>
      <c r="G2999" s="73"/>
      <c r="H2999" s="222"/>
    </row>
    <row r="3000" spans="1:8" s="212" customFormat="1">
      <c r="A3000" s="220"/>
      <c r="B3000" s="141"/>
      <c r="C3000" s="141"/>
      <c r="D3000" s="141"/>
      <c r="E3000" s="141"/>
      <c r="F3000" s="141"/>
      <c r="G3000" s="141"/>
      <c r="H3000" s="222"/>
    </row>
    <row r="3001" spans="1:8" s="212" customFormat="1">
      <c r="A3001" s="146"/>
      <c r="B3001" s="83"/>
      <c r="C3001" s="148"/>
      <c r="D3001" s="84"/>
      <c r="E3001" s="84"/>
      <c r="F3001" s="84"/>
      <c r="G3001" s="146"/>
      <c r="H3001" s="221"/>
    </row>
    <row r="3002" spans="1:8" s="212" customFormat="1">
      <c r="A3002" s="91"/>
      <c r="B3002" s="91"/>
      <c r="C3002" s="91"/>
      <c r="D3002" s="91"/>
      <c r="E3002" s="91"/>
      <c r="G3002" s="213"/>
      <c r="H3002" s="222"/>
    </row>
    <row r="3003" spans="1:8" s="212" customFormat="1">
      <c r="A3003" s="120"/>
      <c r="B3003" s="73"/>
      <c r="C3003" s="73"/>
      <c r="D3003" s="73"/>
      <c r="E3003" s="73"/>
      <c r="G3003" s="73"/>
      <c r="H3003" s="222"/>
    </row>
    <row r="3004" spans="1:8" s="212" customFormat="1">
      <c r="A3004" s="220"/>
      <c r="B3004" s="141"/>
      <c r="C3004" s="141"/>
      <c r="D3004" s="141"/>
      <c r="E3004" s="141"/>
      <c r="F3004" s="141"/>
      <c r="G3004" s="141"/>
      <c r="H3004" s="222"/>
    </row>
    <row r="3005" spans="1:8" s="212" customFormat="1">
      <c r="A3005" s="142"/>
      <c r="B3005" s="143"/>
      <c r="C3005" s="143"/>
      <c r="D3005" s="143"/>
      <c r="E3005" s="143"/>
      <c r="F3005" s="84"/>
      <c r="G3005" s="146"/>
      <c r="H3005" s="221"/>
    </row>
    <row r="3006" spans="1:8" s="212" customFormat="1">
      <c r="A3006" s="123"/>
      <c r="B3006" s="95"/>
      <c r="C3006" s="95"/>
      <c r="D3006" s="95"/>
      <c r="E3006" s="95"/>
      <c r="G3006" s="213"/>
      <c r="H3006" s="73"/>
    </row>
    <row r="3007" spans="1:8" s="212" customFormat="1">
      <c r="A3007" s="123"/>
      <c r="B3007" s="95"/>
      <c r="C3007" s="95"/>
      <c r="D3007" s="95"/>
      <c r="E3007" s="95"/>
      <c r="G3007" s="73"/>
      <c r="H3007" s="225"/>
    </row>
    <row r="3008" spans="1:8" s="212" customFormat="1">
      <c r="B3008" s="97"/>
      <c r="C3008" s="98"/>
      <c r="D3008" s="98"/>
      <c r="E3008" s="98"/>
      <c r="G3008" s="220"/>
    </row>
    <row r="3009" spans="1:9" s="212" customFormat="1">
      <c r="B3009" s="97"/>
      <c r="C3009" s="98"/>
      <c r="D3009" s="98"/>
      <c r="E3009" s="98"/>
      <c r="F3009" s="220"/>
      <c r="G3009" s="225"/>
      <c r="H3009" s="226"/>
    </row>
    <row r="3010" spans="1:9" s="212" customFormat="1">
      <c r="A3010" s="633"/>
      <c r="B3010" s="633"/>
      <c r="C3010" s="633"/>
      <c r="D3010" s="633"/>
      <c r="E3010" s="633"/>
      <c r="F3010" s="633"/>
      <c r="G3010" s="633"/>
    </row>
    <row r="3011" spans="1:9" s="212" customFormat="1">
      <c r="H3011" s="227"/>
      <c r="I3011" s="228"/>
    </row>
    <row r="3012" spans="1:9" s="212" customFormat="1">
      <c r="A3012" s="658"/>
      <c r="B3012" s="227"/>
      <c r="C3012" s="227"/>
      <c r="D3012" s="227"/>
      <c r="E3012" s="227"/>
      <c r="F3012" s="227"/>
      <c r="G3012" s="227"/>
      <c r="H3012" s="227"/>
      <c r="I3012" s="229"/>
    </row>
    <row r="3013" spans="1:9" s="212" customFormat="1">
      <c r="A3013" s="658"/>
      <c r="B3013" s="227"/>
      <c r="C3013" s="227"/>
      <c r="D3013" s="227"/>
      <c r="E3013" s="227"/>
      <c r="F3013" s="227"/>
      <c r="G3013" s="227"/>
    </row>
    <row r="3014" spans="1:9" s="212" customFormat="1">
      <c r="A3014" s="69"/>
      <c r="B3014" s="69"/>
      <c r="C3014" s="69"/>
      <c r="D3014" s="69"/>
      <c r="E3014" s="69"/>
    </row>
    <row r="3015" spans="1:9" s="212" customFormat="1">
      <c r="A3015" s="120"/>
      <c r="B3015" s="73"/>
      <c r="C3015" s="73"/>
      <c r="D3015" s="73"/>
      <c r="E3015" s="73"/>
      <c r="F3015" s="73"/>
      <c r="G3015" s="73"/>
      <c r="H3015" s="73"/>
    </row>
    <row r="3016" spans="1:9" s="212" customFormat="1">
      <c r="A3016" s="220"/>
      <c r="B3016" s="141"/>
      <c r="C3016" s="141"/>
      <c r="D3016" s="141"/>
      <c r="E3016" s="141"/>
      <c r="F3016" s="141"/>
      <c r="G3016" s="141"/>
      <c r="H3016" s="73"/>
    </row>
    <row r="3017" spans="1:9" s="212" customFormat="1">
      <c r="A3017" s="150"/>
      <c r="B3017" s="83"/>
      <c r="C3017" s="148"/>
      <c r="D3017" s="84"/>
      <c r="E3017" s="84"/>
      <c r="F3017" s="84"/>
      <c r="G3017" s="146"/>
      <c r="H3017" s="221"/>
    </row>
    <row r="3018" spans="1:9" s="212" customFormat="1">
      <c r="A3018" s="84"/>
      <c r="B3018" s="83"/>
      <c r="C3018" s="84"/>
      <c r="D3018" s="84"/>
      <c r="E3018" s="84"/>
      <c r="G3018" s="213"/>
      <c r="H3018" s="222"/>
    </row>
    <row r="3019" spans="1:9" s="212" customFormat="1">
      <c r="A3019" s="120"/>
      <c r="B3019" s="73"/>
      <c r="C3019" s="73"/>
      <c r="D3019" s="73"/>
      <c r="E3019" s="73"/>
      <c r="G3019" s="73"/>
      <c r="H3019" s="222"/>
    </row>
    <row r="3020" spans="1:9" s="212" customFormat="1">
      <c r="A3020" s="220"/>
      <c r="B3020" s="141"/>
      <c r="C3020" s="141"/>
      <c r="D3020" s="141"/>
      <c r="E3020" s="141"/>
      <c r="F3020" s="141"/>
      <c r="G3020" s="141"/>
      <c r="H3020" s="222"/>
    </row>
    <row r="3021" spans="1:9" s="212" customFormat="1" ht="16.5">
      <c r="A3021" s="150"/>
      <c r="B3021" s="161"/>
      <c r="C3021" s="148"/>
      <c r="D3021" s="160"/>
      <c r="E3021" s="84"/>
      <c r="F3021" s="84"/>
      <c r="G3021" s="146"/>
      <c r="H3021" s="221"/>
    </row>
    <row r="3022" spans="1:9" s="212" customFormat="1">
      <c r="A3022" s="91"/>
      <c r="B3022" s="91"/>
      <c r="C3022" s="91"/>
      <c r="D3022" s="91"/>
      <c r="E3022" s="91"/>
      <c r="G3022" s="213"/>
      <c r="H3022" s="222"/>
    </row>
    <row r="3023" spans="1:9" s="212" customFormat="1">
      <c r="A3023" s="120"/>
      <c r="B3023" s="73"/>
      <c r="C3023" s="73"/>
      <c r="D3023" s="73"/>
      <c r="E3023" s="73"/>
      <c r="G3023" s="73"/>
      <c r="H3023" s="222"/>
    </row>
    <row r="3024" spans="1:9" s="212" customFormat="1">
      <c r="A3024" s="220"/>
      <c r="B3024" s="141"/>
      <c r="C3024" s="141"/>
      <c r="D3024" s="141"/>
      <c r="E3024" s="141"/>
      <c r="F3024" s="141"/>
      <c r="G3024" s="141"/>
      <c r="H3024" s="222"/>
    </row>
    <row r="3025" spans="1:9" s="212" customFormat="1">
      <c r="A3025" s="146"/>
      <c r="B3025" s="83"/>
      <c r="C3025" s="148"/>
      <c r="D3025" s="84"/>
      <c r="E3025" s="84"/>
      <c r="F3025" s="84"/>
      <c r="G3025" s="146"/>
      <c r="H3025" s="221"/>
    </row>
    <row r="3026" spans="1:9" s="212" customFormat="1">
      <c r="A3026" s="91"/>
      <c r="B3026" s="91"/>
      <c r="C3026" s="91"/>
      <c r="D3026" s="91"/>
      <c r="E3026" s="91"/>
      <c r="G3026" s="213"/>
      <c r="H3026" s="222"/>
    </row>
    <row r="3027" spans="1:9" s="212" customFormat="1">
      <c r="A3027" s="120"/>
      <c r="B3027" s="73"/>
      <c r="C3027" s="73"/>
      <c r="D3027" s="73"/>
      <c r="E3027" s="73"/>
      <c r="G3027" s="73"/>
      <c r="H3027" s="222"/>
    </row>
    <row r="3028" spans="1:9" s="212" customFormat="1">
      <c r="A3028" s="220"/>
      <c r="B3028" s="141"/>
      <c r="C3028" s="141"/>
      <c r="D3028" s="141"/>
      <c r="E3028" s="141"/>
      <c r="F3028" s="141"/>
      <c r="G3028" s="141"/>
      <c r="H3028" s="222"/>
    </row>
    <row r="3029" spans="1:9" s="212" customFormat="1">
      <c r="A3029" s="142"/>
      <c r="B3029" s="143"/>
      <c r="C3029" s="143"/>
      <c r="D3029" s="143"/>
      <c r="E3029" s="143"/>
      <c r="F3029" s="84"/>
      <c r="G3029" s="146"/>
      <c r="H3029" s="221"/>
    </row>
    <row r="3030" spans="1:9" s="212" customFormat="1">
      <c r="A3030" s="123"/>
      <c r="B3030" s="95"/>
      <c r="C3030" s="95"/>
      <c r="D3030" s="95"/>
      <c r="E3030" s="95"/>
      <c r="G3030" s="213"/>
      <c r="H3030" s="73"/>
    </row>
    <row r="3031" spans="1:9" s="212" customFormat="1">
      <c r="A3031" s="123"/>
      <c r="B3031" s="95"/>
      <c r="C3031" s="95"/>
      <c r="D3031" s="95"/>
      <c r="E3031" s="95"/>
      <c r="G3031" s="73"/>
      <c r="H3031" s="225"/>
    </row>
    <row r="3032" spans="1:9" s="212" customFormat="1">
      <c r="B3032" s="97"/>
      <c r="C3032" s="98"/>
      <c r="D3032" s="98"/>
      <c r="E3032" s="98"/>
      <c r="G3032" s="220"/>
    </row>
    <row r="3033" spans="1:9" s="212" customFormat="1">
      <c r="B3033" s="97"/>
      <c r="C3033" s="98"/>
      <c r="D3033" s="98"/>
      <c r="E3033" s="98"/>
      <c r="F3033" s="220"/>
      <c r="G3033" s="225"/>
      <c r="H3033" s="226"/>
    </row>
    <row r="3034" spans="1:9" s="212" customFormat="1">
      <c r="A3034" s="633"/>
      <c r="B3034" s="633"/>
      <c r="C3034" s="633"/>
      <c r="D3034" s="633"/>
      <c r="E3034" s="633"/>
      <c r="F3034" s="633"/>
      <c r="G3034" s="633"/>
    </row>
    <row r="3035" spans="1:9" s="212" customFormat="1">
      <c r="H3035" s="227"/>
      <c r="I3035" s="228"/>
    </row>
    <row r="3036" spans="1:9" s="212" customFormat="1">
      <c r="A3036" s="658"/>
      <c r="B3036" s="227"/>
      <c r="C3036" s="227"/>
      <c r="D3036" s="227"/>
      <c r="E3036" s="227"/>
      <c r="F3036" s="227"/>
      <c r="G3036" s="227"/>
      <c r="H3036" s="227"/>
      <c r="I3036" s="229"/>
    </row>
    <row r="3037" spans="1:9" s="212" customFormat="1">
      <c r="A3037" s="658"/>
      <c r="B3037" s="227"/>
      <c r="C3037" s="227"/>
      <c r="D3037" s="227"/>
      <c r="E3037" s="227"/>
      <c r="F3037" s="227"/>
      <c r="G3037" s="227"/>
    </row>
    <row r="3038" spans="1:9" s="212" customFormat="1">
      <c r="A3038" s="69"/>
      <c r="B3038" s="69"/>
      <c r="C3038" s="69"/>
      <c r="D3038" s="69"/>
      <c r="E3038" s="69"/>
    </row>
    <row r="3039" spans="1:9" s="212" customFormat="1">
      <c r="A3039" s="120"/>
      <c r="B3039" s="73"/>
      <c r="C3039" s="73"/>
      <c r="D3039" s="73"/>
      <c r="E3039" s="73"/>
      <c r="F3039" s="73"/>
      <c r="G3039" s="73"/>
      <c r="H3039" s="73"/>
    </row>
    <row r="3040" spans="1:9" s="212" customFormat="1">
      <c r="A3040" s="220"/>
      <c r="B3040" s="141"/>
      <c r="C3040" s="141"/>
      <c r="D3040" s="141"/>
      <c r="E3040" s="141"/>
      <c r="F3040" s="141"/>
      <c r="G3040" s="141"/>
      <c r="H3040" s="73"/>
    </row>
    <row r="3041" spans="1:8" s="212" customFormat="1">
      <c r="A3041" s="150"/>
      <c r="B3041" s="83"/>
      <c r="C3041" s="148"/>
      <c r="D3041" s="84"/>
      <c r="E3041" s="84"/>
      <c r="F3041" s="84"/>
      <c r="G3041" s="146"/>
      <c r="H3041" s="221"/>
    </row>
    <row r="3042" spans="1:8" s="212" customFormat="1">
      <c r="A3042" s="84"/>
      <c r="B3042" s="83"/>
      <c r="C3042" s="84"/>
      <c r="D3042" s="84"/>
      <c r="E3042" s="84"/>
      <c r="G3042" s="213"/>
      <c r="H3042" s="222"/>
    </row>
    <row r="3043" spans="1:8" s="212" customFormat="1">
      <c r="A3043" s="120"/>
      <c r="B3043" s="73"/>
      <c r="C3043" s="73"/>
      <c r="D3043" s="73"/>
      <c r="E3043" s="73"/>
      <c r="G3043" s="73"/>
      <c r="H3043" s="222"/>
    </row>
    <row r="3044" spans="1:8" s="212" customFormat="1">
      <c r="A3044" s="220"/>
      <c r="B3044" s="141"/>
      <c r="C3044" s="141"/>
      <c r="D3044" s="141"/>
      <c r="E3044" s="141"/>
      <c r="F3044" s="141"/>
      <c r="G3044" s="141"/>
      <c r="H3044" s="222"/>
    </row>
    <row r="3045" spans="1:8" s="212" customFormat="1" ht="16.5">
      <c r="A3045" s="150"/>
      <c r="B3045" s="161"/>
      <c r="C3045" s="148"/>
      <c r="D3045" s="160"/>
      <c r="E3045" s="84"/>
      <c r="F3045" s="84"/>
      <c r="G3045" s="146"/>
      <c r="H3045" s="221"/>
    </row>
    <row r="3046" spans="1:8" s="212" customFormat="1">
      <c r="A3046" s="91"/>
      <c r="B3046" s="91"/>
      <c r="C3046" s="91"/>
      <c r="D3046" s="91"/>
      <c r="E3046" s="91"/>
      <c r="G3046" s="213"/>
      <c r="H3046" s="222"/>
    </row>
    <row r="3047" spans="1:8" s="212" customFormat="1">
      <c r="A3047" s="120"/>
      <c r="B3047" s="73"/>
      <c r="C3047" s="73"/>
      <c r="D3047" s="73"/>
      <c r="E3047" s="73"/>
      <c r="G3047" s="73"/>
      <c r="H3047" s="222"/>
    </row>
    <row r="3048" spans="1:8" s="212" customFormat="1">
      <c r="A3048" s="220"/>
      <c r="B3048" s="141"/>
      <c r="C3048" s="141"/>
      <c r="D3048" s="141"/>
      <c r="E3048" s="141"/>
      <c r="F3048" s="141"/>
      <c r="G3048" s="141"/>
      <c r="H3048" s="222"/>
    </row>
    <row r="3049" spans="1:8" s="212" customFormat="1">
      <c r="A3049" s="146"/>
      <c r="B3049" s="83"/>
      <c r="C3049" s="148"/>
      <c r="D3049" s="84"/>
      <c r="E3049" s="84"/>
      <c r="F3049" s="84"/>
      <c r="G3049" s="146"/>
      <c r="H3049" s="221"/>
    </row>
    <row r="3050" spans="1:8" s="212" customFormat="1">
      <c r="A3050" s="91"/>
      <c r="B3050" s="91"/>
      <c r="C3050" s="91"/>
      <c r="D3050" s="91"/>
      <c r="E3050" s="91"/>
      <c r="G3050" s="213"/>
      <c r="H3050" s="222"/>
    </row>
    <row r="3051" spans="1:8" s="212" customFormat="1">
      <c r="A3051" s="120"/>
      <c r="B3051" s="73"/>
      <c r="C3051" s="73"/>
      <c r="D3051" s="73"/>
      <c r="E3051" s="73"/>
      <c r="G3051" s="73"/>
      <c r="H3051" s="222"/>
    </row>
    <row r="3052" spans="1:8" s="212" customFormat="1">
      <c r="A3052" s="220"/>
      <c r="B3052" s="141"/>
      <c r="C3052" s="141"/>
      <c r="D3052" s="141"/>
      <c r="E3052" s="141"/>
      <c r="F3052" s="141"/>
      <c r="G3052" s="141"/>
      <c r="H3052" s="222"/>
    </row>
    <row r="3053" spans="1:8" s="212" customFormat="1">
      <c r="A3053" s="142"/>
      <c r="B3053" s="143"/>
      <c r="C3053" s="143"/>
      <c r="D3053" s="143"/>
      <c r="E3053" s="143"/>
      <c r="F3053" s="84"/>
      <c r="G3053" s="146"/>
      <c r="H3053" s="221"/>
    </row>
    <row r="3054" spans="1:8" s="212" customFormat="1">
      <c r="A3054" s="123"/>
      <c r="B3054" s="95"/>
      <c r="C3054" s="95"/>
      <c r="D3054" s="95"/>
      <c r="E3054" s="95"/>
      <c r="G3054" s="213"/>
      <c r="H3054" s="73"/>
    </row>
    <row r="3055" spans="1:8" s="212" customFormat="1">
      <c r="A3055" s="123"/>
      <c r="B3055" s="95"/>
      <c r="C3055" s="95"/>
      <c r="D3055" s="95"/>
      <c r="E3055" s="95"/>
      <c r="G3055" s="73"/>
      <c r="H3055" s="225"/>
    </row>
    <row r="3056" spans="1:8" s="212" customFormat="1">
      <c r="B3056" s="97"/>
      <c r="C3056" s="98"/>
      <c r="D3056" s="98"/>
      <c r="E3056" s="98"/>
      <c r="G3056" s="220"/>
    </row>
    <row r="3057" spans="1:9" s="212" customFormat="1">
      <c r="B3057" s="97"/>
      <c r="C3057" s="98"/>
      <c r="D3057" s="98"/>
      <c r="E3057" s="98"/>
      <c r="F3057" s="220"/>
      <c r="G3057" s="225"/>
      <c r="H3057" s="226"/>
    </row>
    <row r="3058" spans="1:9" s="212" customFormat="1">
      <c r="A3058" s="633"/>
      <c r="B3058" s="633"/>
      <c r="C3058" s="633"/>
      <c r="D3058" s="633"/>
      <c r="E3058" s="633"/>
      <c r="F3058" s="633"/>
      <c r="G3058" s="633"/>
    </row>
    <row r="3059" spans="1:9" s="212" customFormat="1">
      <c r="H3059" s="227"/>
      <c r="I3059" s="228"/>
    </row>
    <row r="3060" spans="1:9" s="212" customFormat="1">
      <c r="A3060" s="658"/>
      <c r="B3060" s="227"/>
      <c r="C3060" s="227"/>
      <c r="D3060" s="227"/>
      <c r="E3060" s="227"/>
      <c r="F3060" s="227"/>
      <c r="G3060" s="227"/>
      <c r="H3060" s="227"/>
      <c r="I3060" s="229"/>
    </row>
    <row r="3061" spans="1:9" s="212" customFormat="1">
      <c r="A3061" s="658"/>
      <c r="B3061" s="227"/>
      <c r="C3061" s="227"/>
      <c r="D3061" s="227"/>
      <c r="E3061" s="227"/>
      <c r="F3061" s="227"/>
      <c r="G3061" s="227"/>
    </row>
    <row r="3062" spans="1:9" s="212" customFormat="1">
      <c r="A3062" s="69"/>
      <c r="B3062" s="69"/>
      <c r="C3062" s="69"/>
      <c r="D3062" s="69"/>
      <c r="E3062" s="69"/>
    </row>
    <row r="3063" spans="1:9" s="212" customFormat="1">
      <c r="A3063" s="120"/>
      <c r="B3063" s="73"/>
      <c r="C3063" s="73"/>
      <c r="D3063" s="73"/>
      <c r="E3063" s="73"/>
      <c r="F3063" s="73"/>
      <c r="G3063" s="73"/>
      <c r="H3063" s="73"/>
    </row>
    <row r="3064" spans="1:9" s="212" customFormat="1">
      <c r="A3064" s="220"/>
      <c r="B3064" s="141"/>
      <c r="C3064" s="141"/>
      <c r="D3064" s="141"/>
      <c r="E3064" s="141"/>
      <c r="F3064" s="141"/>
      <c r="G3064" s="141"/>
      <c r="H3064" s="73"/>
    </row>
    <row r="3065" spans="1:9" s="212" customFormat="1">
      <c r="A3065" s="150"/>
      <c r="B3065" s="83"/>
      <c r="C3065" s="148"/>
      <c r="D3065" s="84"/>
      <c r="E3065" s="84"/>
      <c r="F3065" s="84"/>
      <c r="G3065" s="146"/>
      <c r="H3065" s="221"/>
    </row>
    <row r="3066" spans="1:9" s="212" customFormat="1">
      <c r="A3066" s="84"/>
      <c r="B3066" s="83"/>
      <c r="C3066" s="84"/>
      <c r="D3066" s="84"/>
      <c r="E3066" s="84"/>
      <c r="G3066" s="213"/>
      <c r="H3066" s="222"/>
    </row>
    <row r="3067" spans="1:9" s="212" customFormat="1">
      <c r="A3067" s="120"/>
      <c r="B3067" s="73"/>
      <c r="C3067" s="73"/>
      <c r="D3067" s="73"/>
      <c r="E3067" s="73"/>
      <c r="G3067" s="73"/>
      <c r="H3067" s="222"/>
    </row>
    <row r="3068" spans="1:9" s="212" customFormat="1">
      <c r="A3068" s="220"/>
      <c r="B3068" s="141"/>
      <c r="C3068" s="141"/>
      <c r="D3068" s="141"/>
      <c r="E3068" s="141"/>
      <c r="F3068" s="141"/>
      <c r="G3068" s="141"/>
      <c r="H3068" s="222"/>
    </row>
    <row r="3069" spans="1:9" s="212" customFormat="1" ht="16.5">
      <c r="A3069" s="150"/>
      <c r="B3069" s="161"/>
      <c r="C3069" s="148"/>
      <c r="D3069" s="160"/>
      <c r="E3069" s="84"/>
      <c r="F3069" s="84"/>
      <c r="G3069" s="146"/>
      <c r="H3069" s="221"/>
    </row>
    <row r="3070" spans="1:9" s="212" customFormat="1">
      <c r="A3070" s="91"/>
      <c r="B3070" s="91"/>
      <c r="C3070" s="91"/>
      <c r="D3070" s="91"/>
      <c r="E3070" s="91"/>
      <c r="G3070" s="213"/>
      <c r="H3070" s="222"/>
    </row>
    <row r="3071" spans="1:9" s="212" customFormat="1">
      <c r="A3071" s="120"/>
      <c r="B3071" s="73"/>
      <c r="C3071" s="73"/>
      <c r="D3071" s="73"/>
      <c r="E3071" s="73"/>
      <c r="G3071" s="73"/>
      <c r="H3071" s="222"/>
    </row>
    <row r="3072" spans="1:9" s="212" customFormat="1">
      <c r="A3072" s="220"/>
      <c r="B3072" s="141"/>
      <c r="C3072" s="141"/>
      <c r="D3072" s="141"/>
      <c r="E3072" s="141"/>
      <c r="F3072" s="141"/>
      <c r="G3072" s="141"/>
      <c r="H3072" s="222"/>
    </row>
    <row r="3073" spans="1:9" s="212" customFormat="1">
      <c r="A3073" s="146"/>
      <c r="B3073" s="83"/>
      <c r="C3073" s="148"/>
      <c r="D3073" s="84"/>
      <c r="E3073" s="84"/>
      <c r="F3073" s="84"/>
      <c r="G3073" s="146"/>
      <c r="H3073" s="221"/>
    </row>
    <row r="3074" spans="1:9" s="212" customFormat="1">
      <c r="A3074" s="91"/>
      <c r="B3074" s="91"/>
      <c r="C3074" s="91"/>
      <c r="D3074" s="91"/>
      <c r="E3074" s="91"/>
      <c r="G3074" s="213"/>
      <c r="H3074" s="222"/>
    </row>
    <row r="3075" spans="1:9" s="212" customFormat="1">
      <c r="A3075" s="120"/>
      <c r="B3075" s="73"/>
      <c r="C3075" s="73"/>
      <c r="D3075" s="73"/>
      <c r="E3075" s="73"/>
      <c r="G3075" s="73"/>
      <c r="H3075" s="222"/>
    </row>
    <row r="3076" spans="1:9" s="212" customFormat="1">
      <c r="A3076" s="220"/>
      <c r="B3076" s="141"/>
      <c r="C3076" s="141"/>
      <c r="D3076" s="141"/>
      <c r="E3076" s="141"/>
      <c r="F3076" s="141"/>
      <c r="G3076" s="141"/>
      <c r="H3076" s="222"/>
    </row>
    <row r="3077" spans="1:9" s="212" customFormat="1">
      <c r="A3077" s="142"/>
      <c r="B3077" s="143"/>
      <c r="C3077" s="143"/>
      <c r="D3077" s="143"/>
      <c r="E3077" s="143"/>
      <c r="F3077" s="84"/>
      <c r="G3077" s="146"/>
      <c r="H3077" s="221"/>
    </row>
    <row r="3078" spans="1:9" s="212" customFormat="1">
      <c r="A3078" s="123"/>
      <c r="B3078" s="95"/>
      <c r="C3078" s="95"/>
      <c r="D3078" s="95"/>
      <c r="E3078" s="95"/>
      <c r="G3078" s="213"/>
      <c r="H3078" s="73"/>
    </row>
    <row r="3079" spans="1:9" s="212" customFormat="1">
      <c r="A3079" s="123"/>
      <c r="B3079" s="95"/>
      <c r="C3079" s="95"/>
      <c r="D3079" s="95"/>
      <c r="E3079" s="95"/>
      <c r="G3079" s="73"/>
      <c r="H3079" s="225"/>
    </row>
    <row r="3080" spans="1:9" s="212" customFormat="1">
      <c r="B3080" s="97"/>
      <c r="C3080" s="98"/>
      <c r="D3080" s="98"/>
      <c r="E3080" s="98"/>
      <c r="G3080" s="220"/>
    </row>
    <row r="3081" spans="1:9" s="212" customFormat="1">
      <c r="B3081" s="97"/>
      <c r="C3081" s="98"/>
      <c r="D3081" s="98"/>
      <c r="E3081" s="98"/>
      <c r="F3081" s="220"/>
      <c r="G3081" s="225"/>
      <c r="H3081" s="226"/>
    </row>
    <row r="3082" spans="1:9" s="212" customFormat="1">
      <c r="A3082" s="633"/>
      <c r="B3082" s="633"/>
      <c r="C3082" s="633"/>
      <c r="D3082" s="633"/>
      <c r="E3082" s="633"/>
      <c r="F3082" s="633"/>
      <c r="G3082" s="633"/>
    </row>
    <row r="3083" spans="1:9" s="212" customFormat="1">
      <c r="H3083" s="227"/>
      <c r="I3083" s="228"/>
    </row>
    <row r="3084" spans="1:9" s="212" customFormat="1">
      <c r="A3084" s="658"/>
      <c r="B3084" s="227"/>
      <c r="C3084" s="227"/>
      <c r="D3084" s="227"/>
      <c r="E3084" s="227"/>
      <c r="F3084" s="227"/>
      <c r="G3084" s="227"/>
      <c r="H3084" s="227"/>
      <c r="I3084" s="229"/>
    </row>
    <row r="3085" spans="1:9" s="212" customFormat="1">
      <c r="A3085" s="658"/>
      <c r="B3085" s="227"/>
      <c r="C3085" s="227"/>
      <c r="D3085" s="227"/>
      <c r="E3085" s="227"/>
      <c r="F3085" s="227"/>
      <c r="G3085" s="227"/>
    </row>
    <row r="3086" spans="1:9" s="212" customFormat="1">
      <c r="A3086" s="69"/>
      <c r="B3086" s="69"/>
      <c r="C3086" s="69"/>
      <c r="D3086" s="69"/>
      <c r="E3086" s="69"/>
    </row>
    <row r="3087" spans="1:9" s="212" customFormat="1">
      <c r="A3087" s="120"/>
      <c r="B3087" s="73"/>
      <c r="C3087" s="73"/>
      <c r="D3087" s="73"/>
      <c r="E3087" s="73"/>
      <c r="F3087" s="73"/>
      <c r="G3087" s="73"/>
      <c r="H3087" s="73"/>
    </row>
    <row r="3088" spans="1:9" s="212" customFormat="1">
      <c r="A3088" s="220"/>
      <c r="B3088" s="141"/>
      <c r="C3088" s="141"/>
      <c r="D3088" s="141"/>
      <c r="E3088" s="141"/>
      <c r="F3088" s="141"/>
      <c r="G3088" s="141"/>
      <c r="H3088" s="73"/>
    </row>
    <row r="3089" spans="1:8" s="212" customFormat="1">
      <c r="A3089" s="150"/>
      <c r="B3089" s="83"/>
      <c r="C3089" s="148"/>
      <c r="D3089" s="84"/>
      <c r="E3089" s="84"/>
      <c r="F3089" s="84"/>
      <c r="G3089" s="146"/>
      <c r="H3089" s="221"/>
    </row>
    <row r="3090" spans="1:8" s="212" customFormat="1">
      <c r="A3090" s="84"/>
      <c r="B3090" s="83"/>
      <c r="C3090" s="84"/>
      <c r="D3090" s="84"/>
      <c r="E3090" s="84"/>
      <c r="G3090" s="213"/>
      <c r="H3090" s="222"/>
    </row>
    <row r="3091" spans="1:8" s="212" customFormat="1">
      <c r="A3091" s="120"/>
      <c r="B3091" s="73"/>
      <c r="C3091" s="73"/>
      <c r="D3091" s="73"/>
      <c r="E3091" s="73"/>
      <c r="G3091" s="73"/>
      <c r="H3091" s="222"/>
    </row>
    <row r="3092" spans="1:8" s="212" customFormat="1">
      <c r="A3092" s="220"/>
      <c r="B3092" s="141"/>
      <c r="C3092" s="141"/>
      <c r="D3092" s="141"/>
      <c r="E3092" s="141"/>
      <c r="F3092" s="141"/>
      <c r="G3092" s="141"/>
      <c r="H3092" s="222"/>
    </row>
    <row r="3093" spans="1:8" s="212" customFormat="1" ht="16.5">
      <c r="A3093" s="150"/>
      <c r="B3093" s="161"/>
      <c r="C3093" s="148"/>
      <c r="D3093" s="160"/>
      <c r="E3093" s="84"/>
      <c r="F3093" s="84"/>
      <c r="G3093" s="146"/>
      <c r="H3093" s="221"/>
    </row>
    <row r="3094" spans="1:8" s="212" customFormat="1">
      <c r="A3094" s="91"/>
      <c r="B3094" s="91"/>
      <c r="C3094" s="91"/>
      <c r="D3094" s="91"/>
      <c r="E3094" s="91"/>
      <c r="G3094" s="213"/>
      <c r="H3094" s="222"/>
    </row>
    <row r="3095" spans="1:8" s="212" customFormat="1">
      <c r="A3095" s="120"/>
      <c r="B3095" s="73"/>
      <c r="C3095" s="73"/>
      <c r="D3095" s="73"/>
      <c r="E3095" s="73"/>
      <c r="G3095" s="73"/>
      <c r="H3095" s="222"/>
    </row>
    <row r="3096" spans="1:8" s="212" customFormat="1">
      <c r="A3096" s="220"/>
      <c r="B3096" s="141"/>
      <c r="C3096" s="141"/>
      <c r="D3096" s="141"/>
      <c r="E3096" s="141"/>
      <c r="F3096" s="141"/>
      <c r="G3096" s="141"/>
      <c r="H3096" s="222"/>
    </row>
    <row r="3097" spans="1:8" s="212" customFormat="1">
      <c r="A3097" s="146"/>
      <c r="B3097" s="83"/>
      <c r="C3097" s="148"/>
      <c r="D3097" s="84"/>
      <c r="E3097" s="84"/>
      <c r="F3097" s="84"/>
      <c r="G3097" s="146"/>
      <c r="H3097" s="221"/>
    </row>
    <row r="3098" spans="1:8" s="212" customFormat="1">
      <c r="A3098" s="91"/>
      <c r="B3098" s="91"/>
      <c r="C3098" s="91"/>
      <c r="D3098" s="91"/>
      <c r="E3098" s="91"/>
      <c r="G3098" s="213"/>
      <c r="H3098" s="222"/>
    </row>
    <row r="3099" spans="1:8" s="212" customFormat="1">
      <c r="A3099" s="120"/>
      <c r="B3099" s="73"/>
      <c r="C3099" s="73"/>
      <c r="D3099" s="73"/>
      <c r="E3099" s="73"/>
      <c r="G3099" s="73"/>
      <c r="H3099" s="222"/>
    </row>
    <row r="3100" spans="1:8" s="212" customFormat="1">
      <c r="A3100" s="220"/>
      <c r="B3100" s="141"/>
      <c r="C3100" s="141"/>
      <c r="D3100" s="141"/>
      <c r="E3100" s="141"/>
      <c r="F3100" s="141"/>
      <c r="G3100" s="141"/>
      <c r="H3100" s="222"/>
    </row>
    <row r="3101" spans="1:8" s="212" customFormat="1">
      <c r="A3101" s="142"/>
      <c r="B3101" s="143"/>
      <c r="C3101" s="143"/>
      <c r="D3101" s="143"/>
      <c r="E3101" s="143"/>
      <c r="F3101" s="84"/>
      <c r="G3101" s="146"/>
      <c r="H3101" s="221"/>
    </row>
    <row r="3102" spans="1:8" s="212" customFormat="1">
      <c r="A3102" s="123"/>
      <c r="B3102" s="95"/>
      <c r="C3102" s="95"/>
      <c r="D3102" s="95"/>
      <c r="E3102" s="95"/>
      <c r="G3102" s="213"/>
      <c r="H3102" s="73"/>
    </row>
    <row r="3103" spans="1:8" s="212" customFormat="1">
      <c r="A3103" s="123"/>
      <c r="B3103" s="95"/>
      <c r="C3103" s="95"/>
      <c r="D3103" s="95"/>
      <c r="E3103" s="95"/>
      <c r="G3103" s="73"/>
      <c r="H3103" s="225"/>
    </row>
    <row r="3104" spans="1:8" s="212" customFormat="1">
      <c r="B3104" s="97"/>
      <c r="C3104" s="98"/>
      <c r="D3104" s="98"/>
      <c r="E3104" s="98"/>
      <c r="G3104" s="220"/>
    </row>
    <row r="3105" spans="1:9" s="212" customFormat="1">
      <c r="B3105" s="97"/>
      <c r="C3105" s="98"/>
      <c r="D3105" s="98"/>
      <c r="E3105" s="98"/>
      <c r="F3105" s="220"/>
      <c r="G3105" s="225"/>
      <c r="H3105" s="226"/>
    </row>
    <row r="3106" spans="1:9" s="212" customFormat="1">
      <c r="A3106" s="633"/>
      <c r="B3106" s="633"/>
      <c r="C3106" s="633"/>
      <c r="D3106" s="633"/>
      <c r="E3106" s="633"/>
      <c r="F3106" s="633"/>
      <c r="G3106" s="633"/>
    </row>
    <row r="3107" spans="1:9" s="212" customFormat="1">
      <c r="H3107" s="227"/>
      <c r="I3107" s="228"/>
    </row>
    <row r="3108" spans="1:9" s="212" customFormat="1">
      <c r="A3108" s="658"/>
      <c r="B3108" s="227"/>
      <c r="C3108" s="227"/>
      <c r="D3108" s="227"/>
      <c r="E3108" s="227"/>
      <c r="F3108" s="227"/>
      <c r="G3108" s="227"/>
      <c r="H3108" s="227"/>
      <c r="I3108" s="229"/>
    </row>
    <row r="3109" spans="1:9" s="212" customFormat="1">
      <c r="A3109" s="658"/>
      <c r="B3109" s="227"/>
      <c r="C3109" s="227"/>
      <c r="D3109" s="227"/>
      <c r="E3109" s="227"/>
      <c r="F3109" s="227"/>
      <c r="G3109" s="227"/>
    </row>
    <row r="3110" spans="1:9" s="212" customFormat="1">
      <c r="A3110" s="69"/>
      <c r="B3110" s="69"/>
      <c r="C3110" s="69"/>
      <c r="D3110" s="69"/>
      <c r="E3110" s="69"/>
    </row>
    <row r="3111" spans="1:9" s="212" customFormat="1">
      <c r="A3111" s="120"/>
      <c r="B3111" s="73"/>
      <c r="C3111" s="73"/>
      <c r="D3111" s="73"/>
      <c r="E3111" s="73"/>
      <c r="F3111" s="73"/>
      <c r="G3111" s="73"/>
      <c r="H3111" s="73"/>
    </row>
    <row r="3112" spans="1:9" s="212" customFormat="1">
      <c r="A3112" s="220"/>
      <c r="B3112" s="141"/>
      <c r="C3112" s="141"/>
      <c r="D3112" s="141"/>
      <c r="E3112" s="141"/>
      <c r="F3112" s="141"/>
      <c r="G3112" s="141"/>
      <c r="H3112" s="73"/>
    </row>
    <row r="3113" spans="1:9" s="212" customFormat="1">
      <c r="A3113" s="150"/>
      <c r="B3113" s="83"/>
      <c r="C3113" s="148"/>
      <c r="D3113" s="84"/>
      <c r="E3113" s="84"/>
      <c r="F3113" s="84"/>
      <c r="G3113" s="146"/>
      <c r="H3113" s="221"/>
    </row>
    <row r="3114" spans="1:9" s="212" customFormat="1">
      <c r="A3114" s="84"/>
      <c r="B3114" s="83"/>
      <c r="C3114" s="84"/>
      <c r="D3114" s="84"/>
      <c r="E3114" s="84"/>
      <c r="G3114" s="213"/>
      <c r="H3114" s="222"/>
    </row>
    <row r="3115" spans="1:9" s="212" customFormat="1">
      <c r="A3115" s="120"/>
      <c r="B3115" s="73"/>
      <c r="C3115" s="73"/>
      <c r="D3115" s="73"/>
      <c r="E3115" s="73"/>
      <c r="G3115" s="73"/>
      <c r="H3115" s="222"/>
    </row>
    <row r="3116" spans="1:9" s="212" customFormat="1">
      <c r="A3116" s="220"/>
      <c r="B3116" s="141"/>
      <c r="C3116" s="141"/>
      <c r="D3116" s="141"/>
      <c r="E3116" s="141"/>
      <c r="F3116" s="141"/>
      <c r="G3116" s="141"/>
      <c r="H3116" s="222"/>
    </row>
    <row r="3117" spans="1:9" s="212" customFormat="1" ht="16.5">
      <c r="A3117" s="150"/>
      <c r="B3117" s="161"/>
      <c r="C3117" s="148"/>
      <c r="D3117" s="160"/>
      <c r="E3117" s="84"/>
      <c r="F3117" s="84"/>
      <c r="G3117" s="146"/>
      <c r="H3117" s="221"/>
    </row>
    <row r="3118" spans="1:9" s="212" customFormat="1">
      <c r="A3118" s="91"/>
      <c r="B3118" s="91"/>
      <c r="C3118" s="91"/>
      <c r="D3118" s="91"/>
      <c r="E3118" s="91"/>
      <c r="G3118" s="213"/>
      <c r="H3118" s="222"/>
    </row>
    <row r="3119" spans="1:9" s="212" customFormat="1">
      <c r="A3119" s="120"/>
      <c r="B3119" s="73"/>
      <c r="C3119" s="73"/>
      <c r="D3119" s="73"/>
      <c r="E3119" s="73"/>
      <c r="G3119" s="73"/>
      <c r="H3119" s="222"/>
    </row>
    <row r="3120" spans="1:9" s="212" customFormat="1">
      <c r="A3120" s="220"/>
      <c r="B3120" s="141"/>
      <c r="C3120" s="141"/>
      <c r="D3120" s="141"/>
      <c r="E3120" s="141"/>
      <c r="F3120" s="141"/>
      <c r="G3120" s="141"/>
      <c r="H3120" s="222"/>
    </row>
    <row r="3121" spans="1:9" s="212" customFormat="1">
      <c r="A3121" s="146"/>
      <c r="B3121" s="83"/>
      <c r="C3121" s="148"/>
      <c r="D3121" s="84"/>
      <c r="E3121" s="84"/>
      <c r="F3121" s="84"/>
      <c r="G3121" s="146"/>
      <c r="H3121" s="221"/>
    </row>
    <row r="3122" spans="1:9" s="212" customFormat="1">
      <c r="A3122" s="91"/>
      <c r="B3122" s="91"/>
      <c r="C3122" s="91"/>
      <c r="D3122" s="91"/>
      <c r="E3122" s="91"/>
      <c r="G3122" s="213"/>
      <c r="H3122" s="222"/>
    </row>
    <row r="3123" spans="1:9" s="212" customFormat="1">
      <c r="A3123" s="120"/>
      <c r="B3123" s="73"/>
      <c r="C3123" s="73"/>
      <c r="D3123" s="73"/>
      <c r="E3123" s="73"/>
      <c r="G3123" s="73"/>
      <c r="H3123" s="222"/>
    </row>
    <row r="3124" spans="1:9" s="212" customFormat="1">
      <c r="A3124" s="220"/>
      <c r="B3124" s="141"/>
      <c r="C3124" s="141"/>
      <c r="D3124" s="141"/>
      <c r="E3124" s="141"/>
      <c r="F3124" s="141"/>
      <c r="G3124" s="141"/>
      <c r="H3124" s="222"/>
    </row>
    <row r="3125" spans="1:9" s="212" customFormat="1">
      <c r="A3125" s="142"/>
      <c r="B3125" s="143"/>
      <c r="C3125" s="143"/>
      <c r="D3125" s="143"/>
      <c r="E3125" s="143"/>
      <c r="F3125" s="84"/>
      <c r="G3125" s="146"/>
      <c r="H3125" s="221"/>
    </row>
    <row r="3126" spans="1:9" s="212" customFormat="1">
      <c r="A3126" s="123"/>
      <c r="B3126" s="95"/>
      <c r="C3126" s="95"/>
      <c r="D3126" s="95"/>
      <c r="E3126" s="95"/>
      <c r="G3126" s="213"/>
      <c r="H3126" s="73"/>
    </row>
    <row r="3127" spans="1:9" s="212" customFormat="1">
      <c r="A3127" s="123"/>
      <c r="B3127" s="95"/>
      <c r="C3127" s="95"/>
      <c r="D3127" s="95"/>
      <c r="E3127" s="95"/>
      <c r="G3127" s="73"/>
      <c r="H3127" s="225"/>
    </row>
    <row r="3128" spans="1:9" s="212" customFormat="1">
      <c r="B3128" s="97"/>
      <c r="C3128" s="98"/>
      <c r="D3128" s="98"/>
      <c r="E3128" s="98"/>
      <c r="G3128" s="220"/>
    </row>
    <row r="3129" spans="1:9" s="212" customFormat="1">
      <c r="B3129" s="97"/>
      <c r="C3129" s="98"/>
      <c r="D3129" s="98"/>
      <c r="E3129" s="98"/>
      <c r="F3129" s="220"/>
      <c r="G3129" s="225"/>
      <c r="H3129" s="226"/>
    </row>
    <row r="3130" spans="1:9" s="212" customFormat="1">
      <c r="A3130" s="633"/>
      <c r="B3130" s="633"/>
      <c r="C3130" s="633"/>
      <c r="D3130" s="633"/>
      <c r="E3130" s="633"/>
      <c r="F3130" s="633"/>
      <c r="G3130" s="633"/>
    </row>
    <row r="3131" spans="1:9" s="212" customFormat="1">
      <c r="H3131" s="227"/>
      <c r="I3131" s="228"/>
    </row>
    <row r="3132" spans="1:9" s="212" customFormat="1">
      <c r="A3132" s="658"/>
      <c r="B3132" s="227"/>
      <c r="C3132" s="227"/>
      <c r="D3132" s="227"/>
      <c r="E3132" s="227"/>
      <c r="F3132" s="227"/>
      <c r="G3132" s="227"/>
      <c r="H3132" s="227"/>
      <c r="I3132" s="229"/>
    </row>
    <row r="3133" spans="1:9" s="212" customFormat="1">
      <c r="A3133" s="658"/>
      <c r="B3133" s="227"/>
      <c r="C3133" s="227"/>
      <c r="D3133" s="227"/>
      <c r="E3133" s="227"/>
      <c r="F3133" s="227"/>
      <c r="G3133" s="227"/>
    </row>
    <row r="3134" spans="1:9" s="212" customFormat="1">
      <c r="A3134" s="69"/>
      <c r="B3134" s="69"/>
      <c r="C3134" s="69"/>
      <c r="D3134" s="69"/>
      <c r="E3134" s="69"/>
    </row>
    <row r="3135" spans="1:9" s="212" customFormat="1">
      <c r="A3135" s="120"/>
      <c r="B3135" s="73"/>
      <c r="C3135" s="73"/>
      <c r="D3135" s="73"/>
      <c r="E3135" s="73"/>
      <c r="F3135" s="73"/>
      <c r="G3135" s="73"/>
      <c r="H3135" s="73"/>
    </row>
    <row r="3136" spans="1:9" s="212" customFormat="1">
      <c r="A3136" s="220"/>
      <c r="B3136" s="141"/>
      <c r="C3136" s="141"/>
      <c r="D3136" s="141"/>
      <c r="E3136" s="141"/>
      <c r="F3136" s="141"/>
      <c r="G3136" s="141"/>
      <c r="H3136" s="73"/>
    </row>
    <row r="3137" spans="1:8" s="212" customFormat="1">
      <c r="A3137" s="150"/>
      <c r="B3137" s="83"/>
      <c r="C3137" s="148"/>
      <c r="D3137" s="84"/>
      <c r="E3137" s="84"/>
      <c r="F3137" s="84"/>
      <c r="G3137" s="146"/>
      <c r="H3137" s="221"/>
    </row>
    <row r="3138" spans="1:8" s="212" customFormat="1">
      <c r="A3138" s="84"/>
      <c r="B3138" s="83"/>
      <c r="C3138" s="84"/>
      <c r="D3138" s="84"/>
      <c r="E3138" s="84"/>
      <c r="G3138" s="213"/>
      <c r="H3138" s="222"/>
    </row>
    <row r="3139" spans="1:8" s="212" customFormat="1">
      <c r="A3139" s="120"/>
      <c r="B3139" s="73"/>
      <c r="C3139" s="73"/>
      <c r="D3139" s="73"/>
      <c r="E3139" s="73"/>
      <c r="G3139" s="73"/>
      <c r="H3139" s="222"/>
    </row>
    <row r="3140" spans="1:8" s="212" customFormat="1">
      <c r="A3140" s="220"/>
      <c r="B3140" s="141"/>
      <c r="C3140" s="141"/>
      <c r="D3140" s="141"/>
      <c r="E3140" s="141"/>
      <c r="F3140" s="141"/>
      <c r="G3140" s="141"/>
      <c r="H3140" s="222"/>
    </row>
    <row r="3141" spans="1:8" s="212" customFormat="1" ht="16.5">
      <c r="A3141" s="150"/>
      <c r="B3141" s="161"/>
      <c r="C3141" s="148"/>
      <c r="D3141" s="160"/>
      <c r="E3141" s="84"/>
      <c r="F3141" s="84"/>
      <c r="G3141" s="146"/>
      <c r="H3141" s="221"/>
    </row>
    <row r="3142" spans="1:8" s="212" customFormat="1">
      <c r="A3142" s="91"/>
      <c r="B3142" s="91"/>
      <c r="C3142" s="91"/>
      <c r="D3142" s="91"/>
      <c r="E3142" s="91"/>
      <c r="G3142" s="213"/>
      <c r="H3142" s="222"/>
    </row>
    <row r="3143" spans="1:8" s="212" customFormat="1">
      <c r="A3143" s="120"/>
      <c r="B3143" s="73"/>
      <c r="C3143" s="73"/>
      <c r="D3143" s="73"/>
      <c r="E3143" s="73"/>
      <c r="G3143" s="73"/>
      <c r="H3143" s="222"/>
    </row>
    <row r="3144" spans="1:8" s="212" customFormat="1">
      <c r="A3144" s="220"/>
      <c r="B3144" s="141"/>
      <c r="C3144" s="141"/>
      <c r="D3144" s="141"/>
      <c r="E3144" s="141"/>
      <c r="F3144" s="141"/>
      <c r="G3144" s="141"/>
      <c r="H3144" s="222"/>
    </row>
    <row r="3145" spans="1:8" s="212" customFormat="1">
      <c r="A3145" s="146"/>
      <c r="B3145" s="83"/>
      <c r="C3145" s="148"/>
      <c r="D3145" s="84"/>
      <c r="E3145" s="84"/>
      <c r="F3145" s="84"/>
      <c r="G3145" s="146"/>
      <c r="H3145" s="221"/>
    </row>
    <row r="3146" spans="1:8" s="212" customFormat="1">
      <c r="A3146" s="91"/>
      <c r="B3146" s="91"/>
      <c r="C3146" s="91"/>
      <c r="D3146" s="91"/>
      <c r="E3146" s="91"/>
      <c r="G3146" s="213"/>
      <c r="H3146" s="222"/>
    </row>
    <row r="3147" spans="1:8" s="212" customFormat="1">
      <c r="A3147" s="120"/>
      <c r="B3147" s="73"/>
      <c r="C3147" s="73"/>
      <c r="D3147" s="73"/>
      <c r="E3147" s="73"/>
      <c r="G3147" s="73"/>
      <c r="H3147" s="222"/>
    </row>
    <row r="3148" spans="1:8" s="212" customFormat="1">
      <c r="A3148" s="220"/>
      <c r="B3148" s="141"/>
      <c r="C3148" s="141"/>
      <c r="D3148" s="141"/>
      <c r="E3148" s="141"/>
      <c r="F3148" s="141"/>
      <c r="G3148" s="141"/>
      <c r="H3148" s="222"/>
    </row>
    <row r="3149" spans="1:8" s="212" customFormat="1">
      <c r="A3149" s="142"/>
      <c r="B3149" s="143"/>
      <c r="C3149" s="143"/>
      <c r="D3149" s="143"/>
      <c r="E3149" s="143"/>
      <c r="F3149" s="84"/>
      <c r="G3149" s="146"/>
      <c r="H3149" s="221"/>
    </row>
    <row r="3150" spans="1:8" s="212" customFormat="1">
      <c r="A3150" s="123"/>
      <c r="B3150" s="95"/>
      <c r="C3150" s="95"/>
      <c r="D3150" s="95"/>
      <c r="E3150" s="95"/>
      <c r="G3150" s="213"/>
      <c r="H3150" s="73"/>
    </row>
    <row r="3151" spans="1:8" s="212" customFormat="1">
      <c r="A3151" s="123"/>
      <c r="B3151" s="95"/>
      <c r="C3151" s="95"/>
      <c r="D3151" s="95"/>
      <c r="E3151" s="95"/>
      <c r="G3151" s="73"/>
      <c r="H3151" s="225"/>
    </row>
    <row r="3152" spans="1:8" s="212" customFormat="1">
      <c r="B3152" s="97"/>
      <c r="C3152" s="98"/>
      <c r="D3152" s="98"/>
      <c r="E3152" s="98"/>
      <c r="G3152" s="220"/>
    </row>
    <row r="3153" spans="1:9" s="212" customFormat="1">
      <c r="B3153" s="97"/>
      <c r="C3153" s="98"/>
      <c r="D3153" s="98"/>
      <c r="E3153" s="98"/>
      <c r="F3153" s="220"/>
      <c r="G3153" s="225"/>
      <c r="H3153" s="226"/>
    </row>
    <row r="3154" spans="1:9" s="212" customFormat="1">
      <c r="A3154" s="633"/>
      <c r="B3154" s="633"/>
      <c r="C3154" s="633"/>
      <c r="D3154" s="633"/>
      <c r="E3154" s="633"/>
      <c r="F3154" s="633"/>
      <c r="G3154" s="633"/>
    </row>
    <row r="3155" spans="1:9" s="212" customFormat="1">
      <c r="H3155" s="227"/>
      <c r="I3155" s="228"/>
    </row>
    <row r="3156" spans="1:9" s="212" customFormat="1">
      <c r="A3156" s="658"/>
      <c r="B3156" s="227"/>
      <c r="C3156" s="227"/>
      <c r="D3156" s="227"/>
      <c r="E3156" s="227"/>
      <c r="F3156" s="227"/>
      <c r="G3156" s="227"/>
      <c r="H3156" s="227"/>
      <c r="I3156" s="229"/>
    </row>
    <row r="3157" spans="1:9" s="212" customFormat="1">
      <c r="A3157" s="658"/>
      <c r="B3157" s="227"/>
      <c r="C3157" s="227"/>
      <c r="D3157" s="227"/>
      <c r="E3157" s="227"/>
      <c r="F3157" s="227"/>
      <c r="G3157" s="227"/>
    </row>
    <row r="3158" spans="1:9" s="212" customFormat="1">
      <c r="A3158" s="69"/>
      <c r="B3158" s="69"/>
      <c r="C3158" s="69"/>
      <c r="D3158" s="69"/>
      <c r="E3158" s="69"/>
    </row>
    <row r="3159" spans="1:9" s="212" customFormat="1">
      <c r="A3159" s="120"/>
      <c r="B3159" s="73"/>
      <c r="C3159" s="73"/>
      <c r="D3159" s="73"/>
      <c r="E3159" s="73"/>
      <c r="F3159" s="73"/>
      <c r="G3159" s="73"/>
      <c r="H3159" s="73"/>
    </row>
    <row r="3160" spans="1:9" s="212" customFormat="1">
      <c r="A3160" s="220"/>
      <c r="B3160" s="141"/>
      <c r="C3160" s="141"/>
      <c r="D3160" s="141"/>
      <c r="E3160" s="141"/>
      <c r="F3160" s="141"/>
      <c r="G3160" s="141"/>
      <c r="H3160" s="73"/>
    </row>
    <row r="3161" spans="1:9" s="212" customFormat="1">
      <c r="A3161" s="150"/>
      <c r="B3161" s="83"/>
      <c r="C3161" s="148"/>
      <c r="D3161" s="84"/>
      <c r="E3161" s="84"/>
      <c r="F3161" s="84"/>
      <c r="G3161" s="146"/>
      <c r="H3161" s="221"/>
    </row>
    <row r="3162" spans="1:9" s="212" customFormat="1">
      <c r="A3162" s="84"/>
      <c r="B3162" s="83"/>
      <c r="C3162" s="84"/>
      <c r="D3162" s="84"/>
      <c r="E3162" s="84"/>
      <c r="G3162" s="213"/>
      <c r="H3162" s="222"/>
    </row>
    <row r="3163" spans="1:9" s="212" customFormat="1">
      <c r="A3163" s="120"/>
      <c r="B3163" s="73"/>
      <c r="C3163" s="73"/>
      <c r="D3163" s="73"/>
      <c r="E3163" s="73"/>
      <c r="G3163" s="73"/>
      <c r="H3163" s="222"/>
    </row>
    <row r="3164" spans="1:9" s="212" customFormat="1">
      <c r="A3164" s="220"/>
      <c r="B3164" s="141"/>
      <c r="C3164" s="141"/>
      <c r="D3164" s="141"/>
      <c r="E3164" s="141"/>
      <c r="F3164" s="141"/>
      <c r="G3164" s="141"/>
      <c r="H3164" s="222"/>
    </row>
    <row r="3165" spans="1:9" s="212" customFormat="1" ht="16.5">
      <c r="A3165" s="150"/>
      <c r="B3165" s="161"/>
      <c r="C3165" s="148"/>
      <c r="D3165" s="160"/>
      <c r="E3165" s="84"/>
      <c r="F3165" s="84"/>
      <c r="G3165" s="146"/>
      <c r="H3165" s="221"/>
    </row>
    <row r="3166" spans="1:9" s="212" customFormat="1">
      <c r="A3166" s="91"/>
      <c r="B3166" s="91"/>
      <c r="C3166" s="91"/>
      <c r="D3166" s="91"/>
      <c r="E3166" s="91"/>
      <c r="G3166" s="213"/>
      <c r="H3166" s="222"/>
    </row>
    <row r="3167" spans="1:9" s="212" customFormat="1">
      <c r="A3167" s="120"/>
      <c r="B3167" s="73"/>
      <c r="C3167" s="73"/>
      <c r="D3167" s="73"/>
      <c r="E3167" s="73"/>
      <c r="G3167" s="73"/>
      <c r="H3167" s="222"/>
    </row>
    <row r="3168" spans="1:9" s="212" customFormat="1">
      <c r="A3168" s="220"/>
      <c r="B3168" s="141"/>
      <c r="C3168" s="141"/>
      <c r="D3168" s="141"/>
      <c r="E3168" s="141"/>
      <c r="F3168" s="141"/>
      <c r="G3168" s="141"/>
      <c r="H3168" s="222"/>
    </row>
    <row r="3169" spans="1:9" s="212" customFormat="1">
      <c r="A3169" s="146"/>
      <c r="B3169" s="83"/>
      <c r="C3169" s="148"/>
      <c r="D3169" s="84"/>
      <c r="E3169" s="84"/>
      <c r="F3169" s="84"/>
      <c r="G3169" s="146"/>
      <c r="H3169" s="221"/>
    </row>
    <row r="3170" spans="1:9" s="212" customFormat="1">
      <c r="A3170" s="91"/>
      <c r="B3170" s="91"/>
      <c r="C3170" s="91"/>
      <c r="D3170" s="91"/>
      <c r="E3170" s="91"/>
      <c r="G3170" s="213"/>
      <c r="H3170" s="222"/>
    </row>
    <row r="3171" spans="1:9" s="212" customFormat="1">
      <c r="A3171" s="120"/>
      <c r="B3171" s="73"/>
      <c r="C3171" s="73"/>
      <c r="D3171" s="73"/>
      <c r="E3171" s="73"/>
      <c r="G3171" s="73"/>
      <c r="H3171" s="222"/>
    </row>
    <row r="3172" spans="1:9" s="212" customFormat="1">
      <c r="A3172" s="220"/>
      <c r="B3172" s="141"/>
      <c r="C3172" s="141"/>
      <c r="D3172" s="141"/>
      <c r="E3172" s="141"/>
      <c r="F3172" s="141"/>
      <c r="G3172" s="141"/>
      <c r="H3172" s="222"/>
    </row>
    <row r="3173" spans="1:9" s="212" customFormat="1">
      <c r="A3173" s="142"/>
      <c r="B3173" s="143"/>
      <c r="C3173" s="143"/>
      <c r="D3173" s="143"/>
      <c r="E3173" s="143"/>
      <c r="F3173" s="84"/>
      <c r="G3173" s="146"/>
      <c r="H3173" s="221"/>
    </row>
    <row r="3174" spans="1:9" s="212" customFormat="1">
      <c r="A3174" s="123"/>
      <c r="B3174" s="95"/>
      <c r="C3174" s="95"/>
      <c r="D3174" s="95"/>
      <c r="E3174" s="95"/>
      <c r="G3174" s="213"/>
      <c r="H3174" s="73"/>
    </row>
    <row r="3175" spans="1:9" s="212" customFormat="1">
      <c r="A3175" s="123"/>
      <c r="B3175" s="95"/>
      <c r="C3175" s="95"/>
      <c r="D3175" s="95"/>
      <c r="E3175" s="95"/>
      <c r="G3175" s="73"/>
      <c r="H3175" s="225"/>
    </row>
    <row r="3176" spans="1:9" s="212" customFormat="1">
      <c r="B3176" s="97"/>
      <c r="C3176" s="98"/>
      <c r="D3176" s="98"/>
      <c r="E3176" s="98"/>
      <c r="G3176" s="220"/>
    </row>
    <row r="3177" spans="1:9" s="212" customFormat="1">
      <c r="B3177" s="97"/>
      <c r="C3177" s="98"/>
      <c r="D3177" s="98"/>
      <c r="E3177" s="98"/>
      <c r="F3177" s="220"/>
      <c r="G3177" s="225"/>
      <c r="H3177" s="226"/>
    </row>
    <row r="3178" spans="1:9" s="212" customFormat="1">
      <c r="A3178" s="633"/>
      <c r="B3178" s="633"/>
      <c r="C3178" s="633"/>
      <c r="D3178" s="633"/>
      <c r="E3178" s="633"/>
      <c r="F3178" s="633"/>
      <c r="G3178" s="633"/>
    </row>
    <row r="3179" spans="1:9" s="212" customFormat="1">
      <c r="H3179" s="227"/>
      <c r="I3179" s="228"/>
    </row>
    <row r="3180" spans="1:9" s="212" customFormat="1">
      <c r="A3180" s="658"/>
      <c r="B3180" s="227"/>
      <c r="C3180" s="227"/>
      <c r="D3180" s="227"/>
      <c r="E3180" s="227"/>
      <c r="F3180" s="227"/>
      <c r="G3180" s="227"/>
      <c r="H3180" s="227"/>
      <c r="I3180" s="229"/>
    </row>
    <row r="3181" spans="1:9" s="212" customFormat="1">
      <c r="A3181" s="658"/>
      <c r="B3181" s="227"/>
      <c r="C3181" s="227"/>
      <c r="D3181" s="227"/>
      <c r="E3181" s="227"/>
      <c r="F3181" s="227"/>
      <c r="G3181" s="227"/>
    </row>
    <row r="3182" spans="1:9" s="212" customFormat="1">
      <c r="A3182" s="69"/>
      <c r="B3182" s="69"/>
      <c r="C3182" s="69"/>
      <c r="D3182" s="69"/>
      <c r="E3182" s="69"/>
    </row>
    <row r="3183" spans="1:9" s="212" customFormat="1">
      <c r="A3183" s="120"/>
      <c r="B3183" s="73"/>
      <c r="C3183" s="73"/>
      <c r="D3183" s="73"/>
      <c r="E3183" s="73"/>
      <c r="F3183" s="73"/>
      <c r="G3183" s="73"/>
      <c r="H3183" s="73"/>
    </row>
    <row r="3184" spans="1:9" s="212" customFormat="1">
      <c r="A3184" s="220"/>
      <c r="B3184" s="141"/>
      <c r="C3184" s="141"/>
      <c r="D3184" s="141"/>
      <c r="E3184" s="141"/>
      <c r="F3184" s="141"/>
      <c r="G3184" s="141"/>
      <c r="H3184" s="73"/>
    </row>
    <row r="3185" spans="1:8" s="212" customFormat="1">
      <c r="A3185" s="150"/>
      <c r="B3185" s="83"/>
      <c r="C3185" s="148"/>
      <c r="D3185" s="84"/>
      <c r="E3185" s="84"/>
      <c r="F3185" s="84"/>
      <c r="G3185" s="146"/>
      <c r="H3185" s="221"/>
    </row>
    <row r="3186" spans="1:8" s="212" customFormat="1">
      <c r="A3186" s="84"/>
      <c r="B3186" s="83"/>
      <c r="C3186" s="84"/>
      <c r="D3186" s="84"/>
      <c r="E3186" s="84"/>
      <c r="G3186" s="213"/>
      <c r="H3186" s="222"/>
    </row>
    <row r="3187" spans="1:8" s="212" customFormat="1">
      <c r="A3187" s="120"/>
      <c r="B3187" s="73"/>
      <c r="C3187" s="73"/>
      <c r="D3187" s="73"/>
      <c r="E3187" s="73"/>
      <c r="G3187" s="73"/>
      <c r="H3187" s="222"/>
    </row>
    <row r="3188" spans="1:8" s="212" customFormat="1">
      <c r="A3188" s="220"/>
      <c r="B3188" s="141"/>
      <c r="C3188" s="141"/>
      <c r="D3188" s="141"/>
      <c r="E3188" s="141"/>
      <c r="F3188" s="141"/>
      <c r="G3188" s="141"/>
      <c r="H3188" s="222"/>
    </row>
    <row r="3189" spans="1:8" s="212" customFormat="1" ht="16.5">
      <c r="A3189" s="150"/>
      <c r="B3189" s="161"/>
      <c r="C3189" s="148"/>
      <c r="D3189" s="160"/>
      <c r="E3189" s="84"/>
      <c r="F3189" s="84"/>
      <c r="G3189" s="146"/>
      <c r="H3189" s="221"/>
    </row>
    <row r="3190" spans="1:8" s="212" customFormat="1">
      <c r="A3190" s="91"/>
      <c r="B3190" s="91"/>
      <c r="C3190" s="91"/>
      <c r="D3190" s="91"/>
      <c r="E3190" s="91"/>
      <c r="G3190" s="213"/>
      <c r="H3190" s="222"/>
    </row>
    <row r="3191" spans="1:8" s="212" customFormat="1">
      <c r="A3191" s="120"/>
      <c r="B3191" s="73"/>
      <c r="C3191" s="73"/>
      <c r="D3191" s="73"/>
      <c r="E3191" s="73"/>
      <c r="G3191" s="73"/>
      <c r="H3191" s="222"/>
    </row>
    <row r="3192" spans="1:8" s="212" customFormat="1">
      <c r="A3192" s="220"/>
      <c r="B3192" s="141"/>
      <c r="C3192" s="141"/>
      <c r="D3192" s="141"/>
      <c r="E3192" s="141"/>
      <c r="F3192" s="141"/>
      <c r="G3192" s="141"/>
      <c r="H3192" s="222"/>
    </row>
    <row r="3193" spans="1:8" s="212" customFormat="1">
      <c r="A3193" s="146"/>
      <c r="B3193" s="83"/>
      <c r="C3193" s="148"/>
      <c r="D3193" s="84"/>
      <c r="E3193" s="84"/>
      <c r="F3193" s="84"/>
      <c r="G3193" s="146"/>
      <c r="H3193" s="221"/>
    </row>
    <row r="3194" spans="1:8" s="212" customFormat="1">
      <c r="A3194" s="91"/>
      <c r="B3194" s="91"/>
      <c r="C3194" s="91"/>
      <c r="D3194" s="91"/>
      <c r="E3194" s="91"/>
      <c r="G3194" s="213"/>
      <c r="H3194" s="222"/>
    </row>
    <row r="3195" spans="1:8" s="212" customFormat="1">
      <c r="A3195" s="120"/>
      <c r="B3195" s="73"/>
      <c r="C3195" s="73"/>
      <c r="D3195" s="73"/>
      <c r="E3195" s="73"/>
      <c r="G3195" s="73"/>
      <c r="H3195" s="222"/>
    </row>
    <row r="3196" spans="1:8" s="212" customFormat="1">
      <c r="A3196" s="220"/>
      <c r="B3196" s="141"/>
      <c r="C3196" s="141"/>
      <c r="D3196" s="141"/>
      <c r="E3196" s="141"/>
      <c r="F3196" s="141"/>
      <c r="G3196" s="141"/>
      <c r="H3196" s="222"/>
    </row>
    <row r="3197" spans="1:8" s="212" customFormat="1">
      <c r="A3197" s="142"/>
      <c r="B3197" s="143"/>
      <c r="C3197" s="143"/>
      <c r="D3197" s="143"/>
      <c r="E3197" s="143"/>
      <c r="F3197" s="84"/>
      <c r="G3197" s="146"/>
      <c r="H3197" s="221"/>
    </row>
    <row r="3198" spans="1:8" s="212" customFormat="1">
      <c r="A3198" s="123"/>
      <c r="B3198" s="95"/>
      <c r="C3198" s="95"/>
      <c r="D3198" s="95"/>
      <c r="E3198" s="95"/>
      <c r="G3198" s="213"/>
      <c r="H3198" s="73"/>
    </row>
    <row r="3199" spans="1:8" s="212" customFormat="1">
      <c r="A3199" s="123"/>
      <c r="B3199" s="95"/>
      <c r="C3199" s="95"/>
      <c r="D3199" s="95"/>
      <c r="E3199" s="95"/>
      <c r="G3199" s="73"/>
      <c r="H3199" s="225"/>
    </row>
    <row r="3200" spans="1:8" s="212" customFormat="1">
      <c r="B3200" s="97"/>
      <c r="C3200" s="98"/>
      <c r="D3200" s="98"/>
      <c r="E3200" s="98"/>
      <c r="G3200" s="220"/>
    </row>
    <row r="3201" spans="1:9" s="212" customFormat="1">
      <c r="B3201" s="97"/>
      <c r="C3201" s="98"/>
      <c r="D3201" s="98"/>
      <c r="E3201" s="98"/>
      <c r="F3201" s="220"/>
      <c r="G3201" s="225"/>
      <c r="H3201" s="226"/>
    </row>
    <row r="3202" spans="1:9" s="212" customFormat="1">
      <c r="A3202" s="633"/>
      <c r="B3202" s="633"/>
      <c r="C3202" s="633"/>
      <c r="D3202" s="633"/>
      <c r="E3202" s="633"/>
      <c r="F3202" s="633"/>
      <c r="G3202" s="633"/>
    </row>
    <row r="3203" spans="1:9" s="212" customFormat="1">
      <c r="H3203" s="227"/>
      <c r="I3203" s="228"/>
    </row>
    <row r="3204" spans="1:9" s="212" customFormat="1">
      <c r="A3204" s="658"/>
      <c r="B3204" s="227"/>
      <c r="C3204" s="227"/>
      <c r="D3204" s="227"/>
      <c r="E3204" s="227"/>
      <c r="F3204" s="227"/>
      <c r="G3204" s="227"/>
      <c r="H3204" s="227"/>
      <c r="I3204" s="229"/>
    </row>
    <row r="3205" spans="1:9" s="212" customFormat="1">
      <c r="A3205" s="658"/>
      <c r="B3205" s="227"/>
      <c r="C3205" s="227"/>
      <c r="D3205" s="227"/>
      <c r="E3205" s="227"/>
      <c r="F3205" s="227"/>
      <c r="G3205" s="227"/>
    </row>
    <row r="3206" spans="1:9" s="212" customFormat="1">
      <c r="A3206" s="69"/>
      <c r="B3206" s="69"/>
      <c r="C3206" s="69"/>
      <c r="D3206" s="69"/>
      <c r="E3206" s="69"/>
    </row>
    <row r="3207" spans="1:9" s="212" customFormat="1">
      <c r="A3207" s="120"/>
      <c r="B3207" s="73"/>
      <c r="C3207" s="73"/>
      <c r="D3207" s="73"/>
      <c r="E3207" s="73"/>
      <c r="F3207" s="73"/>
      <c r="G3207" s="73"/>
      <c r="H3207" s="73"/>
    </row>
    <row r="3208" spans="1:9" s="212" customFormat="1">
      <c r="A3208" s="220"/>
      <c r="B3208" s="141"/>
      <c r="C3208" s="141"/>
      <c r="D3208" s="141"/>
      <c r="E3208" s="141"/>
      <c r="F3208" s="141"/>
      <c r="G3208" s="141"/>
      <c r="H3208" s="73"/>
    </row>
    <row r="3209" spans="1:9" s="212" customFormat="1">
      <c r="A3209" s="150"/>
      <c r="B3209" s="83"/>
      <c r="C3209" s="148"/>
      <c r="D3209" s="84"/>
      <c r="E3209" s="84"/>
      <c r="F3209" s="84"/>
      <c r="G3209" s="146"/>
      <c r="H3209" s="221"/>
    </row>
    <row r="3210" spans="1:9" s="212" customFormat="1">
      <c r="A3210" s="84"/>
      <c r="B3210" s="83"/>
      <c r="C3210" s="84"/>
      <c r="D3210" s="84"/>
      <c r="E3210" s="84"/>
      <c r="G3210" s="213"/>
      <c r="H3210" s="222"/>
    </row>
    <row r="3211" spans="1:9" s="212" customFormat="1">
      <c r="A3211" s="120"/>
      <c r="B3211" s="73"/>
      <c r="C3211" s="73"/>
      <c r="D3211" s="73"/>
      <c r="E3211" s="73"/>
      <c r="G3211" s="73"/>
      <c r="H3211" s="222"/>
    </row>
    <row r="3212" spans="1:9" s="212" customFormat="1">
      <c r="A3212" s="220"/>
      <c r="B3212" s="141"/>
      <c r="C3212" s="141"/>
      <c r="D3212" s="141"/>
      <c r="E3212" s="141"/>
      <c r="F3212" s="141"/>
      <c r="G3212" s="141"/>
      <c r="H3212" s="222"/>
    </row>
    <row r="3213" spans="1:9" s="212" customFormat="1" ht="16.5">
      <c r="A3213" s="150"/>
      <c r="B3213" s="161"/>
      <c r="C3213" s="148"/>
      <c r="D3213" s="84"/>
      <c r="E3213" s="84"/>
      <c r="F3213" s="84"/>
      <c r="G3213" s="146"/>
      <c r="H3213" s="222"/>
    </row>
    <row r="3214" spans="1:9" s="212" customFormat="1" ht="16.5">
      <c r="A3214" s="150"/>
      <c r="B3214" s="161"/>
      <c r="C3214" s="148"/>
      <c r="D3214" s="84"/>
      <c r="E3214" s="84"/>
      <c r="F3214" s="84"/>
      <c r="G3214" s="146"/>
      <c r="H3214" s="222"/>
    </row>
    <row r="3215" spans="1:9" s="212" customFormat="1" ht="16.5">
      <c r="A3215" s="150"/>
      <c r="B3215" s="161"/>
      <c r="C3215" s="148"/>
      <c r="D3215" s="84"/>
      <c r="E3215" s="84"/>
      <c r="F3215" s="84"/>
      <c r="G3215" s="146"/>
      <c r="H3215" s="221"/>
    </row>
    <row r="3216" spans="1:9" s="212" customFormat="1">
      <c r="A3216" s="91"/>
      <c r="B3216" s="91"/>
      <c r="C3216" s="91"/>
      <c r="D3216" s="91"/>
      <c r="E3216" s="91"/>
      <c r="G3216" s="213"/>
      <c r="H3216" s="222"/>
    </row>
    <row r="3217" spans="1:9" s="212" customFormat="1">
      <c r="A3217" s="120"/>
      <c r="B3217" s="73"/>
      <c r="C3217" s="73"/>
      <c r="D3217" s="73"/>
      <c r="E3217" s="73"/>
      <c r="G3217" s="73"/>
      <c r="H3217" s="222"/>
    </row>
    <row r="3218" spans="1:9" s="212" customFormat="1">
      <c r="A3218" s="220"/>
      <c r="B3218" s="141"/>
      <c r="C3218" s="141"/>
      <c r="D3218" s="141"/>
      <c r="E3218" s="141"/>
      <c r="F3218" s="141"/>
      <c r="G3218" s="141"/>
      <c r="H3218" s="222"/>
    </row>
    <row r="3219" spans="1:9" s="212" customFormat="1">
      <c r="A3219" s="146"/>
      <c r="B3219" s="83"/>
      <c r="C3219" s="148"/>
      <c r="D3219" s="84"/>
      <c r="E3219" s="84"/>
      <c r="F3219" s="84"/>
      <c r="G3219" s="146"/>
      <c r="H3219" s="222"/>
    </row>
    <row r="3220" spans="1:9" s="212" customFormat="1">
      <c r="A3220" s="146"/>
      <c r="B3220" s="83"/>
      <c r="C3220" s="148"/>
      <c r="D3220" s="84"/>
      <c r="E3220" s="84"/>
      <c r="F3220" s="84"/>
      <c r="G3220" s="146"/>
      <c r="H3220" s="221"/>
    </row>
    <row r="3221" spans="1:9" s="212" customFormat="1">
      <c r="A3221" s="91"/>
      <c r="B3221" s="91"/>
      <c r="C3221" s="91"/>
      <c r="D3221" s="91"/>
      <c r="E3221" s="91"/>
      <c r="G3221" s="213"/>
      <c r="H3221" s="222"/>
    </row>
    <row r="3222" spans="1:9" s="212" customFormat="1">
      <c r="A3222" s="120"/>
      <c r="B3222" s="73"/>
      <c r="C3222" s="73"/>
      <c r="D3222" s="73"/>
      <c r="E3222" s="73"/>
      <c r="G3222" s="73"/>
      <c r="H3222" s="222"/>
    </row>
    <row r="3223" spans="1:9" s="212" customFormat="1">
      <c r="A3223" s="220"/>
      <c r="B3223" s="141"/>
      <c r="C3223" s="141"/>
      <c r="D3223" s="141"/>
      <c r="E3223" s="141"/>
      <c r="F3223" s="141"/>
      <c r="G3223" s="141"/>
      <c r="H3223" s="222"/>
    </row>
    <row r="3224" spans="1:9" s="212" customFormat="1">
      <c r="A3224" s="142"/>
      <c r="B3224" s="143"/>
      <c r="C3224" s="143"/>
      <c r="D3224" s="143"/>
      <c r="E3224" s="143"/>
      <c r="F3224" s="84"/>
      <c r="G3224" s="146"/>
      <c r="H3224" s="221"/>
    </row>
    <row r="3225" spans="1:9" s="212" customFormat="1">
      <c r="A3225" s="123"/>
      <c r="B3225" s="95"/>
      <c r="C3225" s="95"/>
      <c r="D3225" s="95"/>
      <c r="E3225" s="95"/>
      <c r="G3225" s="213"/>
      <c r="H3225" s="73"/>
    </row>
    <row r="3226" spans="1:9" s="212" customFormat="1">
      <c r="A3226" s="123"/>
      <c r="B3226" s="95"/>
      <c r="C3226" s="95"/>
      <c r="D3226" s="95"/>
      <c r="E3226" s="95"/>
      <c r="G3226" s="73"/>
      <c r="H3226" s="225"/>
    </row>
    <row r="3227" spans="1:9" s="212" customFormat="1">
      <c r="B3227" s="97"/>
      <c r="C3227" s="98"/>
      <c r="D3227" s="98"/>
      <c r="E3227" s="98"/>
      <c r="G3227" s="220"/>
    </row>
    <row r="3228" spans="1:9" s="212" customFormat="1">
      <c r="B3228" s="97"/>
      <c r="C3228" s="98"/>
      <c r="D3228" s="98"/>
      <c r="E3228" s="98"/>
      <c r="F3228" s="220"/>
      <c r="G3228" s="225"/>
      <c r="H3228" s="226"/>
    </row>
    <row r="3229" spans="1:9" s="212" customFormat="1">
      <c r="A3229" s="633"/>
      <c r="B3229" s="633"/>
      <c r="C3229" s="633"/>
      <c r="D3229" s="633"/>
      <c r="E3229" s="633"/>
      <c r="F3229" s="633"/>
      <c r="G3229" s="633"/>
    </row>
    <row r="3230" spans="1:9" s="212" customFormat="1">
      <c r="H3230" s="227"/>
      <c r="I3230" s="228"/>
    </row>
    <row r="3231" spans="1:9" s="212" customFormat="1">
      <c r="A3231" s="658"/>
      <c r="B3231" s="227"/>
      <c r="C3231" s="227"/>
      <c r="D3231" s="227"/>
      <c r="E3231" s="227"/>
      <c r="F3231" s="227"/>
      <c r="G3231" s="227"/>
      <c r="H3231" s="227"/>
      <c r="I3231" s="229"/>
    </row>
    <row r="3232" spans="1:9" s="212" customFormat="1">
      <c r="A3232" s="658"/>
      <c r="B3232" s="227"/>
      <c r="C3232" s="227"/>
      <c r="D3232" s="227"/>
      <c r="E3232" s="227"/>
      <c r="F3232" s="227"/>
      <c r="G3232" s="227"/>
    </row>
    <row r="3233" spans="1:8" s="212" customFormat="1">
      <c r="A3233" s="69"/>
      <c r="B3233" s="69"/>
      <c r="C3233" s="69"/>
      <c r="D3233" s="69"/>
      <c r="E3233" s="69"/>
    </row>
    <row r="3234" spans="1:8" s="212" customFormat="1">
      <c r="A3234" s="120"/>
      <c r="B3234" s="73"/>
      <c r="C3234" s="73"/>
      <c r="D3234" s="73"/>
      <c r="E3234" s="73"/>
      <c r="F3234" s="73"/>
      <c r="G3234" s="73"/>
      <c r="H3234" s="73"/>
    </row>
    <row r="3235" spans="1:8" s="212" customFormat="1">
      <c r="A3235" s="220"/>
      <c r="B3235" s="141"/>
      <c r="C3235" s="141"/>
      <c r="D3235" s="141"/>
      <c r="E3235" s="141"/>
      <c r="F3235" s="141"/>
      <c r="G3235" s="141"/>
      <c r="H3235" s="73"/>
    </row>
    <row r="3236" spans="1:8" s="212" customFormat="1">
      <c r="A3236" s="142"/>
      <c r="B3236" s="143"/>
      <c r="C3236" s="143"/>
      <c r="D3236" s="84"/>
      <c r="E3236" s="84"/>
      <c r="F3236" s="84"/>
      <c r="G3236" s="146"/>
      <c r="H3236" s="221"/>
    </row>
    <row r="3237" spans="1:8" s="212" customFormat="1">
      <c r="A3237" s="84"/>
      <c r="B3237" s="83"/>
      <c r="C3237" s="84"/>
      <c r="D3237" s="84"/>
      <c r="E3237" s="84"/>
      <c r="G3237" s="213"/>
      <c r="H3237" s="222"/>
    </row>
    <row r="3238" spans="1:8" s="212" customFormat="1">
      <c r="A3238" s="120"/>
      <c r="B3238" s="73"/>
      <c r="C3238" s="73"/>
      <c r="D3238" s="73"/>
      <c r="E3238" s="73"/>
      <c r="G3238" s="73"/>
      <c r="H3238" s="222"/>
    </row>
    <row r="3239" spans="1:8" s="212" customFormat="1">
      <c r="A3239" s="220"/>
      <c r="B3239" s="141"/>
      <c r="C3239" s="141"/>
      <c r="D3239" s="141"/>
      <c r="E3239" s="141"/>
      <c r="F3239" s="141"/>
      <c r="G3239" s="141"/>
      <c r="H3239" s="222"/>
    </row>
    <row r="3240" spans="1:8" s="212" customFormat="1">
      <c r="A3240" s="142"/>
      <c r="B3240" s="143"/>
      <c r="C3240" s="143"/>
      <c r="D3240" s="143"/>
      <c r="E3240" s="143"/>
      <c r="F3240" s="84"/>
      <c r="G3240" s="146"/>
      <c r="H3240" s="221"/>
    </row>
    <row r="3241" spans="1:8" s="212" customFormat="1">
      <c r="A3241" s="91"/>
      <c r="B3241" s="91"/>
      <c r="C3241" s="91"/>
      <c r="D3241" s="91"/>
      <c r="E3241" s="91"/>
      <c r="G3241" s="213"/>
      <c r="H3241" s="222"/>
    </row>
    <row r="3242" spans="1:8" s="212" customFormat="1">
      <c r="A3242" s="120"/>
      <c r="B3242" s="73"/>
      <c r="C3242" s="73"/>
      <c r="D3242" s="73"/>
      <c r="E3242" s="73"/>
      <c r="G3242" s="73"/>
      <c r="H3242" s="222"/>
    </row>
    <row r="3243" spans="1:8" s="212" customFormat="1">
      <c r="A3243" s="220"/>
      <c r="B3243" s="141"/>
      <c r="C3243" s="141"/>
      <c r="D3243" s="141"/>
      <c r="E3243" s="141"/>
      <c r="F3243" s="141"/>
      <c r="G3243" s="141"/>
      <c r="H3243" s="222"/>
    </row>
    <row r="3244" spans="1:8" s="212" customFormat="1">
      <c r="A3244" s="142"/>
      <c r="B3244" s="143"/>
      <c r="C3244" s="143"/>
      <c r="D3244" s="143"/>
      <c r="E3244" s="143"/>
      <c r="F3244" s="84"/>
      <c r="G3244" s="146"/>
      <c r="H3244" s="221"/>
    </row>
    <row r="3245" spans="1:8" s="212" customFormat="1">
      <c r="A3245" s="91"/>
      <c r="B3245" s="91"/>
      <c r="C3245" s="91"/>
      <c r="D3245" s="91"/>
      <c r="E3245" s="91"/>
      <c r="G3245" s="213"/>
      <c r="H3245" s="222"/>
    </row>
    <row r="3246" spans="1:8" s="212" customFormat="1">
      <c r="A3246" s="120"/>
      <c r="B3246" s="73"/>
      <c r="C3246" s="73"/>
      <c r="D3246" s="73"/>
      <c r="E3246" s="73"/>
      <c r="G3246" s="73"/>
      <c r="H3246" s="222"/>
    </row>
    <row r="3247" spans="1:8" s="212" customFormat="1">
      <c r="A3247" s="220"/>
      <c r="B3247" s="141"/>
      <c r="C3247" s="141"/>
      <c r="D3247" s="141"/>
      <c r="E3247" s="141"/>
      <c r="F3247" s="141"/>
      <c r="G3247" s="141"/>
      <c r="H3247" s="222"/>
    </row>
    <row r="3248" spans="1:8" s="212" customFormat="1">
      <c r="A3248" s="142"/>
      <c r="B3248" s="143"/>
      <c r="C3248" s="143"/>
      <c r="D3248" s="143"/>
      <c r="E3248" s="143"/>
      <c r="F3248" s="84"/>
      <c r="G3248" s="146"/>
      <c r="H3248" s="221"/>
    </row>
    <row r="3249" spans="1:9" s="212" customFormat="1">
      <c r="A3249" s="123"/>
      <c r="B3249" s="95"/>
      <c r="C3249" s="95"/>
      <c r="D3249" s="95"/>
      <c r="E3249" s="95"/>
      <c r="G3249" s="213"/>
      <c r="H3249" s="73"/>
    </row>
    <row r="3250" spans="1:9" s="212" customFormat="1">
      <c r="A3250" s="123"/>
      <c r="B3250" s="95"/>
      <c r="C3250" s="95"/>
      <c r="D3250" s="95"/>
      <c r="E3250" s="95"/>
      <c r="G3250" s="73"/>
      <c r="H3250" s="225"/>
    </row>
    <row r="3251" spans="1:9" s="212" customFormat="1">
      <c r="B3251" s="97"/>
      <c r="C3251" s="98"/>
      <c r="D3251" s="98"/>
      <c r="E3251" s="98"/>
      <c r="G3251" s="220"/>
    </row>
    <row r="3252" spans="1:9" s="212" customFormat="1">
      <c r="B3252" s="97"/>
      <c r="C3252" s="98"/>
      <c r="D3252" s="98"/>
      <c r="E3252" s="98"/>
      <c r="F3252" s="220"/>
      <c r="G3252" s="225"/>
      <c r="H3252" s="226"/>
    </row>
    <row r="3253" spans="1:9" s="212" customFormat="1">
      <c r="A3253" s="633"/>
      <c r="B3253" s="633"/>
      <c r="C3253" s="633"/>
      <c r="D3253" s="633"/>
      <c r="E3253" s="633"/>
      <c r="F3253" s="633"/>
      <c r="G3253" s="633"/>
    </row>
    <row r="3254" spans="1:9" s="212" customFormat="1">
      <c r="H3254" s="227"/>
      <c r="I3254" s="228"/>
    </row>
    <row r="3255" spans="1:9" s="212" customFormat="1">
      <c r="A3255" s="658"/>
      <c r="B3255" s="227"/>
      <c r="C3255" s="227"/>
      <c r="D3255" s="227"/>
      <c r="E3255" s="227"/>
      <c r="F3255" s="227"/>
      <c r="G3255" s="227"/>
      <c r="H3255" s="227"/>
      <c r="I3255" s="229"/>
    </row>
    <row r="3256" spans="1:9" s="212" customFormat="1">
      <c r="A3256" s="658"/>
      <c r="B3256" s="227"/>
      <c r="C3256" s="227"/>
      <c r="D3256" s="227"/>
      <c r="E3256" s="227"/>
      <c r="F3256" s="227"/>
      <c r="G3256" s="227"/>
    </row>
    <row r="3257" spans="1:9" s="212" customFormat="1">
      <c r="A3257" s="69"/>
      <c r="B3257" s="69"/>
      <c r="C3257" s="69"/>
      <c r="D3257" s="69"/>
      <c r="E3257" s="69"/>
    </row>
    <row r="3258" spans="1:9" s="212" customFormat="1">
      <c r="A3258" s="120"/>
      <c r="B3258" s="73"/>
      <c r="C3258" s="73"/>
      <c r="D3258" s="73"/>
      <c r="E3258" s="73"/>
      <c r="F3258" s="73"/>
      <c r="G3258" s="73"/>
      <c r="H3258" s="73"/>
    </row>
    <row r="3259" spans="1:9" s="212" customFormat="1">
      <c r="A3259" s="220"/>
      <c r="B3259" s="141"/>
      <c r="C3259" s="141"/>
      <c r="D3259" s="141"/>
      <c r="E3259" s="141"/>
      <c r="F3259" s="141"/>
      <c r="G3259" s="141"/>
      <c r="H3259" s="73"/>
    </row>
    <row r="3260" spans="1:9" s="212" customFormat="1">
      <c r="A3260" s="142"/>
      <c r="B3260" s="167"/>
      <c r="C3260" s="143"/>
      <c r="D3260" s="84"/>
      <c r="E3260" s="84"/>
      <c r="F3260" s="84"/>
      <c r="G3260" s="146"/>
      <c r="H3260" s="73"/>
    </row>
    <row r="3261" spans="1:9" s="212" customFormat="1">
      <c r="A3261" s="142"/>
      <c r="B3261" s="167"/>
      <c r="C3261" s="143"/>
      <c r="D3261" s="84"/>
      <c r="E3261" s="84"/>
      <c r="F3261" s="84"/>
      <c r="G3261" s="146"/>
      <c r="H3261" s="221"/>
    </row>
    <row r="3262" spans="1:9" s="212" customFormat="1">
      <c r="A3262" s="84"/>
      <c r="B3262" s="83"/>
      <c r="C3262" s="84"/>
      <c r="D3262" s="84"/>
      <c r="E3262" s="84"/>
      <c r="G3262" s="213"/>
      <c r="H3262" s="222"/>
    </row>
    <row r="3263" spans="1:9" s="212" customFormat="1">
      <c r="A3263" s="120"/>
      <c r="B3263" s="73"/>
      <c r="C3263" s="73"/>
      <c r="D3263" s="73"/>
      <c r="E3263" s="73"/>
      <c r="G3263" s="73"/>
      <c r="H3263" s="222"/>
    </row>
    <row r="3264" spans="1:9" s="212" customFormat="1">
      <c r="A3264" s="220"/>
      <c r="B3264" s="141"/>
      <c r="C3264" s="141"/>
      <c r="D3264" s="141"/>
      <c r="E3264" s="141"/>
      <c r="F3264" s="141"/>
      <c r="G3264" s="141"/>
      <c r="H3264" s="222"/>
    </row>
    <row r="3265" spans="1:8" s="212" customFormat="1">
      <c r="A3265" s="142"/>
      <c r="B3265" s="167"/>
      <c r="C3265" s="143"/>
      <c r="D3265" s="84"/>
      <c r="E3265" s="84"/>
      <c r="F3265" s="84"/>
      <c r="G3265" s="146"/>
      <c r="H3265" s="222"/>
    </row>
    <row r="3266" spans="1:8" s="212" customFormat="1">
      <c r="A3266" s="142"/>
      <c r="B3266" s="167"/>
      <c r="C3266" s="143"/>
      <c r="D3266" s="84"/>
      <c r="E3266" s="84"/>
      <c r="F3266" s="84"/>
      <c r="G3266" s="146"/>
      <c r="H3266" s="222"/>
    </row>
    <row r="3267" spans="1:8" s="212" customFormat="1">
      <c r="A3267" s="142"/>
      <c r="B3267" s="167"/>
      <c r="C3267" s="143"/>
      <c r="D3267" s="84"/>
      <c r="E3267" s="84"/>
      <c r="F3267" s="84"/>
      <c r="G3267" s="146"/>
      <c r="H3267" s="221"/>
    </row>
    <row r="3268" spans="1:8" s="212" customFormat="1">
      <c r="A3268" s="91"/>
      <c r="B3268" s="91"/>
      <c r="C3268" s="91"/>
      <c r="D3268" s="91"/>
      <c r="E3268" s="91"/>
      <c r="G3268" s="213"/>
      <c r="H3268" s="222"/>
    </row>
    <row r="3269" spans="1:8" s="212" customFormat="1">
      <c r="A3269" s="120"/>
      <c r="B3269" s="73"/>
      <c r="C3269" s="73"/>
      <c r="D3269" s="73"/>
      <c r="E3269" s="73"/>
      <c r="G3269" s="73"/>
      <c r="H3269" s="222"/>
    </row>
    <row r="3270" spans="1:8" s="212" customFormat="1">
      <c r="A3270" s="220"/>
      <c r="B3270" s="141"/>
      <c r="C3270" s="141"/>
      <c r="D3270" s="141"/>
      <c r="E3270" s="141"/>
      <c r="F3270" s="141"/>
      <c r="G3270" s="141"/>
      <c r="H3270" s="222"/>
    </row>
    <row r="3271" spans="1:8" s="212" customFormat="1">
      <c r="A3271" s="142"/>
      <c r="B3271" s="167"/>
      <c r="C3271" s="143"/>
      <c r="D3271" s="84"/>
      <c r="E3271" s="84"/>
      <c r="F3271" s="84"/>
      <c r="G3271" s="146"/>
      <c r="H3271" s="221"/>
    </row>
    <row r="3272" spans="1:8" s="212" customFormat="1">
      <c r="A3272" s="91"/>
      <c r="B3272" s="91"/>
      <c r="C3272" s="91"/>
      <c r="D3272" s="91"/>
      <c r="E3272" s="91"/>
      <c r="G3272" s="213"/>
      <c r="H3272" s="222"/>
    </row>
    <row r="3273" spans="1:8" s="212" customFormat="1">
      <c r="A3273" s="120"/>
      <c r="B3273" s="73"/>
      <c r="C3273" s="73"/>
      <c r="D3273" s="73"/>
      <c r="E3273" s="73"/>
      <c r="G3273" s="73"/>
      <c r="H3273" s="222"/>
    </row>
    <row r="3274" spans="1:8" s="212" customFormat="1">
      <c r="A3274" s="220"/>
      <c r="B3274" s="141"/>
      <c r="C3274" s="141"/>
      <c r="D3274" s="141"/>
      <c r="E3274" s="141"/>
      <c r="F3274" s="141"/>
      <c r="G3274" s="141"/>
      <c r="H3274" s="222"/>
    </row>
    <row r="3275" spans="1:8" s="212" customFormat="1">
      <c r="A3275" s="142"/>
      <c r="B3275" s="143"/>
      <c r="C3275" s="143"/>
      <c r="D3275" s="143"/>
      <c r="E3275" s="143"/>
      <c r="F3275" s="84"/>
      <c r="G3275" s="146"/>
      <c r="H3275" s="221"/>
    </row>
    <row r="3276" spans="1:8" s="212" customFormat="1">
      <c r="A3276" s="123"/>
      <c r="B3276" s="95"/>
      <c r="C3276" s="95"/>
      <c r="D3276" s="95"/>
      <c r="E3276" s="95"/>
      <c r="G3276" s="213"/>
      <c r="H3276" s="73"/>
    </row>
    <row r="3277" spans="1:8" s="212" customFormat="1">
      <c r="A3277" s="123"/>
      <c r="B3277" s="95"/>
      <c r="C3277" s="95"/>
      <c r="D3277" s="95"/>
      <c r="E3277" s="95"/>
      <c r="G3277" s="73"/>
      <c r="H3277" s="225"/>
    </row>
    <row r="3278" spans="1:8" s="212" customFormat="1">
      <c r="B3278" s="97"/>
      <c r="C3278" s="98"/>
      <c r="D3278" s="98"/>
      <c r="E3278" s="98"/>
      <c r="G3278" s="220"/>
    </row>
    <row r="3279" spans="1:8" s="212" customFormat="1">
      <c r="B3279" s="97"/>
      <c r="C3279" s="98"/>
      <c r="D3279" s="98"/>
      <c r="E3279" s="98"/>
      <c r="F3279" s="220"/>
      <c r="G3279" s="225"/>
      <c r="H3279" s="226"/>
    </row>
    <row r="3280" spans="1:8" s="212" customFormat="1">
      <c r="A3280" s="633"/>
      <c r="B3280" s="633"/>
      <c r="C3280" s="633"/>
      <c r="D3280" s="633"/>
      <c r="E3280" s="633"/>
      <c r="F3280" s="633"/>
      <c r="G3280" s="633"/>
    </row>
    <row r="3281" spans="1:9" s="212" customFormat="1">
      <c r="H3281" s="227"/>
      <c r="I3281" s="228"/>
    </row>
    <row r="3282" spans="1:9" s="212" customFormat="1">
      <c r="A3282" s="658"/>
      <c r="B3282" s="227"/>
      <c r="C3282" s="227"/>
      <c r="D3282" s="227"/>
      <c r="E3282" s="227"/>
      <c r="F3282" s="227"/>
      <c r="G3282" s="227"/>
      <c r="H3282" s="227"/>
      <c r="I3282" s="229"/>
    </row>
    <row r="3283" spans="1:9" s="212" customFormat="1">
      <c r="A3283" s="658"/>
      <c r="B3283" s="227"/>
      <c r="C3283" s="227"/>
      <c r="D3283" s="227"/>
      <c r="E3283" s="227"/>
      <c r="F3283" s="227"/>
      <c r="G3283" s="227"/>
    </row>
    <row r="3284" spans="1:9" s="212" customFormat="1">
      <c r="A3284" s="69"/>
      <c r="B3284" s="69"/>
      <c r="C3284" s="69"/>
      <c r="D3284" s="69"/>
      <c r="E3284" s="69"/>
    </row>
    <row r="3285" spans="1:9" s="212" customFormat="1">
      <c r="A3285" s="120"/>
      <c r="B3285" s="73"/>
      <c r="C3285" s="73"/>
      <c r="D3285" s="73"/>
      <c r="E3285" s="73"/>
      <c r="F3285" s="73"/>
      <c r="G3285" s="73"/>
      <c r="H3285" s="73"/>
    </row>
    <row r="3286" spans="1:9" s="212" customFormat="1">
      <c r="A3286" s="220"/>
      <c r="B3286" s="141"/>
      <c r="C3286" s="141"/>
      <c r="D3286" s="141"/>
      <c r="E3286" s="141"/>
      <c r="F3286" s="141"/>
      <c r="G3286" s="141"/>
      <c r="H3286" s="73"/>
    </row>
    <row r="3287" spans="1:9" s="212" customFormat="1">
      <c r="A3287" s="142"/>
      <c r="B3287" s="143"/>
      <c r="C3287" s="143"/>
      <c r="D3287" s="143"/>
      <c r="E3287" s="143"/>
      <c r="F3287" s="84"/>
      <c r="G3287" s="146"/>
      <c r="H3287" s="221"/>
    </row>
    <row r="3288" spans="1:9" s="212" customFormat="1">
      <c r="A3288" s="84"/>
      <c r="B3288" s="83"/>
      <c r="C3288" s="84"/>
      <c r="D3288" s="84"/>
      <c r="E3288" s="84"/>
      <c r="G3288" s="213"/>
      <c r="H3288" s="222"/>
    </row>
    <row r="3289" spans="1:9" s="212" customFormat="1">
      <c r="A3289" s="120"/>
      <c r="B3289" s="73"/>
      <c r="C3289" s="73"/>
      <c r="D3289" s="73"/>
      <c r="E3289" s="73"/>
      <c r="G3289" s="73"/>
      <c r="H3289" s="222"/>
    </row>
    <row r="3290" spans="1:9" s="212" customFormat="1">
      <c r="A3290" s="220"/>
      <c r="B3290" s="141"/>
      <c r="C3290" s="141"/>
      <c r="D3290" s="141"/>
      <c r="E3290" s="141"/>
      <c r="F3290" s="141"/>
      <c r="G3290" s="141"/>
      <c r="H3290" s="222"/>
    </row>
    <row r="3291" spans="1:9" s="212" customFormat="1">
      <c r="A3291" s="142"/>
      <c r="B3291" s="143"/>
      <c r="C3291" s="143"/>
      <c r="D3291" s="84"/>
      <c r="E3291" s="84"/>
      <c r="F3291" s="84"/>
      <c r="G3291" s="146"/>
      <c r="H3291" s="221"/>
    </row>
    <row r="3292" spans="1:9" s="212" customFormat="1">
      <c r="A3292" s="91"/>
      <c r="B3292" s="91"/>
      <c r="C3292" s="91"/>
      <c r="D3292" s="91"/>
      <c r="E3292" s="91"/>
      <c r="G3292" s="213"/>
      <c r="H3292" s="222"/>
    </row>
    <row r="3293" spans="1:9" s="212" customFormat="1">
      <c r="A3293" s="120"/>
      <c r="B3293" s="73"/>
      <c r="C3293" s="73"/>
      <c r="D3293" s="73"/>
      <c r="E3293" s="73"/>
      <c r="G3293" s="73"/>
      <c r="H3293" s="222"/>
    </row>
    <row r="3294" spans="1:9" s="212" customFormat="1">
      <c r="A3294" s="220"/>
      <c r="B3294" s="141"/>
      <c r="C3294" s="141"/>
      <c r="D3294" s="141"/>
      <c r="E3294" s="141"/>
      <c r="F3294" s="141"/>
      <c r="G3294" s="141"/>
      <c r="H3294" s="222"/>
    </row>
    <row r="3295" spans="1:9" s="212" customFormat="1">
      <c r="A3295" s="142"/>
      <c r="B3295" s="143"/>
      <c r="C3295" s="143"/>
      <c r="D3295" s="143"/>
      <c r="E3295" s="143"/>
      <c r="F3295" s="84"/>
      <c r="G3295" s="146"/>
      <c r="H3295" s="221"/>
    </row>
    <row r="3296" spans="1:9" s="212" customFormat="1">
      <c r="A3296" s="91"/>
      <c r="B3296" s="91"/>
      <c r="C3296" s="91"/>
      <c r="D3296" s="91"/>
      <c r="E3296" s="91"/>
      <c r="G3296" s="213"/>
      <c r="H3296" s="222"/>
    </row>
    <row r="3297" spans="1:10" s="212" customFormat="1">
      <c r="A3297" s="120"/>
      <c r="B3297" s="73"/>
      <c r="C3297" s="73"/>
      <c r="D3297" s="73"/>
      <c r="E3297" s="73"/>
      <c r="G3297" s="73"/>
      <c r="H3297" s="222"/>
    </row>
    <row r="3298" spans="1:10" s="212" customFormat="1">
      <c r="A3298" s="220"/>
      <c r="B3298" s="141"/>
      <c r="C3298" s="141"/>
      <c r="D3298" s="141"/>
      <c r="E3298" s="141"/>
      <c r="F3298" s="141"/>
      <c r="G3298" s="141"/>
      <c r="H3298" s="222"/>
    </row>
    <row r="3299" spans="1:10" s="212" customFormat="1">
      <c r="A3299" s="142"/>
      <c r="B3299" s="143"/>
      <c r="C3299" s="143"/>
      <c r="D3299" s="143"/>
      <c r="E3299" s="143"/>
      <c r="F3299" s="84"/>
      <c r="G3299" s="146"/>
      <c r="H3299" s="221"/>
    </row>
    <row r="3300" spans="1:10" s="212" customFormat="1">
      <c r="A3300" s="123"/>
      <c r="B3300" s="95"/>
      <c r="C3300" s="95"/>
      <c r="D3300" s="95"/>
      <c r="E3300" s="95"/>
      <c r="G3300" s="213"/>
      <c r="H3300" s="73"/>
    </row>
    <row r="3301" spans="1:10" s="212" customFormat="1">
      <c r="A3301" s="123"/>
      <c r="B3301" s="95"/>
      <c r="C3301" s="95"/>
      <c r="D3301" s="95"/>
      <c r="E3301" s="95"/>
      <c r="G3301" s="73"/>
      <c r="H3301" s="225"/>
    </row>
    <row r="3302" spans="1:10" s="212" customFormat="1">
      <c r="B3302" s="97"/>
      <c r="C3302" s="98"/>
      <c r="D3302" s="98"/>
      <c r="E3302" s="98"/>
      <c r="G3302" s="220"/>
    </row>
    <row r="3303" spans="1:10" s="212" customFormat="1">
      <c r="B3303" s="97"/>
      <c r="C3303" s="98"/>
      <c r="D3303" s="98"/>
      <c r="E3303" s="98"/>
      <c r="F3303" s="220"/>
      <c r="G3303" s="225"/>
      <c r="H3303" s="226"/>
    </row>
    <row r="3304" spans="1:10" s="212" customFormat="1">
      <c r="A3304" s="633"/>
      <c r="B3304" s="633"/>
      <c r="C3304" s="633"/>
      <c r="D3304" s="633"/>
      <c r="E3304" s="633"/>
      <c r="F3304" s="633"/>
      <c r="G3304" s="633"/>
    </row>
    <row r="3305" spans="1:10" s="212" customFormat="1">
      <c r="H3305" s="227"/>
      <c r="I3305" s="228"/>
    </row>
    <row r="3306" spans="1:10" s="212" customFormat="1">
      <c r="A3306" s="658"/>
      <c r="B3306" s="227"/>
      <c r="C3306" s="227"/>
      <c r="D3306" s="227"/>
      <c r="E3306" s="227"/>
      <c r="F3306" s="227"/>
      <c r="G3306" s="227"/>
      <c r="H3306" s="227"/>
      <c r="I3306" s="229"/>
    </row>
    <row r="3307" spans="1:10" s="212" customFormat="1">
      <c r="A3307" s="658"/>
      <c r="B3307" s="227"/>
      <c r="C3307" s="227"/>
      <c r="D3307" s="227"/>
      <c r="E3307" s="227"/>
      <c r="F3307" s="227"/>
      <c r="G3307" s="227"/>
    </row>
    <row r="3308" spans="1:10" s="212" customFormat="1">
      <c r="A3308" s="69"/>
      <c r="B3308" s="69"/>
      <c r="C3308" s="69"/>
      <c r="D3308" s="69"/>
      <c r="E3308" s="69"/>
    </row>
    <row r="3309" spans="1:10">
      <c r="A3309" s="120"/>
      <c r="B3309" s="73"/>
      <c r="C3309" s="73"/>
      <c r="D3309" s="73"/>
      <c r="E3309" s="73"/>
      <c r="F3309" s="73"/>
      <c r="G3309" s="73"/>
      <c r="H3309" s="73"/>
      <c r="I3309" s="212"/>
      <c r="J3309" s="231"/>
    </row>
    <row r="3310" spans="1:10" s="212" customFormat="1">
      <c r="A3310" s="220"/>
      <c r="B3310" s="141"/>
      <c r="C3310" s="141"/>
      <c r="D3310" s="141"/>
      <c r="E3310" s="141"/>
      <c r="F3310" s="141"/>
      <c r="G3310" s="141"/>
      <c r="H3310" s="73"/>
    </row>
    <row r="3311" spans="1:10" s="212" customFormat="1">
      <c r="A3311" s="142"/>
      <c r="B3311" s="143"/>
      <c r="C3311" s="143"/>
      <c r="D3311" s="143"/>
      <c r="E3311" s="143"/>
      <c r="F3311" s="84"/>
      <c r="G3311" s="146"/>
      <c r="H3311" s="221"/>
    </row>
    <row r="3312" spans="1:10" s="212" customFormat="1">
      <c r="A3312" s="84"/>
      <c r="B3312" s="83"/>
      <c r="C3312" s="84"/>
      <c r="D3312" s="84"/>
      <c r="E3312" s="84"/>
      <c r="G3312" s="213"/>
      <c r="H3312" s="222"/>
    </row>
    <row r="3313" spans="1:8" s="212" customFormat="1" ht="15" customHeight="1">
      <c r="A3313" s="120"/>
      <c r="B3313" s="73"/>
      <c r="C3313" s="73"/>
      <c r="D3313" s="73"/>
      <c r="E3313" s="73"/>
      <c r="G3313" s="73"/>
      <c r="H3313" s="222"/>
    </row>
    <row r="3314" spans="1:8" s="212" customFormat="1">
      <c r="A3314" s="220"/>
      <c r="B3314" s="141"/>
      <c r="C3314" s="141"/>
      <c r="D3314" s="141"/>
      <c r="E3314" s="141"/>
      <c r="F3314" s="141"/>
      <c r="G3314" s="141"/>
      <c r="H3314" s="222"/>
    </row>
    <row r="3315" spans="1:8" s="212" customFormat="1" ht="14.25" customHeight="1">
      <c r="A3315" s="150"/>
      <c r="B3315" s="161"/>
      <c r="C3315" s="148"/>
      <c r="D3315" s="84"/>
      <c r="E3315" s="84"/>
      <c r="F3315" s="84"/>
      <c r="G3315" s="224"/>
      <c r="H3315" s="222"/>
    </row>
    <row r="3316" spans="1:8" s="212" customFormat="1" ht="14.25" customHeight="1">
      <c r="A3316" s="150"/>
      <c r="B3316" s="161"/>
      <c r="C3316" s="148"/>
      <c r="D3316" s="84"/>
      <c r="E3316" s="84"/>
      <c r="F3316" s="84"/>
      <c r="G3316" s="224"/>
      <c r="H3316" s="222"/>
    </row>
    <row r="3317" spans="1:8" s="212" customFormat="1" ht="14.25" customHeight="1">
      <c r="A3317" s="150"/>
      <c r="B3317" s="161"/>
      <c r="C3317" s="148"/>
      <c r="D3317" s="84"/>
      <c r="E3317" s="84"/>
      <c r="F3317" s="84"/>
      <c r="G3317" s="224"/>
      <c r="H3317" s="222"/>
    </row>
    <row r="3318" spans="1:8" s="212" customFormat="1" ht="14.25" customHeight="1">
      <c r="A3318" s="150"/>
      <c r="B3318" s="161"/>
      <c r="C3318" s="148"/>
      <c r="D3318" s="84"/>
      <c r="E3318" s="84"/>
      <c r="F3318" s="84"/>
      <c r="G3318" s="224"/>
      <c r="H3318" s="222"/>
    </row>
    <row r="3319" spans="1:8" s="212" customFormat="1" ht="16.5">
      <c r="A3319" s="150"/>
      <c r="B3319" s="161"/>
      <c r="C3319" s="148"/>
      <c r="D3319" s="84"/>
      <c r="E3319" s="84"/>
      <c r="F3319" s="84"/>
      <c r="G3319" s="224"/>
      <c r="H3319" s="222"/>
    </row>
    <row r="3320" spans="1:8" s="212" customFormat="1" ht="16.5">
      <c r="A3320" s="150"/>
      <c r="B3320" s="161"/>
      <c r="C3320" s="148"/>
      <c r="D3320" s="84"/>
      <c r="E3320" s="84"/>
      <c r="F3320" s="84"/>
      <c r="G3320" s="224"/>
      <c r="H3320" s="221"/>
    </row>
    <row r="3321" spans="1:8" s="212" customFormat="1">
      <c r="A3321" s="91"/>
      <c r="B3321" s="91"/>
      <c r="C3321" s="91"/>
      <c r="D3321" s="91"/>
      <c r="E3321" s="91"/>
      <c r="G3321" s="213"/>
      <c r="H3321" s="222"/>
    </row>
    <row r="3322" spans="1:8" s="212" customFormat="1">
      <c r="A3322" s="120"/>
      <c r="B3322" s="73"/>
      <c r="C3322" s="73"/>
      <c r="D3322" s="73"/>
      <c r="E3322" s="73"/>
      <c r="G3322" s="73"/>
      <c r="H3322" s="222"/>
    </row>
    <row r="3323" spans="1:8" s="212" customFormat="1">
      <c r="A3323" s="220"/>
      <c r="B3323" s="141"/>
      <c r="C3323" s="141"/>
      <c r="D3323" s="141"/>
      <c r="E3323" s="141"/>
      <c r="F3323" s="141"/>
      <c r="G3323" s="141"/>
      <c r="H3323" s="222"/>
    </row>
    <row r="3324" spans="1:8" s="212" customFormat="1">
      <c r="A3324" s="146"/>
      <c r="B3324" s="83"/>
      <c r="C3324" s="148"/>
      <c r="D3324" s="84"/>
      <c r="E3324" s="84"/>
      <c r="F3324" s="84"/>
      <c r="G3324" s="146"/>
      <c r="H3324" s="221"/>
    </row>
    <row r="3325" spans="1:8" s="212" customFormat="1">
      <c r="A3325" s="91"/>
      <c r="B3325" s="91"/>
      <c r="C3325" s="91"/>
      <c r="D3325" s="91"/>
      <c r="E3325" s="91"/>
      <c r="G3325" s="213"/>
      <c r="H3325" s="222"/>
    </row>
    <row r="3326" spans="1:8" s="212" customFormat="1">
      <c r="A3326" s="120"/>
      <c r="B3326" s="73"/>
      <c r="C3326" s="73"/>
      <c r="D3326" s="73"/>
      <c r="E3326" s="73"/>
      <c r="G3326" s="73"/>
      <c r="H3326" s="222"/>
    </row>
    <row r="3327" spans="1:8" s="212" customFormat="1">
      <c r="A3327" s="220"/>
      <c r="B3327" s="141"/>
      <c r="C3327" s="141"/>
      <c r="D3327" s="141"/>
      <c r="E3327" s="141"/>
      <c r="F3327" s="141"/>
      <c r="G3327" s="141"/>
      <c r="H3327" s="222"/>
    </row>
    <row r="3328" spans="1:8" s="212" customFormat="1">
      <c r="A3328" s="142"/>
      <c r="B3328" s="143"/>
      <c r="C3328" s="143"/>
      <c r="D3328" s="143"/>
      <c r="E3328" s="143"/>
      <c r="F3328" s="84"/>
      <c r="G3328" s="146"/>
      <c r="H3328" s="221"/>
    </row>
    <row r="3329" spans="1:9" s="212" customFormat="1">
      <c r="A3329" s="123"/>
      <c r="B3329" s="95"/>
      <c r="C3329" s="95"/>
      <c r="D3329" s="95"/>
      <c r="E3329" s="95"/>
      <c r="G3329" s="213"/>
      <c r="H3329" s="73"/>
    </row>
    <row r="3330" spans="1:9" s="212" customFormat="1">
      <c r="A3330" s="123"/>
      <c r="B3330" s="95"/>
      <c r="C3330" s="95"/>
      <c r="D3330" s="95"/>
      <c r="E3330" s="95"/>
      <c r="G3330" s="73"/>
      <c r="H3330" s="225"/>
    </row>
    <row r="3331" spans="1:9" s="212" customFormat="1">
      <c r="B3331" s="97"/>
      <c r="C3331" s="98"/>
      <c r="D3331" s="98"/>
      <c r="E3331" s="98"/>
      <c r="G3331" s="220"/>
    </row>
    <row r="3332" spans="1:9" s="212" customFormat="1">
      <c r="B3332" s="97"/>
      <c r="C3332" s="98"/>
      <c r="D3332" s="98"/>
      <c r="E3332" s="98"/>
      <c r="F3332" s="220"/>
      <c r="G3332" s="225"/>
      <c r="H3332" s="226"/>
    </row>
    <row r="3333" spans="1:9" s="212" customFormat="1">
      <c r="A3333" s="633"/>
      <c r="B3333" s="633"/>
      <c r="C3333" s="633"/>
      <c r="D3333" s="633"/>
      <c r="E3333" s="633"/>
      <c r="F3333" s="633"/>
      <c r="G3333" s="633"/>
    </row>
    <row r="3334" spans="1:9" s="212" customFormat="1">
      <c r="H3334" s="227"/>
      <c r="I3334" s="228"/>
    </row>
    <row r="3335" spans="1:9" s="212" customFormat="1">
      <c r="A3335" s="658"/>
      <c r="B3335" s="227"/>
      <c r="C3335" s="227"/>
      <c r="D3335" s="227"/>
      <c r="E3335" s="227"/>
      <c r="F3335" s="227"/>
      <c r="G3335" s="227"/>
      <c r="H3335" s="227"/>
      <c r="I3335" s="229"/>
    </row>
    <row r="3336" spans="1:9" s="212" customFormat="1">
      <c r="A3336" s="658"/>
      <c r="B3336" s="227"/>
      <c r="C3336" s="227"/>
      <c r="D3336" s="227"/>
      <c r="E3336" s="227"/>
      <c r="F3336" s="227"/>
      <c r="G3336" s="227"/>
    </row>
    <row r="3337" spans="1:9" s="212" customFormat="1">
      <c r="A3337" s="69"/>
      <c r="B3337" s="69"/>
      <c r="C3337" s="69"/>
      <c r="D3337" s="69"/>
      <c r="E3337" s="69"/>
    </row>
    <row r="3338" spans="1:9" s="212" customFormat="1">
      <c r="A3338" s="120"/>
      <c r="B3338" s="73"/>
      <c r="C3338" s="73"/>
      <c r="D3338" s="73"/>
      <c r="E3338" s="73"/>
      <c r="F3338" s="73"/>
      <c r="G3338" s="73"/>
      <c r="H3338" s="73"/>
    </row>
    <row r="3339" spans="1:9" s="212" customFormat="1">
      <c r="A3339" s="220"/>
      <c r="B3339" s="141"/>
      <c r="C3339" s="141"/>
      <c r="D3339" s="141"/>
      <c r="E3339" s="141"/>
      <c r="F3339" s="141"/>
      <c r="G3339" s="141"/>
      <c r="H3339" s="73"/>
    </row>
    <row r="3340" spans="1:9" s="212" customFormat="1">
      <c r="A3340" s="142"/>
      <c r="B3340" s="143"/>
      <c r="C3340" s="143"/>
      <c r="D3340" s="143"/>
      <c r="E3340" s="143"/>
      <c r="F3340" s="84"/>
      <c r="G3340" s="146"/>
      <c r="H3340" s="221"/>
    </row>
    <row r="3341" spans="1:9" s="212" customFormat="1">
      <c r="A3341" s="84"/>
      <c r="B3341" s="83"/>
      <c r="C3341" s="84"/>
      <c r="D3341" s="84"/>
      <c r="E3341" s="84"/>
      <c r="G3341" s="213"/>
      <c r="H3341" s="222"/>
    </row>
    <row r="3342" spans="1:9" s="212" customFormat="1">
      <c r="A3342" s="120"/>
      <c r="B3342" s="73"/>
      <c r="C3342" s="73"/>
      <c r="D3342" s="73"/>
      <c r="E3342" s="73"/>
      <c r="G3342" s="73"/>
      <c r="H3342" s="222"/>
    </row>
    <row r="3343" spans="1:9" s="212" customFormat="1">
      <c r="A3343" s="220"/>
      <c r="B3343" s="141"/>
      <c r="C3343" s="141"/>
      <c r="D3343" s="141"/>
      <c r="E3343" s="141"/>
      <c r="F3343" s="141"/>
      <c r="G3343" s="141"/>
      <c r="H3343" s="222"/>
    </row>
    <row r="3344" spans="1:9" s="212" customFormat="1" ht="16.5">
      <c r="A3344" s="150"/>
      <c r="B3344" s="161"/>
      <c r="C3344" s="148"/>
      <c r="D3344" s="84"/>
      <c r="E3344" s="84"/>
      <c r="F3344" s="84"/>
      <c r="G3344" s="224"/>
      <c r="H3344" s="222"/>
    </row>
    <row r="3345" spans="1:8" s="212" customFormat="1" ht="16.5">
      <c r="A3345" s="150"/>
      <c r="B3345" s="161"/>
      <c r="C3345" s="148"/>
      <c r="D3345" s="84"/>
      <c r="E3345" s="84"/>
      <c r="F3345" s="84"/>
      <c r="G3345" s="224"/>
      <c r="H3345" s="222"/>
    </row>
    <row r="3346" spans="1:8" s="212" customFormat="1" ht="16.5">
      <c r="A3346" s="150"/>
      <c r="B3346" s="161"/>
      <c r="C3346" s="148"/>
      <c r="D3346" s="84"/>
      <c r="E3346" s="84"/>
      <c r="F3346" s="84"/>
      <c r="G3346" s="224"/>
      <c r="H3346" s="222"/>
    </row>
    <row r="3347" spans="1:8" s="212" customFormat="1" ht="16.5">
      <c r="A3347" s="150"/>
      <c r="B3347" s="161"/>
      <c r="C3347" s="148"/>
      <c r="D3347" s="84"/>
      <c r="E3347" s="84"/>
      <c r="F3347" s="84"/>
      <c r="G3347" s="224"/>
      <c r="H3347" s="222"/>
    </row>
    <row r="3348" spans="1:8" s="212" customFormat="1" ht="16.5">
      <c r="A3348" s="150"/>
      <c r="B3348" s="161"/>
      <c r="C3348" s="148"/>
      <c r="D3348" s="84"/>
      <c r="E3348" s="84"/>
      <c r="F3348" s="84"/>
      <c r="G3348" s="224"/>
      <c r="H3348" s="222"/>
    </row>
    <row r="3349" spans="1:8" s="212" customFormat="1" ht="16.5">
      <c r="A3349" s="150"/>
      <c r="B3349" s="161"/>
      <c r="C3349" s="148"/>
      <c r="D3349" s="84"/>
      <c r="E3349" s="84"/>
      <c r="F3349" s="84"/>
      <c r="G3349" s="224"/>
      <c r="H3349" s="221"/>
    </row>
    <row r="3350" spans="1:8" s="212" customFormat="1">
      <c r="A3350" s="91"/>
      <c r="B3350" s="91"/>
      <c r="C3350" s="91"/>
      <c r="D3350" s="91"/>
      <c r="E3350" s="91"/>
      <c r="G3350" s="213"/>
      <c r="H3350" s="222"/>
    </row>
    <row r="3351" spans="1:8" s="212" customFormat="1">
      <c r="A3351" s="120"/>
      <c r="B3351" s="73"/>
      <c r="C3351" s="73"/>
      <c r="D3351" s="73"/>
      <c r="E3351" s="73"/>
      <c r="G3351" s="73"/>
      <c r="H3351" s="222"/>
    </row>
    <row r="3352" spans="1:8" s="212" customFormat="1">
      <c r="A3352" s="220"/>
      <c r="B3352" s="141"/>
      <c r="C3352" s="141"/>
      <c r="D3352" s="141"/>
      <c r="E3352" s="141"/>
      <c r="F3352" s="141"/>
      <c r="G3352" s="141"/>
      <c r="H3352" s="222"/>
    </row>
    <row r="3353" spans="1:8" s="212" customFormat="1">
      <c r="A3353" s="146"/>
      <c r="B3353" s="83"/>
      <c r="C3353" s="148"/>
      <c r="D3353" s="84"/>
      <c r="E3353" s="84"/>
      <c r="F3353" s="84"/>
      <c r="G3353" s="146"/>
      <c r="H3353" s="221"/>
    </row>
    <row r="3354" spans="1:8" s="212" customFormat="1">
      <c r="A3354" s="91"/>
      <c r="B3354" s="91"/>
      <c r="C3354" s="91"/>
      <c r="D3354" s="91"/>
      <c r="E3354" s="91"/>
      <c r="G3354" s="213"/>
      <c r="H3354" s="222"/>
    </row>
    <row r="3355" spans="1:8" s="212" customFormat="1">
      <c r="A3355" s="120"/>
      <c r="B3355" s="73"/>
      <c r="C3355" s="73"/>
      <c r="D3355" s="73"/>
      <c r="E3355" s="73"/>
      <c r="G3355" s="73"/>
      <c r="H3355" s="222"/>
    </row>
    <row r="3356" spans="1:8" s="212" customFormat="1">
      <c r="A3356" s="220"/>
      <c r="B3356" s="141"/>
      <c r="C3356" s="141"/>
      <c r="D3356" s="141"/>
      <c r="E3356" s="141"/>
      <c r="F3356" s="141"/>
      <c r="G3356" s="141"/>
      <c r="H3356" s="222"/>
    </row>
    <row r="3357" spans="1:8" s="212" customFormat="1">
      <c r="A3357" s="142"/>
      <c r="B3357" s="143"/>
      <c r="C3357" s="143"/>
      <c r="D3357" s="143"/>
      <c r="E3357" s="143"/>
      <c r="F3357" s="84"/>
      <c r="G3357" s="146"/>
      <c r="H3357" s="221"/>
    </row>
    <row r="3358" spans="1:8" s="212" customFormat="1">
      <c r="A3358" s="123"/>
      <c r="B3358" s="95"/>
      <c r="C3358" s="95"/>
      <c r="D3358" s="95"/>
      <c r="E3358" s="95"/>
      <c r="G3358" s="213"/>
      <c r="H3358" s="73"/>
    </row>
    <row r="3359" spans="1:8" s="212" customFormat="1">
      <c r="A3359" s="123"/>
      <c r="B3359" s="95"/>
      <c r="C3359" s="95"/>
      <c r="D3359" s="95"/>
      <c r="E3359" s="95"/>
      <c r="G3359" s="73"/>
      <c r="H3359" s="225"/>
    </row>
    <row r="3360" spans="1:8" s="212" customFormat="1">
      <c r="B3360" s="97"/>
      <c r="C3360" s="98"/>
      <c r="D3360" s="98"/>
      <c r="E3360" s="98"/>
      <c r="G3360" s="220"/>
    </row>
    <row r="3361" spans="1:9" s="212" customFormat="1">
      <c r="B3361" s="97"/>
      <c r="C3361" s="98"/>
      <c r="D3361" s="98"/>
      <c r="E3361" s="98"/>
      <c r="F3361" s="220"/>
      <c r="G3361" s="225"/>
      <c r="H3361" s="226"/>
    </row>
    <row r="3362" spans="1:9" s="212" customFormat="1">
      <c r="A3362" s="633"/>
      <c r="B3362" s="633"/>
      <c r="C3362" s="633"/>
      <c r="D3362" s="633"/>
      <c r="E3362" s="633"/>
      <c r="F3362" s="633"/>
      <c r="G3362" s="633"/>
      <c r="H3362" s="216"/>
      <c r="I3362" s="216"/>
    </row>
    <row r="3363" spans="1:9" s="212" customFormat="1">
      <c r="A3363" s="216"/>
      <c r="B3363" s="216"/>
      <c r="C3363" s="216"/>
      <c r="D3363" s="216"/>
      <c r="E3363" s="216"/>
      <c r="F3363" s="216"/>
      <c r="G3363" s="216"/>
      <c r="H3363" s="227"/>
      <c r="I3363" s="228"/>
    </row>
    <row r="3364" spans="1:9" s="212" customFormat="1">
      <c r="A3364" s="658"/>
      <c r="B3364" s="227"/>
      <c r="C3364" s="227"/>
      <c r="D3364" s="227"/>
      <c r="E3364" s="227"/>
      <c r="F3364" s="227"/>
      <c r="G3364" s="227"/>
      <c r="H3364" s="227"/>
      <c r="I3364" s="229"/>
    </row>
    <row r="3365" spans="1:9" s="212" customFormat="1">
      <c r="A3365" s="658"/>
      <c r="B3365" s="227"/>
      <c r="C3365" s="227"/>
      <c r="D3365" s="227"/>
      <c r="E3365" s="227"/>
      <c r="F3365" s="227"/>
      <c r="G3365" s="227"/>
    </row>
    <row r="3366" spans="1:9" s="212" customFormat="1">
      <c r="A3366" s="69"/>
      <c r="B3366" s="69"/>
      <c r="C3366" s="69"/>
      <c r="D3366" s="69"/>
      <c r="E3366" s="69"/>
    </row>
    <row r="3367" spans="1:9" s="212" customFormat="1">
      <c r="A3367" s="120"/>
      <c r="B3367" s="73"/>
      <c r="C3367" s="73"/>
      <c r="D3367" s="73"/>
      <c r="E3367" s="73"/>
      <c r="F3367" s="73"/>
      <c r="G3367" s="73"/>
      <c r="H3367" s="73"/>
    </row>
    <row r="3368" spans="1:9" s="212" customFormat="1">
      <c r="A3368" s="220"/>
      <c r="B3368" s="141"/>
      <c r="C3368" s="141"/>
      <c r="D3368" s="141"/>
      <c r="E3368" s="141"/>
      <c r="F3368" s="141"/>
      <c r="G3368" s="141"/>
      <c r="H3368" s="73"/>
    </row>
    <row r="3369" spans="1:9" s="212" customFormat="1" ht="16.5">
      <c r="A3369" s="150"/>
      <c r="B3369" s="161"/>
      <c r="C3369" s="148"/>
      <c r="D3369" s="84"/>
      <c r="E3369" s="84"/>
      <c r="F3369" s="84"/>
      <c r="G3369" s="224"/>
      <c r="H3369" s="73"/>
    </row>
    <row r="3370" spans="1:9" s="212" customFormat="1" ht="16.5">
      <c r="A3370" s="150"/>
      <c r="B3370" s="161"/>
      <c r="C3370" s="148"/>
      <c r="D3370" s="84"/>
      <c r="E3370" s="84"/>
      <c r="F3370" s="84"/>
      <c r="G3370" s="224"/>
      <c r="H3370" s="73"/>
    </row>
    <row r="3371" spans="1:9" s="212" customFormat="1" ht="16.5">
      <c r="A3371" s="150"/>
      <c r="B3371" s="161"/>
      <c r="C3371" s="148"/>
      <c r="D3371" s="84"/>
      <c r="E3371" s="84"/>
      <c r="F3371" s="84"/>
      <c r="G3371" s="224"/>
      <c r="H3371" s="221"/>
    </row>
    <row r="3372" spans="1:9" s="212" customFormat="1">
      <c r="A3372" s="84"/>
      <c r="B3372" s="83"/>
      <c r="C3372" s="84"/>
      <c r="D3372" s="84"/>
      <c r="E3372" s="84"/>
      <c r="G3372" s="213"/>
      <c r="H3372" s="222"/>
    </row>
    <row r="3373" spans="1:9" s="212" customFormat="1">
      <c r="A3373" s="120"/>
      <c r="B3373" s="73"/>
      <c r="C3373" s="73"/>
      <c r="D3373" s="73"/>
      <c r="E3373" s="73"/>
      <c r="G3373" s="73"/>
      <c r="H3373" s="222"/>
    </row>
    <row r="3374" spans="1:9" s="212" customFormat="1">
      <c r="A3374" s="220"/>
      <c r="B3374" s="141"/>
      <c r="C3374" s="141"/>
      <c r="D3374" s="141"/>
      <c r="E3374" s="141"/>
      <c r="F3374" s="141"/>
      <c r="G3374" s="141"/>
      <c r="H3374" s="222"/>
    </row>
    <row r="3375" spans="1:9" s="212" customFormat="1">
      <c r="A3375" s="142"/>
      <c r="B3375" s="143"/>
      <c r="C3375" s="143"/>
      <c r="D3375" s="143"/>
      <c r="E3375" s="143"/>
      <c r="F3375" s="84"/>
      <c r="G3375" s="146"/>
      <c r="H3375" s="221"/>
    </row>
    <row r="3376" spans="1:9" s="212" customFormat="1">
      <c r="A3376" s="91"/>
      <c r="B3376" s="91"/>
      <c r="C3376" s="91"/>
      <c r="D3376" s="91"/>
      <c r="E3376" s="91"/>
      <c r="G3376" s="213"/>
      <c r="H3376" s="222"/>
    </row>
    <row r="3377" spans="1:9" s="212" customFormat="1">
      <c r="A3377" s="120"/>
      <c r="B3377" s="73"/>
      <c r="C3377" s="73"/>
      <c r="D3377" s="73"/>
      <c r="E3377" s="73"/>
      <c r="G3377" s="73"/>
      <c r="H3377" s="222"/>
    </row>
    <row r="3378" spans="1:9" s="212" customFormat="1">
      <c r="A3378" s="220"/>
      <c r="B3378" s="141"/>
      <c r="C3378" s="141"/>
      <c r="D3378" s="141"/>
      <c r="E3378" s="141"/>
      <c r="F3378" s="141"/>
      <c r="G3378" s="141"/>
      <c r="H3378" s="222"/>
    </row>
    <row r="3379" spans="1:9" s="212" customFormat="1">
      <c r="A3379" s="142"/>
      <c r="B3379" s="143"/>
      <c r="C3379" s="143"/>
      <c r="D3379" s="143"/>
      <c r="E3379" s="143"/>
      <c r="F3379" s="84"/>
      <c r="G3379" s="146"/>
      <c r="H3379" s="221"/>
    </row>
    <row r="3380" spans="1:9" s="212" customFormat="1">
      <c r="A3380" s="91"/>
      <c r="B3380" s="91"/>
      <c r="C3380" s="91"/>
      <c r="D3380" s="91"/>
      <c r="E3380" s="91"/>
      <c r="G3380" s="213"/>
      <c r="H3380" s="222"/>
    </row>
    <row r="3381" spans="1:9" s="212" customFormat="1">
      <c r="A3381" s="120"/>
      <c r="B3381" s="73"/>
      <c r="C3381" s="73"/>
      <c r="D3381" s="73"/>
      <c r="E3381" s="73"/>
      <c r="G3381" s="73"/>
      <c r="H3381" s="222"/>
    </row>
    <row r="3382" spans="1:9" s="212" customFormat="1">
      <c r="A3382" s="220"/>
      <c r="B3382" s="141"/>
      <c r="C3382" s="141"/>
      <c r="D3382" s="141"/>
      <c r="E3382" s="141"/>
      <c r="F3382" s="141"/>
      <c r="G3382" s="141"/>
      <c r="H3382" s="222"/>
    </row>
    <row r="3383" spans="1:9" s="212" customFormat="1">
      <c r="A3383" s="142"/>
      <c r="B3383" s="143"/>
      <c r="C3383" s="143"/>
      <c r="D3383" s="143"/>
      <c r="E3383" s="143"/>
      <c r="F3383" s="84"/>
      <c r="G3383" s="146"/>
      <c r="H3383" s="221"/>
    </row>
    <row r="3384" spans="1:9" s="212" customFormat="1">
      <c r="A3384" s="123"/>
      <c r="B3384" s="95"/>
      <c r="C3384" s="95"/>
      <c r="D3384" s="95"/>
      <c r="E3384" s="95"/>
      <c r="G3384" s="213"/>
      <c r="H3384" s="73"/>
    </row>
    <row r="3385" spans="1:9" s="212" customFormat="1">
      <c r="A3385" s="123"/>
      <c r="B3385" s="95"/>
      <c r="C3385" s="95"/>
      <c r="D3385" s="95"/>
      <c r="E3385" s="95"/>
      <c r="G3385" s="73"/>
      <c r="H3385" s="225"/>
    </row>
    <row r="3386" spans="1:9" s="212" customFormat="1">
      <c r="B3386" s="97"/>
      <c r="C3386" s="98"/>
      <c r="D3386" s="98"/>
      <c r="E3386" s="98"/>
      <c r="G3386" s="220"/>
    </row>
    <row r="3387" spans="1:9" s="212" customFormat="1">
      <c r="B3387" s="97"/>
      <c r="C3387" s="98"/>
      <c r="D3387" s="98"/>
      <c r="E3387" s="98"/>
      <c r="F3387" s="220"/>
      <c r="G3387" s="225"/>
      <c r="H3387" s="226"/>
    </row>
    <row r="3388" spans="1:9" s="212" customFormat="1">
      <c r="A3388" s="633"/>
      <c r="B3388" s="633"/>
      <c r="C3388" s="633"/>
      <c r="D3388" s="633"/>
      <c r="E3388" s="633"/>
      <c r="F3388" s="633"/>
      <c r="G3388" s="633"/>
    </row>
    <row r="3389" spans="1:9" s="212" customFormat="1">
      <c r="H3389" s="227"/>
      <c r="I3389" s="228"/>
    </row>
    <row r="3390" spans="1:9" s="212" customFormat="1">
      <c r="A3390" s="658"/>
      <c r="B3390" s="227"/>
      <c r="C3390" s="227"/>
      <c r="D3390" s="227"/>
      <c r="E3390" s="227"/>
      <c r="F3390" s="227"/>
      <c r="G3390" s="227"/>
      <c r="H3390" s="227"/>
      <c r="I3390" s="229"/>
    </row>
    <row r="3391" spans="1:9" s="212" customFormat="1">
      <c r="A3391" s="658"/>
      <c r="B3391" s="227"/>
      <c r="C3391" s="227"/>
      <c r="D3391" s="227"/>
      <c r="E3391" s="227"/>
      <c r="F3391" s="227"/>
      <c r="G3391" s="227"/>
    </row>
    <row r="3392" spans="1:9" s="212" customFormat="1">
      <c r="A3392" s="69"/>
      <c r="B3392" s="69"/>
      <c r="C3392" s="69"/>
      <c r="D3392" s="69"/>
      <c r="E3392" s="69"/>
    </row>
    <row r="3393" spans="1:8" s="212" customFormat="1">
      <c r="A3393" s="120"/>
      <c r="B3393" s="73"/>
      <c r="C3393" s="73"/>
      <c r="D3393" s="73"/>
      <c r="E3393" s="73"/>
      <c r="F3393" s="73"/>
      <c r="G3393" s="73"/>
      <c r="H3393" s="73"/>
    </row>
    <row r="3394" spans="1:8" s="212" customFormat="1">
      <c r="A3394" s="220"/>
      <c r="B3394" s="141"/>
      <c r="C3394" s="141"/>
      <c r="D3394" s="141"/>
      <c r="E3394" s="141"/>
      <c r="F3394" s="141"/>
      <c r="G3394" s="141"/>
      <c r="H3394" s="73"/>
    </row>
    <row r="3395" spans="1:8" s="212" customFormat="1" ht="16.5">
      <c r="A3395" s="150"/>
      <c r="B3395" s="161"/>
      <c r="C3395" s="148"/>
      <c r="D3395" s="84"/>
      <c r="E3395" s="84"/>
      <c r="F3395" s="84"/>
      <c r="G3395" s="224"/>
      <c r="H3395" s="221"/>
    </row>
    <row r="3396" spans="1:8" s="212" customFormat="1">
      <c r="A3396" s="84"/>
      <c r="B3396" s="83"/>
      <c r="C3396" s="84"/>
      <c r="D3396" s="84"/>
      <c r="E3396" s="84"/>
      <c r="G3396" s="213"/>
      <c r="H3396" s="222"/>
    </row>
    <row r="3397" spans="1:8" s="212" customFormat="1">
      <c r="A3397" s="120"/>
      <c r="B3397" s="73"/>
      <c r="C3397" s="73"/>
      <c r="D3397" s="73"/>
      <c r="E3397" s="73"/>
      <c r="G3397" s="73"/>
      <c r="H3397" s="222"/>
    </row>
    <row r="3398" spans="1:8" s="212" customFormat="1">
      <c r="A3398" s="220"/>
      <c r="B3398" s="141"/>
      <c r="C3398" s="141"/>
      <c r="D3398" s="141"/>
      <c r="E3398" s="141"/>
      <c r="F3398" s="141"/>
      <c r="G3398" s="141"/>
      <c r="H3398" s="222"/>
    </row>
    <row r="3399" spans="1:8" s="212" customFormat="1" ht="16.5">
      <c r="A3399" s="150"/>
      <c r="B3399" s="161"/>
      <c r="C3399" s="148"/>
      <c r="D3399" s="84"/>
      <c r="E3399" s="84"/>
      <c r="F3399" s="84"/>
      <c r="G3399" s="224"/>
      <c r="H3399" s="222"/>
    </row>
    <row r="3400" spans="1:8" s="212" customFormat="1" ht="16.5">
      <c r="A3400" s="150"/>
      <c r="B3400" s="161"/>
      <c r="C3400" s="148"/>
      <c r="D3400" s="84"/>
      <c r="E3400" s="84"/>
      <c r="F3400" s="84"/>
      <c r="G3400" s="224"/>
      <c r="H3400" s="222"/>
    </row>
    <row r="3401" spans="1:8" s="212" customFormat="1" ht="16.5">
      <c r="A3401" s="150"/>
      <c r="B3401" s="161"/>
      <c r="C3401" s="148"/>
      <c r="D3401" s="84"/>
      <c r="E3401" s="84"/>
      <c r="F3401" s="84"/>
      <c r="G3401" s="224"/>
      <c r="H3401" s="222"/>
    </row>
    <row r="3402" spans="1:8" s="212" customFormat="1" ht="16.5">
      <c r="A3402" s="150"/>
      <c r="B3402" s="161"/>
      <c r="C3402" s="148"/>
      <c r="D3402" s="84"/>
      <c r="E3402" s="84"/>
      <c r="F3402" s="84"/>
      <c r="G3402" s="224"/>
      <c r="H3402" s="222"/>
    </row>
    <row r="3403" spans="1:8" s="212" customFormat="1" ht="16.5">
      <c r="A3403" s="150"/>
      <c r="B3403" s="161"/>
      <c r="C3403" s="148"/>
      <c r="D3403" s="84"/>
      <c r="E3403" s="84"/>
      <c r="F3403" s="84"/>
      <c r="G3403" s="224"/>
      <c r="H3403" s="221"/>
    </row>
    <row r="3404" spans="1:8" s="212" customFormat="1">
      <c r="A3404" s="91"/>
      <c r="B3404" s="91"/>
      <c r="C3404" s="91"/>
      <c r="D3404" s="91"/>
      <c r="E3404" s="91"/>
      <c r="G3404" s="213"/>
      <c r="H3404" s="222"/>
    </row>
    <row r="3405" spans="1:8" s="212" customFormat="1">
      <c r="A3405" s="120"/>
      <c r="B3405" s="73"/>
      <c r="C3405" s="73"/>
      <c r="D3405" s="73"/>
      <c r="E3405" s="73"/>
      <c r="G3405" s="73"/>
      <c r="H3405" s="222"/>
    </row>
    <row r="3406" spans="1:8" s="212" customFormat="1">
      <c r="A3406" s="220"/>
      <c r="B3406" s="141"/>
      <c r="C3406" s="141"/>
      <c r="D3406" s="141"/>
      <c r="E3406" s="141"/>
      <c r="F3406" s="141"/>
      <c r="G3406" s="141"/>
      <c r="H3406" s="222"/>
    </row>
    <row r="3407" spans="1:8" s="212" customFormat="1" ht="16.5">
      <c r="A3407" s="150"/>
      <c r="B3407" s="161"/>
      <c r="C3407" s="148"/>
      <c r="D3407" s="84"/>
      <c r="E3407" s="84"/>
      <c r="F3407" s="84"/>
      <c r="G3407" s="224"/>
      <c r="H3407" s="221"/>
    </row>
    <row r="3408" spans="1:8"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c r="A3411" s="142"/>
      <c r="B3411" s="143"/>
      <c r="C3411" s="143"/>
      <c r="D3411" s="143"/>
      <c r="E3411" s="143"/>
      <c r="F3411" s="84"/>
      <c r="G3411" s="146"/>
      <c r="H3411" s="221"/>
    </row>
    <row r="3412" spans="1:9" s="212" customFormat="1">
      <c r="A3412" s="123"/>
      <c r="B3412" s="95"/>
      <c r="C3412" s="95"/>
      <c r="D3412" s="95"/>
      <c r="E3412" s="95"/>
      <c r="G3412" s="213"/>
      <c r="H3412" s="73"/>
    </row>
    <row r="3413" spans="1:9" s="212" customFormat="1">
      <c r="A3413" s="123"/>
      <c r="B3413" s="95"/>
      <c r="C3413" s="95"/>
      <c r="D3413" s="95"/>
      <c r="E3413" s="95"/>
      <c r="G3413" s="73"/>
      <c r="H3413" s="225"/>
    </row>
    <row r="3414" spans="1:9" s="212" customFormat="1">
      <c r="B3414" s="97"/>
      <c r="C3414" s="98"/>
      <c r="D3414" s="98"/>
      <c r="E3414" s="98"/>
      <c r="G3414" s="220"/>
    </row>
    <row r="3415" spans="1:9" s="212" customFormat="1">
      <c r="B3415" s="97"/>
      <c r="C3415" s="98"/>
      <c r="D3415" s="98"/>
      <c r="E3415" s="98"/>
      <c r="F3415" s="220"/>
      <c r="G3415" s="225"/>
      <c r="H3415" s="226"/>
    </row>
    <row r="3416" spans="1:9" s="212" customFormat="1">
      <c r="A3416" s="633"/>
      <c r="B3416" s="633"/>
      <c r="C3416" s="633"/>
      <c r="D3416" s="633"/>
      <c r="E3416" s="633"/>
      <c r="F3416" s="633"/>
      <c r="G3416" s="633"/>
    </row>
    <row r="3417" spans="1:9" s="212" customFormat="1">
      <c r="H3417" s="227"/>
      <c r="I3417" s="228"/>
    </row>
    <row r="3418" spans="1:9" s="212" customFormat="1">
      <c r="A3418" s="658"/>
      <c r="B3418" s="227"/>
      <c r="C3418" s="227"/>
      <c r="D3418" s="227"/>
      <c r="E3418" s="227"/>
      <c r="F3418" s="227"/>
      <c r="G3418" s="227"/>
      <c r="H3418" s="227"/>
      <c r="I3418" s="229"/>
    </row>
    <row r="3419" spans="1:9" s="212" customFormat="1">
      <c r="A3419" s="658"/>
      <c r="B3419" s="227"/>
      <c r="C3419" s="227"/>
      <c r="D3419" s="227"/>
      <c r="E3419" s="227"/>
      <c r="F3419" s="227"/>
      <c r="G3419" s="227"/>
    </row>
    <row r="3420" spans="1:9" s="212" customFormat="1">
      <c r="A3420" s="69"/>
      <c r="B3420" s="69"/>
      <c r="C3420" s="69"/>
      <c r="D3420" s="69"/>
      <c r="E3420" s="69"/>
    </row>
    <row r="3421" spans="1:9" s="212" customFormat="1">
      <c r="A3421" s="120"/>
      <c r="B3421" s="73"/>
      <c r="C3421" s="73"/>
      <c r="D3421" s="73"/>
      <c r="E3421" s="73"/>
      <c r="F3421" s="73"/>
      <c r="G3421" s="73"/>
      <c r="H3421" s="73"/>
    </row>
    <row r="3422" spans="1:9" s="212" customFormat="1">
      <c r="A3422" s="220"/>
      <c r="B3422" s="141"/>
      <c r="C3422" s="141"/>
      <c r="D3422" s="141"/>
      <c r="E3422" s="141"/>
      <c r="F3422" s="141"/>
      <c r="G3422" s="141"/>
      <c r="H3422" s="73"/>
    </row>
    <row r="3423" spans="1:9" s="212" customFormat="1" ht="16.5">
      <c r="A3423" s="150"/>
      <c r="B3423" s="161"/>
      <c r="C3423" s="148"/>
      <c r="D3423" s="84"/>
      <c r="E3423" s="84"/>
      <c r="F3423" s="84"/>
      <c r="G3423" s="224"/>
      <c r="H3423" s="221"/>
    </row>
    <row r="3424" spans="1:9" s="212" customFormat="1">
      <c r="A3424" s="84"/>
      <c r="B3424" s="83"/>
      <c r="C3424" s="84"/>
      <c r="D3424" s="84"/>
      <c r="E3424" s="84"/>
      <c r="G3424" s="213"/>
      <c r="H3424" s="222"/>
    </row>
    <row r="3425" spans="1:8" s="212" customFormat="1">
      <c r="A3425" s="120"/>
      <c r="B3425" s="73"/>
      <c r="C3425" s="73"/>
      <c r="D3425" s="73"/>
      <c r="E3425" s="73"/>
      <c r="G3425" s="73"/>
      <c r="H3425" s="222"/>
    </row>
    <row r="3426" spans="1:8" s="212" customFormat="1">
      <c r="A3426" s="220"/>
      <c r="B3426" s="141"/>
      <c r="C3426" s="141"/>
      <c r="D3426" s="141"/>
      <c r="E3426" s="141"/>
      <c r="F3426" s="141"/>
      <c r="G3426" s="141"/>
      <c r="H3426" s="222"/>
    </row>
    <row r="3427" spans="1:8" s="212" customFormat="1" ht="16.5">
      <c r="A3427" s="150"/>
      <c r="B3427" s="161"/>
      <c r="C3427" s="148"/>
      <c r="D3427" s="84"/>
      <c r="E3427" s="84"/>
      <c r="F3427" s="84"/>
      <c r="G3427" s="224"/>
      <c r="H3427" s="222"/>
    </row>
    <row r="3428" spans="1:8" s="212" customFormat="1" ht="16.5">
      <c r="A3428" s="150"/>
      <c r="B3428" s="161"/>
      <c r="C3428" s="148"/>
      <c r="D3428" s="84"/>
      <c r="E3428" s="84"/>
      <c r="F3428" s="84"/>
      <c r="G3428" s="224"/>
      <c r="H3428" s="222"/>
    </row>
    <row r="3429" spans="1:8" s="212" customFormat="1" ht="16.5">
      <c r="A3429" s="150"/>
      <c r="B3429" s="161"/>
      <c r="C3429" s="148"/>
      <c r="D3429" s="84"/>
      <c r="E3429" s="84"/>
      <c r="F3429" s="84"/>
      <c r="G3429" s="224"/>
      <c r="H3429" s="222"/>
    </row>
    <row r="3430" spans="1:8" s="212" customFormat="1" ht="16.5">
      <c r="A3430" s="150"/>
      <c r="B3430" s="161"/>
      <c r="C3430" s="148"/>
      <c r="D3430" s="84"/>
      <c r="E3430" s="84"/>
      <c r="F3430" s="84"/>
      <c r="G3430" s="224"/>
      <c r="H3430" s="221"/>
    </row>
    <row r="3431" spans="1:8" s="212" customFormat="1">
      <c r="A3431" s="91"/>
      <c r="B3431" s="91"/>
      <c r="C3431" s="91"/>
      <c r="D3431" s="91"/>
      <c r="E3431" s="91"/>
      <c r="G3431" s="213"/>
      <c r="H3431" s="222"/>
    </row>
    <row r="3432" spans="1:8" s="212" customFormat="1">
      <c r="A3432" s="120"/>
      <c r="B3432" s="73"/>
      <c r="C3432" s="73"/>
      <c r="D3432" s="73"/>
      <c r="E3432" s="73"/>
      <c r="G3432" s="73"/>
      <c r="H3432" s="222"/>
    </row>
    <row r="3433" spans="1:8" s="212" customFormat="1">
      <c r="A3433" s="220"/>
      <c r="B3433" s="141"/>
      <c r="C3433" s="141"/>
      <c r="D3433" s="141"/>
      <c r="E3433" s="141"/>
      <c r="F3433" s="141"/>
      <c r="G3433" s="141"/>
      <c r="H3433" s="222"/>
    </row>
    <row r="3434" spans="1:8" s="212" customFormat="1" ht="16.5">
      <c r="A3434" s="150"/>
      <c r="B3434" s="161"/>
      <c r="C3434" s="148"/>
      <c r="D3434" s="84"/>
      <c r="E3434" s="84"/>
      <c r="F3434" s="84"/>
      <c r="G3434" s="224"/>
      <c r="H3434" s="221"/>
    </row>
    <row r="3435" spans="1:8" s="212" customFormat="1">
      <c r="A3435" s="91"/>
      <c r="B3435" s="91"/>
      <c r="C3435" s="91"/>
      <c r="D3435" s="91"/>
      <c r="E3435" s="91"/>
      <c r="G3435" s="213"/>
      <c r="H3435" s="222"/>
    </row>
    <row r="3436" spans="1:8" s="212" customFormat="1">
      <c r="A3436" s="120"/>
      <c r="B3436" s="73"/>
      <c r="C3436" s="73"/>
      <c r="D3436" s="73"/>
      <c r="E3436" s="73"/>
      <c r="G3436" s="73"/>
      <c r="H3436" s="222"/>
    </row>
    <row r="3437" spans="1:8" s="212" customFormat="1">
      <c r="A3437" s="220"/>
      <c r="B3437" s="141"/>
      <c r="C3437" s="141"/>
      <c r="D3437" s="141"/>
      <c r="E3437" s="141"/>
      <c r="F3437" s="141"/>
      <c r="G3437" s="141"/>
      <c r="H3437" s="222"/>
    </row>
    <row r="3438" spans="1:8" s="212" customFormat="1">
      <c r="A3438" s="142"/>
      <c r="B3438" s="143"/>
      <c r="C3438" s="143"/>
      <c r="D3438" s="143"/>
      <c r="E3438" s="143"/>
      <c r="F3438" s="84"/>
      <c r="G3438" s="146"/>
      <c r="H3438" s="221"/>
    </row>
    <row r="3439" spans="1:8" s="212" customFormat="1">
      <c r="A3439" s="123"/>
      <c r="B3439" s="95"/>
      <c r="C3439" s="95"/>
      <c r="D3439" s="95"/>
      <c r="E3439" s="95"/>
      <c r="G3439" s="213"/>
      <c r="H3439" s="73"/>
    </row>
    <row r="3440" spans="1:8" s="212" customFormat="1">
      <c r="A3440" s="123"/>
      <c r="B3440" s="95"/>
      <c r="C3440" s="95"/>
      <c r="D3440" s="95"/>
      <c r="E3440" s="95"/>
      <c r="G3440" s="73"/>
      <c r="H3440" s="225"/>
    </row>
    <row r="3441" spans="1:9" s="212" customFormat="1">
      <c r="B3441" s="97"/>
      <c r="C3441" s="98"/>
      <c r="D3441" s="98"/>
      <c r="E3441" s="98"/>
      <c r="G3441" s="220"/>
    </row>
    <row r="3442" spans="1:9" s="212" customFormat="1">
      <c r="B3442" s="97"/>
      <c r="C3442" s="98"/>
      <c r="D3442" s="98"/>
      <c r="E3442" s="98"/>
      <c r="F3442" s="220"/>
      <c r="G3442" s="225"/>
      <c r="H3442" s="226"/>
    </row>
    <row r="3443" spans="1:9" s="212" customFormat="1">
      <c r="A3443" s="633"/>
      <c r="B3443" s="633"/>
      <c r="C3443" s="633"/>
      <c r="D3443" s="633"/>
      <c r="E3443" s="633"/>
      <c r="F3443" s="633"/>
      <c r="G3443" s="633"/>
    </row>
    <row r="3444" spans="1:9" s="212" customFormat="1">
      <c r="H3444" s="227"/>
      <c r="I3444" s="228"/>
    </row>
    <row r="3445" spans="1:9" s="212" customFormat="1">
      <c r="A3445" s="658"/>
      <c r="B3445" s="227"/>
      <c r="C3445" s="227"/>
      <c r="D3445" s="227"/>
      <c r="E3445" s="227"/>
      <c r="F3445" s="227"/>
      <c r="G3445" s="227"/>
      <c r="H3445" s="227"/>
      <c r="I3445" s="229"/>
    </row>
    <row r="3446" spans="1:9" s="212" customFormat="1">
      <c r="A3446" s="658"/>
      <c r="B3446" s="227"/>
      <c r="C3446" s="227"/>
      <c r="D3446" s="227"/>
      <c r="E3446" s="227"/>
      <c r="F3446" s="227"/>
      <c r="G3446" s="227"/>
    </row>
    <row r="3447" spans="1:9" s="212" customFormat="1">
      <c r="A3447" s="69"/>
      <c r="B3447" s="69"/>
      <c r="C3447" s="69"/>
      <c r="D3447" s="69"/>
      <c r="E3447" s="69"/>
    </row>
    <row r="3448" spans="1:9" s="212" customFormat="1">
      <c r="A3448" s="120"/>
      <c r="B3448" s="73"/>
      <c r="C3448" s="73"/>
      <c r="D3448" s="73"/>
      <c r="E3448" s="73"/>
      <c r="F3448" s="73"/>
      <c r="G3448" s="73"/>
      <c r="H3448" s="73"/>
    </row>
    <row r="3449" spans="1:9" s="212" customFormat="1">
      <c r="A3449" s="220"/>
      <c r="B3449" s="141"/>
      <c r="C3449" s="141"/>
      <c r="D3449" s="141"/>
      <c r="E3449" s="141"/>
      <c r="F3449" s="141"/>
      <c r="G3449" s="141"/>
      <c r="H3449" s="73"/>
    </row>
    <row r="3450" spans="1:9" s="212" customFormat="1" ht="16.5">
      <c r="A3450" s="150"/>
      <c r="B3450" s="161"/>
      <c r="C3450" s="148"/>
      <c r="D3450" s="84"/>
      <c r="E3450" s="84"/>
      <c r="F3450" s="84"/>
      <c r="G3450" s="224"/>
      <c r="H3450" s="221"/>
    </row>
    <row r="3451" spans="1:9" s="212" customFormat="1">
      <c r="A3451" s="84"/>
      <c r="B3451" s="83"/>
      <c r="C3451" s="84"/>
      <c r="D3451" s="84"/>
      <c r="E3451" s="84"/>
      <c r="G3451" s="213"/>
      <c r="H3451" s="222"/>
    </row>
    <row r="3452" spans="1:9" s="212" customFormat="1">
      <c r="A3452" s="120"/>
      <c r="B3452" s="73"/>
      <c r="C3452" s="73"/>
      <c r="D3452" s="73"/>
      <c r="E3452" s="73"/>
      <c r="G3452" s="73"/>
      <c r="H3452" s="222"/>
    </row>
    <row r="3453" spans="1:9" s="212" customFormat="1">
      <c r="A3453" s="220"/>
      <c r="B3453" s="141"/>
      <c r="C3453" s="141"/>
      <c r="D3453" s="141"/>
      <c r="E3453" s="141"/>
      <c r="F3453" s="141"/>
      <c r="G3453" s="141"/>
      <c r="H3453" s="222"/>
    </row>
    <row r="3454" spans="1:9" s="212" customFormat="1" ht="16.5">
      <c r="A3454" s="150"/>
      <c r="B3454" s="161"/>
      <c r="C3454" s="148"/>
      <c r="D3454" s="84"/>
      <c r="E3454" s="84"/>
      <c r="F3454" s="84"/>
      <c r="G3454" s="224"/>
      <c r="H3454" s="222"/>
    </row>
    <row r="3455" spans="1:9" s="212" customFormat="1" ht="16.5">
      <c r="A3455" s="150"/>
      <c r="B3455" s="161"/>
      <c r="C3455" s="148"/>
      <c r="D3455" s="84"/>
      <c r="E3455" s="84"/>
      <c r="F3455" s="84"/>
      <c r="G3455" s="224"/>
      <c r="H3455" s="222"/>
    </row>
    <row r="3456" spans="1:9" s="212" customFormat="1" ht="16.5">
      <c r="A3456" s="150"/>
      <c r="B3456" s="161"/>
      <c r="C3456" s="148"/>
      <c r="D3456" s="84"/>
      <c r="E3456" s="84"/>
      <c r="F3456" s="84"/>
      <c r="G3456" s="224"/>
      <c r="H3456" s="222"/>
    </row>
    <row r="3457" spans="1:9" s="212" customFormat="1" ht="16.5">
      <c r="A3457" s="150"/>
      <c r="B3457" s="161"/>
      <c r="C3457" s="148"/>
      <c r="D3457" s="84"/>
      <c r="E3457" s="84"/>
      <c r="F3457" s="84"/>
      <c r="G3457" s="224"/>
      <c r="H3457" s="221"/>
    </row>
    <row r="3458" spans="1:9" s="212" customFormat="1">
      <c r="A3458" s="91"/>
      <c r="B3458" s="91"/>
      <c r="C3458" s="91"/>
      <c r="D3458" s="91"/>
      <c r="E3458" s="91"/>
      <c r="G3458" s="213"/>
      <c r="H3458" s="222"/>
    </row>
    <row r="3459" spans="1:9" s="212" customFormat="1">
      <c r="A3459" s="120"/>
      <c r="B3459" s="73"/>
      <c r="C3459" s="73"/>
      <c r="D3459" s="73"/>
      <c r="E3459" s="73"/>
      <c r="G3459" s="73"/>
      <c r="H3459" s="222"/>
    </row>
    <row r="3460" spans="1:9" s="212" customFormat="1">
      <c r="A3460" s="220"/>
      <c r="B3460" s="141"/>
      <c r="C3460" s="141"/>
      <c r="D3460" s="141"/>
      <c r="E3460" s="141"/>
      <c r="F3460" s="141"/>
      <c r="G3460" s="141"/>
      <c r="H3460" s="222"/>
    </row>
    <row r="3461" spans="1:9" s="212" customFormat="1" ht="16.5">
      <c r="A3461" s="150"/>
      <c r="B3461" s="161"/>
      <c r="C3461" s="148"/>
      <c r="D3461" s="84"/>
      <c r="E3461" s="84"/>
      <c r="F3461" s="84"/>
      <c r="G3461" s="224"/>
      <c r="H3461" s="221"/>
    </row>
    <row r="3462" spans="1:9" s="212" customFormat="1">
      <c r="A3462" s="91"/>
      <c r="B3462" s="91"/>
      <c r="C3462" s="91"/>
      <c r="D3462" s="91"/>
      <c r="E3462" s="91"/>
      <c r="G3462" s="213"/>
      <c r="H3462" s="222"/>
    </row>
    <row r="3463" spans="1:9" s="212" customFormat="1">
      <c r="A3463" s="120"/>
      <c r="B3463" s="73"/>
      <c r="C3463" s="73"/>
      <c r="D3463" s="73"/>
      <c r="E3463" s="73"/>
      <c r="G3463" s="73"/>
      <c r="H3463" s="222"/>
    </row>
    <row r="3464" spans="1:9" s="212" customFormat="1">
      <c r="A3464" s="220"/>
      <c r="B3464" s="141"/>
      <c r="C3464" s="141"/>
      <c r="D3464" s="141"/>
      <c r="E3464" s="141"/>
      <c r="F3464" s="141"/>
      <c r="G3464" s="141"/>
      <c r="H3464" s="222"/>
    </row>
    <row r="3465" spans="1:9" s="212" customFormat="1">
      <c r="A3465" s="142"/>
      <c r="B3465" s="143"/>
      <c r="C3465" s="143"/>
      <c r="D3465" s="143"/>
      <c r="E3465" s="143"/>
      <c r="F3465" s="84"/>
      <c r="G3465" s="146"/>
      <c r="H3465" s="221"/>
    </row>
    <row r="3466" spans="1:9" s="212" customFormat="1">
      <c r="A3466" s="123"/>
      <c r="B3466" s="95"/>
      <c r="C3466" s="95"/>
      <c r="D3466" s="95"/>
      <c r="E3466" s="95"/>
      <c r="G3466" s="213"/>
      <c r="H3466" s="73"/>
    </row>
    <row r="3467" spans="1:9" s="212" customFormat="1">
      <c r="A3467" s="123"/>
      <c r="B3467" s="95"/>
      <c r="C3467" s="95"/>
      <c r="D3467" s="95"/>
      <c r="E3467" s="95"/>
      <c r="G3467" s="73"/>
      <c r="H3467" s="225"/>
    </row>
    <row r="3468" spans="1:9" s="212" customFormat="1">
      <c r="B3468" s="97"/>
      <c r="C3468" s="98"/>
      <c r="D3468" s="98"/>
      <c r="E3468" s="98"/>
      <c r="G3468" s="220"/>
    </row>
    <row r="3469" spans="1:9" s="212" customFormat="1">
      <c r="B3469" s="97"/>
      <c r="C3469" s="98"/>
      <c r="D3469" s="98"/>
      <c r="E3469" s="98"/>
      <c r="F3469" s="220"/>
      <c r="G3469" s="225"/>
      <c r="H3469" s="226"/>
    </row>
    <row r="3470" spans="1:9" s="212" customFormat="1">
      <c r="A3470" s="633"/>
      <c r="B3470" s="633"/>
      <c r="C3470" s="633"/>
      <c r="D3470" s="633"/>
      <c r="E3470" s="633"/>
      <c r="F3470" s="633"/>
      <c r="G3470" s="633"/>
    </row>
    <row r="3471" spans="1:9" s="212" customFormat="1">
      <c r="H3471" s="227"/>
      <c r="I3471" s="228"/>
    </row>
    <row r="3472" spans="1:9" s="212" customFormat="1">
      <c r="A3472" s="658"/>
      <c r="B3472" s="227"/>
      <c r="C3472" s="227"/>
      <c r="D3472" s="227"/>
      <c r="E3472" s="227"/>
      <c r="F3472" s="227"/>
      <c r="G3472" s="227"/>
      <c r="H3472" s="227"/>
      <c r="I3472" s="229"/>
    </row>
    <row r="3473" spans="1:8" s="212" customFormat="1">
      <c r="A3473" s="658"/>
      <c r="B3473" s="227"/>
      <c r="C3473" s="227"/>
      <c r="D3473" s="227"/>
      <c r="E3473" s="227"/>
      <c r="F3473" s="227"/>
      <c r="G3473" s="227"/>
    </row>
    <row r="3474" spans="1:8" s="212" customFormat="1">
      <c r="A3474" s="69"/>
      <c r="B3474" s="69"/>
      <c r="C3474" s="69"/>
      <c r="D3474" s="69"/>
      <c r="E3474" s="69"/>
    </row>
    <row r="3475" spans="1:8" s="212" customFormat="1">
      <c r="A3475" s="120"/>
      <c r="B3475" s="73"/>
      <c r="C3475" s="73"/>
      <c r="D3475" s="73"/>
      <c r="E3475" s="73"/>
      <c r="F3475" s="73"/>
      <c r="G3475" s="73"/>
      <c r="H3475" s="73"/>
    </row>
    <row r="3476" spans="1:8" s="212" customFormat="1">
      <c r="A3476" s="220"/>
      <c r="B3476" s="141"/>
      <c r="C3476" s="141"/>
      <c r="D3476" s="141"/>
      <c r="E3476" s="141"/>
      <c r="F3476" s="141"/>
      <c r="G3476" s="141"/>
      <c r="H3476" s="73"/>
    </row>
    <row r="3477" spans="1:8" s="212" customFormat="1" ht="16.5">
      <c r="A3477" s="150"/>
      <c r="B3477" s="161"/>
      <c r="C3477" s="148"/>
      <c r="D3477" s="84"/>
      <c r="E3477" s="84"/>
      <c r="F3477" s="84"/>
      <c r="G3477" s="224"/>
      <c r="H3477" s="73"/>
    </row>
    <row r="3478" spans="1:8" s="212" customFormat="1" ht="16.5">
      <c r="A3478" s="150"/>
      <c r="B3478" s="161"/>
      <c r="C3478" s="148"/>
      <c r="D3478" s="84"/>
      <c r="E3478" s="84"/>
      <c r="F3478" s="84"/>
      <c r="G3478" s="224"/>
      <c r="H3478" s="221"/>
    </row>
    <row r="3479" spans="1:8" s="212" customFormat="1">
      <c r="A3479" s="84"/>
      <c r="B3479" s="83"/>
      <c r="C3479" s="84"/>
      <c r="D3479" s="84"/>
      <c r="E3479" s="84"/>
      <c r="G3479" s="213"/>
      <c r="H3479" s="222"/>
    </row>
    <row r="3480" spans="1:8" s="212" customFormat="1">
      <c r="A3480" s="120"/>
      <c r="B3480" s="73"/>
      <c r="C3480" s="73"/>
      <c r="D3480" s="73"/>
      <c r="E3480" s="73"/>
      <c r="G3480" s="73"/>
      <c r="H3480" s="222"/>
    </row>
    <row r="3481" spans="1:8" s="212" customFormat="1">
      <c r="A3481" s="220"/>
      <c r="B3481" s="141"/>
      <c r="C3481" s="141"/>
      <c r="D3481" s="141"/>
      <c r="E3481" s="141"/>
      <c r="F3481" s="141"/>
      <c r="G3481" s="141"/>
      <c r="H3481" s="222"/>
    </row>
    <row r="3482" spans="1:8" s="212" customFormat="1" ht="16.5">
      <c r="A3482" s="150"/>
      <c r="B3482" s="161"/>
      <c r="C3482" s="148"/>
      <c r="D3482" s="84"/>
      <c r="E3482" s="84"/>
      <c r="F3482" s="84"/>
      <c r="G3482" s="224"/>
      <c r="H3482" s="222"/>
    </row>
    <row r="3483" spans="1:8" s="212" customFormat="1" ht="16.5">
      <c r="A3483" s="150"/>
      <c r="B3483" s="161"/>
      <c r="C3483" s="148"/>
      <c r="D3483" s="84"/>
      <c r="E3483" s="84"/>
      <c r="F3483" s="84"/>
      <c r="G3483" s="224"/>
      <c r="H3483" s="222"/>
    </row>
    <row r="3484" spans="1:8" s="212" customFormat="1" ht="16.5">
      <c r="A3484" s="150"/>
      <c r="B3484" s="161"/>
      <c r="C3484" s="148"/>
      <c r="D3484" s="84"/>
      <c r="E3484" s="84"/>
      <c r="F3484" s="84"/>
      <c r="G3484" s="224"/>
      <c r="H3484" s="222"/>
    </row>
    <row r="3485" spans="1:8" s="212" customFormat="1" ht="16.5">
      <c r="A3485" s="150"/>
      <c r="B3485" s="161"/>
      <c r="C3485" s="148"/>
      <c r="D3485" s="84"/>
      <c r="E3485" s="84"/>
      <c r="F3485" s="84"/>
      <c r="G3485" s="224"/>
      <c r="H3485" s="222"/>
    </row>
    <row r="3486" spans="1:8" s="212" customFormat="1" ht="16.5">
      <c r="A3486" s="150"/>
      <c r="B3486" s="161"/>
      <c r="C3486" s="148"/>
      <c r="D3486" s="84"/>
      <c r="E3486" s="84"/>
      <c r="F3486" s="84"/>
      <c r="G3486" s="224"/>
      <c r="H3486" s="221"/>
    </row>
    <row r="3487" spans="1:8" s="212" customFormat="1">
      <c r="A3487" s="91"/>
      <c r="B3487" s="91"/>
      <c r="C3487" s="91"/>
      <c r="D3487" s="91"/>
      <c r="E3487" s="91"/>
      <c r="G3487" s="213"/>
      <c r="H3487" s="222"/>
    </row>
    <row r="3488" spans="1:8" s="212" customFormat="1">
      <c r="A3488" s="120"/>
      <c r="B3488" s="73"/>
      <c r="C3488" s="73"/>
      <c r="D3488" s="73"/>
      <c r="E3488" s="73"/>
      <c r="G3488" s="73"/>
      <c r="H3488" s="222"/>
    </row>
    <row r="3489" spans="1:9" s="212" customFormat="1">
      <c r="A3489" s="220"/>
      <c r="B3489" s="141"/>
      <c r="C3489" s="141"/>
      <c r="D3489" s="141"/>
      <c r="E3489" s="141"/>
      <c r="F3489" s="141"/>
      <c r="G3489" s="141"/>
      <c r="H3489" s="222"/>
    </row>
    <row r="3490" spans="1:9" s="212" customFormat="1">
      <c r="A3490" s="146"/>
      <c r="B3490" s="83"/>
      <c r="C3490" s="148"/>
      <c r="D3490" s="84"/>
      <c r="E3490" s="84"/>
      <c r="F3490" s="84"/>
      <c r="G3490" s="146"/>
      <c r="H3490" s="221"/>
    </row>
    <row r="3491" spans="1:9" s="212" customFormat="1">
      <c r="A3491" s="91"/>
      <c r="B3491" s="91"/>
      <c r="C3491" s="91"/>
      <c r="D3491" s="91"/>
      <c r="E3491" s="91"/>
      <c r="G3491" s="213"/>
      <c r="H3491" s="222"/>
    </row>
    <row r="3492" spans="1:9" s="212" customFormat="1">
      <c r="A3492" s="120"/>
      <c r="B3492" s="73"/>
      <c r="C3492" s="73"/>
      <c r="D3492" s="73"/>
      <c r="E3492" s="73"/>
      <c r="G3492" s="73"/>
      <c r="H3492" s="222"/>
    </row>
    <row r="3493" spans="1:9" s="212" customFormat="1">
      <c r="A3493" s="220"/>
      <c r="B3493" s="141"/>
      <c r="C3493" s="141"/>
      <c r="D3493" s="141"/>
      <c r="E3493" s="141"/>
      <c r="F3493" s="141"/>
      <c r="G3493" s="141"/>
      <c r="H3493" s="222"/>
    </row>
    <row r="3494" spans="1:9" s="212" customFormat="1">
      <c r="A3494" s="142"/>
      <c r="B3494" s="143"/>
      <c r="C3494" s="143"/>
      <c r="D3494" s="143"/>
      <c r="E3494" s="143"/>
      <c r="F3494" s="84"/>
      <c r="G3494" s="146"/>
      <c r="H3494" s="221"/>
    </row>
    <row r="3495" spans="1:9" s="212" customFormat="1">
      <c r="A3495" s="123"/>
      <c r="B3495" s="95"/>
      <c r="C3495" s="95"/>
      <c r="D3495" s="95"/>
      <c r="E3495" s="95"/>
      <c r="G3495" s="213"/>
      <c r="H3495" s="73"/>
    </row>
    <row r="3496" spans="1:9" s="212" customFormat="1">
      <c r="A3496" s="123"/>
      <c r="B3496" s="95"/>
      <c r="C3496" s="95"/>
      <c r="D3496" s="95"/>
      <c r="E3496" s="95"/>
      <c r="G3496" s="73"/>
      <c r="H3496" s="225"/>
    </row>
    <row r="3497" spans="1:9" s="212" customFormat="1">
      <c r="B3497" s="97"/>
      <c r="C3497" s="98"/>
      <c r="D3497" s="98"/>
      <c r="E3497" s="98"/>
      <c r="G3497" s="220"/>
    </row>
    <row r="3498" spans="1:9" s="212" customFormat="1">
      <c r="B3498" s="97"/>
      <c r="C3498" s="98"/>
      <c r="D3498" s="98"/>
      <c r="E3498" s="98"/>
      <c r="F3498" s="220"/>
      <c r="G3498" s="225"/>
      <c r="H3498" s="226"/>
    </row>
    <row r="3499" spans="1:9" s="212" customFormat="1">
      <c r="A3499" s="633"/>
      <c r="B3499" s="633"/>
      <c r="C3499" s="633"/>
      <c r="D3499" s="633"/>
      <c r="E3499" s="633"/>
      <c r="F3499" s="633"/>
      <c r="G3499" s="633"/>
    </row>
    <row r="3500" spans="1:9" s="212" customFormat="1">
      <c r="H3500" s="227"/>
      <c r="I3500" s="228"/>
    </row>
    <row r="3501" spans="1:9" s="212" customFormat="1">
      <c r="A3501" s="658"/>
      <c r="B3501" s="227"/>
      <c r="C3501" s="227"/>
      <c r="D3501" s="227"/>
      <c r="E3501" s="227"/>
      <c r="F3501" s="227"/>
      <c r="G3501" s="227"/>
      <c r="H3501" s="227"/>
      <c r="I3501" s="229"/>
    </row>
    <row r="3502" spans="1:9" s="212" customFormat="1">
      <c r="A3502" s="658"/>
      <c r="B3502" s="227"/>
      <c r="C3502" s="227"/>
      <c r="D3502" s="227"/>
      <c r="E3502" s="227"/>
      <c r="F3502" s="227"/>
      <c r="G3502" s="227"/>
    </row>
    <row r="3503" spans="1:9" s="212" customFormat="1">
      <c r="A3503" s="69"/>
      <c r="B3503" s="69"/>
      <c r="C3503" s="69"/>
      <c r="D3503" s="69"/>
      <c r="E3503" s="69"/>
    </row>
    <row r="3504" spans="1:9" s="212" customFormat="1">
      <c r="A3504" s="120"/>
      <c r="B3504" s="73"/>
      <c r="C3504" s="73"/>
      <c r="D3504" s="73"/>
      <c r="E3504" s="73"/>
      <c r="F3504" s="73"/>
      <c r="G3504" s="73"/>
      <c r="H3504" s="73"/>
    </row>
    <row r="3505" spans="1:8" s="212" customFormat="1">
      <c r="A3505" s="220"/>
      <c r="B3505" s="141"/>
      <c r="C3505" s="141"/>
      <c r="D3505" s="141"/>
      <c r="E3505" s="141"/>
      <c r="F3505" s="141"/>
      <c r="G3505" s="141"/>
      <c r="H3505" s="73"/>
    </row>
    <row r="3506" spans="1:8" s="212" customFormat="1" ht="16.5">
      <c r="A3506" s="150"/>
      <c r="B3506" s="161"/>
      <c r="C3506" s="148"/>
      <c r="D3506" s="84"/>
      <c r="E3506" s="84"/>
      <c r="F3506" s="84"/>
      <c r="G3506" s="224"/>
      <c r="H3506" s="73"/>
    </row>
    <row r="3507" spans="1:8" s="212" customFormat="1" ht="16.5">
      <c r="A3507" s="150"/>
      <c r="B3507" s="161"/>
      <c r="C3507" s="148"/>
      <c r="D3507" s="84"/>
      <c r="E3507" s="84"/>
      <c r="F3507" s="84"/>
      <c r="G3507" s="224"/>
      <c r="H3507" s="221"/>
    </row>
    <row r="3508" spans="1:8" s="212" customFormat="1">
      <c r="A3508" s="84"/>
      <c r="B3508" s="83"/>
      <c r="C3508" s="84"/>
      <c r="D3508" s="84"/>
      <c r="E3508" s="84"/>
      <c r="G3508" s="213"/>
      <c r="H3508" s="222"/>
    </row>
    <row r="3509" spans="1:8" s="212" customFormat="1">
      <c r="A3509" s="120"/>
      <c r="B3509" s="73"/>
      <c r="C3509" s="73"/>
      <c r="D3509" s="73"/>
      <c r="E3509" s="73"/>
      <c r="G3509" s="73"/>
      <c r="H3509" s="222"/>
    </row>
    <row r="3510" spans="1:8" s="212" customFormat="1">
      <c r="A3510" s="220"/>
      <c r="B3510" s="141"/>
      <c r="C3510" s="141"/>
      <c r="D3510" s="141"/>
      <c r="E3510" s="141"/>
      <c r="F3510" s="141"/>
      <c r="G3510" s="141"/>
      <c r="H3510" s="222"/>
    </row>
    <row r="3511" spans="1:8" s="212" customFormat="1" ht="16.5">
      <c r="A3511" s="150"/>
      <c r="B3511" s="161"/>
      <c r="C3511" s="148"/>
      <c r="D3511" s="84"/>
      <c r="E3511" s="84"/>
      <c r="F3511" s="84"/>
      <c r="G3511" s="224"/>
      <c r="H3511" s="222"/>
    </row>
    <row r="3512" spans="1:8" s="212" customFormat="1" ht="16.5">
      <c r="A3512" s="150"/>
      <c r="B3512" s="161"/>
      <c r="C3512" s="148"/>
      <c r="D3512" s="84"/>
      <c r="E3512" s="84"/>
      <c r="F3512" s="84"/>
      <c r="G3512" s="224"/>
      <c r="H3512" s="222"/>
    </row>
    <row r="3513" spans="1:8" s="212" customFormat="1" ht="16.5">
      <c r="A3513" s="150"/>
      <c r="B3513" s="161"/>
      <c r="C3513" s="148"/>
      <c r="D3513" s="84"/>
      <c r="E3513" s="84"/>
      <c r="F3513" s="84"/>
      <c r="G3513" s="224"/>
      <c r="H3513" s="222"/>
    </row>
    <row r="3514" spans="1:8" s="212" customFormat="1" ht="16.5">
      <c r="A3514" s="150"/>
      <c r="B3514" s="161"/>
      <c r="C3514" s="148"/>
      <c r="D3514" s="84"/>
      <c r="E3514" s="84"/>
      <c r="F3514" s="84"/>
      <c r="G3514" s="224"/>
      <c r="H3514" s="222"/>
    </row>
    <row r="3515" spans="1:8" s="212" customFormat="1" ht="16.5">
      <c r="A3515" s="150"/>
      <c r="B3515" s="161"/>
      <c r="C3515" s="148"/>
      <c r="D3515" s="84"/>
      <c r="E3515" s="84"/>
      <c r="F3515" s="84"/>
      <c r="G3515" s="224"/>
      <c r="H3515" s="221"/>
    </row>
    <row r="3516" spans="1:8" s="212" customFormat="1">
      <c r="A3516" s="91"/>
      <c r="B3516" s="91"/>
      <c r="C3516" s="91"/>
      <c r="D3516" s="91"/>
      <c r="E3516" s="91"/>
      <c r="G3516" s="213"/>
      <c r="H3516" s="222"/>
    </row>
    <row r="3517" spans="1:8" s="212" customFormat="1">
      <c r="A3517" s="120"/>
      <c r="B3517" s="73"/>
      <c r="C3517" s="73"/>
      <c r="D3517" s="73"/>
      <c r="E3517" s="73"/>
      <c r="G3517" s="73"/>
      <c r="H3517" s="222"/>
    </row>
    <row r="3518" spans="1:8" s="212" customFormat="1">
      <c r="A3518" s="220"/>
      <c r="B3518" s="141"/>
      <c r="C3518" s="141"/>
      <c r="D3518" s="141"/>
      <c r="E3518" s="141"/>
      <c r="F3518" s="141"/>
      <c r="G3518" s="141"/>
      <c r="H3518" s="222"/>
    </row>
    <row r="3519" spans="1:8" s="212" customFormat="1">
      <c r="A3519" s="146"/>
      <c r="B3519" s="83"/>
      <c r="C3519" s="148"/>
      <c r="D3519" s="84"/>
      <c r="E3519" s="84"/>
      <c r="F3519" s="84"/>
      <c r="G3519" s="146"/>
      <c r="H3519" s="222"/>
    </row>
    <row r="3520" spans="1:8" s="212" customFormat="1">
      <c r="A3520" s="146"/>
      <c r="B3520" s="83"/>
      <c r="C3520" s="148"/>
      <c r="D3520" s="84"/>
      <c r="E3520" s="84"/>
      <c r="F3520" s="84"/>
      <c r="G3520" s="146"/>
      <c r="H3520" s="221"/>
    </row>
    <row r="3521" spans="1:9" s="212" customFormat="1">
      <c r="A3521" s="91"/>
      <c r="B3521" s="91"/>
      <c r="C3521" s="91"/>
      <c r="D3521" s="91"/>
      <c r="E3521" s="91"/>
      <c r="G3521" s="213"/>
      <c r="H3521" s="222"/>
    </row>
    <row r="3522" spans="1:9" s="212" customFormat="1">
      <c r="A3522" s="120"/>
      <c r="B3522" s="73"/>
      <c r="C3522" s="73"/>
      <c r="D3522" s="73"/>
      <c r="E3522" s="73"/>
      <c r="G3522" s="73"/>
      <c r="H3522" s="222"/>
    </row>
    <row r="3523" spans="1:9" s="212" customFormat="1">
      <c r="A3523" s="220"/>
      <c r="B3523" s="141"/>
      <c r="C3523" s="141"/>
      <c r="D3523" s="141"/>
      <c r="E3523" s="141"/>
      <c r="F3523" s="141"/>
      <c r="G3523" s="141"/>
      <c r="H3523" s="222"/>
    </row>
    <row r="3524" spans="1:9" s="212" customFormat="1">
      <c r="A3524" s="142"/>
      <c r="B3524" s="143"/>
      <c r="C3524" s="143"/>
      <c r="D3524" s="143"/>
      <c r="E3524" s="143"/>
      <c r="F3524" s="84"/>
      <c r="G3524" s="146"/>
      <c r="H3524" s="221"/>
    </row>
    <row r="3525" spans="1:9" s="212" customFormat="1">
      <c r="A3525" s="123"/>
      <c r="B3525" s="95"/>
      <c r="C3525" s="95"/>
      <c r="D3525" s="95"/>
      <c r="E3525" s="95"/>
      <c r="G3525" s="213"/>
      <c r="H3525" s="73"/>
    </row>
    <row r="3526" spans="1:9" s="212" customFormat="1">
      <c r="A3526" s="123"/>
      <c r="B3526" s="95"/>
      <c r="C3526" s="95"/>
      <c r="D3526" s="95"/>
      <c r="E3526" s="95"/>
      <c r="G3526" s="73"/>
      <c r="H3526" s="225"/>
    </row>
    <row r="3527" spans="1:9" s="212" customFormat="1">
      <c r="B3527" s="97"/>
      <c r="C3527" s="98"/>
      <c r="D3527" s="98"/>
      <c r="E3527" s="98"/>
      <c r="G3527" s="220"/>
    </row>
    <row r="3528" spans="1:9" s="212" customFormat="1">
      <c r="B3528" s="97"/>
      <c r="C3528" s="98"/>
      <c r="D3528" s="98"/>
      <c r="E3528" s="98"/>
      <c r="F3528" s="220"/>
      <c r="G3528" s="225"/>
      <c r="H3528" s="226"/>
    </row>
    <row r="3529" spans="1:9" s="212" customFormat="1">
      <c r="A3529" s="633"/>
      <c r="B3529" s="633"/>
      <c r="C3529" s="633"/>
      <c r="D3529" s="633"/>
      <c r="E3529" s="633"/>
      <c r="F3529" s="633"/>
      <c r="G3529" s="633"/>
    </row>
    <row r="3530" spans="1:9" s="212" customFormat="1">
      <c r="H3530" s="227"/>
      <c r="I3530" s="228"/>
    </row>
    <row r="3531" spans="1:9" s="212" customFormat="1">
      <c r="A3531" s="658"/>
      <c r="B3531" s="227"/>
      <c r="C3531" s="227"/>
      <c r="D3531" s="227"/>
      <c r="E3531" s="227"/>
      <c r="F3531" s="227"/>
      <c r="G3531" s="227"/>
      <c r="H3531" s="227"/>
      <c r="I3531" s="229"/>
    </row>
    <row r="3532" spans="1:9" s="212" customFormat="1">
      <c r="A3532" s="658"/>
      <c r="B3532" s="227"/>
      <c r="C3532" s="227"/>
      <c r="D3532" s="227"/>
      <c r="E3532" s="227"/>
      <c r="F3532" s="227"/>
      <c r="G3532" s="227"/>
    </row>
    <row r="3533" spans="1:9" s="212" customFormat="1">
      <c r="A3533" s="69"/>
      <c r="B3533" s="69"/>
      <c r="C3533" s="69"/>
      <c r="D3533" s="69"/>
      <c r="E3533" s="69"/>
    </row>
    <row r="3534" spans="1:9" s="212" customFormat="1">
      <c r="A3534" s="120"/>
      <c r="B3534" s="73"/>
      <c r="C3534" s="73"/>
      <c r="D3534" s="73"/>
      <c r="E3534" s="73"/>
      <c r="F3534" s="73"/>
      <c r="G3534" s="73"/>
      <c r="H3534" s="73"/>
    </row>
    <row r="3535" spans="1:9" s="212" customFormat="1">
      <c r="A3535" s="220"/>
      <c r="B3535" s="141"/>
      <c r="C3535" s="141"/>
      <c r="D3535" s="141"/>
      <c r="E3535" s="141"/>
      <c r="F3535" s="141"/>
      <c r="G3535" s="141"/>
      <c r="H3535" s="73"/>
    </row>
    <row r="3536" spans="1:9" s="212" customFormat="1" ht="16.5">
      <c r="A3536" s="150"/>
      <c r="B3536" s="161"/>
      <c r="C3536" s="148"/>
      <c r="D3536" s="84"/>
      <c r="E3536" s="84"/>
      <c r="F3536" s="84"/>
      <c r="G3536" s="224"/>
      <c r="H3536" s="221"/>
    </row>
    <row r="3537" spans="1:8" s="212" customFormat="1">
      <c r="A3537" s="84"/>
      <c r="B3537" s="83"/>
      <c r="C3537" s="84"/>
      <c r="D3537" s="84"/>
      <c r="E3537" s="84"/>
      <c r="G3537" s="213"/>
      <c r="H3537" s="222"/>
    </row>
    <row r="3538" spans="1:8" s="212" customFormat="1">
      <c r="A3538" s="120"/>
      <c r="B3538" s="73"/>
      <c r="C3538" s="73"/>
      <c r="D3538" s="73"/>
      <c r="E3538" s="73"/>
      <c r="G3538" s="73"/>
      <c r="H3538" s="222"/>
    </row>
    <row r="3539" spans="1:8" s="212" customFormat="1">
      <c r="A3539" s="220"/>
      <c r="B3539" s="141"/>
      <c r="C3539" s="141"/>
      <c r="D3539" s="141"/>
      <c r="E3539" s="141"/>
      <c r="F3539" s="141"/>
      <c r="G3539" s="141"/>
      <c r="H3539" s="222"/>
    </row>
    <row r="3540" spans="1:8" s="212" customFormat="1">
      <c r="A3540" s="146"/>
      <c r="B3540" s="83"/>
      <c r="C3540" s="148"/>
      <c r="D3540" s="84"/>
      <c r="E3540" s="84"/>
      <c r="F3540" s="84"/>
      <c r="G3540" s="146"/>
      <c r="H3540" s="222"/>
    </row>
    <row r="3541" spans="1:8" s="212" customFormat="1">
      <c r="A3541" s="146"/>
      <c r="B3541" s="83"/>
      <c r="C3541" s="148"/>
      <c r="D3541" s="84"/>
      <c r="E3541" s="84"/>
      <c r="F3541" s="84"/>
      <c r="G3541" s="146"/>
      <c r="H3541" s="222"/>
    </row>
    <row r="3542" spans="1:8" s="212" customFormat="1">
      <c r="A3542" s="146"/>
      <c r="B3542" s="83"/>
      <c r="C3542" s="148"/>
      <c r="D3542" s="84"/>
      <c r="E3542" s="84"/>
      <c r="F3542" s="84"/>
      <c r="G3542" s="146"/>
      <c r="H3542" s="222"/>
    </row>
    <row r="3543" spans="1:8" s="212" customFormat="1">
      <c r="A3543" s="146"/>
      <c r="B3543" s="83"/>
      <c r="C3543" s="148"/>
      <c r="D3543" s="84"/>
      <c r="E3543" s="84"/>
      <c r="F3543" s="84"/>
      <c r="G3543" s="146"/>
      <c r="H3543" s="222"/>
    </row>
    <row r="3544" spans="1:8" s="212" customFormat="1">
      <c r="A3544" s="146"/>
      <c r="B3544" s="83"/>
      <c r="C3544" s="148"/>
      <c r="D3544" s="84"/>
      <c r="E3544" s="84"/>
      <c r="F3544" s="84"/>
      <c r="G3544" s="146"/>
      <c r="H3544" s="222"/>
    </row>
    <row r="3545" spans="1:8" s="212" customFormat="1">
      <c r="A3545" s="146"/>
      <c r="B3545" s="83"/>
      <c r="C3545" s="148"/>
      <c r="D3545" s="84"/>
      <c r="E3545" s="84"/>
      <c r="F3545" s="84"/>
      <c r="G3545" s="146"/>
      <c r="H3545" s="221"/>
    </row>
    <row r="3546" spans="1:8" s="212" customFormat="1">
      <c r="A3546" s="91"/>
      <c r="B3546" s="91"/>
      <c r="C3546" s="91"/>
      <c r="D3546" s="91"/>
      <c r="E3546" s="91"/>
      <c r="G3546" s="213"/>
      <c r="H3546" s="222"/>
    </row>
    <row r="3547" spans="1:8" s="212" customFormat="1">
      <c r="A3547" s="120"/>
      <c r="B3547" s="73"/>
      <c r="C3547" s="73"/>
      <c r="D3547" s="73"/>
      <c r="E3547" s="73"/>
      <c r="G3547" s="73"/>
      <c r="H3547" s="222"/>
    </row>
    <row r="3548" spans="1:8" s="212" customFormat="1">
      <c r="A3548" s="220"/>
      <c r="B3548" s="141"/>
      <c r="C3548" s="141"/>
      <c r="D3548" s="141"/>
      <c r="E3548" s="141"/>
      <c r="F3548" s="141"/>
      <c r="G3548" s="141"/>
      <c r="H3548" s="222"/>
    </row>
    <row r="3549" spans="1:8" s="212" customFormat="1">
      <c r="A3549" s="146"/>
      <c r="B3549" s="83"/>
      <c r="C3549" s="148"/>
      <c r="D3549" s="84"/>
      <c r="E3549" s="84"/>
      <c r="F3549" s="84"/>
      <c r="G3549" s="146"/>
      <c r="H3549" s="221"/>
    </row>
    <row r="3550" spans="1:8" s="212" customFormat="1">
      <c r="A3550" s="91"/>
      <c r="B3550" s="91"/>
      <c r="C3550" s="91"/>
      <c r="D3550" s="91"/>
      <c r="E3550" s="91"/>
      <c r="G3550" s="213"/>
      <c r="H3550" s="222"/>
    </row>
    <row r="3551" spans="1:8" s="212" customFormat="1">
      <c r="A3551" s="120"/>
      <c r="B3551" s="73"/>
      <c r="C3551" s="73"/>
      <c r="D3551" s="73"/>
      <c r="E3551" s="73"/>
      <c r="G3551" s="73"/>
      <c r="H3551" s="222"/>
    </row>
    <row r="3552" spans="1:8" s="212" customFormat="1">
      <c r="A3552" s="220"/>
      <c r="B3552" s="141"/>
      <c r="C3552" s="141"/>
      <c r="D3552" s="141"/>
      <c r="E3552" s="141"/>
      <c r="F3552" s="141"/>
      <c r="G3552" s="141"/>
      <c r="H3552" s="222"/>
    </row>
    <row r="3553" spans="1:9" s="212" customFormat="1">
      <c r="A3553" s="142"/>
      <c r="B3553" s="143"/>
      <c r="C3553" s="143"/>
      <c r="D3553" s="143"/>
      <c r="E3553" s="143"/>
      <c r="F3553" s="84"/>
      <c r="G3553" s="146"/>
      <c r="H3553" s="221"/>
    </row>
    <row r="3554" spans="1:9" s="212" customFormat="1">
      <c r="A3554" s="123"/>
      <c r="B3554" s="95"/>
      <c r="C3554" s="95"/>
      <c r="D3554" s="95"/>
      <c r="E3554" s="95"/>
      <c r="G3554" s="213"/>
      <c r="H3554" s="73"/>
    </row>
    <row r="3555" spans="1:9" s="212" customFormat="1">
      <c r="A3555" s="123"/>
      <c r="B3555" s="95"/>
      <c r="C3555" s="95"/>
      <c r="D3555" s="95"/>
      <c r="E3555" s="95"/>
      <c r="G3555" s="73"/>
      <c r="H3555" s="225"/>
    </row>
    <row r="3556" spans="1:9" s="212" customFormat="1">
      <c r="B3556" s="97"/>
      <c r="C3556" s="98"/>
      <c r="D3556" s="98"/>
      <c r="E3556" s="98"/>
      <c r="G3556" s="220"/>
    </row>
    <row r="3557" spans="1:9" s="212" customFormat="1">
      <c r="B3557" s="97"/>
      <c r="C3557" s="98"/>
      <c r="D3557" s="98"/>
      <c r="E3557" s="98"/>
      <c r="F3557" s="220"/>
      <c r="G3557" s="225"/>
      <c r="H3557" s="226"/>
    </row>
    <row r="3558" spans="1:9" s="212" customFormat="1">
      <c r="A3558" s="633"/>
      <c r="B3558" s="633"/>
      <c r="C3558" s="633"/>
      <c r="D3558" s="633"/>
      <c r="E3558" s="633"/>
      <c r="F3558" s="633"/>
      <c r="G3558" s="633"/>
    </row>
    <row r="3559" spans="1:9" s="212" customFormat="1">
      <c r="H3559" s="227"/>
      <c r="I3559" s="228"/>
    </row>
    <row r="3560" spans="1:9" s="212" customFormat="1">
      <c r="A3560" s="658"/>
      <c r="B3560" s="227"/>
      <c r="C3560" s="227"/>
      <c r="D3560" s="227"/>
      <c r="E3560" s="227"/>
      <c r="F3560" s="227"/>
      <c r="G3560" s="227"/>
      <c r="H3560" s="227"/>
      <c r="I3560" s="229"/>
    </row>
    <row r="3561" spans="1:9" s="212" customFormat="1">
      <c r="A3561" s="658"/>
      <c r="B3561" s="227"/>
      <c r="C3561" s="227"/>
      <c r="D3561" s="227"/>
      <c r="E3561" s="227"/>
      <c r="F3561" s="227"/>
      <c r="G3561" s="227"/>
    </row>
    <row r="3562" spans="1:9" s="212" customFormat="1">
      <c r="A3562" s="69"/>
      <c r="B3562" s="69"/>
      <c r="C3562" s="69"/>
      <c r="D3562" s="69"/>
      <c r="E3562" s="69"/>
    </row>
    <row r="3563" spans="1:9" s="212" customFormat="1">
      <c r="A3563" s="120"/>
      <c r="B3563" s="73"/>
      <c r="C3563" s="73"/>
      <c r="D3563" s="73"/>
      <c r="E3563" s="73"/>
      <c r="F3563" s="73"/>
      <c r="G3563" s="73"/>
      <c r="H3563" s="73"/>
    </row>
    <row r="3564" spans="1:9" s="212" customFormat="1">
      <c r="A3564" s="220"/>
      <c r="B3564" s="141"/>
      <c r="C3564" s="141"/>
      <c r="D3564" s="141"/>
      <c r="E3564" s="141"/>
      <c r="F3564" s="141"/>
      <c r="G3564" s="141"/>
      <c r="H3564" s="73"/>
    </row>
    <row r="3565" spans="1:9" s="212" customFormat="1" ht="16.5">
      <c r="A3565" s="150"/>
      <c r="B3565" s="161"/>
      <c r="C3565" s="148"/>
      <c r="D3565" s="84"/>
      <c r="E3565" s="84"/>
      <c r="F3565" s="84"/>
      <c r="G3565" s="224"/>
      <c r="H3565" s="221"/>
    </row>
    <row r="3566" spans="1:9" s="212" customFormat="1">
      <c r="A3566" s="84"/>
      <c r="B3566" s="83"/>
      <c r="C3566" s="84"/>
      <c r="D3566" s="84"/>
      <c r="E3566" s="84"/>
      <c r="G3566" s="213"/>
      <c r="H3566" s="222"/>
    </row>
    <row r="3567" spans="1:9" s="212" customFormat="1">
      <c r="A3567" s="120"/>
      <c r="B3567" s="73"/>
      <c r="C3567" s="73"/>
      <c r="D3567" s="73"/>
      <c r="E3567" s="73"/>
      <c r="G3567" s="73"/>
      <c r="H3567" s="222"/>
    </row>
    <row r="3568" spans="1:9" s="212" customFormat="1">
      <c r="A3568" s="220"/>
      <c r="B3568" s="141"/>
      <c r="C3568" s="141"/>
      <c r="D3568" s="141"/>
      <c r="E3568" s="141"/>
      <c r="F3568" s="141"/>
      <c r="G3568" s="141"/>
      <c r="H3568" s="222"/>
    </row>
    <row r="3569" spans="1:8" s="212" customFormat="1">
      <c r="A3569" s="146"/>
      <c r="B3569" s="83"/>
      <c r="C3569" s="148"/>
      <c r="D3569" s="84"/>
      <c r="E3569" s="84"/>
      <c r="F3569" s="84"/>
      <c r="G3569" s="146"/>
      <c r="H3569" s="222"/>
    </row>
    <row r="3570" spans="1:8" s="212" customFormat="1">
      <c r="A3570" s="146"/>
      <c r="B3570" s="83"/>
      <c r="C3570" s="148"/>
      <c r="D3570" s="84"/>
      <c r="E3570" s="84"/>
      <c r="F3570" s="84"/>
      <c r="G3570" s="146"/>
      <c r="H3570" s="222"/>
    </row>
    <row r="3571" spans="1:8" s="212" customFormat="1">
      <c r="A3571" s="146"/>
      <c r="B3571" s="83"/>
      <c r="C3571" s="148"/>
      <c r="D3571" s="84"/>
      <c r="E3571" s="84"/>
      <c r="F3571" s="84"/>
      <c r="G3571" s="146"/>
      <c r="H3571" s="221"/>
    </row>
    <row r="3572" spans="1:8" s="212" customFormat="1">
      <c r="A3572" s="91"/>
      <c r="B3572" s="91"/>
      <c r="C3572" s="91"/>
      <c r="D3572" s="91"/>
      <c r="E3572" s="91"/>
      <c r="G3572" s="213"/>
      <c r="H3572" s="222"/>
    </row>
    <row r="3573" spans="1:8" s="212" customFormat="1">
      <c r="A3573" s="120"/>
      <c r="B3573" s="73"/>
      <c r="C3573" s="73"/>
      <c r="D3573" s="73"/>
      <c r="E3573" s="73"/>
      <c r="G3573" s="73"/>
      <c r="H3573" s="222"/>
    </row>
    <row r="3574" spans="1:8" s="212" customFormat="1">
      <c r="A3574" s="220"/>
      <c r="B3574" s="141"/>
      <c r="C3574" s="141"/>
      <c r="D3574" s="141"/>
      <c r="E3574" s="141"/>
      <c r="F3574" s="141"/>
      <c r="G3574" s="141"/>
      <c r="H3574" s="222"/>
    </row>
    <row r="3575" spans="1:8" s="212" customFormat="1">
      <c r="A3575" s="146"/>
      <c r="B3575" s="83"/>
      <c r="C3575" s="148"/>
      <c r="D3575" s="84"/>
      <c r="E3575" s="84"/>
      <c r="F3575" s="84"/>
      <c r="G3575" s="146"/>
      <c r="H3575" s="221"/>
    </row>
    <row r="3576" spans="1:8" s="212" customFormat="1">
      <c r="A3576" s="91"/>
      <c r="B3576" s="91"/>
      <c r="C3576" s="91"/>
      <c r="D3576" s="91"/>
      <c r="E3576" s="91"/>
      <c r="G3576" s="213"/>
      <c r="H3576" s="222"/>
    </row>
    <row r="3577" spans="1:8" s="212" customFormat="1">
      <c r="A3577" s="120"/>
      <c r="B3577" s="73"/>
      <c r="C3577" s="73"/>
      <c r="D3577" s="73"/>
      <c r="E3577" s="73"/>
      <c r="G3577" s="73"/>
      <c r="H3577" s="222"/>
    </row>
    <row r="3578" spans="1:8" s="212" customFormat="1">
      <c r="A3578" s="220"/>
      <c r="B3578" s="141"/>
      <c r="C3578" s="141"/>
      <c r="D3578" s="141"/>
      <c r="E3578" s="141"/>
      <c r="F3578" s="141"/>
      <c r="G3578" s="141"/>
      <c r="H3578" s="222"/>
    </row>
    <row r="3579" spans="1:8" s="212" customFormat="1">
      <c r="A3579" s="142"/>
      <c r="B3579" s="143"/>
      <c r="C3579" s="143"/>
      <c r="D3579" s="143"/>
      <c r="E3579" s="143"/>
      <c r="F3579" s="84"/>
      <c r="G3579" s="146"/>
      <c r="H3579" s="221"/>
    </row>
    <row r="3580" spans="1:8" s="212" customFormat="1">
      <c r="A3580" s="123"/>
      <c r="B3580" s="95"/>
      <c r="C3580" s="95"/>
      <c r="D3580" s="95"/>
      <c r="E3580" s="95"/>
      <c r="G3580" s="213"/>
      <c r="H3580" s="73"/>
    </row>
    <row r="3581" spans="1:8" s="212" customFormat="1">
      <c r="A3581" s="123"/>
      <c r="B3581" s="95"/>
      <c r="C3581" s="95"/>
      <c r="D3581" s="95"/>
      <c r="E3581" s="95"/>
      <c r="G3581" s="73"/>
      <c r="H3581" s="225"/>
    </row>
    <row r="3582" spans="1:8" s="212" customFormat="1">
      <c r="B3582" s="97"/>
      <c r="C3582" s="98"/>
      <c r="D3582" s="98"/>
      <c r="E3582" s="98"/>
      <c r="G3582" s="220"/>
    </row>
    <row r="3583" spans="1:8" s="212" customFormat="1">
      <c r="B3583" s="97"/>
      <c r="C3583" s="98"/>
      <c r="D3583" s="98"/>
      <c r="E3583" s="98"/>
      <c r="F3583" s="220"/>
      <c r="G3583" s="225"/>
      <c r="H3583" s="226"/>
    </row>
    <row r="3584" spans="1:8" s="212" customFormat="1">
      <c r="A3584" s="633"/>
      <c r="B3584" s="633"/>
      <c r="C3584" s="633"/>
      <c r="D3584" s="633"/>
      <c r="E3584" s="633"/>
      <c r="F3584" s="633"/>
      <c r="G3584" s="633"/>
    </row>
    <row r="3585" spans="1:9" s="212" customFormat="1">
      <c r="H3585" s="227"/>
      <c r="I3585" s="228"/>
    </row>
    <row r="3586" spans="1:9" s="212" customFormat="1">
      <c r="A3586" s="658"/>
      <c r="B3586" s="227"/>
      <c r="C3586" s="227"/>
      <c r="D3586" s="227"/>
      <c r="E3586" s="227"/>
      <c r="F3586" s="227"/>
      <c r="G3586" s="227"/>
      <c r="H3586" s="227"/>
      <c r="I3586" s="229"/>
    </row>
    <row r="3587" spans="1:9" s="212" customFormat="1">
      <c r="A3587" s="658"/>
      <c r="B3587" s="227"/>
      <c r="C3587" s="227"/>
      <c r="D3587" s="227"/>
      <c r="E3587" s="227"/>
      <c r="F3587" s="227"/>
      <c r="G3587" s="227"/>
    </row>
    <row r="3588" spans="1:9" s="212" customFormat="1">
      <c r="A3588" s="69"/>
      <c r="B3588" s="69"/>
      <c r="C3588" s="69"/>
      <c r="D3588" s="69"/>
      <c r="E3588" s="69"/>
    </row>
    <row r="3589" spans="1:9" s="212" customFormat="1">
      <c r="A3589" s="120"/>
      <c r="B3589" s="73"/>
      <c r="C3589" s="73"/>
      <c r="D3589" s="73"/>
      <c r="E3589" s="73"/>
      <c r="F3589" s="73"/>
      <c r="G3589" s="73"/>
      <c r="H3589" s="73"/>
    </row>
    <row r="3590" spans="1:9" s="212" customFormat="1">
      <c r="A3590" s="220"/>
      <c r="B3590" s="141"/>
      <c r="C3590" s="141"/>
      <c r="D3590" s="141"/>
      <c r="E3590" s="141"/>
      <c r="F3590" s="141"/>
      <c r="G3590" s="141"/>
      <c r="H3590" s="73"/>
    </row>
    <row r="3591" spans="1:9" s="212" customFormat="1" ht="16.5">
      <c r="A3591" s="150"/>
      <c r="B3591" s="161"/>
      <c r="C3591" s="148"/>
      <c r="D3591" s="84"/>
      <c r="E3591" s="84"/>
      <c r="F3591" s="84"/>
      <c r="G3591" s="224"/>
      <c r="H3591" s="73"/>
    </row>
    <row r="3592" spans="1:9" s="212" customFormat="1" ht="16.5">
      <c r="A3592" s="150"/>
      <c r="B3592" s="161"/>
      <c r="C3592" s="148"/>
      <c r="D3592" s="84"/>
      <c r="E3592" s="84"/>
      <c r="F3592" s="84"/>
      <c r="G3592" s="224"/>
      <c r="H3592" s="221"/>
    </row>
    <row r="3593" spans="1:9" s="212" customFormat="1">
      <c r="A3593" s="84"/>
      <c r="B3593" s="83"/>
      <c r="C3593" s="84"/>
      <c r="D3593" s="84"/>
      <c r="E3593" s="84"/>
      <c r="G3593" s="213"/>
      <c r="H3593" s="222"/>
    </row>
    <row r="3594" spans="1:9" s="212" customFormat="1">
      <c r="A3594" s="120"/>
      <c r="B3594" s="73"/>
      <c r="C3594" s="73"/>
      <c r="D3594" s="73"/>
      <c r="E3594" s="73"/>
      <c r="G3594" s="73"/>
      <c r="H3594" s="222"/>
    </row>
    <row r="3595" spans="1:9" s="212" customFormat="1">
      <c r="A3595" s="220"/>
      <c r="B3595" s="141"/>
      <c r="C3595" s="141"/>
      <c r="D3595" s="141"/>
      <c r="E3595" s="141"/>
      <c r="F3595" s="141"/>
      <c r="G3595" s="141"/>
      <c r="H3595" s="222"/>
    </row>
    <row r="3596" spans="1:9" s="212" customFormat="1">
      <c r="A3596" s="146"/>
      <c r="B3596" s="83"/>
      <c r="C3596" s="148"/>
      <c r="D3596" s="84"/>
      <c r="E3596" s="84"/>
      <c r="F3596" s="84"/>
      <c r="G3596" s="146"/>
      <c r="H3596" s="222"/>
    </row>
    <row r="3597" spans="1:9" s="212" customFormat="1">
      <c r="A3597" s="146"/>
      <c r="B3597" s="83"/>
      <c r="C3597" s="148"/>
      <c r="D3597" s="84"/>
      <c r="E3597" s="84"/>
      <c r="F3597" s="84"/>
      <c r="G3597" s="146"/>
      <c r="H3597" s="222"/>
    </row>
    <row r="3598" spans="1:9" s="212" customFormat="1">
      <c r="A3598" s="146"/>
      <c r="B3598" s="83"/>
      <c r="C3598" s="148"/>
      <c r="D3598" s="84"/>
      <c r="E3598" s="84"/>
      <c r="F3598" s="84"/>
      <c r="G3598" s="146"/>
      <c r="H3598" s="221"/>
    </row>
    <row r="3599" spans="1:9" s="212" customFormat="1">
      <c r="A3599" s="91"/>
      <c r="B3599" s="91"/>
      <c r="C3599" s="91"/>
      <c r="D3599" s="91"/>
      <c r="E3599" s="91"/>
      <c r="G3599" s="213"/>
      <c r="H3599" s="222"/>
    </row>
    <row r="3600" spans="1:9" s="212" customFormat="1">
      <c r="A3600" s="120"/>
      <c r="B3600" s="73"/>
      <c r="C3600" s="73"/>
      <c r="D3600" s="73"/>
      <c r="E3600" s="73"/>
      <c r="G3600" s="73"/>
      <c r="H3600" s="222"/>
    </row>
    <row r="3601" spans="1:9" s="212" customFormat="1">
      <c r="A3601" s="220"/>
      <c r="B3601" s="141"/>
      <c r="C3601" s="141"/>
      <c r="D3601" s="141"/>
      <c r="E3601" s="141"/>
      <c r="F3601" s="141"/>
      <c r="G3601" s="141"/>
      <c r="H3601" s="222"/>
    </row>
    <row r="3602" spans="1:9" s="212" customFormat="1">
      <c r="A3602" s="146"/>
      <c r="B3602" s="83"/>
      <c r="C3602" s="148"/>
      <c r="D3602" s="148"/>
      <c r="E3602" s="84"/>
      <c r="F3602" s="84"/>
      <c r="G3602" s="146"/>
      <c r="H3602" s="221"/>
    </row>
    <row r="3603" spans="1:9" s="212" customFormat="1">
      <c r="A3603" s="91"/>
      <c r="B3603" s="91"/>
      <c r="C3603" s="91"/>
      <c r="D3603" s="91"/>
      <c r="E3603" s="91"/>
      <c r="G3603" s="213"/>
      <c r="H3603" s="222"/>
    </row>
    <row r="3604" spans="1:9" s="212" customFormat="1">
      <c r="A3604" s="120"/>
      <c r="B3604" s="73"/>
      <c r="C3604" s="73"/>
      <c r="D3604" s="73"/>
      <c r="E3604" s="73"/>
      <c r="G3604" s="73"/>
      <c r="H3604" s="222"/>
    </row>
    <row r="3605" spans="1:9" s="212" customFormat="1">
      <c r="A3605" s="220"/>
      <c r="B3605" s="141"/>
      <c r="C3605" s="141"/>
      <c r="D3605" s="141"/>
      <c r="E3605" s="141"/>
      <c r="F3605" s="141"/>
      <c r="G3605" s="141"/>
      <c r="H3605" s="222"/>
    </row>
    <row r="3606" spans="1:9" s="212" customFormat="1">
      <c r="A3606" s="142"/>
      <c r="B3606" s="143"/>
      <c r="C3606" s="143"/>
      <c r="D3606" s="143"/>
      <c r="E3606" s="143"/>
      <c r="F3606" s="84"/>
      <c r="G3606" s="146"/>
      <c r="H3606" s="221"/>
    </row>
    <row r="3607" spans="1:9" s="212" customFormat="1">
      <c r="A3607" s="123"/>
      <c r="B3607" s="95"/>
      <c r="C3607" s="95"/>
      <c r="D3607" s="95"/>
      <c r="E3607" s="95"/>
      <c r="G3607" s="213"/>
      <c r="H3607" s="73"/>
    </row>
    <row r="3608" spans="1:9" s="212" customFormat="1">
      <c r="A3608" s="123"/>
      <c r="B3608" s="95"/>
      <c r="C3608" s="95"/>
      <c r="D3608" s="95"/>
      <c r="E3608" s="95"/>
      <c r="G3608" s="73"/>
      <c r="H3608" s="225"/>
    </row>
    <row r="3609" spans="1:9" s="212" customFormat="1">
      <c r="B3609" s="97"/>
      <c r="C3609" s="98"/>
      <c r="D3609" s="98"/>
      <c r="E3609" s="98"/>
      <c r="G3609" s="220"/>
    </row>
    <row r="3610" spans="1:9" s="212" customFormat="1">
      <c r="B3610" s="97"/>
      <c r="C3610" s="98"/>
      <c r="D3610" s="98"/>
      <c r="E3610" s="98"/>
      <c r="F3610" s="220"/>
      <c r="G3610" s="225"/>
      <c r="H3610" s="226"/>
    </row>
    <row r="3611" spans="1:9" s="212" customFormat="1">
      <c r="A3611" s="633"/>
      <c r="B3611" s="633"/>
      <c r="C3611" s="633"/>
      <c r="D3611" s="633"/>
      <c r="E3611" s="633"/>
      <c r="F3611" s="633"/>
      <c r="G3611" s="633"/>
    </row>
    <row r="3612" spans="1:9" s="212" customFormat="1">
      <c r="H3612" s="227"/>
      <c r="I3612" s="228"/>
    </row>
    <row r="3613" spans="1:9" s="212" customFormat="1">
      <c r="A3613" s="658"/>
      <c r="B3613" s="227"/>
      <c r="C3613" s="227"/>
      <c r="D3613" s="227"/>
      <c r="E3613" s="227"/>
      <c r="F3613" s="227"/>
      <c r="G3613" s="227"/>
      <c r="H3613" s="227"/>
      <c r="I3613" s="229"/>
    </row>
    <row r="3614" spans="1:9" s="212" customFormat="1">
      <c r="A3614" s="658"/>
      <c r="B3614" s="227"/>
      <c r="C3614" s="227"/>
      <c r="D3614" s="227"/>
      <c r="E3614" s="227"/>
      <c r="F3614" s="227"/>
      <c r="G3614" s="227"/>
    </row>
    <row r="3615" spans="1:9" s="212" customFormat="1">
      <c r="A3615" s="69"/>
      <c r="B3615" s="69"/>
      <c r="C3615" s="69"/>
      <c r="D3615" s="69"/>
      <c r="E3615" s="69"/>
    </row>
    <row r="3616" spans="1:9" s="212" customFormat="1">
      <c r="A3616" s="120"/>
      <c r="B3616" s="73"/>
      <c r="C3616" s="73"/>
      <c r="D3616" s="73"/>
      <c r="E3616" s="73"/>
      <c r="F3616" s="73"/>
      <c r="G3616" s="73"/>
      <c r="H3616" s="73"/>
    </row>
    <row r="3617" spans="1:8" s="212" customFormat="1">
      <c r="A3617" s="220"/>
      <c r="B3617" s="141"/>
      <c r="C3617" s="141"/>
      <c r="D3617" s="141"/>
      <c r="E3617" s="141"/>
      <c r="F3617" s="141"/>
      <c r="G3617" s="141"/>
      <c r="H3617" s="73"/>
    </row>
    <row r="3618" spans="1:8" s="212" customFormat="1" ht="16.5">
      <c r="A3618" s="150"/>
      <c r="B3618" s="161"/>
      <c r="C3618" s="148"/>
      <c r="D3618" s="84"/>
      <c r="E3618" s="84"/>
      <c r="F3618" s="84"/>
      <c r="G3618" s="224"/>
      <c r="H3618" s="73"/>
    </row>
    <row r="3619" spans="1:8" s="212" customFormat="1" ht="16.5">
      <c r="A3619" s="150"/>
      <c r="B3619" s="161"/>
      <c r="C3619" s="148"/>
      <c r="D3619" s="84"/>
      <c r="E3619" s="84"/>
      <c r="F3619" s="84"/>
      <c r="G3619" s="224"/>
      <c r="H3619" s="221"/>
    </row>
    <row r="3620" spans="1:8" s="212" customFormat="1">
      <c r="A3620" s="84"/>
      <c r="B3620" s="83"/>
      <c r="C3620" s="84"/>
      <c r="D3620" s="84"/>
      <c r="E3620" s="84"/>
      <c r="G3620" s="213"/>
      <c r="H3620" s="222"/>
    </row>
    <row r="3621" spans="1:8" s="212" customFormat="1">
      <c r="A3621" s="120"/>
      <c r="B3621" s="73"/>
      <c r="C3621" s="73"/>
      <c r="D3621" s="73"/>
      <c r="E3621" s="73"/>
      <c r="G3621" s="73"/>
      <c r="H3621" s="222"/>
    </row>
    <row r="3622" spans="1:8" s="212" customFormat="1">
      <c r="A3622" s="220"/>
      <c r="B3622" s="141"/>
      <c r="C3622" s="141"/>
      <c r="D3622" s="141"/>
      <c r="E3622" s="141"/>
      <c r="F3622" s="141"/>
      <c r="G3622" s="141"/>
      <c r="H3622" s="222"/>
    </row>
    <row r="3623" spans="1:8" s="212" customFormat="1">
      <c r="A3623" s="146"/>
      <c r="B3623" s="83"/>
      <c r="C3623" s="148"/>
      <c r="D3623" s="84"/>
      <c r="E3623" s="84"/>
      <c r="F3623" s="84"/>
      <c r="G3623" s="146"/>
      <c r="H3623" s="222"/>
    </row>
    <row r="3624" spans="1:8" s="212" customFormat="1">
      <c r="A3624" s="146"/>
      <c r="B3624" s="83"/>
      <c r="C3624" s="148"/>
      <c r="D3624" s="84"/>
      <c r="E3624" s="84"/>
      <c r="F3624" s="84"/>
      <c r="G3624" s="146"/>
      <c r="H3624" s="221"/>
    </row>
    <row r="3625" spans="1:8" s="212" customFormat="1">
      <c r="A3625" s="91"/>
      <c r="B3625" s="91"/>
      <c r="C3625" s="91"/>
      <c r="D3625" s="91"/>
      <c r="E3625" s="91"/>
      <c r="G3625" s="213"/>
      <c r="H3625" s="222"/>
    </row>
    <row r="3626" spans="1:8" s="212" customFormat="1">
      <c r="A3626" s="120"/>
      <c r="B3626" s="73"/>
      <c r="C3626" s="73"/>
      <c r="D3626" s="73"/>
      <c r="E3626" s="73"/>
      <c r="G3626" s="73"/>
      <c r="H3626" s="222"/>
    </row>
    <row r="3627" spans="1:8" s="212" customFormat="1">
      <c r="A3627" s="220"/>
      <c r="B3627" s="141"/>
      <c r="C3627" s="141"/>
      <c r="D3627" s="141"/>
      <c r="E3627" s="141"/>
      <c r="F3627" s="141"/>
      <c r="G3627" s="141"/>
      <c r="H3627" s="222"/>
    </row>
    <row r="3628" spans="1:8" s="212" customFormat="1">
      <c r="A3628" s="146"/>
      <c r="B3628" s="83"/>
      <c r="C3628" s="148"/>
      <c r="D3628" s="148"/>
      <c r="E3628" s="84"/>
      <c r="F3628" s="84"/>
      <c r="G3628" s="146"/>
      <c r="H3628" s="221"/>
    </row>
    <row r="3629" spans="1:8" s="212" customFormat="1">
      <c r="A3629" s="91"/>
      <c r="B3629" s="91"/>
      <c r="C3629" s="91"/>
      <c r="D3629" s="91"/>
      <c r="E3629" s="91"/>
      <c r="G3629" s="213"/>
      <c r="H3629" s="222"/>
    </row>
    <row r="3630" spans="1:8" s="212" customFormat="1">
      <c r="A3630" s="120"/>
      <c r="B3630" s="73"/>
      <c r="C3630" s="73"/>
      <c r="D3630" s="73"/>
      <c r="E3630" s="73"/>
      <c r="G3630" s="73"/>
      <c r="H3630" s="222"/>
    </row>
    <row r="3631" spans="1:8" s="212" customFormat="1">
      <c r="A3631" s="220"/>
      <c r="B3631" s="141"/>
      <c r="C3631" s="141"/>
      <c r="D3631" s="141"/>
      <c r="E3631" s="141"/>
      <c r="F3631" s="141"/>
      <c r="G3631" s="141"/>
      <c r="H3631" s="222"/>
    </row>
    <row r="3632" spans="1:8" s="212" customFormat="1">
      <c r="A3632" s="142"/>
      <c r="B3632" s="143"/>
      <c r="C3632" s="143"/>
      <c r="D3632" s="143"/>
      <c r="E3632" s="143"/>
      <c r="F3632" s="84"/>
      <c r="G3632" s="146"/>
      <c r="H3632" s="221"/>
    </row>
    <row r="3633" spans="1:9" s="212" customFormat="1">
      <c r="A3633" s="123"/>
      <c r="B3633" s="95"/>
      <c r="C3633" s="95"/>
      <c r="D3633" s="95"/>
      <c r="E3633" s="95"/>
      <c r="G3633" s="213"/>
      <c r="H3633" s="73"/>
    </row>
    <row r="3634" spans="1:9" s="212" customFormat="1">
      <c r="A3634" s="123"/>
      <c r="B3634" s="95"/>
      <c r="C3634" s="95"/>
      <c r="D3634" s="95"/>
      <c r="E3634" s="95"/>
      <c r="G3634" s="73"/>
      <c r="H3634" s="225"/>
    </row>
    <row r="3635" spans="1:9" s="212" customFormat="1">
      <c r="B3635" s="97"/>
      <c r="C3635" s="98"/>
      <c r="D3635" s="98"/>
      <c r="E3635" s="98"/>
      <c r="G3635" s="220"/>
    </row>
    <row r="3636" spans="1:9" s="212" customFormat="1">
      <c r="B3636" s="97"/>
      <c r="C3636" s="98"/>
      <c r="D3636" s="98"/>
      <c r="E3636" s="98"/>
      <c r="F3636" s="220"/>
      <c r="G3636" s="225"/>
      <c r="H3636" s="226"/>
    </row>
    <row r="3637" spans="1:9" s="212" customFormat="1">
      <c r="A3637" s="633"/>
      <c r="B3637" s="633"/>
      <c r="C3637" s="633"/>
      <c r="D3637" s="633"/>
      <c r="E3637" s="633"/>
      <c r="F3637" s="633"/>
      <c r="G3637" s="633"/>
    </row>
    <row r="3638" spans="1:9" s="212" customFormat="1">
      <c r="H3638" s="227"/>
      <c r="I3638" s="228"/>
    </row>
    <row r="3639" spans="1:9" s="212" customFormat="1">
      <c r="A3639" s="658"/>
      <c r="B3639" s="227"/>
      <c r="C3639" s="227"/>
      <c r="D3639" s="227"/>
      <c r="E3639" s="227"/>
      <c r="F3639" s="227"/>
      <c r="G3639" s="227"/>
      <c r="H3639" s="227"/>
      <c r="I3639" s="229"/>
    </row>
    <row r="3640" spans="1:9" s="212" customFormat="1">
      <c r="A3640" s="658"/>
      <c r="B3640" s="227"/>
      <c r="C3640" s="227"/>
      <c r="D3640" s="227"/>
      <c r="E3640" s="227"/>
      <c r="F3640" s="227"/>
      <c r="G3640" s="227"/>
    </row>
    <row r="3641" spans="1:9" s="212" customFormat="1">
      <c r="A3641" s="69"/>
      <c r="B3641" s="69"/>
      <c r="C3641" s="69"/>
      <c r="D3641" s="69"/>
      <c r="E3641" s="69"/>
    </row>
    <row r="3642" spans="1:9" s="212" customFormat="1">
      <c r="A3642" s="120"/>
      <c r="B3642" s="73"/>
      <c r="C3642" s="73"/>
      <c r="D3642" s="73"/>
      <c r="E3642" s="73"/>
      <c r="F3642" s="73"/>
      <c r="G3642" s="73"/>
      <c r="H3642" s="73"/>
    </row>
    <row r="3643" spans="1:9" s="212" customFormat="1">
      <c r="A3643" s="220"/>
      <c r="B3643" s="141"/>
      <c r="C3643" s="141"/>
      <c r="D3643" s="141"/>
      <c r="E3643" s="141"/>
      <c r="F3643" s="141"/>
      <c r="G3643" s="141"/>
      <c r="H3643" s="73"/>
    </row>
    <row r="3644" spans="1:9" s="212" customFormat="1" ht="16.5">
      <c r="A3644" s="150"/>
      <c r="B3644" s="161"/>
      <c r="C3644" s="148"/>
      <c r="D3644" s="84"/>
      <c r="E3644" s="84"/>
      <c r="F3644" s="84"/>
      <c r="G3644" s="224"/>
      <c r="H3644" s="73"/>
    </row>
    <row r="3645" spans="1:9" s="212" customFormat="1" ht="16.5">
      <c r="A3645" s="150"/>
      <c r="B3645" s="161"/>
      <c r="C3645" s="148"/>
      <c r="D3645" s="84"/>
      <c r="E3645" s="84"/>
      <c r="F3645" s="84"/>
      <c r="G3645" s="224"/>
      <c r="H3645" s="221"/>
    </row>
    <row r="3646" spans="1:9" s="212" customFormat="1">
      <c r="A3646" s="84"/>
      <c r="B3646" s="83"/>
      <c r="C3646" s="84"/>
      <c r="D3646" s="84"/>
      <c r="E3646" s="84"/>
      <c r="G3646" s="213"/>
      <c r="H3646" s="222"/>
    </row>
    <row r="3647" spans="1:9" s="212" customFormat="1">
      <c r="A3647" s="120"/>
      <c r="B3647" s="73"/>
      <c r="C3647" s="73"/>
      <c r="D3647" s="73"/>
      <c r="E3647" s="73"/>
      <c r="G3647" s="73"/>
      <c r="H3647" s="222"/>
    </row>
    <row r="3648" spans="1:9" s="212" customFormat="1">
      <c r="A3648" s="220"/>
      <c r="B3648" s="141"/>
      <c r="C3648" s="141"/>
      <c r="D3648" s="141"/>
      <c r="E3648" s="141"/>
      <c r="F3648" s="141"/>
      <c r="G3648" s="141"/>
      <c r="H3648" s="222"/>
    </row>
    <row r="3649" spans="1:8" s="212" customFormat="1">
      <c r="A3649" s="146"/>
      <c r="B3649" s="83"/>
      <c r="C3649" s="148"/>
      <c r="D3649" s="84"/>
      <c r="E3649" s="84"/>
      <c r="F3649" s="84"/>
      <c r="G3649" s="146"/>
      <c r="H3649" s="222"/>
    </row>
    <row r="3650" spans="1:8" s="212" customFormat="1">
      <c r="A3650" s="146"/>
      <c r="B3650" s="83"/>
      <c r="C3650" s="148"/>
      <c r="D3650" s="84"/>
      <c r="E3650" s="84"/>
      <c r="F3650" s="84"/>
      <c r="G3650" s="146"/>
      <c r="H3650" s="222"/>
    </row>
    <row r="3651" spans="1:8" s="212" customFormat="1">
      <c r="A3651" s="146"/>
      <c r="B3651" s="83"/>
      <c r="C3651" s="148"/>
      <c r="D3651" s="84"/>
      <c r="E3651" s="84"/>
      <c r="F3651" s="84"/>
      <c r="G3651" s="146"/>
      <c r="H3651" s="222"/>
    </row>
    <row r="3652" spans="1:8" s="212" customFormat="1">
      <c r="A3652" s="146"/>
      <c r="B3652" s="83"/>
      <c r="C3652" s="148"/>
      <c r="D3652" s="84"/>
      <c r="E3652" s="84"/>
      <c r="F3652" s="84"/>
      <c r="G3652" s="146"/>
      <c r="H3652" s="221"/>
    </row>
    <row r="3653" spans="1:8" s="212" customFormat="1">
      <c r="A3653" s="91"/>
      <c r="B3653" s="91"/>
      <c r="C3653" s="91"/>
      <c r="D3653" s="91"/>
      <c r="E3653" s="91"/>
      <c r="G3653" s="213"/>
      <c r="H3653" s="222"/>
    </row>
    <row r="3654" spans="1:8" s="212" customFormat="1">
      <c r="A3654" s="120"/>
      <c r="B3654" s="73"/>
      <c r="C3654" s="73"/>
      <c r="D3654" s="73"/>
      <c r="E3654" s="73"/>
      <c r="G3654" s="73"/>
      <c r="H3654" s="222"/>
    </row>
    <row r="3655" spans="1:8" s="212" customFormat="1">
      <c r="A3655" s="220"/>
      <c r="B3655" s="141"/>
      <c r="C3655" s="141"/>
      <c r="D3655" s="141"/>
      <c r="E3655" s="141"/>
      <c r="F3655" s="141"/>
      <c r="G3655" s="141"/>
      <c r="H3655" s="222"/>
    </row>
    <row r="3656" spans="1:8" s="212" customFormat="1">
      <c r="A3656" s="146"/>
      <c r="B3656" s="83"/>
      <c r="C3656" s="148"/>
      <c r="D3656" s="148"/>
      <c r="E3656" s="84"/>
      <c r="F3656" s="84"/>
      <c r="G3656" s="146"/>
      <c r="H3656" s="221"/>
    </row>
    <row r="3657" spans="1:8" s="212" customFormat="1">
      <c r="A3657" s="91"/>
      <c r="B3657" s="91"/>
      <c r="C3657" s="91"/>
      <c r="D3657" s="91"/>
      <c r="E3657" s="91"/>
      <c r="G3657" s="213"/>
      <c r="H3657" s="222"/>
    </row>
    <row r="3658" spans="1:8" s="212" customFormat="1">
      <c r="A3658" s="120"/>
      <c r="B3658" s="73"/>
      <c r="C3658" s="73"/>
      <c r="D3658" s="73"/>
      <c r="E3658" s="73"/>
      <c r="G3658" s="73"/>
      <c r="H3658" s="222"/>
    </row>
    <row r="3659" spans="1:8" s="212" customFormat="1">
      <c r="A3659" s="220"/>
      <c r="B3659" s="141"/>
      <c r="C3659" s="141"/>
      <c r="D3659" s="141"/>
      <c r="E3659" s="141"/>
      <c r="F3659" s="141"/>
      <c r="G3659" s="141"/>
      <c r="H3659" s="222"/>
    </row>
    <row r="3660" spans="1:8" s="212" customFormat="1">
      <c r="A3660" s="142"/>
      <c r="B3660" s="143"/>
      <c r="C3660" s="143"/>
      <c r="D3660" s="143"/>
      <c r="E3660" s="143"/>
      <c r="F3660" s="84"/>
      <c r="G3660" s="146"/>
      <c r="H3660" s="221"/>
    </row>
    <row r="3661" spans="1:8" s="212" customFormat="1">
      <c r="A3661" s="123"/>
      <c r="B3661" s="95"/>
      <c r="C3661" s="95"/>
      <c r="D3661" s="95"/>
      <c r="E3661" s="95"/>
      <c r="G3661" s="213"/>
      <c r="H3661" s="73"/>
    </row>
    <row r="3662" spans="1:8" s="212" customFormat="1">
      <c r="A3662" s="123"/>
      <c r="B3662" s="95"/>
      <c r="C3662" s="95"/>
      <c r="D3662" s="95"/>
      <c r="E3662" s="95"/>
      <c r="G3662" s="73"/>
      <c r="H3662" s="225"/>
    </row>
    <row r="3663" spans="1:8" s="212" customFormat="1">
      <c r="B3663" s="97"/>
      <c r="C3663" s="98"/>
      <c r="D3663" s="98"/>
      <c r="E3663" s="98"/>
      <c r="G3663" s="220"/>
    </row>
    <row r="3664" spans="1:8" s="212" customFormat="1">
      <c r="B3664" s="97"/>
      <c r="C3664" s="98"/>
      <c r="D3664" s="98"/>
      <c r="E3664" s="98"/>
      <c r="F3664" s="220"/>
      <c r="G3664" s="225"/>
      <c r="H3664" s="226"/>
    </row>
    <row r="3665" spans="1:9" s="212" customFormat="1">
      <c r="A3665" s="633"/>
      <c r="B3665" s="633"/>
      <c r="C3665" s="633"/>
      <c r="D3665" s="633"/>
      <c r="E3665" s="633"/>
      <c r="F3665" s="633"/>
      <c r="G3665" s="633"/>
    </row>
    <row r="3666" spans="1:9" s="212" customFormat="1">
      <c r="H3666" s="227"/>
      <c r="I3666" s="228"/>
    </row>
    <row r="3667" spans="1:9" s="212" customFormat="1">
      <c r="A3667" s="658"/>
      <c r="B3667" s="227"/>
      <c r="C3667" s="227"/>
      <c r="D3667" s="227"/>
      <c r="E3667" s="227"/>
      <c r="F3667" s="227"/>
      <c r="G3667" s="227"/>
      <c r="H3667" s="227"/>
      <c r="I3667" s="229"/>
    </row>
    <row r="3668" spans="1:9" s="212" customFormat="1">
      <c r="A3668" s="658"/>
      <c r="B3668" s="227"/>
      <c r="C3668" s="227"/>
      <c r="D3668" s="227"/>
      <c r="E3668" s="227"/>
      <c r="F3668" s="227"/>
      <c r="G3668" s="227"/>
    </row>
    <row r="3669" spans="1:9" s="212" customFormat="1">
      <c r="A3669" s="69"/>
      <c r="B3669" s="69"/>
      <c r="C3669" s="69"/>
      <c r="D3669" s="69"/>
      <c r="E3669" s="69"/>
    </row>
    <row r="3670" spans="1:9" s="212" customFormat="1">
      <c r="A3670" s="120"/>
      <c r="B3670" s="73"/>
      <c r="C3670" s="73"/>
      <c r="D3670" s="73"/>
      <c r="E3670" s="73"/>
      <c r="F3670" s="73"/>
      <c r="G3670" s="73"/>
      <c r="H3670" s="73"/>
    </row>
    <row r="3671" spans="1:9" s="212" customFormat="1">
      <c r="A3671" s="220"/>
      <c r="B3671" s="141"/>
      <c r="C3671" s="141"/>
      <c r="D3671" s="141"/>
      <c r="E3671" s="141"/>
      <c r="F3671" s="141"/>
      <c r="G3671" s="141"/>
      <c r="H3671" s="73"/>
    </row>
    <row r="3672" spans="1:9" s="212" customFormat="1" ht="16.5">
      <c r="A3672" s="150"/>
      <c r="B3672" s="161"/>
      <c r="C3672" s="148"/>
      <c r="D3672" s="84"/>
      <c r="E3672" s="84"/>
      <c r="F3672" s="84"/>
      <c r="G3672" s="224"/>
      <c r="H3672" s="73"/>
    </row>
    <row r="3673" spans="1:9" s="212" customFormat="1" ht="16.5">
      <c r="A3673" s="150"/>
      <c r="B3673" s="161"/>
      <c r="C3673" s="148"/>
      <c r="D3673" s="84"/>
      <c r="E3673" s="84"/>
      <c r="F3673" s="84"/>
      <c r="G3673" s="224"/>
      <c r="H3673" s="73"/>
    </row>
    <row r="3674" spans="1:9" s="212" customFormat="1" ht="16.5">
      <c r="A3674" s="150"/>
      <c r="B3674" s="161"/>
      <c r="C3674" s="148"/>
      <c r="D3674" s="84"/>
      <c r="E3674" s="84"/>
      <c r="F3674" s="84"/>
      <c r="G3674" s="224"/>
      <c r="H3674" s="73"/>
    </row>
    <row r="3675" spans="1:9" s="212" customFormat="1" ht="16.5">
      <c r="A3675" s="150"/>
      <c r="B3675" s="161"/>
      <c r="C3675" s="148"/>
      <c r="D3675" s="84"/>
      <c r="E3675" s="84"/>
      <c r="F3675" s="84"/>
      <c r="G3675" s="224"/>
      <c r="H3675" s="73"/>
    </row>
    <row r="3676" spans="1:9" s="212" customFormat="1" ht="16.5">
      <c r="A3676" s="150"/>
      <c r="B3676" s="161"/>
      <c r="C3676" s="148"/>
      <c r="D3676" s="84"/>
      <c r="E3676" s="84"/>
      <c r="F3676" s="84"/>
      <c r="G3676" s="224"/>
      <c r="H3676" s="221"/>
    </row>
    <row r="3677" spans="1:9" s="212" customFormat="1">
      <c r="A3677" s="84"/>
      <c r="B3677" s="83"/>
      <c r="C3677" s="84"/>
      <c r="D3677" s="84"/>
      <c r="E3677" s="84"/>
      <c r="G3677" s="213"/>
      <c r="H3677" s="222"/>
    </row>
    <row r="3678" spans="1:9" s="212" customFormat="1">
      <c r="A3678" s="120"/>
      <c r="B3678" s="73"/>
      <c r="C3678" s="73"/>
      <c r="D3678" s="73"/>
      <c r="E3678" s="73"/>
      <c r="G3678" s="73"/>
      <c r="H3678" s="222"/>
    </row>
    <row r="3679" spans="1:9" s="212" customFormat="1">
      <c r="A3679" s="220"/>
      <c r="B3679" s="141"/>
      <c r="C3679" s="141"/>
      <c r="D3679" s="141"/>
      <c r="E3679" s="141"/>
      <c r="F3679" s="141"/>
      <c r="G3679" s="141"/>
      <c r="H3679" s="222"/>
    </row>
    <row r="3680" spans="1:9" s="212" customFormat="1">
      <c r="A3680" s="146"/>
      <c r="B3680" s="83"/>
      <c r="C3680" s="148"/>
      <c r="D3680" s="84"/>
      <c r="E3680" s="84"/>
      <c r="F3680" s="84"/>
      <c r="G3680" s="146"/>
      <c r="H3680" s="222"/>
    </row>
    <row r="3681" spans="1:9" s="212" customFormat="1">
      <c r="A3681" s="146"/>
      <c r="B3681" s="83"/>
      <c r="C3681" s="148"/>
      <c r="D3681" s="84"/>
      <c r="E3681" s="84"/>
      <c r="F3681" s="84"/>
      <c r="G3681" s="146"/>
      <c r="H3681" s="222"/>
    </row>
    <row r="3682" spans="1:9" s="212" customFormat="1">
      <c r="A3682" s="146"/>
      <c r="B3682" s="83"/>
      <c r="C3682" s="148"/>
      <c r="D3682" s="84"/>
      <c r="E3682" s="84"/>
      <c r="F3682" s="84"/>
      <c r="G3682" s="150"/>
      <c r="H3682" s="221"/>
    </row>
    <row r="3683" spans="1:9" s="212" customFormat="1">
      <c r="A3683" s="91"/>
      <c r="B3683" s="91"/>
      <c r="C3683" s="91"/>
      <c r="D3683" s="91"/>
      <c r="E3683" s="91"/>
      <c r="G3683" s="213"/>
      <c r="H3683" s="222"/>
    </row>
    <row r="3684" spans="1:9" s="212" customFormat="1">
      <c r="A3684" s="120"/>
      <c r="B3684" s="73"/>
      <c r="C3684" s="73"/>
      <c r="D3684" s="73"/>
      <c r="E3684" s="73"/>
      <c r="G3684" s="73"/>
      <c r="H3684" s="222"/>
    </row>
    <row r="3685" spans="1:9" s="212" customFormat="1">
      <c r="A3685" s="220"/>
      <c r="B3685" s="141"/>
      <c r="C3685" s="141"/>
      <c r="D3685" s="141"/>
      <c r="E3685" s="141"/>
      <c r="F3685" s="141"/>
      <c r="G3685" s="141"/>
      <c r="H3685" s="222"/>
    </row>
    <row r="3686" spans="1:9" s="212" customFormat="1">
      <c r="A3686" s="146"/>
      <c r="B3686" s="83"/>
      <c r="C3686" s="148"/>
      <c r="D3686" s="148"/>
      <c r="E3686" s="84"/>
      <c r="F3686" s="84"/>
      <c r="G3686" s="146"/>
      <c r="H3686" s="221"/>
    </row>
    <row r="3687" spans="1:9" s="212" customFormat="1">
      <c r="A3687" s="91"/>
      <c r="B3687" s="91"/>
      <c r="C3687" s="91"/>
      <c r="D3687" s="91"/>
      <c r="E3687" s="91"/>
      <c r="G3687" s="213"/>
      <c r="H3687" s="222"/>
    </row>
    <row r="3688" spans="1:9" s="212" customFormat="1">
      <c r="A3688" s="120"/>
      <c r="B3688" s="73"/>
      <c r="C3688" s="73"/>
      <c r="D3688" s="73"/>
      <c r="E3688" s="73"/>
      <c r="G3688" s="73"/>
      <c r="H3688" s="222"/>
    </row>
    <row r="3689" spans="1:9" s="212" customFormat="1">
      <c r="A3689" s="220"/>
      <c r="B3689" s="141"/>
      <c r="C3689" s="141"/>
      <c r="D3689" s="141"/>
      <c r="E3689" s="141"/>
      <c r="F3689" s="141"/>
      <c r="G3689" s="141"/>
      <c r="H3689" s="222"/>
    </row>
    <row r="3690" spans="1:9" s="212" customFormat="1">
      <c r="A3690" s="142"/>
      <c r="B3690" s="143"/>
      <c r="C3690" s="143"/>
      <c r="D3690" s="143"/>
      <c r="E3690" s="143"/>
      <c r="F3690" s="84"/>
      <c r="G3690" s="146"/>
      <c r="H3690" s="221"/>
    </row>
    <row r="3691" spans="1:9" s="212" customFormat="1">
      <c r="A3691" s="123"/>
      <c r="B3691" s="95"/>
      <c r="C3691" s="95"/>
      <c r="D3691" s="95"/>
      <c r="E3691" s="95"/>
      <c r="G3691" s="213"/>
      <c r="H3691" s="73"/>
    </row>
    <row r="3692" spans="1:9" s="212" customFormat="1">
      <c r="A3692" s="123"/>
      <c r="B3692" s="95"/>
      <c r="C3692" s="95"/>
      <c r="D3692" s="95"/>
      <c r="E3692" s="95"/>
      <c r="G3692" s="73"/>
      <c r="H3692" s="225"/>
    </row>
    <row r="3693" spans="1:9" s="212" customFormat="1">
      <c r="B3693" s="97"/>
      <c r="C3693" s="98"/>
      <c r="D3693" s="98"/>
      <c r="E3693" s="98"/>
      <c r="G3693" s="220"/>
    </row>
    <row r="3694" spans="1:9" s="212" customFormat="1">
      <c r="B3694" s="97"/>
      <c r="C3694" s="98"/>
      <c r="D3694" s="98"/>
      <c r="E3694" s="98"/>
      <c r="F3694" s="220"/>
      <c r="G3694" s="225"/>
      <c r="H3694" s="226"/>
    </row>
    <row r="3695" spans="1:9" s="212" customFormat="1">
      <c r="A3695" s="633"/>
      <c r="B3695" s="633"/>
      <c r="C3695" s="633"/>
      <c r="D3695" s="633"/>
      <c r="E3695" s="633"/>
      <c r="F3695" s="633"/>
      <c r="G3695" s="633"/>
    </row>
    <row r="3696" spans="1:9" s="212" customFormat="1">
      <c r="H3696" s="227"/>
      <c r="I3696" s="228"/>
    </row>
    <row r="3697" spans="1:9" s="212" customFormat="1">
      <c r="A3697" s="658"/>
      <c r="B3697" s="227"/>
      <c r="C3697" s="227"/>
      <c r="D3697" s="227"/>
      <c r="E3697" s="227"/>
      <c r="F3697" s="227"/>
      <c r="G3697" s="227"/>
      <c r="H3697" s="227"/>
      <c r="I3697" s="229"/>
    </row>
    <row r="3698" spans="1:9" s="212" customFormat="1">
      <c r="A3698" s="658"/>
      <c r="B3698" s="227"/>
      <c r="C3698" s="227"/>
      <c r="D3698" s="227"/>
      <c r="E3698" s="227"/>
      <c r="F3698" s="227"/>
      <c r="G3698" s="227"/>
    </row>
    <row r="3699" spans="1:9" s="212" customFormat="1">
      <c r="A3699" s="69"/>
      <c r="B3699" s="69"/>
      <c r="C3699" s="69"/>
      <c r="D3699" s="69"/>
      <c r="E3699" s="69"/>
    </row>
    <row r="3700" spans="1:9" s="212" customFormat="1">
      <c r="A3700" s="120"/>
      <c r="B3700" s="73"/>
      <c r="C3700" s="73"/>
      <c r="D3700" s="73"/>
      <c r="E3700" s="73"/>
      <c r="F3700" s="73"/>
      <c r="G3700" s="73"/>
      <c r="H3700" s="73"/>
    </row>
    <row r="3701" spans="1:9" s="212" customFormat="1">
      <c r="A3701" s="220"/>
      <c r="B3701" s="141"/>
      <c r="C3701" s="141"/>
      <c r="D3701" s="141"/>
      <c r="E3701" s="141"/>
      <c r="F3701" s="141"/>
      <c r="G3701" s="141"/>
      <c r="H3701" s="73"/>
    </row>
    <row r="3702" spans="1:9" s="212" customFormat="1" ht="16.5">
      <c r="A3702" s="150"/>
      <c r="B3702" s="161"/>
      <c r="C3702" s="148"/>
      <c r="D3702" s="84"/>
      <c r="E3702" s="84"/>
      <c r="F3702" s="84"/>
      <c r="G3702" s="224"/>
      <c r="H3702" s="73"/>
    </row>
    <row r="3703" spans="1:9" s="212" customFormat="1" ht="16.5">
      <c r="A3703" s="150"/>
      <c r="B3703" s="161"/>
      <c r="C3703" s="148"/>
      <c r="D3703" s="84"/>
      <c r="E3703" s="84"/>
      <c r="F3703" s="84"/>
      <c r="G3703" s="224"/>
      <c r="H3703" s="221"/>
    </row>
    <row r="3704" spans="1:9" s="212" customFormat="1">
      <c r="A3704" s="84"/>
      <c r="B3704" s="83"/>
      <c r="C3704" s="84"/>
      <c r="D3704" s="84"/>
      <c r="E3704" s="84"/>
      <c r="G3704" s="213"/>
      <c r="H3704" s="222"/>
    </row>
    <row r="3705" spans="1:9" s="212" customFormat="1">
      <c r="A3705" s="120"/>
      <c r="B3705" s="73"/>
      <c r="C3705" s="73"/>
      <c r="D3705" s="73"/>
      <c r="E3705" s="73"/>
      <c r="G3705" s="73"/>
      <c r="H3705" s="222"/>
    </row>
    <row r="3706" spans="1:9" s="212" customFormat="1">
      <c r="A3706" s="220"/>
      <c r="B3706" s="141"/>
      <c r="C3706" s="141"/>
      <c r="D3706" s="141"/>
      <c r="E3706" s="141"/>
      <c r="F3706" s="141"/>
      <c r="G3706" s="141"/>
      <c r="H3706" s="222"/>
    </row>
    <row r="3707" spans="1:9" s="212" customFormat="1">
      <c r="A3707" s="146"/>
      <c r="B3707" s="83"/>
      <c r="C3707" s="148"/>
      <c r="D3707" s="84"/>
      <c r="E3707" s="84"/>
      <c r="F3707" s="84"/>
      <c r="G3707" s="146"/>
      <c r="H3707" s="222"/>
    </row>
    <row r="3708" spans="1:9" s="212" customFormat="1">
      <c r="A3708" s="146"/>
      <c r="B3708" s="83"/>
      <c r="C3708" s="148"/>
      <c r="D3708" s="84"/>
      <c r="E3708" s="84"/>
      <c r="F3708" s="84"/>
      <c r="G3708" s="232"/>
      <c r="H3708" s="221"/>
    </row>
    <row r="3709" spans="1:9" s="212" customFormat="1">
      <c r="A3709" s="91"/>
      <c r="B3709" s="91"/>
      <c r="C3709" s="91"/>
      <c r="D3709" s="91"/>
      <c r="E3709" s="91"/>
      <c r="G3709" s="213"/>
      <c r="H3709" s="222"/>
    </row>
    <row r="3710" spans="1:9" s="212" customFormat="1">
      <c r="A3710" s="120"/>
      <c r="B3710" s="73"/>
      <c r="C3710" s="73"/>
      <c r="D3710" s="73"/>
      <c r="E3710" s="73"/>
      <c r="G3710" s="73"/>
      <c r="H3710" s="222"/>
    </row>
    <row r="3711" spans="1:9" s="212" customFormat="1">
      <c r="A3711" s="220"/>
      <c r="B3711" s="141"/>
      <c r="C3711" s="141"/>
      <c r="D3711" s="141"/>
      <c r="E3711" s="141"/>
      <c r="F3711" s="141"/>
      <c r="G3711" s="141"/>
      <c r="H3711" s="222"/>
    </row>
    <row r="3712" spans="1:9" s="212" customFormat="1">
      <c r="A3712" s="146"/>
      <c r="B3712" s="83"/>
      <c r="C3712" s="148"/>
      <c r="D3712" s="148"/>
      <c r="E3712" s="84"/>
      <c r="F3712" s="84"/>
      <c r="G3712" s="146"/>
      <c r="H3712" s="221"/>
    </row>
    <row r="3713" spans="1:9" s="212" customFormat="1">
      <c r="A3713" s="91"/>
      <c r="B3713" s="91"/>
      <c r="C3713" s="91"/>
      <c r="D3713" s="91"/>
      <c r="E3713" s="91"/>
      <c r="G3713" s="213"/>
      <c r="H3713" s="222"/>
    </row>
    <row r="3714" spans="1:9" s="212" customFormat="1">
      <c r="A3714" s="120"/>
      <c r="B3714" s="73"/>
      <c r="C3714" s="73"/>
      <c r="D3714" s="73"/>
      <c r="E3714" s="73"/>
      <c r="G3714" s="73"/>
      <c r="H3714" s="222"/>
    </row>
    <row r="3715" spans="1:9" s="212" customFormat="1">
      <c r="A3715" s="220"/>
      <c r="B3715" s="141"/>
      <c r="C3715" s="141"/>
      <c r="D3715" s="141"/>
      <c r="E3715" s="141"/>
      <c r="F3715" s="141"/>
      <c r="G3715" s="141"/>
      <c r="H3715" s="222"/>
    </row>
    <row r="3716" spans="1:9" s="212" customFormat="1">
      <c r="A3716" s="142"/>
      <c r="B3716" s="143"/>
      <c r="C3716" s="143"/>
      <c r="D3716" s="143"/>
      <c r="E3716" s="143"/>
      <c r="F3716" s="84"/>
      <c r="G3716" s="146"/>
      <c r="H3716" s="221"/>
    </row>
    <row r="3717" spans="1:9" s="212" customFormat="1">
      <c r="A3717" s="123"/>
      <c r="B3717" s="95"/>
      <c r="C3717" s="95"/>
      <c r="D3717" s="95"/>
      <c r="E3717" s="95"/>
      <c r="G3717" s="213"/>
      <c r="H3717" s="73"/>
    </row>
    <row r="3718" spans="1:9" s="212" customFormat="1">
      <c r="A3718" s="123"/>
      <c r="B3718" s="95"/>
      <c r="C3718" s="95"/>
      <c r="D3718" s="95"/>
      <c r="E3718" s="95"/>
      <c r="G3718" s="73"/>
      <c r="H3718" s="225"/>
    </row>
    <row r="3719" spans="1:9" s="212" customFormat="1">
      <c r="B3719" s="97"/>
      <c r="C3719" s="98"/>
      <c r="D3719" s="98"/>
      <c r="E3719" s="98"/>
      <c r="G3719" s="220"/>
    </row>
    <row r="3720" spans="1:9" s="212" customFormat="1">
      <c r="B3720" s="97"/>
      <c r="C3720" s="98"/>
      <c r="D3720" s="98"/>
      <c r="E3720" s="98"/>
      <c r="F3720" s="220"/>
      <c r="G3720" s="225"/>
      <c r="H3720" s="226"/>
    </row>
    <row r="3721" spans="1:9" s="212" customFormat="1">
      <c r="A3721" s="633"/>
      <c r="B3721" s="633"/>
      <c r="C3721" s="633"/>
      <c r="D3721" s="633"/>
      <c r="E3721" s="633"/>
      <c r="F3721" s="633"/>
      <c r="G3721" s="633"/>
    </row>
    <row r="3722" spans="1:9" s="212" customFormat="1">
      <c r="H3722" s="227"/>
      <c r="I3722" s="228"/>
    </row>
    <row r="3723" spans="1:9" s="212" customFormat="1">
      <c r="A3723" s="658"/>
      <c r="B3723" s="227"/>
      <c r="C3723" s="227"/>
      <c r="D3723" s="227"/>
      <c r="E3723" s="227"/>
      <c r="F3723" s="227"/>
      <c r="G3723" s="227"/>
      <c r="H3723" s="227"/>
      <c r="I3723" s="229"/>
    </row>
    <row r="3724" spans="1:9" s="212" customFormat="1">
      <c r="A3724" s="658"/>
      <c r="B3724" s="227"/>
      <c r="C3724" s="227"/>
      <c r="D3724" s="227"/>
      <c r="E3724" s="227"/>
      <c r="F3724" s="227"/>
      <c r="G3724" s="227"/>
    </row>
    <row r="3725" spans="1:9" s="212" customFormat="1">
      <c r="A3725" s="69"/>
      <c r="B3725" s="69"/>
      <c r="C3725" s="69"/>
      <c r="D3725" s="69"/>
      <c r="E3725" s="69"/>
    </row>
    <row r="3726" spans="1:9" s="212" customFormat="1">
      <c r="A3726" s="120"/>
      <c r="B3726" s="73"/>
      <c r="C3726" s="73"/>
      <c r="D3726" s="73"/>
      <c r="E3726" s="73"/>
      <c r="F3726" s="73"/>
      <c r="G3726" s="73"/>
      <c r="H3726" s="73"/>
    </row>
    <row r="3727" spans="1:9" s="212" customFormat="1">
      <c r="A3727" s="220"/>
      <c r="B3727" s="141"/>
      <c r="C3727" s="141"/>
      <c r="D3727" s="141"/>
      <c r="E3727" s="141"/>
      <c r="F3727" s="141"/>
      <c r="G3727" s="141"/>
      <c r="H3727" s="73"/>
    </row>
    <row r="3728" spans="1:9" s="212" customFormat="1" ht="16.5">
      <c r="A3728" s="150"/>
      <c r="B3728" s="161"/>
      <c r="C3728" s="148"/>
      <c r="D3728" s="84"/>
      <c r="E3728" s="84"/>
      <c r="F3728" s="84"/>
      <c r="G3728" s="224"/>
      <c r="H3728" s="73"/>
    </row>
    <row r="3729" spans="1:8" s="212" customFormat="1" ht="16.5">
      <c r="A3729" s="150"/>
      <c r="B3729" s="161"/>
      <c r="C3729" s="148"/>
      <c r="D3729" s="84"/>
      <c r="E3729" s="84"/>
      <c r="F3729" s="84"/>
      <c r="G3729" s="224"/>
      <c r="H3729" s="73"/>
    </row>
    <row r="3730" spans="1:8" s="212" customFormat="1" ht="16.5">
      <c r="A3730" s="150"/>
      <c r="B3730" s="161"/>
      <c r="C3730" s="148"/>
      <c r="D3730" s="84"/>
      <c r="E3730" s="84"/>
      <c r="F3730" s="84"/>
      <c r="G3730" s="224"/>
      <c r="H3730" s="73"/>
    </row>
    <row r="3731" spans="1:8" s="212" customFormat="1" ht="16.5">
      <c r="A3731" s="150"/>
      <c r="B3731" s="161"/>
      <c r="C3731" s="148"/>
      <c r="D3731" s="84"/>
      <c r="E3731" s="84"/>
      <c r="F3731" s="84"/>
      <c r="G3731" s="224"/>
      <c r="H3731" s="73"/>
    </row>
    <row r="3732" spans="1:8" s="212" customFormat="1" ht="16.5">
      <c r="A3732" s="150"/>
      <c r="B3732" s="161"/>
      <c r="C3732" s="148"/>
      <c r="D3732" s="84"/>
      <c r="E3732" s="84"/>
      <c r="F3732" s="84"/>
      <c r="G3732" s="224"/>
      <c r="H3732" s="221"/>
    </row>
    <row r="3733" spans="1:8" s="212" customFormat="1">
      <c r="A3733" s="84"/>
      <c r="B3733" s="83"/>
      <c r="C3733" s="84"/>
      <c r="D3733" s="84"/>
      <c r="E3733" s="84"/>
      <c r="G3733" s="213"/>
      <c r="H3733" s="222"/>
    </row>
    <row r="3734" spans="1:8" s="212" customFormat="1">
      <c r="A3734" s="120"/>
      <c r="B3734" s="73"/>
      <c r="C3734" s="73"/>
      <c r="D3734" s="73"/>
      <c r="E3734" s="73"/>
      <c r="G3734" s="73"/>
      <c r="H3734" s="222"/>
    </row>
    <row r="3735" spans="1:8" s="212" customFormat="1">
      <c r="A3735" s="220"/>
      <c r="B3735" s="141"/>
      <c r="C3735" s="141"/>
      <c r="D3735" s="141"/>
      <c r="E3735" s="141"/>
      <c r="F3735" s="141"/>
      <c r="G3735" s="141"/>
      <c r="H3735" s="222"/>
    </row>
    <row r="3736" spans="1:8" s="212" customFormat="1">
      <c r="A3736" s="146"/>
      <c r="B3736" s="83"/>
      <c r="C3736" s="148"/>
      <c r="D3736" s="84"/>
      <c r="E3736" s="84"/>
      <c r="F3736" s="84"/>
      <c r="G3736" s="146"/>
      <c r="H3736" s="222"/>
    </row>
    <row r="3737" spans="1:8" s="212" customFormat="1">
      <c r="A3737" s="146"/>
      <c r="B3737" s="83"/>
      <c r="C3737" s="148"/>
      <c r="D3737" s="84"/>
      <c r="E3737" s="84"/>
      <c r="F3737" s="84"/>
      <c r="G3737" s="232"/>
      <c r="H3737" s="222"/>
    </row>
    <row r="3738" spans="1:8" s="212" customFormat="1">
      <c r="A3738" s="146"/>
      <c r="B3738" s="83"/>
      <c r="C3738" s="148"/>
      <c r="D3738" s="84"/>
      <c r="E3738" s="84"/>
      <c r="F3738" s="84"/>
      <c r="G3738" s="232"/>
      <c r="H3738" s="221"/>
    </row>
    <row r="3739" spans="1:8" s="212" customFormat="1">
      <c r="A3739" s="91"/>
      <c r="B3739" s="91"/>
      <c r="C3739" s="91"/>
      <c r="D3739" s="91"/>
      <c r="E3739" s="91"/>
      <c r="G3739" s="213"/>
      <c r="H3739" s="222"/>
    </row>
    <row r="3740" spans="1:8" s="212" customFormat="1">
      <c r="A3740" s="120"/>
      <c r="B3740" s="73"/>
      <c r="C3740" s="73"/>
      <c r="D3740" s="73"/>
      <c r="E3740" s="73"/>
      <c r="G3740" s="73"/>
      <c r="H3740" s="222"/>
    </row>
    <row r="3741" spans="1:8" s="212" customFormat="1">
      <c r="A3741" s="220"/>
      <c r="B3741" s="141"/>
      <c r="C3741" s="141"/>
      <c r="D3741" s="141"/>
      <c r="E3741" s="141"/>
      <c r="F3741" s="141"/>
      <c r="G3741" s="141"/>
      <c r="H3741" s="222"/>
    </row>
    <row r="3742" spans="1:8" s="212" customFormat="1">
      <c r="A3742" s="146"/>
      <c r="B3742" s="83"/>
      <c r="C3742" s="148"/>
      <c r="D3742" s="148"/>
      <c r="E3742" s="84"/>
      <c r="F3742" s="84"/>
      <c r="G3742" s="146"/>
      <c r="H3742" s="221"/>
    </row>
    <row r="3743" spans="1:8" s="212" customFormat="1">
      <c r="A3743" s="91"/>
      <c r="B3743" s="91"/>
      <c r="C3743" s="91"/>
      <c r="D3743" s="91"/>
      <c r="E3743" s="91"/>
      <c r="G3743" s="213"/>
      <c r="H3743" s="222"/>
    </row>
    <row r="3744" spans="1:8" s="212" customFormat="1">
      <c r="A3744" s="120"/>
      <c r="B3744" s="73"/>
      <c r="C3744" s="73"/>
      <c r="D3744" s="73"/>
      <c r="E3744" s="73"/>
      <c r="G3744" s="73"/>
      <c r="H3744" s="222"/>
    </row>
    <row r="3745" spans="1:9" s="212" customFormat="1">
      <c r="A3745" s="220"/>
      <c r="B3745" s="141"/>
      <c r="C3745" s="141"/>
      <c r="D3745" s="141"/>
      <c r="E3745" s="141"/>
      <c r="F3745" s="141"/>
      <c r="G3745" s="141"/>
      <c r="H3745" s="222"/>
    </row>
    <row r="3746" spans="1:9" s="212" customFormat="1">
      <c r="A3746" s="142"/>
      <c r="B3746" s="143"/>
      <c r="C3746" s="143"/>
      <c r="D3746" s="143"/>
      <c r="E3746" s="143"/>
      <c r="F3746" s="84"/>
      <c r="G3746" s="146"/>
      <c r="H3746" s="221"/>
    </row>
    <row r="3747" spans="1:9" s="212" customFormat="1">
      <c r="A3747" s="123"/>
      <c r="B3747" s="95"/>
      <c r="C3747" s="95"/>
      <c r="D3747" s="95"/>
      <c r="E3747" s="95"/>
      <c r="G3747" s="213"/>
      <c r="H3747" s="73"/>
    </row>
    <row r="3748" spans="1:9" s="212" customFormat="1">
      <c r="A3748" s="123"/>
      <c r="B3748" s="95"/>
      <c r="C3748" s="95"/>
      <c r="D3748" s="95"/>
      <c r="E3748" s="95"/>
      <c r="G3748" s="73"/>
      <c r="H3748" s="225"/>
    </row>
    <row r="3749" spans="1:9" s="212" customFormat="1">
      <c r="B3749" s="97"/>
      <c r="C3749" s="98"/>
      <c r="D3749" s="98"/>
      <c r="E3749" s="98"/>
      <c r="G3749" s="220"/>
    </row>
    <row r="3750" spans="1:9" s="212" customFormat="1">
      <c r="B3750" s="97"/>
      <c r="C3750" s="98"/>
      <c r="D3750" s="98"/>
      <c r="E3750" s="98"/>
      <c r="F3750" s="220"/>
      <c r="G3750" s="225"/>
      <c r="H3750" s="226"/>
    </row>
    <row r="3751" spans="1:9" s="212" customFormat="1">
      <c r="A3751" s="633"/>
      <c r="B3751" s="633"/>
      <c r="C3751" s="633"/>
      <c r="D3751" s="633"/>
      <c r="E3751" s="633"/>
      <c r="F3751" s="633"/>
      <c r="G3751" s="633"/>
    </row>
    <row r="3752" spans="1:9" s="212" customFormat="1">
      <c r="H3752" s="227"/>
      <c r="I3752" s="228"/>
    </row>
    <row r="3753" spans="1:9" s="212" customFormat="1">
      <c r="A3753" s="658"/>
      <c r="B3753" s="227"/>
      <c r="C3753" s="227"/>
      <c r="D3753" s="227"/>
      <c r="E3753" s="227"/>
      <c r="F3753" s="227"/>
      <c r="G3753" s="227"/>
      <c r="H3753" s="227"/>
      <c r="I3753" s="229"/>
    </row>
    <row r="3754" spans="1:9" s="212" customFormat="1">
      <c r="A3754" s="658"/>
      <c r="B3754" s="227"/>
      <c r="C3754" s="227"/>
      <c r="D3754" s="227"/>
      <c r="E3754" s="227"/>
      <c r="F3754" s="227"/>
      <c r="G3754" s="227"/>
    </row>
    <row r="3755" spans="1:9" s="212" customFormat="1">
      <c r="A3755" s="69"/>
      <c r="B3755" s="69"/>
      <c r="C3755" s="69"/>
      <c r="D3755" s="69"/>
      <c r="E3755" s="69"/>
    </row>
    <row r="3756" spans="1:9" s="212" customFormat="1">
      <c r="A3756" s="120"/>
      <c r="B3756" s="73"/>
      <c r="C3756" s="73"/>
      <c r="D3756" s="73"/>
      <c r="E3756" s="73"/>
      <c r="F3756" s="73"/>
      <c r="G3756" s="73"/>
      <c r="H3756" s="73"/>
    </row>
    <row r="3757" spans="1:9" s="212" customFormat="1">
      <c r="A3757" s="220"/>
      <c r="B3757" s="141"/>
      <c r="C3757" s="141"/>
      <c r="D3757" s="141"/>
      <c r="E3757" s="141"/>
      <c r="F3757" s="141"/>
      <c r="G3757" s="141"/>
      <c r="H3757" s="73"/>
    </row>
    <row r="3758" spans="1:9" s="212" customFormat="1">
      <c r="A3758" s="150"/>
      <c r="B3758" s="83"/>
      <c r="C3758" s="148"/>
      <c r="D3758" s="84"/>
      <c r="E3758" s="84"/>
      <c r="F3758" s="84"/>
      <c r="G3758" s="224"/>
      <c r="H3758" s="221"/>
    </row>
    <row r="3759" spans="1:9" s="212" customFormat="1">
      <c r="A3759" s="84"/>
      <c r="B3759" s="83"/>
      <c r="C3759" s="84"/>
      <c r="D3759" s="84"/>
      <c r="E3759" s="84"/>
      <c r="G3759" s="213"/>
      <c r="H3759" s="222"/>
    </row>
    <row r="3760" spans="1:9" s="212" customFormat="1">
      <c r="A3760" s="120"/>
      <c r="B3760" s="73"/>
      <c r="C3760" s="73"/>
      <c r="D3760" s="73"/>
      <c r="E3760" s="73"/>
      <c r="G3760" s="73"/>
      <c r="H3760" s="222"/>
    </row>
    <row r="3761" spans="1:8" s="212" customFormat="1">
      <c r="A3761" s="220"/>
      <c r="B3761" s="141"/>
      <c r="C3761" s="141"/>
      <c r="D3761" s="141"/>
      <c r="E3761" s="141"/>
      <c r="F3761" s="141"/>
      <c r="G3761" s="141"/>
      <c r="H3761" s="222"/>
    </row>
    <row r="3762" spans="1:8" s="212" customFormat="1">
      <c r="A3762" s="150"/>
      <c r="B3762" s="83"/>
      <c r="C3762" s="148"/>
      <c r="D3762" s="84"/>
      <c r="E3762" s="84"/>
      <c r="F3762" s="84"/>
      <c r="G3762" s="224"/>
      <c r="H3762" s="222"/>
    </row>
    <row r="3763" spans="1:8" s="212" customFormat="1">
      <c r="A3763" s="150"/>
      <c r="B3763" s="83"/>
      <c r="C3763" s="148"/>
      <c r="D3763" s="84"/>
      <c r="E3763" s="84"/>
      <c r="F3763" s="84"/>
      <c r="G3763" s="224"/>
      <c r="H3763" s="222"/>
    </row>
    <row r="3764" spans="1:8" s="212" customFormat="1">
      <c r="A3764" s="150"/>
      <c r="B3764" s="83"/>
      <c r="C3764" s="148"/>
      <c r="D3764" s="84"/>
      <c r="E3764" s="84"/>
      <c r="F3764" s="84"/>
      <c r="G3764" s="224"/>
      <c r="H3764" s="222"/>
    </row>
    <row r="3765" spans="1:8" s="212" customFormat="1">
      <c r="A3765" s="150"/>
      <c r="B3765" s="83"/>
      <c r="C3765" s="148"/>
      <c r="D3765" s="84"/>
      <c r="E3765" s="84"/>
      <c r="F3765" s="84"/>
      <c r="G3765" s="224"/>
      <c r="H3765" s="222"/>
    </row>
    <row r="3766" spans="1:8" s="212" customFormat="1">
      <c r="A3766" s="150"/>
      <c r="B3766" s="83"/>
      <c r="C3766" s="148"/>
      <c r="D3766" s="84"/>
      <c r="E3766" s="84"/>
      <c r="F3766" s="84"/>
      <c r="G3766" s="224"/>
      <c r="H3766" s="222"/>
    </row>
    <row r="3767" spans="1:8" s="212" customFormat="1">
      <c r="A3767" s="150"/>
      <c r="B3767" s="83"/>
      <c r="C3767" s="148"/>
      <c r="D3767" s="84"/>
      <c r="E3767" s="84"/>
      <c r="F3767" s="84"/>
      <c r="G3767" s="224"/>
      <c r="H3767" s="221"/>
    </row>
    <row r="3768" spans="1:8" s="212" customFormat="1">
      <c r="A3768" s="91"/>
      <c r="B3768" s="91"/>
      <c r="C3768" s="91"/>
      <c r="D3768" s="91"/>
      <c r="E3768" s="91"/>
      <c r="G3768" s="213"/>
      <c r="H3768" s="222"/>
    </row>
    <row r="3769" spans="1:8" s="212" customFormat="1">
      <c r="A3769" s="120"/>
      <c r="B3769" s="73"/>
      <c r="C3769" s="73"/>
      <c r="D3769" s="73"/>
      <c r="E3769" s="73"/>
      <c r="G3769" s="73"/>
      <c r="H3769" s="222"/>
    </row>
    <row r="3770" spans="1:8" s="212" customFormat="1">
      <c r="A3770" s="220"/>
      <c r="B3770" s="141"/>
      <c r="C3770" s="141"/>
      <c r="D3770" s="141"/>
      <c r="E3770" s="141"/>
      <c r="F3770" s="141"/>
      <c r="G3770" s="141"/>
      <c r="H3770" s="222"/>
    </row>
    <row r="3771" spans="1:8" s="212" customFormat="1">
      <c r="A3771" s="146"/>
      <c r="B3771" s="83"/>
      <c r="C3771" s="148"/>
      <c r="D3771" s="84"/>
      <c r="E3771" s="84"/>
      <c r="F3771" s="84"/>
      <c r="G3771" s="146"/>
      <c r="H3771" s="221"/>
    </row>
    <row r="3772" spans="1:8" s="212" customFormat="1">
      <c r="A3772" s="91"/>
      <c r="B3772" s="91"/>
      <c r="C3772" s="91"/>
      <c r="D3772" s="91"/>
      <c r="E3772" s="91"/>
      <c r="G3772" s="213"/>
      <c r="H3772" s="222"/>
    </row>
    <row r="3773" spans="1:8" s="212" customFormat="1">
      <c r="A3773" s="120"/>
      <c r="B3773" s="73"/>
      <c r="C3773" s="73"/>
      <c r="D3773" s="73"/>
      <c r="E3773" s="73"/>
      <c r="G3773" s="73"/>
      <c r="H3773" s="222"/>
    </row>
    <row r="3774" spans="1:8" s="212" customFormat="1">
      <c r="A3774" s="220"/>
      <c r="B3774" s="141"/>
      <c r="C3774" s="141"/>
      <c r="D3774" s="141"/>
      <c r="E3774" s="141"/>
      <c r="F3774" s="141"/>
      <c r="G3774" s="141"/>
      <c r="H3774" s="222"/>
    </row>
    <row r="3775" spans="1:8" s="212" customFormat="1">
      <c r="A3775" s="142"/>
      <c r="B3775" s="143"/>
      <c r="C3775" s="143"/>
      <c r="D3775" s="143"/>
      <c r="E3775" s="143"/>
      <c r="F3775" s="84"/>
      <c r="G3775" s="146"/>
      <c r="H3775" s="221"/>
    </row>
    <row r="3776" spans="1:8" s="212" customFormat="1">
      <c r="A3776" s="123"/>
      <c r="B3776" s="95"/>
      <c r="C3776" s="95"/>
      <c r="D3776" s="95"/>
      <c r="E3776" s="95"/>
      <c r="G3776" s="213"/>
      <c r="H3776" s="73"/>
    </row>
    <row r="3777" spans="1:9" s="212" customFormat="1">
      <c r="A3777" s="123"/>
      <c r="B3777" s="95"/>
      <c r="C3777" s="95"/>
      <c r="D3777" s="95"/>
      <c r="E3777" s="95"/>
      <c r="G3777" s="73"/>
      <c r="H3777" s="225"/>
    </row>
    <row r="3778" spans="1:9" s="212" customFormat="1">
      <c r="B3778" s="97"/>
      <c r="C3778" s="98"/>
      <c r="D3778" s="98"/>
      <c r="E3778" s="98"/>
      <c r="G3778" s="220"/>
    </row>
    <row r="3779" spans="1:9" s="212" customFormat="1">
      <c r="B3779" s="97"/>
      <c r="C3779" s="98"/>
      <c r="D3779" s="98"/>
      <c r="E3779" s="98"/>
      <c r="F3779" s="220"/>
      <c r="G3779" s="225"/>
      <c r="H3779" s="226"/>
    </row>
    <row r="3780" spans="1:9" s="212" customFormat="1">
      <c r="A3780" s="633"/>
      <c r="B3780" s="633"/>
      <c r="C3780" s="633"/>
      <c r="D3780" s="633"/>
      <c r="E3780" s="633"/>
      <c r="F3780" s="633"/>
      <c r="G3780" s="633"/>
    </row>
    <row r="3781" spans="1:9" s="212" customFormat="1">
      <c r="H3781" s="227"/>
      <c r="I3781" s="228"/>
    </row>
    <row r="3782" spans="1:9" s="212" customFormat="1">
      <c r="A3782" s="658"/>
      <c r="B3782" s="227"/>
      <c r="C3782" s="227"/>
      <c r="D3782" s="227"/>
      <c r="E3782" s="227"/>
      <c r="F3782" s="227"/>
      <c r="G3782" s="227"/>
      <c r="H3782" s="227"/>
      <c r="I3782" s="229"/>
    </row>
    <row r="3783" spans="1:9" s="212" customFormat="1">
      <c r="A3783" s="658"/>
      <c r="B3783" s="227"/>
      <c r="C3783" s="227"/>
      <c r="D3783" s="227"/>
      <c r="E3783" s="227"/>
      <c r="F3783" s="227"/>
      <c r="G3783" s="227"/>
    </row>
    <row r="3784" spans="1:9" s="212" customFormat="1">
      <c r="A3784" s="69"/>
      <c r="B3784" s="69"/>
      <c r="C3784" s="69"/>
      <c r="D3784" s="69"/>
      <c r="E3784" s="69"/>
    </row>
    <row r="3785" spans="1:9" s="212" customFormat="1">
      <c r="A3785" s="120"/>
      <c r="B3785" s="73"/>
      <c r="C3785" s="73"/>
      <c r="D3785" s="73"/>
      <c r="E3785" s="73"/>
      <c r="F3785" s="73"/>
      <c r="G3785" s="73"/>
      <c r="H3785" s="73"/>
    </row>
    <row r="3786" spans="1:9" s="212" customFormat="1">
      <c r="A3786" s="220"/>
      <c r="B3786" s="141"/>
      <c r="C3786" s="141"/>
      <c r="D3786" s="141"/>
      <c r="E3786" s="141"/>
      <c r="F3786" s="141"/>
      <c r="G3786" s="141"/>
      <c r="H3786" s="73"/>
    </row>
    <row r="3787" spans="1:9" s="212" customFormat="1">
      <c r="A3787" s="150"/>
      <c r="B3787" s="83"/>
      <c r="C3787" s="148"/>
      <c r="D3787" s="84"/>
      <c r="E3787" s="84"/>
      <c r="F3787" s="84"/>
      <c r="G3787" s="224"/>
      <c r="H3787" s="73"/>
    </row>
    <row r="3788" spans="1:9" s="212" customFormat="1">
      <c r="A3788" s="150"/>
      <c r="B3788" s="83"/>
      <c r="C3788" s="148"/>
      <c r="D3788" s="84"/>
      <c r="E3788" s="84"/>
      <c r="F3788" s="84"/>
      <c r="G3788" s="224"/>
      <c r="H3788" s="73"/>
    </row>
    <row r="3789" spans="1:9" s="212" customFormat="1">
      <c r="A3789" s="150"/>
      <c r="B3789" s="83"/>
      <c r="C3789" s="148"/>
      <c r="D3789" s="84"/>
      <c r="E3789" s="84"/>
      <c r="F3789" s="84"/>
      <c r="G3789" s="224"/>
      <c r="H3789" s="221"/>
    </row>
    <row r="3790" spans="1:9" s="212" customFormat="1">
      <c r="A3790" s="84"/>
      <c r="B3790" s="83"/>
      <c r="C3790" s="84"/>
      <c r="D3790" s="84"/>
      <c r="E3790" s="84"/>
      <c r="G3790" s="213"/>
      <c r="H3790" s="222"/>
    </row>
    <row r="3791" spans="1:9" s="212" customFormat="1">
      <c r="A3791" s="120"/>
      <c r="B3791" s="73"/>
      <c r="C3791" s="73"/>
      <c r="D3791" s="73"/>
      <c r="E3791" s="73"/>
      <c r="G3791" s="73"/>
      <c r="H3791" s="222"/>
    </row>
    <row r="3792" spans="1:9" s="212" customFormat="1">
      <c r="A3792" s="220"/>
      <c r="B3792" s="141"/>
      <c r="C3792" s="141"/>
      <c r="D3792" s="141"/>
      <c r="E3792" s="141"/>
      <c r="F3792" s="141"/>
      <c r="G3792" s="141"/>
      <c r="H3792" s="222"/>
    </row>
    <row r="3793" spans="1:8" s="212" customFormat="1">
      <c r="A3793" s="150"/>
      <c r="B3793" s="83"/>
      <c r="C3793" s="148"/>
      <c r="D3793" s="84"/>
      <c r="E3793" s="84"/>
      <c r="F3793" s="84"/>
      <c r="G3793" s="224"/>
      <c r="H3793" s="222"/>
    </row>
    <row r="3794" spans="1:8" s="212" customFormat="1">
      <c r="A3794" s="150"/>
      <c r="B3794" s="83"/>
      <c r="C3794" s="148"/>
      <c r="D3794" s="84"/>
      <c r="E3794" s="84"/>
      <c r="F3794" s="84"/>
      <c r="G3794" s="224"/>
      <c r="H3794" s="222"/>
    </row>
    <row r="3795" spans="1:8" s="212" customFormat="1">
      <c r="A3795" s="150"/>
      <c r="B3795" s="83"/>
      <c r="C3795" s="148"/>
      <c r="D3795" s="84"/>
      <c r="E3795" s="84"/>
      <c r="F3795" s="84"/>
      <c r="G3795" s="224"/>
      <c r="H3795" s="222"/>
    </row>
    <row r="3796" spans="1:8" s="212" customFormat="1">
      <c r="A3796" s="150"/>
      <c r="B3796" s="83"/>
      <c r="C3796" s="148"/>
      <c r="D3796" s="84"/>
      <c r="E3796" s="84"/>
      <c r="F3796" s="84"/>
      <c r="G3796" s="224"/>
      <c r="H3796" s="221"/>
    </row>
    <row r="3797" spans="1:8" s="212" customFormat="1">
      <c r="A3797" s="91"/>
      <c r="B3797" s="91"/>
      <c r="C3797" s="91"/>
      <c r="D3797" s="91"/>
      <c r="E3797" s="91"/>
      <c r="G3797" s="213"/>
      <c r="H3797" s="222"/>
    </row>
    <row r="3798" spans="1:8" s="212" customFormat="1">
      <c r="A3798" s="120"/>
      <c r="B3798" s="73"/>
      <c r="C3798" s="73"/>
      <c r="D3798" s="73"/>
      <c r="E3798" s="73"/>
      <c r="G3798" s="73"/>
      <c r="H3798" s="222"/>
    </row>
    <row r="3799" spans="1:8" s="212" customFormat="1">
      <c r="A3799" s="220"/>
      <c r="B3799" s="141"/>
      <c r="C3799" s="141"/>
      <c r="D3799" s="141"/>
      <c r="E3799" s="141"/>
      <c r="F3799" s="141"/>
      <c r="G3799" s="141"/>
      <c r="H3799" s="222"/>
    </row>
    <row r="3800" spans="1:8" s="212" customFormat="1">
      <c r="A3800" s="146"/>
      <c r="B3800" s="83"/>
      <c r="C3800" s="148"/>
      <c r="D3800" s="84"/>
      <c r="E3800" s="84"/>
      <c r="F3800" s="84"/>
      <c r="G3800" s="146"/>
      <c r="H3800" s="221"/>
    </row>
    <row r="3801" spans="1:8" s="212" customFormat="1">
      <c r="A3801" s="91"/>
      <c r="B3801" s="91"/>
      <c r="C3801" s="91"/>
      <c r="D3801" s="91"/>
      <c r="E3801" s="91"/>
      <c r="G3801" s="213"/>
      <c r="H3801" s="222"/>
    </row>
    <row r="3802" spans="1:8" s="212" customFormat="1">
      <c r="A3802" s="120"/>
      <c r="B3802" s="73"/>
      <c r="C3802" s="73"/>
      <c r="D3802" s="73"/>
      <c r="E3802" s="73"/>
      <c r="G3802" s="73"/>
      <c r="H3802" s="222"/>
    </row>
    <row r="3803" spans="1:8" s="212" customFormat="1">
      <c r="A3803" s="220"/>
      <c r="B3803" s="141"/>
      <c r="C3803" s="141"/>
      <c r="D3803" s="141"/>
      <c r="E3803" s="141"/>
      <c r="F3803" s="141"/>
      <c r="G3803" s="141"/>
      <c r="H3803" s="222"/>
    </row>
    <row r="3804" spans="1:8" s="212" customFormat="1">
      <c r="A3804" s="142"/>
      <c r="B3804" s="143"/>
      <c r="C3804" s="143"/>
      <c r="D3804" s="143"/>
      <c r="E3804" s="143"/>
      <c r="F3804" s="84"/>
      <c r="G3804" s="146"/>
      <c r="H3804" s="221"/>
    </row>
    <row r="3805" spans="1:8" s="212" customFormat="1">
      <c r="A3805" s="123"/>
      <c r="B3805" s="95"/>
      <c r="C3805" s="95"/>
      <c r="D3805" s="95"/>
      <c r="E3805" s="95"/>
      <c r="G3805" s="213"/>
      <c r="H3805" s="73"/>
    </row>
    <row r="3806" spans="1:8" s="212" customFormat="1">
      <c r="A3806" s="123"/>
      <c r="B3806" s="95"/>
      <c r="C3806" s="95"/>
      <c r="D3806" s="95"/>
      <c r="E3806" s="95"/>
      <c r="G3806" s="73"/>
      <c r="H3806" s="225"/>
    </row>
    <row r="3807" spans="1:8" s="212" customFormat="1">
      <c r="B3807" s="97"/>
      <c r="C3807" s="98"/>
      <c r="D3807" s="98"/>
      <c r="E3807" s="98"/>
      <c r="G3807" s="220"/>
    </row>
    <row r="3808" spans="1:8" s="212" customFormat="1">
      <c r="B3808" s="97"/>
      <c r="C3808" s="98"/>
      <c r="D3808" s="98"/>
      <c r="E3808" s="98"/>
      <c r="F3808" s="220"/>
      <c r="G3808" s="225"/>
      <c r="H3808" s="226"/>
    </row>
    <row r="3809" spans="1:9" s="212" customFormat="1">
      <c r="A3809" s="633"/>
      <c r="B3809" s="633"/>
      <c r="C3809" s="633"/>
      <c r="D3809" s="633"/>
      <c r="E3809" s="633"/>
      <c r="F3809" s="633"/>
      <c r="G3809" s="633"/>
    </row>
    <row r="3810" spans="1:9" s="212" customFormat="1">
      <c r="H3810" s="227"/>
      <c r="I3810" s="228"/>
    </row>
    <row r="3811" spans="1:9" s="212" customFormat="1">
      <c r="A3811" s="658"/>
      <c r="B3811" s="227"/>
      <c r="C3811" s="227"/>
      <c r="D3811" s="227"/>
      <c r="E3811" s="227"/>
      <c r="F3811" s="227"/>
      <c r="G3811" s="227"/>
      <c r="H3811" s="227"/>
      <c r="I3811" s="229"/>
    </row>
    <row r="3812" spans="1:9" s="212" customFormat="1">
      <c r="A3812" s="658"/>
      <c r="B3812" s="227"/>
      <c r="C3812" s="227"/>
      <c r="D3812" s="227"/>
      <c r="E3812" s="227"/>
      <c r="F3812" s="227"/>
      <c r="G3812" s="227"/>
    </row>
    <row r="3813" spans="1:9" s="212" customFormat="1">
      <c r="A3813" s="69"/>
      <c r="B3813" s="69"/>
      <c r="C3813" s="69"/>
      <c r="D3813" s="69"/>
      <c r="E3813" s="69"/>
    </row>
    <row r="3814" spans="1:9" s="212" customFormat="1">
      <c r="A3814" s="120"/>
      <c r="B3814" s="73"/>
      <c r="C3814" s="73"/>
      <c r="D3814" s="73"/>
      <c r="E3814" s="73"/>
      <c r="F3814" s="73"/>
      <c r="G3814" s="73"/>
      <c r="H3814" s="73"/>
    </row>
    <row r="3815" spans="1:9" s="212" customFormat="1">
      <c r="A3815" s="220"/>
      <c r="B3815" s="141"/>
      <c r="C3815" s="141"/>
      <c r="D3815" s="141"/>
      <c r="E3815" s="141"/>
      <c r="F3815" s="141"/>
      <c r="G3815" s="141"/>
      <c r="H3815" s="73"/>
    </row>
    <row r="3816" spans="1:9" s="212" customFormat="1">
      <c r="A3816" s="150"/>
      <c r="B3816" s="83"/>
      <c r="C3816" s="148"/>
      <c r="D3816" s="84"/>
      <c r="E3816" s="84"/>
      <c r="F3816" s="84"/>
      <c r="G3816" s="224"/>
      <c r="H3816" s="221"/>
    </row>
    <row r="3817" spans="1:9" s="212" customFormat="1">
      <c r="A3817" s="84"/>
      <c r="B3817" s="83"/>
      <c r="C3817" s="84"/>
      <c r="D3817" s="84"/>
      <c r="E3817" s="84"/>
      <c r="G3817" s="213"/>
      <c r="H3817" s="222"/>
    </row>
    <row r="3818" spans="1:9" s="212" customFormat="1">
      <c r="A3818" s="120"/>
      <c r="B3818" s="73"/>
      <c r="C3818" s="73"/>
      <c r="D3818" s="73"/>
      <c r="E3818" s="73"/>
      <c r="G3818" s="73"/>
      <c r="H3818" s="222"/>
    </row>
    <row r="3819" spans="1:9" s="212" customFormat="1">
      <c r="A3819" s="220"/>
      <c r="B3819" s="141"/>
      <c r="C3819" s="141"/>
      <c r="D3819" s="141"/>
      <c r="E3819" s="141"/>
      <c r="F3819" s="141"/>
      <c r="G3819" s="141"/>
      <c r="H3819" s="222"/>
    </row>
    <row r="3820" spans="1:9" s="212" customFormat="1">
      <c r="A3820" s="150"/>
      <c r="B3820" s="83"/>
      <c r="C3820" s="148"/>
      <c r="D3820" s="84"/>
      <c r="E3820" s="84"/>
      <c r="F3820" s="84"/>
      <c r="G3820" s="224"/>
      <c r="H3820" s="222"/>
    </row>
    <row r="3821" spans="1:9" s="212" customFormat="1">
      <c r="A3821" s="150"/>
      <c r="B3821" s="83"/>
      <c r="C3821" s="148"/>
      <c r="D3821" s="84"/>
      <c r="E3821" s="84"/>
      <c r="F3821" s="84"/>
      <c r="G3821" s="224"/>
      <c r="H3821" s="222"/>
    </row>
    <row r="3822" spans="1:9" s="212" customFormat="1">
      <c r="A3822" s="150"/>
      <c r="B3822" s="83"/>
      <c r="C3822" s="148"/>
      <c r="D3822" s="84"/>
      <c r="E3822" s="84"/>
      <c r="F3822" s="84"/>
      <c r="G3822" s="224"/>
      <c r="H3822" s="222"/>
    </row>
    <row r="3823" spans="1:9" s="212" customFormat="1">
      <c r="A3823" s="150"/>
      <c r="B3823" s="83"/>
      <c r="C3823" s="148"/>
      <c r="D3823" s="84"/>
      <c r="E3823" s="84"/>
      <c r="F3823" s="84"/>
      <c r="G3823" s="224"/>
      <c r="H3823" s="221"/>
    </row>
    <row r="3824" spans="1:9" s="212" customFormat="1">
      <c r="A3824" s="91"/>
      <c r="B3824" s="91"/>
      <c r="C3824" s="91"/>
      <c r="D3824" s="91"/>
      <c r="E3824" s="91"/>
      <c r="G3824" s="213"/>
      <c r="H3824" s="222"/>
    </row>
    <row r="3825" spans="1:9" s="212" customFormat="1">
      <c r="A3825" s="120"/>
      <c r="B3825" s="73"/>
      <c r="C3825" s="73"/>
      <c r="D3825" s="73"/>
      <c r="E3825" s="73"/>
      <c r="G3825" s="73"/>
      <c r="H3825" s="222"/>
    </row>
    <row r="3826" spans="1:9" s="212" customFormat="1">
      <c r="A3826" s="220"/>
      <c r="B3826" s="141"/>
      <c r="C3826" s="141"/>
      <c r="D3826" s="141"/>
      <c r="E3826" s="141"/>
      <c r="F3826" s="141"/>
      <c r="G3826" s="141"/>
      <c r="H3826" s="222"/>
    </row>
    <row r="3827" spans="1:9" s="212" customFormat="1">
      <c r="A3827" s="146"/>
      <c r="B3827" s="83"/>
      <c r="C3827" s="148"/>
      <c r="D3827" s="84"/>
      <c r="E3827" s="84"/>
      <c r="F3827" s="84"/>
      <c r="G3827" s="146"/>
      <c r="H3827" s="221"/>
    </row>
    <row r="3828" spans="1:9" s="212" customFormat="1">
      <c r="A3828" s="91"/>
      <c r="B3828" s="91"/>
      <c r="C3828" s="91"/>
      <c r="D3828" s="91"/>
      <c r="E3828" s="91"/>
      <c r="G3828" s="213"/>
      <c r="H3828" s="222"/>
    </row>
    <row r="3829" spans="1:9" s="212" customFormat="1">
      <c r="A3829" s="120"/>
      <c r="B3829" s="73"/>
      <c r="C3829" s="73"/>
      <c r="D3829" s="73"/>
      <c r="E3829" s="73"/>
      <c r="G3829" s="73"/>
      <c r="H3829" s="222"/>
    </row>
    <row r="3830" spans="1:9" s="212" customFormat="1">
      <c r="A3830" s="220"/>
      <c r="B3830" s="141"/>
      <c r="C3830" s="141"/>
      <c r="D3830" s="141"/>
      <c r="E3830" s="141"/>
      <c r="F3830" s="141"/>
      <c r="G3830" s="141"/>
      <c r="H3830" s="222"/>
    </row>
    <row r="3831" spans="1:9" s="212" customFormat="1">
      <c r="A3831" s="142"/>
      <c r="B3831" s="143"/>
      <c r="C3831" s="143"/>
      <c r="D3831" s="143"/>
      <c r="E3831" s="143"/>
      <c r="F3831" s="84"/>
      <c r="G3831" s="146"/>
      <c r="H3831" s="221"/>
    </row>
    <row r="3832" spans="1:9" s="212" customFormat="1">
      <c r="A3832" s="123"/>
      <c r="B3832" s="95"/>
      <c r="C3832" s="95"/>
      <c r="D3832" s="95"/>
      <c r="E3832" s="95"/>
      <c r="G3832" s="213"/>
      <c r="H3832" s="73"/>
    </row>
    <row r="3833" spans="1:9" s="212" customFormat="1">
      <c r="A3833" s="123"/>
      <c r="B3833" s="95"/>
      <c r="C3833" s="95"/>
      <c r="D3833" s="95"/>
      <c r="E3833" s="95"/>
      <c r="G3833" s="73"/>
      <c r="H3833" s="225"/>
    </row>
    <row r="3834" spans="1:9" s="212" customFormat="1">
      <c r="B3834" s="97"/>
      <c r="C3834" s="98"/>
      <c r="D3834" s="98"/>
      <c r="E3834" s="98"/>
      <c r="G3834" s="220"/>
    </row>
    <row r="3835" spans="1:9" s="212" customFormat="1">
      <c r="B3835" s="97"/>
      <c r="C3835" s="98"/>
      <c r="D3835" s="98"/>
      <c r="E3835" s="98"/>
      <c r="F3835" s="220"/>
      <c r="G3835" s="225"/>
      <c r="H3835" s="226"/>
    </row>
    <row r="3836" spans="1:9" s="212" customFormat="1">
      <c r="A3836" s="633"/>
      <c r="B3836" s="633"/>
      <c r="C3836" s="633"/>
      <c r="D3836" s="633"/>
      <c r="E3836" s="633"/>
      <c r="F3836" s="633"/>
      <c r="G3836" s="633"/>
    </row>
    <row r="3837" spans="1:9" s="212" customFormat="1">
      <c r="H3837" s="227"/>
      <c r="I3837" s="228"/>
    </row>
    <row r="3838" spans="1:9" s="212" customFormat="1">
      <c r="A3838" s="658"/>
      <c r="B3838" s="227"/>
      <c r="C3838" s="227"/>
      <c r="D3838" s="227"/>
      <c r="E3838" s="227"/>
      <c r="F3838" s="227"/>
      <c r="G3838" s="227"/>
      <c r="H3838" s="227"/>
      <c r="I3838" s="229"/>
    </row>
    <row r="3839" spans="1:9" s="212" customFormat="1">
      <c r="A3839" s="658"/>
      <c r="B3839" s="227"/>
      <c r="C3839" s="227"/>
      <c r="D3839" s="227"/>
      <c r="E3839" s="227"/>
      <c r="F3839" s="227"/>
      <c r="G3839" s="227"/>
    </row>
    <row r="3840" spans="1:9" s="212" customFormat="1">
      <c r="A3840" s="69"/>
      <c r="B3840" s="69"/>
      <c r="C3840" s="69"/>
      <c r="D3840" s="69"/>
      <c r="E3840" s="69"/>
    </row>
    <row r="3841" spans="1:8" s="212" customFormat="1">
      <c r="A3841" s="120"/>
      <c r="B3841" s="73"/>
      <c r="C3841" s="73"/>
      <c r="D3841" s="73"/>
      <c r="E3841" s="73"/>
      <c r="F3841" s="73"/>
      <c r="G3841" s="73"/>
      <c r="H3841" s="73"/>
    </row>
    <row r="3842" spans="1:8" s="212" customFormat="1">
      <c r="A3842" s="220"/>
      <c r="B3842" s="141"/>
      <c r="C3842" s="141"/>
      <c r="D3842" s="141"/>
      <c r="E3842" s="141"/>
      <c r="F3842" s="141"/>
      <c r="G3842" s="141"/>
      <c r="H3842" s="73"/>
    </row>
    <row r="3843" spans="1:8" s="212" customFormat="1">
      <c r="A3843" s="150"/>
      <c r="B3843" s="83"/>
      <c r="C3843" s="148"/>
      <c r="D3843" s="84"/>
      <c r="E3843" s="84"/>
      <c r="F3843" s="84"/>
      <c r="G3843" s="224"/>
      <c r="H3843" s="73"/>
    </row>
    <row r="3844" spans="1:8" s="212" customFormat="1">
      <c r="A3844" s="150"/>
      <c r="B3844" s="83"/>
      <c r="C3844" s="148"/>
      <c r="D3844" s="84"/>
      <c r="E3844" s="84"/>
      <c r="F3844" s="84"/>
      <c r="G3844" s="224"/>
      <c r="H3844" s="221"/>
    </row>
    <row r="3845" spans="1:8" s="212" customFormat="1">
      <c r="A3845" s="84"/>
      <c r="B3845" s="83"/>
      <c r="C3845" s="84"/>
      <c r="D3845" s="84"/>
      <c r="E3845" s="84"/>
      <c r="G3845" s="213"/>
      <c r="H3845" s="222"/>
    </row>
    <row r="3846" spans="1:8" s="212" customFormat="1">
      <c r="A3846" s="120"/>
      <c r="B3846" s="73"/>
      <c r="C3846" s="73"/>
      <c r="D3846" s="73"/>
      <c r="E3846" s="73"/>
      <c r="G3846" s="73"/>
      <c r="H3846" s="222"/>
    </row>
    <row r="3847" spans="1:8" s="212" customFormat="1">
      <c r="A3847" s="220"/>
      <c r="B3847" s="141"/>
      <c r="C3847" s="141"/>
      <c r="D3847" s="141"/>
      <c r="E3847" s="141"/>
      <c r="F3847" s="141"/>
      <c r="G3847" s="141"/>
      <c r="H3847" s="222"/>
    </row>
    <row r="3848" spans="1:8" s="212" customFormat="1">
      <c r="A3848" s="150"/>
      <c r="B3848" s="83"/>
      <c r="C3848" s="148"/>
      <c r="D3848" s="84"/>
      <c r="E3848" s="84"/>
      <c r="F3848" s="84"/>
      <c r="G3848" s="224"/>
      <c r="H3848" s="222"/>
    </row>
    <row r="3849" spans="1:8" s="212" customFormat="1">
      <c r="A3849" s="150"/>
      <c r="B3849" s="83"/>
      <c r="C3849" s="148"/>
      <c r="D3849" s="84"/>
      <c r="E3849" s="84"/>
      <c r="F3849" s="84"/>
      <c r="G3849" s="224"/>
      <c r="H3849" s="222"/>
    </row>
    <row r="3850" spans="1:8" s="212" customFormat="1">
      <c r="A3850" s="150"/>
      <c r="B3850" s="83"/>
      <c r="C3850" s="148"/>
      <c r="D3850" s="84"/>
      <c r="E3850" s="84"/>
      <c r="F3850" s="84"/>
      <c r="G3850" s="224"/>
      <c r="H3850" s="221"/>
    </row>
    <row r="3851" spans="1:8" s="212" customFormat="1">
      <c r="A3851" s="91"/>
      <c r="B3851" s="91"/>
      <c r="C3851" s="91"/>
      <c r="D3851" s="91"/>
      <c r="E3851" s="91"/>
      <c r="G3851" s="213"/>
      <c r="H3851" s="222"/>
    </row>
    <row r="3852" spans="1:8" s="212" customFormat="1">
      <c r="A3852" s="120"/>
      <c r="B3852" s="73"/>
      <c r="C3852" s="73"/>
      <c r="D3852" s="73"/>
      <c r="E3852" s="73"/>
      <c r="G3852" s="73"/>
      <c r="H3852" s="222"/>
    </row>
    <row r="3853" spans="1:8" s="212" customFormat="1">
      <c r="A3853" s="220"/>
      <c r="B3853" s="141"/>
      <c r="C3853" s="141"/>
      <c r="D3853" s="141"/>
      <c r="E3853" s="141"/>
      <c r="F3853" s="141"/>
      <c r="G3853" s="141"/>
      <c r="H3853" s="222"/>
    </row>
    <row r="3854" spans="1:8" s="212" customFormat="1">
      <c r="A3854" s="146"/>
      <c r="B3854" s="83"/>
      <c r="C3854" s="148"/>
      <c r="D3854" s="84"/>
      <c r="E3854" s="84"/>
      <c r="F3854" s="84"/>
      <c r="G3854" s="146"/>
      <c r="H3854" s="221"/>
    </row>
    <row r="3855" spans="1:8" s="212" customFormat="1">
      <c r="A3855" s="91"/>
      <c r="B3855" s="91"/>
      <c r="C3855" s="91"/>
      <c r="D3855" s="91"/>
      <c r="E3855" s="91"/>
      <c r="G3855" s="213"/>
      <c r="H3855" s="222"/>
    </row>
    <row r="3856" spans="1:8" s="212" customFormat="1">
      <c r="A3856" s="120"/>
      <c r="B3856" s="73"/>
      <c r="C3856" s="73"/>
      <c r="D3856" s="73"/>
      <c r="E3856" s="73"/>
      <c r="G3856" s="73"/>
      <c r="H3856" s="222"/>
    </row>
    <row r="3857" spans="1:9" s="212" customFormat="1">
      <c r="A3857" s="220"/>
      <c r="B3857" s="141"/>
      <c r="C3857" s="141"/>
      <c r="D3857" s="141"/>
      <c r="E3857" s="141"/>
      <c r="F3857" s="141"/>
      <c r="G3857" s="141"/>
      <c r="H3857" s="222"/>
    </row>
    <row r="3858" spans="1:9" s="212" customFormat="1">
      <c r="A3858" s="142"/>
      <c r="B3858" s="143"/>
      <c r="C3858" s="143"/>
      <c r="D3858" s="143"/>
      <c r="E3858" s="143"/>
      <c r="F3858" s="84"/>
      <c r="G3858" s="146"/>
      <c r="H3858" s="221"/>
    </row>
    <row r="3859" spans="1:9" s="212" customFormat="1">
      <c r="A3859" s="123"/>
      <c r="B3859" s="95"/>
      <c r="C3859" s="95"/>
      <c r="D3859" s="95"/>
      <c r="E3859" s="95"/>
      <c r="G3859" s="213"/>
      <c r="H3859" s="73"/>
    </row>
    <row r="3860" spans="1:9" s="212" customFormat="1">
      <c r="A3860" s="123"/>
      <c r="B3860" s="95"/>
      <c r="C3860" s="95"/>
      <c r="D3860" s="95"/>
      <c r="E3860" s="95"/>
      <c r="G3860" s="73"/>
      <c r="H3860" s="225"/>
    </row>
    <row r="3861" spans="1:9" s="212" customFormat="1">
      <c r="B3861" s="97"/>
      <c r="C3861" s="98"/>
      <c r="D3861" s="98"/>
      <c r="E3861" s="98"/>
      <c r="G3861" s="220"/>
    </row>
    <row r="3862" spans="1:9" s="212" customFormat="1">
      <c r="B3862" s="97"/>
      <c r="C3862" s="98"/>
      <c r="D3862" s="98"/>
      <c r="E3862" s="98"/>
      <c r="F3862" s="220"/>
      <c r="G3862" s="225"/>
      <c r="H3862" s="226"/>
    </row>
    <row r="3863" spans="1:9" s="212" customFormat="1">
      <c r="A3863" s="633"/>
      <c r="B3863" s="633"/>
      <c r="C3863" s="633"/>
      <c r="D3863" s="633"/>
      <c r="E3863" s="633"/>
      <c r="F3863" s="633"/>
      <c r="G3863" s="633"/>
    </row>
    <row r="3864" spans="1:9" s="212" customFormat="1">
      <c r="H3864" s="227"/>
      <c r="I3864" s="228"/>
    </row>
    <row r="3865" spans="1:9" s="212" customFormat="1">
      <c r="A3865" s="658"/>
      <c r="B3865" s="227"/>
      <c r="C3865" s="227"/>
      <c r="D3865" s="227"/>
      <c r="E3865" s="227"/>
      <c r="F3865" s="227"/>
      <c r="G3865" s="227"/>
      <c r="H3865" s="227"/>
      <c r="I3865" s="229"/>
    </row>
    <row r="3866" spans="1:9" s="212" customFormat="1">
      <c r="A3866" s="658"/>
      <c r="B3866" s="227"/>
      <c r="C3866" s="227"/>
      <c r="D3866" s="227"/>
      <c r="E3866" s="227"/>
      <c r="F3866" s="227"/>
      <c r="G3866" s="227"/>
    </row>
    <row r="3867" spans="1:9" s="212" customFormat="1">
      <c r="A3867" s="69"/>
      <c r="B3867" s="69"/>
      <c r="C3867" s="69"/>
      <c r="D3867" s="69"/>
      <c r="E3867" s="69"/>
    </row>
    <row r="3868" spans="1:9" s="212" customFormat="1">
      <c r="A3868" s="120"/>
      <c r="B3868" s="73"/>
      <c r="C3868" s="73"/>
      <c r="D3868" s="73"/>
      <c r="E3868" s="73"/>
      <c r="F3868" s="73"/>
      <c r="G3868" s="73"/>
      <c r="H3868" s="73"/>
    </row>
    <row r="3869" spans="1:9" s="212" customFormat="1">
      <c r="A3869" s="220"/>
      <c r="B3869" s="141"/>
      <c r="C3869" s="141"/>
      <c r="D3869" s="141"/>
      <c r="E3869" s="141"/>
      <c r="F3869" s="141"/>
      <c r="G3869" s="141"/>
      <c r="H3869" s="73"/>
    </row>
    <row r="3870" spans="1:9" s="212" customFormat="1">
      <c r="A3870" s="150"/>
      <c r="B3870" s="83"/>
      <c r="C3870" s="148"/>
      <c r="D3870" s="84"/>
      <c r="E3870" s="84"/>
      <c r="F3870" s="84"/>
      <c r="G3870" s="224"/>
      <c r="H3870" s="221"/>
    </row>
    <row r="3871" spans="1:9" s="212" customFormat="1">
      <c r="A3871" s="84"/>
      <c r="B3871" s="83"/>
      <c r="C3871" s="84"/>
      <c r="D3871" s="84"/>
      <c r="E3871" s="84"/>
      <c r="G3871" s="213"/>
      <c r="H3871" s="222"/>
    </row>
    <row r="3872" spans="1:9" s="212" customFormat="1">
      <c r="A3872" s="120"/>
      <c r="B3872" s="73"/>
      <c r="C3872" s="73"/>
      <c r="D3872" s="73"/>
      <c r="E3872" s="73"/>
      <c r="G3872" s="73"/>
      <c r="H3872" s="222"/>
    </row>
    <row r="3873" spans="1:8" s="212" customFormat="1">
      <c r="A3873" s="220"/>
      <c r="B3873" s="141"/>
      <c r="C3873" s="141"/>
      <c r="D3873" s="141"/>
      <c r="E3873" s="141"/>
      <c r="F3873" s="141"/>
      <c r="G3873" s="141"/>
      <c r="H3873" s="222"/>
    </row>
    <row r="3874" spans="1:8" s="212" customFormat="1">
      <c r="A3874" s="150"/>
      <c r="B3874" s="83"/>
      <c r="C3874" s="148"/>
      <c r="D3874" s="84"/>
      <c r="E3874" s="84"/>
      <c r="F3874" s="84"/>
      <c r="G3874" s="224"/>
      <c r="H3874" s="222"/>
    </row>
    <row r="3875" spans="1:8" s="212" customFormat="1">
      <c r="A3875" s="150"/>
      <c r="B3875" s="83"/>
      <c r="C3875" s="148"/>
      <c r="D3875" s="84"/>
      <c r="E3875" s="84"/>
      <c r="F3875" s="84"/>
      <c r="G3875" s="224"/>
      <c r="H3875" s="222"/>
    </row>
    <row r="3876" spans="1:8" s="212" customFormat="1">
      <c r="A3876" s="150"/>
      <c r="B3876" s="83"/>
      <c r="C3876" s="148"/>
      <c r="D3876" s="84"/>
      <c r="E3876" s="84"/>
      <c r="F3876" s="84"/>
      <c r="G3876" s="224"/>
      <c r="H3876" s="222"/>
    </row>
    <row r="3877" spans="1:8" s="212" customFormat="1">
      <c r="A3877" s="150"/>
      <c r="B3877" s="83"/>
      <c r="C3877" s="148"/>
      <c r="D3877" s="84"/>
      <c r="E3877" s="84"/>
      <c r="F3877" s="84"/>
      <c r="G3877" s="224"/>
      <c r="H3877" s="222"/>
    </row>
    <row r="3878" spans="1:8" s="212" customFormat="1">
      <c r="A3878" s="150"/>
      <c r="B3878" s="83"/>
      <c r="C3878" s="148"/>
      <c r="D3878" s="84"/>
      <c r="E3878" s="84"/>
      <c r="F3878" s="84"/>
      <c r="G3878" s="224"/>
      <c r="H3878" s="221"/>
    </row>
    <row r="3879" spans="1:8" s="212" customFormat="1">
      <c r="A3879" s="91"/>
      <c r="B3879" s="91"/>
      <c r="C3879" s="91"/>
      <c r="D3879" s="91"/>
      <c r="E3879" s="91"/>
      <c r="G3879" s="213"/>
      <c r="H3879" s="222"/>
    </row>
    <row r="3880" spans="1:8" s="212" customFormat="1">
      <c r="A3880" s="120"/>
      <c r="B3880" s="73"/>
      <c r="C3880" s="73"/>
      <c r="D3880" s="73"/>
      <c r="E3880" s="73"/>
      <c r="G3880" s="73"/>
      <c r="H3880" s="222"/>
    </row>
    <row r="3881" spans="1:8" s="212" customFormat="1">
      <c r="A3881" s="220"/>
      <c r="B3881" s="141"/>
      <c r="C3881" s="141"/>
      <c r="D3881" s="141"/>
      <c r="E3881" s="141"/>
      <c r="F3881" s="141"/>
      <c r="G3881" s="141"/>
      <c r="H3881" s="222"/>
    </row>
    <row r="3882" spans="1:8" s="212" customFormat="1">
      <c r="A3882" s="146"/>
      <c r="B3882" s="83"/>
      <c r="C3882" s="148"/>
      <c r="D3882" s="84"/>
      <c r="E3882" s="84"/>
      <c r="F3882" s="84"/>
      <c r="G3882" s="146"/>
      <c r="H3882" s="221"/>
    </row>
    <row r="3883" spans="1:8" s="212" customFormat="1">
      <c r="A3883" s="91"/>
      <c r="B3883" s="91"/>
      <c r="C3883" s="91"/>
      <c r="D3883" s="91"/>
      <c r="E3883" s="91"/>
      <c r="G3883" s="213"/>
      <c r="H3883" s="222"/>
    </row>
    <row r="3884" spans="1:8" s="212" customFormat="1">
      <c r="A3884" s="120"/>
      <c r="B3884" s="73"/>
      <c r="C3884" s="73"/>
      <c r="D3884" s="73"/>
      <c r="E3884" s="73"/>
      <c r="G3884" s="73"/>
      <c r="H3884" s="222"/>
    </row>
    <row r="3885" spans="1:8" s="212" customFormat="1">
      <c r="A3885" s="220"/>
      <c r="B3885" s="141"/>
      <c r="C3885" s="141"/>
      <c r="D3885" s="141"/>
      <c r="E3885" s="141"/>
      <c r="F3885" s="141"/>
      <c r="G3885" s="141"/>
      <c r="H3885" s="222"/>
    </row>
    <row r="3886" spans="1:8" s="212" customFormat="1">
      <c r="A3886" s="142"/>
      <c r="B3886" s="143"/>
      <c r="C3886" s="143"/>
      <c r="D3886" s="143"/>
      <c r="E3886" s="143"/>
      <c r="F3886" s="84"/>
      <c r="G3886" s="146"/>
      <c r="H3886" s="221"/>
    </row>
    <row r="3887" spans="1:8" s="212" customFormat="1">
      <c r="A3887" s="123"/>
      <c r="B3887" s="95"/>
      <c r="C3887" s="95"/>
      <c r="D3887" s="95"/>
      <c r="E3887" s="95"/>
      <c r="G3887" s="213"/>
      <c r="H3887" s="73"/>
    </row>
    <row r="3888" spans="1:8" s="212" customFormat="1">
      <c r="A3888" s="123"/>
      <c r="B3888" s="95"/>
      <c r="C3888" s="95"/>
      <c r="D3888" s="95"/>
      <c r="E3888" s="95"/>
      <c r="G3888" s="73"/>
      <c r="H3888" s="225"/>
    </row>
    <row r="3889" spans="1:9" s="212" customFormat="1">
      <c r="B3889" s="97"/>
      <c r="C3889" s="98"/>
      <c r="D3889" s="98"/>
      <c r="E3889" s="98"/>
      <c r="G3889" s="220"/>
    </row>
    <row r="3890" spans="1:9" s="212" customFormat="1">
      <c r="B3890" s="97"/>
      <c r="C3890" s="98"/>
      <c r="D3890" s="98"/>
      <c r="E3890" s="98"/>
      <c r="F3890" s="220"/>
      <c r="G3890" s="225"/>
      <c r="H3890" s="226"/>
    </row>
    <row r="3891" spans="1:9" s="212" customFormat="1">
      <c r="A3891" s="633"/>
      <c r="B3891" s="633"/>
      <c r="C3891" s="633"/>
      <c r="D3891" s="633"/>
      <c r="E3891" s="633"/>
      <c r="F3891" s="633"/>
      <c r="G3891" s="633"/>
    </row>
    <row r="3892" spans="1:9" s="212" customFormat="1">
      <c r="H3892" s="227"/>
      <c r="I3892" s="228"/>
    </row>
    <row r="3893" spans="1:9" s="212" customFormat="1">
      <c r="A3893" s="658"/>
      <c r="B3893" s="227"/>
      <c r="C3893" s="227"/>
      <c r="D3893" s="227"/>
      <c r="E3893" s="227"/>
      <c r="F3893" s="227"/>
      <c r="G3893" s="227"/>
      <c r="H3893" s="227"/>
      <c r="I3893" s="229"/>
    </row>
    <row r="3894" spans="1:9" s="212" customFormat="1">
      <c r="A3894" s="658"/>
      <c r="B3894" s="227"/>
      <c r="C3894" s="227"/>
      <c r="D3894" s="227"/>
      <c r="E3894" s="227"/>
      <c r="F3894" s="227"/>
      <c r="G3894" s="227"/>
    </row>
    <row r="3895" spans="1:9" s="212" customFormat="1">
      <c r="A3895" s="69"/>
      <c r="B3895" s="69"/>
      <c r="C3895" s="69"/>
      <c r="D3895" s="69"/>
      <c r="E3895" s="69"/>
    </row>
    <row r="3896" spans="1:9" s="212" customFormat="1">
      <c r="A3896" s="120"/>
      <c r="B3896" s="73"/>
      <c r="C3896" s="73"/>
      <c r="D3896" s="73"/>
      <c r="E3896" s="73"/>
      <c r="F3896" s="73"/>
      <c r="G3896" s="73"/>
      <c r="H3896" s="73"/>
    </row>
    <row r="3897" spans="1:9" s="212" customFormat="1">
      <c r="A3897" s="220"/>
      <c r="B3897" s="141"/>
      <c r="C3897" s="141"/>
      <c r="D3897" s="141"/>
      <c r="E3897" s="141"/>
      <c r="F3897" s="141"/>
      <c r="G3897" s="141"/>
      <c r="H3897" s="73"/>
    </row>
    <row r="3898" spans="1:9" s="212" customFormat="1">
      <c r="A3898" s="150"/>
      <c r="B3898" s="83"/>
      <c r="C3898" s="148"/>
      <c r="D3898" s="84"/>
      <c r="E3898" s="84"/>
      <c r="F3898" s="84"/>
      <c r="G3898" s="224"/>
      <c r="H3898" s="73"/>
    </row>
    <row r="3899" spans="1:9" s="212" customFormat="1">
      <c r="A3899" s="150"/>
      <c r="B3899" s="83"/>
      <c r="C3899" s="148"/>
      <c r="D3899" s="84"/>
      <c r="E3899" s="84"/>
      <c r="F3899" s="84"/>
      <c r="G3899" s="224"/>
      <c r="H3899" s="73"/>
    </row>
    <row r="3900" spans="1:9" s="212" customFormat="1">
      <c r="A3900" s="150"/>
      <c r="B3900" s="83"/>
      <c r="C3900" s="148"/>
      <c r="D3900" s="84"/>
      <c r="E3900" s="84"/>
      <c r="F3900" s="84"/>
      <c r="G3900" s="224"/>
      <c r="H3900" s="221"/>
    </row>
    <row r="3901" spans="1:9" s="212" customFormat="1">
      <c r="A3901" s="84"/>
      <c r="B3901" s="83"/>
      <c r="C3901" s="84"/>
      <c r="D3901" s="84"/>
      <c r="E3901" s="84"/>
      <c r="G3901" s="213"/>
      <c r="H3901" s="222"/>
    </row>
    <row r="3902" spans="1:9" s="212" customFormat="1">
      <c r="A3902" s="120"/>
      <c r="B3902" s="73"/>
      <c r="C3902" s="73"/>
      <c r="D3902" s="73"/>
      <c r="E3902" s="73"/>
      <c r="G3902" s="73"/>
      <c r="H3902" s="222"/>
    </row>
    <row r="3903" spans="1:9" s="212" customFormat="1">
      <c r="A3903" s="220"/>
      <c r="B3903" s="141"/>
      <c r="C3903" s="141"/>
      <c r="D3903" s="141"/>
      <c r="E3903" s="141"/>
      <c r="F3903" s="141"/>
      <c r="G3903" s="141"/>
      <c r="H3903" s="222"/>
    </row>
    <row r="3904" spans="1:9" s="212" customFormat="1">
      <c r="A3904" s="150"/>
      <c r="B3904" s="83"/>
      <c r="C3904" s="148"/>
      <c r="D3904" s="84"/>
      <c r="E3904" s="84"/>
      <c r="F3904" s="84"/>
      <c r="G3904" s="224"/>
      <c r="H3904" s="222"/>
    </row>
    <row r="3905" spans="1:8" s="212" customFormat="1">
      <c r="A3905" s="150"/>
      <c r="B3905" s="83"/>
      <c r="C3905" s="148"/>
      <c r="D3905" s="84"/>
      <c r="E3905" s="84"/>
      <c r="F3905" s="84"/>
      <c r="G3905" s="224"/>
      <c r="H3905" s="222"/>
    </row>
    <row r="3906" spans="1:8" s="212" customFormat="1">
      <c r="A3906" s="150"/>
      <c r="B3906" s="83"/>
      <c r="C3906" s="148"/>
      <c r="D3906" s="84"/>
      <c r="E3906" s="84"/>
      <c r="F3906" s="84"/>
      <c r="G3906" s="224"/>
      <c r="H3906" s="222"/>
    </row>
    <row r="3907" spans="1:8" s="212" customFormat="1">
      <c r="A3907" s="150"/>
      <c r="B3907" s="83"/>
      <c r="C3907" s="148"/>
      <c r="D3907" s="84"/>
      <c r="E3907" s="84"/>
      <c r="F3907" s="84"/>
      <c r="G3907" s="224"/>
      <c r="H3907" s="222"/>
    </row>
    <row r="3908" spans="1:8" s="212" customFormat="1">
      <c r="A3908" s="150"/>
      <c r="B3908" s="83"/>
      <c r="C3908" s="148"/>
      <c r="D3908" s="84"/>
      <c r="E3908" s="84"/>
      <c r="F3908" s="84"/>
      <c r="G3908" s="224"/>
      <c r="H3908" s="222"/>
    </row>
    <row r="3909" spans="1:8" s="212" customFormat="1">
      <c r="A3909" s="150"/>
      <c r="B3909" s="83"/>
      <c r="C3909" s="148"/>
      <c r="D3909" s="84"/>
      <c r="E3909" s="84"/>
      <c r="F3909" s="84"/>
      <c r="G3909" s="224"/>
      <c r="H3909" s="222"/>
    </row>
    <row r="3910" spans="1:8" s="212" customFormat="1">
      <c r="A3910" s="150"/>
      <c r="B3910" s="83"/>
      <c r="C3910" s="148"/>
      <c r="D3910" s="84"/>
      <c r="E3910" s="84"/>
      <c r="F3910" s="84"/>
      <c r="G3910" s="224"/>
      <c r="H3910" s="222"/>
    </row>
    <row r="3911" spans="1:8" s="212" customFormat="1">
      <c r="A3911" s="150"/>
      <c r="B3911" s="83"/>
      <c r="C3911" s="148"/>
      <c r="D3911" s="84"/>
      <c r="E3911" s="84"/>
      <c r="F3911" s="84"/>
      <c r="G3911" s="224"/>
      <c r="H3911" s="221"/>
    </row>
    <row r="3912" spans="1:8" s="212" customFormat="1">
      <c r="A3912" s="91"/>
      <c r="B3912" s="91"/>
      <c r="C3912" s="91"/>
      <c r="D3912" s="91"/>
      <c r="E3912" s="91"/>
      <c r="G3912" s="213"/>
      <c r="H3912" s="222"/>
    </row>
    <row r="3913" spans="1:8" s="212" customFormat="1">
      <c r="A3913" s="120"/>
      <c r="B3913" s="73"/>
      <c r="C3913" s="73"/>
      <c r="D3913" s="73"/>
      <c r="E3913" s="73"/>
      <c r="G3913" s="73"/>
      <c r="H3913" s="222"/>
    </row>
    <row r="3914" spans="1:8" s="212" customFormat="1">
      <c r="A3914" s="220"/>
      <c r="B3914" s="141"/>
      <c r="C3914" s="141"/>
      <c r="D3914" s="141"/>
      <c r="E3914" s="141"/>
      <c r="F3914" s="141"/>
      <c r="G3914" s="141"/>
      <c r="H3914" s="222"/>
    </row>
    <row r="3915" spans="1:8" s="212" customFormat="1">
      <c r="A3915" s="146"/>
      <c r="B3915" s="83"/>
      <c r="C3915" s="148"/>
      <c r="D3915" s="84"/>
      <c r="E3915" s="84"/>
      <c r="F3915" s="84"/>
      <c r="G3915" s="146"/>
      <c r="H3915" s="222"/>
    </row>
    <row r="3916" spans="1:8" s="212" customFormat="1">
      <c r="A3916" s="146"/>
      <c r="B3916" s="83"/>
      <c r="C3916" s="148"/>
      <c r="D3916" s="84"/>
      <c r="E3916" s="84"/>
      <c r="F3916" s="84"/>
      <c r="G3916" s="146"/>
      <c r="H3916" s="222"/>
    </row>
    <row r="3917" spans="1:8" s="212" customFormat="1">
      <c r="A3917" s="146"/>
      <c r="B3917" s="83"/>
      <c r="C3917" s="148"/>
      <c r="D3917" s="84"/>
      <c r="E3917" s="84"/>
      <c r="F3917" s="84"/>
      <c r="G3917" s="146"/>
      <c r="H3917" s="221"/>
    </row>
    <row r="3918" spans="1:8" s="212" customFormat="1">
      <c r="A3918" s="91"/>
      <c r="B3918" s="91"/>
      <c r="C3918" s="91"/>
      <c r="D3918" s="91"/>
      <c r="E3918" s="91"/>
      <c r="G3918" s="213"/>
      <c r="H3918" s="222"/>
    </row>
    <row r="3919" spans="1:8" s="212" customFormat="1">
      <c r="A3919" s="120"/>
      <c r="B3919" s="73"/>
      <c r="C3919" s="73"/>
      <c r="D3919" s="73"/>
      <c r="E3919" s="73"/>
      <c r="G3919" s="73"/>
      <c r="H3919" s="222"/>
    </row>
    <row r="3920" spans="1:8" s="212" customFormat="1">
      <c r="A3920" s="220"/>
      <c r="B3920" s="141"/>
      <c r="C3920" s="141"/>
      <c r="D3920" s="141"/>
      <c r="E3920" s="141"/>
      <c r="F3920" s="141"/>
      <c r="G3920" s="141"/>
      <c r="H3920" s="222"/>
    </row>
    <row r="3921" spans="1:9" s="212" customFormat="1">
      <c r="A3921" s="142"/>
      <c r="B3921" s="143"/>
      <c r="C3921" s="143"/>
      <c r="D3921" s="143"/>
      <c r="E3921" s="143"/>
      <c r="F3921" s="84"/>
      <c r="G3921" s="146"/>
      <c r="H3921" s="221"/>
    </row>
    <row r="3922" spans="1:9" s="212" customFormat="1">
      <c r="A3922" s="123"/>
      <c r="B3922" s="95"/>
      <c r="C3922" s="95"/>
      <c r="D3922" s="95"/>
      <c r="E3922" s="95"/>
      <c r="G3922" s="213"/>
      <c r="H3922" s="73"/>
    </row>
    <row r="3923" spans="1:9" s="212" customFormat="1">
      <c r="A3923" s="123"/>
      <c r="B3923" s="95"/>
      <c r="C3923" s="95"/>
      <c r="D3923" s="95"/>
      <c r="E3923" s="95"/>
      <c r="G3923" s="73"/>
      <c r="H3923" s="225"/>
    </row>
    <row r="3924" spans="1:9" s="212" customFormat="1">
      <c r="B3924" s="97"/>
      <c r="C3924" s="98"/>
      <c r="D3924" s="98"/>
      <c r="E3924" s="98"/>
      <c r="G3924" s="220"/>
    </row>
    <row r="3925" spans="1:9" s="212" customFormat="1">
      <c r="B3925" s="97"/>
      <c r="C3925" s="98"/>
      <c r="D3925" s="98"/>
      <c r="E3925" s="98"/>
      <c r="F3925" s="220"/>
      <c r="G3925" s="225"/>
      <c r="H3925" s="226"/>
    </row>
    <row r="3926" spans="1:9" s="212" customFormat="1">
      <c r="A3926" s="633"/>
      <c r="B3926" s="633"/>
      <c r="C3926" s="633"/>
      <c r="D3926" s="633"/>
      <c r="E3926" s="633"/>
      <c r="F3926" s="633"/>
      <c r="G3926" s="633"/>
    </row>
    <row r="3927" spans="1:9" s="212" customFormat="1">
      <c r="H3927" s="227"/>
      <c r="I3927" s="228"/>
    </row>
    <row r="3928" spans="1:9" s="212" customFormat="1">
      <c r="A3928" s="658"/>
      <c r="B3928" s="227"/>
      <c r="C3928" s="227"/>
      <c r="D3928" s="227"/>
      <c r="E3928" s="227"/>
      <c r="F3928" s="227"/>
      <c r="G3928" s="227"/>
      <c r="H3928" s="227"/>
      <c r="I3928" s="229"/>
    </row>
    <row r="3929" spans="1:9" s="212" customFormat="1">
      <c r="A3929" s="658"/>
      <c r="B3929" s="227"/>
      <c r="C3929" s="227"/>
      <c r="D3929" s="227"/>
      <c r="E3929" s="227"/>
      <c r="F3929" s="227"/>
      <c r="G3929" s="227"/>
    </row>
    <row r="3930" spans="1:9" s="212" customFormat="1">
      <c r="A3930" s="69"/>
      <c r="B3930" s="69"/>
      <c r="C3930" s="69"/>
      <c r="D3930" s="69"/>
      <c r="E3930" s="69"/>
    </row>
    <row r="3931" spans="1:9" s="212" customFormat="1">
      <c r="A3931" s="120"/>
      <c r="B3931" s="73"/>
      <c r="C3931" s="73"/>
      <c r="D3931" s="73"/>
      <c r="E3931" s="73"/>
      <c r="F3931" s="73"/>
      <c r="G3931" s="73"/>
      <c r="H3931" s="73"/>
    </row>
    <row r="3932" spans="1:9" s="212" customFormat="1">
      <c r="A3932" s="220"/>
      <c r="B3932" s="141"/>
      <c r="C3932" s="141"/>
      <c r="D3932" s="141"/>
      <c r="E3932" s="141"/>
      <c r="F3932" s="141"/>
      <c r="G3932" s="141"/>
      <c r="H3932" s="73"/>
    </row>
    <row r="3933" spans="1:9" s="212" customFormat="1">
      <c r="A3933" s="150"/>
      <c r="B3933" s="83"/>
      <c r="C3933" s="148"/>
      <c r="D3933" s="84"/>
      <c r="E3933" s="84"/>
      <c r="F3933" s="84"/>
      <c r="G3933" s="224"/>
      <c r="H3933" s="221"/>
    </row>
    <row r="3934" spans="1:9" s="212" customFormat="1">
      <c r="A3934" s="84"/>
      <c r="B3934" s="83"/>
      <c r="C3934" s="84"/>
      <c r="D3934" s="84"/>
      <c r="E3934" s="84"/>
      <c r="G3934" s="213"/>
      <c r="H3934" s="222"/>
    </row>
    <row r="3935" spans="1:9" s="212" customFormat="1">
      <c r="A3935" s="120"/>
      <c r="B3935" s="73"/>
      <c r="C3935" s="73"/>
      <c r="D3935" s="73"/>
      <c r="E3935" s="73"/>
      <c r="G3935" s="73"/>
      <c r="H3935" s="222"/>
    </row>
    <row r="3936" spans="1:9" s="212" customFormat="1">
      <c r="A3936" s="220"/>
      <c r="B3936" s="141"/>
      <c r="C3936" s="141"/>
      <c r="D3936" s="141"/>
      <c r="E3936" s="141"/>
      <c r="F3936" s="141"/>
      <c r="G3936" s="141"/>
      <c r="H3936" s="222"/>
    </row>
    <row r="3937" spans="1:9" s="212" customFormat="1">
      <c r="A3937" s="150"/>
      <c r="B3937" s="83"/>
      <c r="C3937" s="148"/>
      <c r="D3937" s="84"/>
      <c r="E3937" s="84"/>
      <c r="F3937" s="84"/>
      <c r="G3937" s="224"/>
      <c r="H3937" s="222"/>
    </row>
    <row r="3938" spans="1:9" s="212" customFormat="1">
      <c r="A3938" s="150"/>
      <c r="B3938" s="83"/>
      <c r="C3938" s="148"/>
      <c r="D3938" s="84"/>
      <c r="E3938" s="84"/>
      <c r="F3938" s="84"/>
      <c r="G3938" s="224"/>
      <c r="H3938" s="221"/>
    </row>
    <row r="3939" spans="1:9" s="212" customFormat="1">
      <c r="A3939" s="91"/>
      <c r="B3939" s="91"/>
      <c r="C3939" s="91"/>
      <c r="D3939" s="91"/>
      <c r="E3939" s="91"/>
      <c r="G3939" s="213"/>
      <c r="H3939" s="222"/>
    </row>
    <row r="3940" spans="1:9" s="212" customFormat="1">
      <c r="A3940" s="120"/>
      <c r="B3940" s="73"/>
      <c r="C3940" s="73"/>
      <c r="D3940" s="73"/>
      <c r="E3940" s="73"/>
      <c r="G3940" s="73"/>
      <c r="H3940" s="222"/>
    </row>
    <row r="3941" spans="1:9" s="212" customFormat="1">
      <c r="A3941" s="220"/>
      <c r="B3941" s="141"/>
      <c r="C3941" s="141"/>
      <c r="D3941" s="141"/>
      <c r="E3941" s="141"/>
      <c r="F3941" s="141"/>
      <c r="G3941" s="141"/>
      <c r="H3941" s="222"/>
    </row>
    <row r="3942" spans="1:9" s="212" customFormat="1">
      <c r="A3942" s="146"/>
      <c r="B3942" s="83"/>
      <c r="C3942" s="148"/>
      <c r="D3942" s="84"/>
      <c r="E3942" s="84"/>
      <c r="F3942" s="84"/>
      <c r="G3942" s="146"/>
      <c r="H3942" s="221"/>
    </row>
    <row r="3943" spans="1:9" s="212" customFormat="1">
      <c r="A3943" s="91"/>
      <c r="B3943" s="91"/>
      <c r="C3943" s="91"/>
      <c r="D3943" s="91"/>
      <c r="E3943" s="91"/>
      <c r="G3943" s="213"/>
      <c r="H3943" s="222"/>
    </row>
    <row r="3944" spans="1:9" s="212" customFormat="1">
      <c r="A3944" s="120"/>
      <c r="B3944" s="73"/>
      <c r="C3944" s="73"/>
      <c r="D3944" s="73"/>
      <c r="E3944" s="73"/>
      <c r="G3944" s="73"/>
      <c r="H3944" s="222"/>
    </row>
    <row r="3945" spans="1:9" s="212" customFormat="1">
      <c r="A3945" s="220"/>
      <c r="B3945" s="141"/>
      <c r="C3945" s="141"/>
      <c r="D3945" s="141"/>
      <c r="E3945" s="141"/>
      <c r="F3945" s="141"/>
      <c r="G3945" s="141"/>
      <c r="H3945" s="222"/>
    </row>
    <row r="3946" spans="1:9" s="212" customFormat="1">
      <c r="A3946" s="142"/>
      <c r="B3946" s="143"/>
      <c r="C3946" s="143"/>
      <c r="D3946" s="143"/>
      <c r="E3946" s="143"/>
      <c r="F3946" s="84"/>
      <c r="G3946" s="146"/>
      <c r="H3946" s="221"/>
    </row>
    <row r="3947" spans="1:9" s="212" customFormat="1">
      <c r="A3947" s="123"/>
      <c r="B3947" s="95"/>
      <c r="C3947" s="95"/>
      <c r="D3947" s="95"/>
      <c r="E3947" s="95"/>
      <c r="G3947" s="213"/>
      <c r="H3947" s="73"/>
    </row>
    <row r="3948" spans="1:9" s="212" customFormat="1">
      <c r="A3948" s="123"/>
      <c r="B3948" s="95"/>
      <c r="C3948" s="95"/>
      <c r="D3948" s="95"/>
      <c r="E3948" s="95"/>
      <c r="G3948" s="73"/>
      <c r="H3948" s="225"/>
    </row>
    <row r="3949" spans="1:9" s="212" customFormat="1">
      <c r="B3949" s="97"/>
      <c r="C3949" s="98"/>
      <c r="D3949" s="98"/>
      <c r="E3949" s="98"/>
      <c r="G3949" s="220"/>
    </row>
    <row r="3950" spans="1:9" s="212" customFormat="1">
      <c r="B3950" s="97"/>
      <c r="C3950" s="98"/>
      <c r="D3950" s="98"/>
      <c r="E3950" s="98"/>
      <c r="F3950" s="220"/>
      <c r="G3950" s="225"/>
      <c r="H3950" s="226"/>
    </row>
    <row r="3951" spans="1:9" s="212" customFormat="1">
      <c r="A3951" s="633"/>
      <c r="B3951" s="633"/>
      <c r="C3951" s="633"/>
      <c r="D3951" s="633"/>
      <c r="E3951" s="633"/>
      <c r="F3951" s="633"/>
      <c r="G3951" s="633"/>
    </row>
    <row r="3952" spans="1:9" s="212" customFormat="1">
      <c r="H3952" s="227"/>
      <c r="I3952" s="228"/>
    </row>
    <row r="3953" spans="1:9" s="212" customFormat="1">
      <c r="A3953" s="658"/>
      <c r="B3953" s="227"/>
      <c r="C3953" s="227"/>
      <c r="D3953" s="227"/>
      <c r="E3953" s="227"/>
      <c r="F3953" s="227"/>
      <c r="G3953" s="227"/>
      <c r="H3953" s="227"/>
      <c r="I3953" s="229"/>
    </row>
    <row r="3954" spans="1:9" s="212" customFormat="1">
      <c r="A3954" s="658"/>
      <c r="B3954" s="227"/>
      <c r="C3954" s="227"/>
      <c r="D3954" s="227"/>
      <c r="E3954" s="227"/>
      <c r="F3954" s="227"/>
      <c r="G3954" s="227"/>
    </row>
    <row r="3955" spans="1:9" s="212" customFormat="1">
      <c r="A3955" s="69"/>
      <c r="B3955" s="69"/>
      <c r="C3955" s="69"/>
      <c r="D3955" s="69"/>
      <c r="E3955" s="69"/>
    </row>
    <row r="3956" spans="1:9" s="212" customFormat="1">
      <c r="A3956" s="120"/>
      <c r="B3956" s="73"/>
      <c r="C3956" s="73"/>
      <c r="D3956" s="73"/>
      <c r="E3956" s="73"/>
      <c r="F3956" s="73"/>
      <c r="G3956" s="73"/>
      <c r="H3956" s="73"/>
    </row>
    <row r="3957" spans="1:9" s="212" customFormat="1">
      <c r="A3957" s="220"/>
      <c r="B3957" s="141"/>
      <c r="C3957" s="141"/>
      <c r="D3957" s="141"/>
      <c r="E3957" s="141"/>
      <c r="F3957" s="141"/>
      <c r="G3957" s="141"/>
      <c r="H3957" s="73"/>
    </row>
    <row r="3958" spans="1:9" s="212" customFormat="1">
      <c r="A3958" s="150"/>
      <c r="B3958" s="83"/>
      <c r="C3958" s="148"/>
      <c r="D3958" s="84"/>
      <c r="E3958" s="84"/>
      <c r="F3958" s="84"/>
      <c r="G3958" s="224"/>
      <c r="H3958" s="221"/>
    </row>
    <row r="3959" spans="1:9" s="212" customFormat="1">
      <c r="A3959" s="84"/>
      <c r="B3959" s="83"/>
      <c r="C3959" s="84"/>
      <c r="D3959" s="84"/>
      <c r="E3959" s="84"/>
      <c r="G3959" s="213"/>
      <c r="H3959" s="222"/>
    </row>
    <row r="3960" spans="1:9" s="212" customFormat="1">
      <c r="A3960" s="120"/>
      <c r="B3960" s="73"/>
      <c r="C3960" s="73"/>
      <c r="D3960" s="73"/>
      <c r="E3960" s="73"/>
      <c r="G3960" s="73"/>
      <c r="H3960" s="222"/>
    </row>
    <row r="3961" spans="1:9" s="212" customFormat="1">
      <c r="A3961" s="220"/>
      <c r="B3961" s="141"/>
      <c r="C3961" s="141"/>
      <c r="D3961" s="141"/>
      <c r="E3961" s="141"/>
      <c r="F3961" s="141"/>
      <c r="G3961" s="141"/>
      <c r="H3961" s="222"/>
    </row>
    <row r="3962" spans="1:9" s="212" customFormat="1">
      <c r="A3962" s="150"/>
      <c r="B3962" s="83"/>
      <c r="C3962" s="148"/>
      <c r="D3962" s="84"/>
      <c r="E3962" s="84"/>
      <c r="F3962" s="84"/>
      <c r="G3962" s="224"/>
      <c r="H3962" s="222"/>
    </row>
    <row r="3963" spans="1:9" s="212" customFormat="1">
      <c r="A3963" s="150"/>
      <c r="B3963" s="83"/>
      <c r="C3963" s="148"/>
      <c r="D3963" s="84"/>
      <c r="E3963" s="84"/>
      <c r="F3963" s="84"/>
      <c r="G3963" s="224"/>
      <c r="H3963" s="221"/>
    </row>
    <row r="3964" spans="1:9" s="212" customFormat="1">
      <c r="A3964" s="91"/>
      <c r="B3964" s="91"/>
      <c r="C3964" s="91"/>
      <c r="D3964" s="91"/>
      <c r="E3964" s="91"/>
      <c r="G3964" s="213"/>
      <c r="H3964" s="222"/>
    </row>
    <row r="3965" spans="1:9" s="212" customFormat="1">
      <c r="A3965" s="120"/>
      <c r="B3965" s="73"/>
      <c r="C3965" s="73"/>
      <c r="D3965" s="73"/>
      <c r="E3965" s="73"/>
      <c r="G3965" s="73"/>
      <c r="H3965" s="222"/>
    </row>
    <row r="3966" spans="1:9" s="212" customFormat="1">
      <c r="A3966" s="220"/>
      <c r="B3966" s="141"/>
      <c r="C3966" s="141"/>
      <c r="D3966" s="141"/>
      <c r="E3966" s="141"/>
      <c r="F3966" s="141"/>
      <c r="G3966" s="141"/>
      <c r="H3966" s="222"/>
    </row>
    <row r="3967" spans="1:9" s="212" customFormat="1">
      <c r="A3967" s="146"/>
      <c r="B3967" s="83"/>
      <c r="C3967" s="148"/>
      <c r="D3967" s="84"/>
      <c r="E3967" s="84"/>
      <c r="F3967" s="84"/>
      <c r="G3967" s="146"/>
      <c r="H3967" s="221"/>
    </row>
    <row r="3968" spans="1:9" s="212" customFormat="1">
      <c r="A3968" s="91"/>
      <c r="B3968" s="91"/>
      <c r="C3968" s="91"/>
      <c r="D3968" s="91"/>
      <c r="E3968" s="91"/>
      <c r="G3968" s="213"/>
      <c r="H3968" s="222"/>
    </row>
    <row r="3969" spans="1:9" s="212" customFormat="1">
      <c r="A3969" s="120"/>
      <c r="B3969" s="73"/>
      <c r="C3969" s="73"/>
      <c r="D3969" s="73"/>
      <c r="E3969" s="73"/>
      <c r="G3969" s="73"/>
      <c r="H3969" s="222"/>
    </row>
    <row r="3970" spans="1:9" s="212" customFormat="1">
      <c r="A3970" s="220"/>
      <c r="B3970" s="141"/>
      <c r="C3970" s="141"/>
      <c r="D3970" s="141"/>
      <c r="E3970" s="141"/>
      <c r="F3970" s="141"/>
      <c r="G3970" s="141"/>
      <c r="H3970" s="222"/>
    </row>
    <row r="3971" spans="1:9" s="212" customFormat="1">
      <c r="A3971" s="142"/>
      <c r="B3971" s="143"/>
      <c r="C3971" s="143"/>
      <c r="D3971" s="143"/>
      <c r="E3971" s="143"/>
      <c r="F3971" s="84"/>
      <c r="G3971" s="146"/>
      <c r="H3971" s="221"/>
    </row>
    <row r="3972" spans="1:9" s="212" customFormat="1">
      <c r="A3972" s="123"/>
      <c r="B3972" s="95"/>
      <c r="C3972" s="95"/>
      <c r="D3972" s="95"/>
      <c r="E3972" s="95"/>
      <c r="G3972" s="213"/>
      <c r="H3972" s="73"/>
    </row>
    <row r="3973" spans="1:9" s="212" customFormat="1">
      <c r="A3973" s="123"/>
      <c r="B3973" s="95"/>
      <c r="C3973" s="95"/>
      <c r="D3973" s="95"/>
      <c r="E3973" s="95"/>
      <c r="G3973" s="73"/>
      <c r="H3973" s="225"/>
    </row>
    <row r="3974" spans="1:9" s="212" customFormat="1">
      <c r="B3974" s="97"/>
      <c r="C3974" s="98"/>
      <c r="D3974" s="98"/>
      <c r="E3974" s="98"/>
      <c r="G3974" s="220"/>
    </row>
    <row r="3975" spans="1:9" s="212" customFormat="1">
      <c r="B3975" s="97"/>
      <c r="C3975" s="98"/>
      <c r="D3975" s="98"/>
      <c r="E3975" s="98"/>
      <c r="F3975" s="220"/>
      <c r="G3975" s="225"/>
      <c r="H3975" s="226"/>
    </row>
    <row r="3976" spans="1:9" s="212" customFormat="1">
      <c r="A3976" s="633"/>
      <c r="B3976" s="633"/>
      <c r="C3976" s="633"/>
      <c r="D3976" s="633"/>
      <c r="E3976" s="633"/>
      <c r="F3976" s="633"/>
      <c r="G3976" s="633"/>
    </row>
    <row r="3977" spans="1:9" s="212" customFormat="1">
      <c r="H3977" s="227"/>
      <c r="I3977" s="228"/>
    </row>
    <row r="3978" spans="1:9" s="212" customFormat="1">
      <c r="A3978" s="658"/>
      <c r="B3978" s="227"/>
      <c r="C3978" s="227"/>
      <c r="D3978" s="227"/>
      <c r="E3978" s="227"/>
      <c r="F3978" s="227"/>
      <c r="G3978" s="227"/>
      <c r="H3978" s="227"/>
      <c r="I3978" s="229"/>
    </row>
    <row r="3979" spans="1:9" s="212" customFormat="1">
      <c r="A3979" s="658"/>
      <c r="B3979" s="227"/>
      <c r="C3979" s="227"/>
      <c r="D3979" s="227"/>
      <c r="E3979" s="227"/>
      <c r="F3979" s="227"/>
      <c r="G3979" s="227"/>
    </row>
    <row r="3980" spans="1:9" s="212" customFormat="1">
      <c r="A3980" s="69"/>
      <c r="B3980" s="69"/>
      <c r="C3980" s="69"/>
      <c r="D3980" s="69"/>
      <c r="E3980" s="69"/>
    </row>
    <row r="3981" spans="1:9" s="212" customFormat="1">
      <c r="A3981" s="120"/>
      <c r="B3981" s="73"/>
      <c r="C3981" s="73"/>
      <c r="D3981" s="73"/>
      <c r="E3981" s="73"/>
      <c r="F3981" s="73"/>
      <c r="G3981" s="73"/>
      <c r="H3981" s="73"/>
    </row>
    <row r="3982" spans="1:9" s="212" customFormat="1">
      <c r="A3982" s="220"/>
      <c r="B3982" s="141"/>
      <c r="C3982" s="141"/>
      <c r="D3982" s="141"/>
      <c r="E3982" s="141"/>
      <c r="F3982" s="141"/>
      <c r="G3982" s="141"/>
      <c r="H3982" s="73"/>
    </row>
    <row r="3983" spans="1:9" s="212" customFormat="1">
      <c r="A3983" s="150"/>
      <c r="B3983" s="83"/>
      <c r="C3983" s="148"/>
      <c r="D3983" s="84"/>
      <c r="E3983" s="84"/>
      <c r="F3983" s="84"/>
      <c r="G3983" s="224"/>
      <c r="H3983" s="221"/>
    </row>
    <row r="3984" spans="1:9" s="212" customFormat="1">
      <c r="A3984" s="84"/>
      <c r="B3984" s="83"/>
      <c r="C3984" s="84"/>
      <c r="D3984" s="84"/>
      <c r="E3984" s="84"/>
      <c r="G3984" s="213"/>
      <c r="H3984" s="222"/>
    </row>
    <row r="3985" spans="1:8" s="212" customFormat="1">
      <c r="A3985" s="120"/>
      <c r="B3985" s="73"/>
      <c r="C3985" s="73"/>
      <c r="D3985" s="73"/>
      <c r="E3985" s="73"/>
      <c r="G3985" s="73"/>
      <c r="H3985" s="222"/>
    </row>
    <row r="3986" spans="1:8" s="212" customFormat="1">
      <c r="A3986" s="220"/>
      <c r="B3986" s="141"/>
      <c r="C3986" s="141"/>
      <c r="D3986" s="141"/>
      <c r="E3986" s="141"/>
      <c r="F3986" s="141"/>
      <c r="G3986" s="141"/>
      <c r="H3986" s="222"/>
    </row>
    <row r="3987" spans="1:8" s="212" customFormat="1">
      <c r="A3987" s="150"/>
      <c r="B3987" s="83"/>
      <c r="C3987" s="148"/>
      <c r="D3987" s="84"/>
      <c r="E3987" s="84"/>
      <c r="F3987" s="84"/>
      <c r="G3987" s="224"/>
      <c r="H3987" s="222"/>
    </row>
    <row r="3988" spans="1:8" s="212" customFormat="1">
      <c r="A3988" s="150"/>
      <c r="B3988" s="83"/>
      <c r="C3988" s="148"/>
      <c r="D3988" s="84"/>
      <c r="E3988" s="84"/>
      <c r="F3988" s="84"/>
      <c r="G3988" s="224"/>
      <c r="H3988" s="222"/>
    </row>
    <row r="3989" spans="1:8" s="212" customFormat="1">
      <c r="A3989" s="150"/>
      <c r="B3989" s="83"/>
      <c r="C3989" s="148"/>
      <c r="D3989" s="84"/>
      <c r="E3989" s="84"/>
      <c r="F3989" s="84"/>
      <c r="G3989" s="224"/>
      <c r="H3989" s="222"/>
    </row>
    <row r="3990" spans="1:8" s="212" customFormat="1">
      <c r="A3990" s="150"/>
      <c r="B3990" s="83"/>
      <c r="C3990" s="148"/>
      <c r="D3990" s="84"/>
      <c r="E3990" s="84"/>
      <c r="F3990" s="84"/>
      <c r="G3990" s="224"/>
      <c r="H3990" s="222"/>
    </row>
    <row r="3991" spans="1:8" s="212" customFormat="1">
      <c r="A3991" s="150"/>
      <c r="B3991" s="83"/>
      <c r="C3991" s="148"/>
      <c r="D3991" s="84"/>
      <c r="E3991" s="84"/>
      <c r="F3991" s="84"/>
      <c r="G3991" s="224"/>
      <c r="H3991" s="222"/>
    </row>
    <row r="3992" spans="1:8" s="212" customFormat="1">
      <c r="A3992" s="150"/>
      <c r="B3992" s="83"/>
      <c r="C3992" s="148"/>
      <c r="D3992" s="84"/>
      <c r="E3992" s="84"/>
      <c r="F3992" s="84"/>
      <c r="G3992" s="224"/>
      <c r="H3992" s="222"/>
    </row>
    <row r="3993" spans="1:8" s="212" customFormat="1">
      <c r="A3993" s="150"/>
      <c r="B3993" s="83"/>
      <c r="C3993" s="148"/>
      <c r="D3993" s="84"/>
      <c r="E3993" s="84"/>
      <c r="F3993" s="84"/>
      <c r="G3993" s="224"/>
      <c r="H3993" s="222"/>
    </row>
    <row r="3994" spans="1:8" s="212" customFormat="1">
      <c r="A3994" s="150"/>
      <c r="B3994" s="83"/>
      <c r="C3994" s="148"/>
      <c r="D3994" s="84"/>
      <c r="E3994" s="84"/>
      <c r="F3994" s="84"/>
      <c r="G3994" s="224"/>
      <c r="H3994" s="222"/>
    </row>
    <row r="3995" spans="1:8" s="212" customFormat="1">
      <c r="A3995" s="150"/>
      <c r="B3995" s="83"/>
      <c r="C3995" s="148"/>
      <c r="D3995" s="84"/>
      <c r="E3995" s="84"/>
      <c r="F3995" s="84"/>
      <c r="G3995" s="224"/>
      <c r="H3995" s="222"/>
    </row>
    <row r="3996" spans="1:8" s="212" customFormat="1">
      <c r="A3996" s="150"/>
      <c r="B3996" s="83"/>
      <c r="C3996" s="148"/>
      <c r="D3996" s="84"/>
      <c r="E3996" s="84"/>
      <c r="F3996" s="84"/>
      <c r="G3996" s="224"/>
      <c r="H3996" s="221"/>
    </row>
    <row r="3997" spans="1:8" s="212" customFormat="1">
      <c r="A3997" s="91"/>
      <c r="B3997" s="91"/>
      <c r="C3997" s="91"/>
      <c r="D3997" s="91"/>
      <c r="E3997" s="91"/>
      <c r="G3997" s="213"/>
      <c r="H3997" s="222"/>
    </row>
    <row r="3998" spans="1:8" s="212" customFormat="1">
      <c r="A3998" s="120"/>
      <c r="B3998" s="73"/>
      <c r="C3998" s="73"/>
      <c r="D3998" s="73"/>
      <c r="E3998" s="73"/>
      <c r="G3998" s="73"/>
      <c r="H3998" s="222"/>
    </row>
    <row r="3999" spans="1:8" s="212" customFormat="1">
      <c r="A3999" s="220"/>
      <c r="B3999" s="141"/>
      <c r="C3999" s="141"/>
      <c r="D3999" s="141"/>
      <c r="E3999" s="141"/>
      <c r="F3999" s="141"/>
      <c r="G3999" s="141"/>
      <c r="H3999" s="222"/>
    </row>
    <row r="4000" spans="1:8" s="212" customFormat="1">
      <c r="A4000" s="146"/>
      <c r="B4000" s="83"/>
      <c r="C4000" s="148"/>
      <c r="D4000" s="84"/>
      <c r="E4000" s="84"/>
      <c r="F4000" s="84"/>
      <c r="G4000" s="146"/>
      <c r="H4000" s="221"/>
    </row>
    <row r="4001" spans="1:9" s="212" customFormat="1">
      <c r="A4001" s="91"/>
      <c r="B4001" s="91"/>
      <c r="C4001" s="91"/>
      <c r="D4001" s="91"/>
      <c r="E4001" s="91"/>
      <c r="G4001" s="213"/>
      <c r="H4001" s="222"/>
    </row>
    <row r="4002" spans="1:9" s="212" customFormat="1">
      <c r="A4002" s="120"/>
      <c r="B4002" s="73"/>
      <c r="C4002" s="73"/>
      <c r="D4002" s="73"/>
      <c r="E4002" s="73"/>
      <c r="G4002" s="73"/>
      <c r="H4002" s="222"/>
    </row>
    <row r="4003" spans="1:9" s="212" customFormat="1">
      <c r="A4003" s="220"/>
      <c r="B4003" s="141"/>
      <c r="C4003" s="141"/>
      <c r="D4003" s="141"/>
      <c r="E4003" s="141"/>
      <c r="F4003" s="141"/>
      <c r="G4003" s="141"/>
      <c r="H4003" s="222"/>
    </row>
    <row r="4004" spans="1:9" s="212" customFormat="1">
      <c r="A4004" s="142"/>
      <c r="B4004" s="143"/>
      <c r="C4004" s="143"/>
      <c r="D4004" s="143"/>
      <c r="E4004" s="143"/>
      <c r="F4004" s="84"/>
      <c r="G4004" s="146"/>
      <c r="H4004" s="221"/>
    </row>
    <row r="4005" spans="1:9" s="212" customFormat="1" ht="15" customHeight="1">
      <c r="A4005" s="123"/>
      <c r="B4005" s="95"/>
      <c r="C4005" s="95"/>
      <c r="D4005" s="95"/>
      <c r="E4005" s="95"/>
      <c r="G4005" s="213"/>
      <c r="H4005" s="73"/>
    </row>
    <row r="4006" spans="1:9" s="212" customFormat="1">
      <c r="A4006" s="123"/>
      <c r="B4006" s="95"/>
      <c r="C4006" s="95"/>
      <c r="D4006" s="95"/>
      <c r="E4006" s="95"/>
      <c r="G4006" s="73"/>
      <c r="H4006" s="225"/>
    </row>
    <row r="4007" spans="1:9" s="212" customFormat="1">
      <c r="B4007" s="97"/>
      <c r="C4007" s="98"/>
      <c r="D4007" s="98"/>
      <c r="E4007" s="98"/>
      <c r="G4007" s="220"/>
    </row>
    <row r="4008" spans="1:9" s="212" customFormat="1">
      <c r="B4008" s="97"/>
      <c r="C4008" s="98"/>
      <c r="D4008" s="98"/>
      <c r="E4008" s="98"/>
      <c r="F4008" s="220"/>
      <c r="G4008" s="225"/>
      <c r="H4008" s="226"/>
    </row>
    <row r="4009" spans="1:9" s="212" customFormat="1">
      <c r="A4009" s="633"/>
      <c r="B4009" s="633"/>
      <c r="C4009" s="633"/>
      <c r="D4009" s="633"/>
      <c r="E4009" s="633"/>
      <c r="F4009" s="633"/>
      <c r="G4009" s="633"/>
    </row>
    <row r="4010" spans="1:9" s="212" customFormat="1">
      <c r="H4010" s="227"/>
      <c r="I4010" s="228"/>
    </row>
    <row r="4011" spans="1:9" s="212" customFormat="1">
      <c r="A4011" s="658"/>
      <c r="B4011" s="227"/>
      <c r="C4011" s="227"/>
      <c r="D4011" s="227"/>
      <c r="E4011" s="227"/>
      <c r="F4011" s="227"/>
      <c r="G4011" s="227"/>
      <c r="H4011" s="227"/>
      <c r="I4011" s="229"/>
    </row>
    <row r="4012" spans="1:9" s="212" customFormat="1">
      <c r="A4012" s="658"/>
      <c r="B4012" s="227"/>
      <c r="C4012" s="227"/>
      <c r="D4012" s="227"/>
      <c r="E4012" s="227"/>
      <c r="F4012" s="227"/>
      <c r="G4012" s="227"/>
    </row>
    <row r="4013" spans="1:9" s="212" customFormat="1">
      <c r="A4013" s="69"/>
      <c r="B4013" s="69"/>
      <c r="C4013" s="69"/>
      <c r="D4013" s="69"/>
      <c r="E4013" s="69"/>
    </row>
    <row r="4014" spans="1:9" s="212" customFormat="1">
      <c r="A4014" s="120"/>
      <c r="B4014" s="73"/>
      <c r="C4014" s="73"/>
      <c r="D4014" s="73"/>
      <c r="E4014" s="73"/>
      <c r="F4014" s="73"/>
      <c r="G4014" s="73"/>
      <c r="H4014" s="73"/>
    </row>
    <row r="4015" spans="1:9" s="212" customFormat="1">
      <c r="A4015" s="220"/>
      <c r="B4015" s="141"/>
      <c r="C4015" s="141"/>
      <c r="D4015" s="141"/>
      <c r="E4015" s="141"/>
      <c r="F4015" s="141"/>
      <c r="G4015" s="141"/>
      <c r="H4015" s="73"/>
    </row>
    <row r="4016" spans="1:9" s="212" customFormat="1">
      <c r="A4016" s="150"/>
      <c r="B4016" s="83"/>
      <c r="C4016" s="148"/>
      <c r="D4016" s="84"/>
      <c r="E4016" s="84"/>
      <c r="F4016" s="84"/>
      <c r="G4016" s="224"/>
      <c r="H4016" s="221"/>
    </row>
    <row r="4017" spans="1:8" s="212" customFormat="1">
      <c r="A4017" s="84"/>
      <c r="B4017" s="83"/>
      <c r="C4017" s="84"/>
      <c r="D4017" s="84"/>
      <c r="E4017" s="84"/>
      <c r="G4017" s="213"/>
      <c r="H4017" s="222"/>
    </row>
    <row r="4018" spans="1:8" s="212" customFormat="1">
      <c r="A4018" s="120"/>
      <c r="B4018" s="73"/>
      <c r="C4018" s="73"/>
      <c r="D4018" s="73"/>
      <c r="E4018" s="73"/>
      <c r="G4018" s="73"/>
      <c r="H4018" s="222"/>
    </row>
    <row r="4019" spans="1:8" s="212" customFormat="1">
      <c r="A4019" s="220"/>
      <c r="B4019" s="141"/>
      <c r="C4019" s="141"/>
      <c r="D4019" s="141"/>
      <c r="E4019" s="141"/>
      <c r="F4019" s="141"/>
      <c r="G4019" s="141"/>
      <c r="H4019" s="222"/>
    </row>
    <row r="4020" spans="1:8" s="212" customFormat="1">
      <c r="A4020" s="150"/>
      <c r="B4020" s="83"/>
      <c r="C4020" s="148"/>
      <c r="D4020" s="84"/>
      <c r="E4020" s="84"/>
      <c r="F4020" s="84"/>
      <c r="G4020" s="224"/>
      <c r="H4020" s="222"/>
    </row>
    <row r="4021" spans="1:8" s="212" customFormat="1">
      <c r="A4021" s="150"/>
      <c r="B4021" s="83"/>
      <c r="C4021" s="148"/>
      <c r="D4021" s="84"/>
      <c r="E4021" s="84"/>
      <c r="F4021" s="84"/>
      <c r="G4021" s="224"/>
      <c r="H4021" s="222"/>
    </row>
    <row r="4022" spans="1:8" s="212" customFormat="1">
      <c r="A4022" s="150"/>
      <c r="B4022" s="83"/>
      <c r="C4022" s="148"/>
      <c r="D4022" s="84"/>
      <c r="E4022" s="84"/>
      <c r="F4022" s="84"/>
      <c r="G4022" s="224"/>
      <c r="H4022" s="222"/>
    </row>
    <row r="4023" spans="1:8" s="212" customFormat="1">
      <c r="A4023" s="150"/>
      <c r="B4023" s="83"/>
      <c r="C4023" s="148"/>
      <c r="D4023" s="84"/>
      <c r="E4023" s="84"/>
      <c r="F4023" s="84"/>
      <c r="G4023" s="224"/>
      <c r="H4023" s="222"/>
    </row>
    <row r="4024" spans="1:8" s="212" customFormat="1">
      <c r="A4024" s="150"/>
      <c r="B4024" s="83"/>
      <c r="C4024" s="148"/>
      <c r="D4024" s="84"/>
      <c r="E4024" s="84"/>
      <c r="F4024" s="84"/>
      <c r="G4024" s="224"/>
      <c r="H4024" s="222"/>
    </row>
    <row r="4025" spans="1:8" s="212" customFormat="1">
      <c r="A4025" s="150"/>
      <c r="B4025" s="83"/>
      <c r="C4025" s="148"/>
      <c r="D4025" s="84"/>
      <c r="E4025" s="84"/>
      <c r="F4025" s="84"/>
      <c r="G4025" s="224"/>
      <c r="H4025" s="222"/>
    </row>
    <row r="4026" spans="1:8" s="212" customFormat="1">
      <c r="A4026" s="150"/>
      <c r="B4026" s="83"/>
      <c r="C4026" s="148"/>
      <c r="D4026" s="84"/>
      <c r="E4026" s="84"/>
      <c r="F4026" s="84"/>
      <c r="G4026" s="224"/>
      <c r="H4026" s="222"/>
    </row>
    <row r="4027" spans="1:8" s="212" customFormat="1">
      <c r="A4027" s="150"/>
      <c r="B4027" s="83"/>
      <c r="C4027" s="148"/>
      <c r="D4027" s="84"/>
      <c r="E4027" s="84"/>
      <c r="F4027" s="84"/>
      <c r="G4027" s="224"/>
      <c r="H4027" s="222"/>
    </row>
    <row r="4028" spans="1:8" s="212" customFormat="1">
      <c r="A4028" s="150"/>
      <c r="B4028" s="83"/>
      <c r="C4028" s="148"/>
      <c r="D4028" s="84"/>
      <c r="E4028" s="84"/>
      <c r="F4028" s="84"/>
      <c r="G4028" s="224"/>
      <c r="H4028" s="222"/>
    </row>
    <row r="4029" spans="1:8" s="212" customFormat="1">
      <c r="A4029" s="150"/>
      <c r="B4029" s="83"/>
      <c r="C4029" s="148"/>
      <c r="D4029" s="84"/>
      <c r="E4029" s="84"/>
      <c r="F4029" s="84"/>
      <c r="G4029" s="224"/>
      <c r="H4029" s="221"/>
    </row>
    <row r="4030" spans="1:8" s="212" customFormat="1">
      <c r="A4030" s="91"/>
      <c r="B4030" s="91"/>
      <c r="C4030" s="91"/>
      <c r="D4030" s="91"/>
      <c r="E4030" s="91"/>
      <c r="G4030" s="213"/>
      <c r="H4030" s="222"/>
    </row>
    <row r="4031" spans="1:8" s="212" customFormat="1">
      <c r="A4031" s="120"/>
      <c r="B4031" s="73"/>
      <c r="C4031" s="73"/>
      <c r="D4031" s="73"/>
      <c r="E4031" s="73"/>
      <c r="G4031" s="73"/>
      <c r="H4031" s="222"/>
    </row>
    <row r="4032" spans="1:8" s="212" customFormat="1">
      <c r="A4032" s="220"/>
      <c r="B4032" s="141"/>
      <c r="C4032" s="141"/>
      <c r="D4032" s="141"/>
      <c r="E4032" s="141"/>
      <c r="F4032" s="141"/>
      <c r="G4032" s="141"/>
      <c r="H4032" s="222"/>
    </row>
    <row r="4033" spans="1:9" s="212" customFormat="1">
      <c r="A4033" s="146"/>
      <c r="B4033" s="83"/>
      <c r="C4033" s="148"/>
      <c r="D4033" s="84"/>
      <c r="E4033" s="84"/>
      <c r="F4033" s="84"/>
      <c r="G4033" s="146"/>
      <c r="H4033" s="221"/>
    </row>
    <row r="4034" spans="1:9" s="212" customFormat="1">
      <c r="A4034" s="91"/>
      <c r="B4034" s="91"/>
      <c r="C4034" s="91"/>
      <c r="D4034" s="91"/>
      <c r="E4034" s="91"/>
      <c r="G4034" s="213"/>
      <c r="H4034" s="222"/>
    </row>
    <row r="4035" spans="1:9" s="212" customFormat="1">
      <c r="A4035" s="120"/>
      <c r="B4035" s="73"/>
      <c r="C4035" s="73"/>
      <c r="D4035" s="73"/>
      <c r="E4035" s="73"/>
      <c r="G4035" s="73"/>
      <c r="H4035" s="222"/>
    </row>
    <row r="4036" spans="1:9" s="212" customFormat="1">
      <c r="A4036" s="220"/>
      <c r="B4036" s="141"/>
      <c r="C4036" s="141"/>
      <c r="D4036" s="141"/>
      <c r="E4036" s="141"/>
      <c r="F4036" s="141"/>
      <c r="G4036" s="141"/>
      <c r="H4036" s="222"/>
    </row>
    <row r="4037" spans="1:9" s="212" customFormat="1">
      <c r="A4037" s="142"/>
      <c r="B4037" s="143"/>
      <c r="C4037" s="143"/>
      <c r="D4037" s="143"/>
      <c r="E4037" s="143"/>
      <c r="F4037" s="84"/>
      <c r="G4037" s="146"/>
      <c r="H4037" s="221"/>
    </row>
    <row r="4038" spans="1:9" s="212" customFormat="1">
      <c r="A4038" s="123"/>
      <c r="B4038" s="95"/>
      <c r="C4038" s="95"/>
      <c r="D4038" s="95"/>
      <c r="E4038" s="95"/>
      <c r="G4038" s="213"/>
      <c r="H4038" s="73"/>
    </row>
    <row r="4039" spans="1:9" s="212" customFormat="1">
      <c r="A4039" s="123"/>
      <c r="B4039" s="95"/>
      <c r="C4039" s="95"/>
      <c r="D4039" s="95"/>
      <c r="E4039" s="95"/>
      <c r="G4039" s="73"/>
      <c r="H4039" s="225"/>
    </row>
    <row r="4040" spans="1:9" s="212" customFormat="1">
      <c r="B4040" s="97"/>
      <c r="C4040" s="98"/>
      <c r="D4040" s="98"/>
      <c r="E4040" s="98"/>
      <c r="G4040" s="220"/>
    </row>
    <row r="4041" spans="1:9" s="212" customFormat="1">
      <c r="B4041" s="97"/>
      <c r="C4041" s="98"/>
      <c r="D4041" s="98"/>
      <c r="E4041" s="98"/>
      <c r="F4041" s="220"/>
      <c r="G4041" s="225"/>
      <c r="H4041" s="226"/>
    </row>
    <row r="4042" spans="1:9" s="212" customFormat="1">
      <c r="A4042" s="633"/>
      <c r="B4042" s="633"/>
      <c r="C4042" s="633"/>
      <c r="D4042" s="633"/>
      <c r="E4042" s="633"/>
      <c r="F4042" s="633"/>
      <c r="G4042" s="633"/>
    </row>
    <row r="4043" spans="1:9" s="212" customFormat="1">
      <c r="H4043" s="227"/>
      <c r="I4043" s="228"/>
    </row>
    <row r="4044" spans="1:9" s="212" customFormat="1">
      <c r="A4044" s="658"/>
      <c r="B4044" s="227"/>
      <c r="C4044" s="227"/>
      <c r="D4044" s="227"/>
      <c r="E4044" s="227"/>
      <c r="F4044" s="227"/>
      <c r="G4044" s="227"/>
      <c r="H4044" s="227"/>
      <c r="I4044" s="229"/>
    </row>
    <row r="4045" spans="1:9" s="212" customFormat="1">
      <c r="A4045" s="658"/>
      <c r="B4045" s="227"/>
      <c r="C4045" s="227"/>
      <c r="D4045" s="227"/>
      <c r="E4045" s="227"/>
      <c r="F4045" s="227"/>
      <c r="G4045" s="227"/>
    </row>
    <row r="4046" spans="1:9" s="212" customFormat="1">
      <c r="A4046" s="69"/>
      <c r="B4046" s="69"/>
      <c r="C4046" s="69"/>
      <c r="D4046" s="69"/>
      <c r="E4046" s="69"/>
    </row>
    <row r="4047" spans="1:9" s="212" customFormat="1">
      <c r="A4047" s="120"/>
      <c r="B4047" s="73"/>
      <c r="C4047" s="73"/>
      <c r="D4047" s="73"/>
      <c r="E4047" s="73"/>
      <c r="F4047" s="73"/>
      <c r="G4047" s="73"/>
      <c r="H4047" s="73"/>
    </row>
    <row r="4048" spans="1:9" s="212" customFormat="1">
      <c r="A4048" s="220"/>
      <c r="B4048" s="141"/>
      <c r="C4048" s="141"/>
      <c r="D4048" s="141"/>
      <c r="E4048" s="141"/>
      <c r="F4048" s="141"/>
      <c r="G4048" s="141"/>
      <c r="H4048" s="73"/>
    </row>
    <row r="4049" spans="1:8" s="212" customFormat="1">
      <c r="A4049" s="150"/>
      <c r="B4049" s="83"/>
      <c r="C4049" s="148"/>
      <c r="D4049" s="84"/>
      <c r="E4049" s="84"/>
      <c r="F4049" s="84"/>
      <c r="G4049" s="224"/>
      <c r="H4049" s="221"/>
    </row>
    <row r="4050" spans="1:8" s="212" customFormat="1">
      <c r="A4050" s="84"/>
      <c r="B4050" s="83"/>
      <c r="C4050" s="84"/>
      <c r="D4050" s="84"/>
      <c r="E4050" s="84"/>
      <c r="G4050" s="213"/>
      <c r="H4050" s="222"/>
    </row>
    <row r="4051" spans="1:8" s="212" customFormat="1">
      <c r="A4051" s="120"/>
      <c r="B4051" s="73"/>
      <c r="C4051" s="73"/>
      <c r="D4051" s="73"/>
      <c r="E4051" s="73"/>
      <c r="G4051" s="73"/>
      <c r="H4051" s="222"/>
    </row>
    <row r="4052" spans="1:8" s="212" customFormat="1">
      <c r="A4052" s="220"/>
      <c r="B4052" s="141"/>
      <c r="C4052" s="141"/>
      <c r="D4052" s="141"/>
      <c r="E4052" s="141"/>
      <c r="F4052" s="141"/>
      <c r="G4052" s="141"/>
      <c r="H4052" s="222"/>
    </row>
    <row r="4053" spans="1:8" s="212" customFormat="1">
      <c r="A4053" s="150"/>
      <c r="B4053" s="83"/>
      <c r="C4053" s="148"/>
      <c r="D4053" s="84"/>
      <c r="E4053" s="84"/>
      <c r="F4053" s="84"/>
      <c r="G4053" s="224"/>
      <c r="H4053" s="222"/>
    </row>
    <row r="4054" spans="1:8" s="212" customFormat="1">
      <c r="A4054" s="150"/>
      <c r="B4054" s="83"/>
      <c r="C4054" s="148"/>
      <c r="D4054" s="84"/>
      <c r="E4054" s="84"/>
      <c r="F4054" s="84"/>
      <c r="G4054" s="224"/>
      <c r="H4054" s="222"/>
    </row>
    <row r="4055" spans="1:8" s="212" customFormat="1">
      <c r="A4055" s="150"/>
      <c r="B4055" s="83"/>
      <c r="C4055" s="148"/>
      <c r="D4055" s="84"/>
      <c r="E4055" s="84"/>
      <c r="F4055" s="84"/>
      <c r="G4055" s="224"/>
      <c r="H4055" s="222"/>
    </row>
    <row r="4056" spans="1:8" s="212" customFormat="1">
      <c r="A4056" s="150"/>
      <c r="B4056" s="83"/>
      <c r="C4056" s="148"/>
      <c r="D4056" s="84"/>
      <c r="E4056" s="84"/>
      <c r="F4056" s="84"/>
      <c r="G4056" s="224"/>
      <c r="H4056" s="222"/>
    </row>
    <row r="4057" spans="1:8" s="212" customFormat="1">
      <c r="A4057" s="150"/>
      <c r="B4057" s="83"/>
      <c r="C4057" s="148"/>
      <c r="D4057" s="84"/>
      <c r="E4057" s="84"/>
      <c r="F4057" s="84"/>
      <c r="G4057" s="224"/>
      <c r="H4057" s="222"/>
    </row>
    <row r="4058" spans="1:8" s="212" customFormat="1">
      <c r="A4058" s="150"/>
      <c r="B4058" s="83"/>
      <c r="C4058" s="148"/>
      <c r="D4058" s="84"/>
      <c r="E4058" s="84"/>
      <c r="F4058" s="84"/>
      <c r="G4058" s="224"/>
      <c r="H4058" s="222"/>
    </row>
    <row r="4059" spans="1:8" s="212" customFormat="1">
      <c r="A4059" s="150"/>
      <c r="B4059" s="83"/>
      <c r="C4059" s="148"/>
      <c r="D4059" s="84"/>
      <c r="E4059" s="84"/>
      <c r="F4059" s="84"/>
      <c r="G4059" s="224"/>
      <c r="H4059" s="222"/>
    </row>
    <row r="4060" spans="1:8" s="212" customFormat="1">
      <c r="A4060" s="150"/>
      <c r="B4060" s="83"/>
      <c r="C4060" s="148"/>
      <c r="D4060" s="84"/>
      <c r="E4060" s="84"/>
      <c r="F4060" s="84"/>
      <c r="G4060" s="224"/>
      <c r="H4060" s="222"/>
    </row>
    <row r="4061" spans="1:8" s="212" customFormat="1">
      <c r="A4061" s="150"/>
      <c r="B4061" s="83"/>
      <c r="C4061" s="148"/>
      <c r="D4061" s="84"/>
      <c r="E4061" s="84"/>
      <c r="F4061" s="84"/>
      <c r="G4061" s="224"/>
      <c r="H4061" s="222"/>
    </row>
    <row r="4062" spans="1:8" s="212" customFormat="1">
      <c r="A4062" s="150"/>
      <c r="B4062" s="83"/>
      <c r="C4062" s="148"/>
      <c r="D4062" s="84"/>
      <c r="E4062" s="84"/>
      <c r="F4062" s="84"/>
      <c r="G4062" s="224"/>
      <c r="H4062" s="221"/>
    </row>
    <row r="4063" spans="1:8" s="212" customFormat="1">
      <c r="A4063" s="91"/>
      <c r="B4063" s="91"/>
      <c r="C4063" s="91"/>
      <c r="D4063" s="91"/>
      <c r="E4063" s="91"/>
      <c r="G4063" s="213"/>
      <c r="H4063" s="222"/>
    </row>
    <row r="4064" spans="1:8" s="212" customFormat="1">
      <c r="A4064" s="120"/>
      <c r="B4064" s="73"/>
      <c r="C4064" s="73"/>
      <c r="D4064" s="73"/>
      <c r="E4064" s="73"/>
      <c r="G4064" s="73"/>
      <c r="H4064" s="222"/>
    </row>
    <row r="4065" spans="1:9" s="212" customFormat="1">
      <c r="A4065" s="220"/>
      <c r="B4065" s="141"/>
      <c r="C4065" s="141"/>
      <c r="D4065" s="141"/>
      <c r="E4065" s="141"/>
      <c r="F4065" s="141"/>
      <c r="G4065" s="141"/>
      <c r="H4065" s="222"/>
    </row>
    <row r="4066" spans="1:9" s="212" customFormat="1">
      <c r="A4066" s="146"/>
      <c r="B4066" s="83"/>
      <c r="C4066" s="148"/>
      <c r="D4066" s="84"/>
      <c r="E4066" s="84"/>
      <c r="F4066" s="84"/>
      <c r="G4066" s="146"/>
      <c r="H4066" s="221"/>
    </row>
    <row r="4067" spans="1:9" s="212" customFormat="1">
      <c r="A4067" s="91"/>
      <c r="B4067" s="91"/>
      <c r="C4067" s="91"/>
      <c r="D4067" s="91"/>
      <c r="E4067" s="91"/>
      <c r="G4067" s="213"/>
      <c r="H4067" s="222"/>
    </row>
    <row r="4068" spans="1:9" s="212" customFormat="1">
      <c r="A4068" s="120"/>
      <c r="B4068" s="73"/>
      <c r="C4068" s="73"/>
      <c r="D4068" s="73"/>
      <c r="E4068" s="73"/>
      <c r="G4068" s="73"/>
      <c r="H4068" s="222"/>
    </row>
    <row r="4069" spans="1:9" s="212" customFormat="1">
      <c r="A4069" s="220"/>
      <c r="B4069" s="141"/>
      <c r="C4069" s="141"/>
      <c r="D4069" s="141"/>
      <c r="E4069" s="141"/>
      <c r="F4069" s="141"/>
      <c r="G4069" s="141"/>
      <c r="H4069" s="222"/>
    </row>
    <row r="4070" spans="1:9" s="212" customFormat="1">
      <c r="A4070" s="142"/>
      <c r="B4070" s="143"/>
      <c r="C4070" s="143"/>
      <c r="D4070" s="143"/>
      <c r="E4070" s="143"/>
      <c r="F4070" s="84"/>
      <c r="G4070" s="146"/>
      <c r="H4070" s="221"/>
    </row>
    <row r="4071" spans="1:9" s="212" customFormat="1">
      <c r="A4071" s="123"/>
      <c r="B4071" s="95"/>
      <c r="C4071" s="95"/>
      <c r="D4071" s="95"/>
      <c r="E4071" s="95"/>
      <c r="G4071" s="213"/>
      <c r="H4071" s="73"/>
    </row>
    <row r="4072" spans="1:9" s="212" customFormat="1">
      <c r="A4072" s="123"/>
      <c r="B4072" s="95"/>
      <c r="C4072" s="95"/>
      <c r="D4072" s="95"/>
      <c r="E4072" s="95"/>
      <c r="G4072" s="73"/>
      <c r="H4072" s="225"/>
    </row>
    <row r="4073" spans="1:9" s="212" customFormat="1">
      <c r="B4073" s="97"/>
      <c r="C4073" s="98"/>
      <c r="D4073" s="98"/>
      <c r="E4073" s="98"/>
      <c r="G4073" s="220"/>
    </row>
    <row r="4074" spans="1:9" s="212" customFormat="1">
      <c r="B4074" s="97"/>
      <c r="C4074" s="98"/>
      <c r="D4074" s="98"/>
      <c r="E4074" s="98"/>
      <c r="F4074" s="220"/>
      <c r="G4074" s="225"/>
      <c r="H4074" s="226"/>
    </row>
    <row r="4075" spans="1:9" s="212" customFormat="1">
      <c r="A4075" s="633"/>
      <c r="B4075" s="633"/>
      <c r="C4075" s="633"/>
      <c r="D4075" s="633"/>
      <c r="E4075" s="633"/>
      <c r="F4075" s="633"/>
      <c r="G4075" s="633"/>
    </row>
    <row r="4076" spans="1:9" s="212" customFormat="1">
      <c r="H4076" s="227"/>
      <c r="I4076" s="228"/>
    </row>
    <row r="4077" spans="1:9" s="212" customFormat="1">
      <c r="A4077" s="658"/>
      <c r="B4077" s="227"/>
      <c r="C4077" s="227"/>
      <c r="D4077" s="227"/>
      <c r="E4077" s="227"/>
      <c r="F4077" s="227"/>
      <c r="G4077" s="227"/>
      <c r="H4077" s="227"/>
      <c r="I4077" s="229"/>
    </row>
    <row r="4078" spans="1:9" s="212" customFormat="1">
      <c r="A4078" s="658"/>
      <c r="B4078" s="227"/>
      <c r="C4078" s="227"/>
      <c r="D4078" s="227"/>
      <c r="E4078" s="227"/>
      <c r="F4078" s="227"/>
      <c r="G4078" s="227"/>
    </row>
    <row r="4079" spans="1:9" s="212" customFormat="1">
      <c r="A4079" s="69"/>
      <c r="B4079" s="69"/>
      <c r="C4079" s="69"/>
      <c r="D4079" s="69"/>
      <c r="E4079" s="69"/>
    </row>
    <row r="4080" spans="1:9" s="212" customFormat="1">
      <c r="A4080" s="120"/>
      <c r="B4080" s="73"/>
      <c r="C4080" s="73"/>
      <c r="D4080" s="73"/>
      <c r="E4080" s="73"/>
      <c r="F4080" s="73"/>
      <c r="G4080" s="73"/>
      <c r="H4080" s="73"/>
    </row>
    <row r="4081" spans="1:8" s="212" customFormat="1">
      <c r="A4081" s="220"/>
      <c r="B4081" s="141"/>
      <c r="C4081" s="141"/>
      <c r="D4081" s="141"/>
      <c r="E4081" s="141"/>
      <c r="F4081" s="141"/>
      <c r="G4081" s="141"/>
      <c r="H4081" s="73"/>
    </row>
    <row r="4082" spans="1:8" s="212" customFormat="1">
      <c r="A4082" s="150"/>
      <c r="B4082" s="83"/>
      <c r="C4082" s="148"/>
      <c r="D4082" s="84"/>
      <c r="E4082" s="84"/>
      <c r="F4082" s="84"/>
      <c r="G4082" s="224"/>
      <c r="H4082" s="73"/>
    </row>
    <row r="4083" spans="1:8" s="212" customFormat="1">
      <c r="A4083" s="150"/>
      <c r="B4083" s="83"/>
      <c r="C4083" s="148"/>
      <c r="D4083" s="84"/>
      <c r="E4083" s="84"/>
      <c r="F4083" s="84"/>
      <c r="G4083" s="224"/>
      <c r="H4083" s="73"/>
    </row>
    <row r="4084" spans="1:8" s="212" customFormat="1">
      <c r="A4084" s="150"/>
      <c r="B4084" s="83"/>
      <c r="C4084" s="148"/>
      <c r="D4084" s="84"/>
      <c r="E4084" s="84"/>
      <c r="F4084" s="84"/>
      <c r="G4084" s="224"/>
      <c r="H4084" s="73"/>
    </row>
    <row r="4085" spans="1:8" s="212" customFormat="1">
      <c r="A4085" s="150"/>
      <c r="B4085" s="83"/>
      <c r="C4085" s="148"/>
      <c r="D4085" s="84"/>
      <c r="E4085" s="84"/>
      <c r="F4085" s="84"/>
      <c r="G4085" s="224"/>
      <c r="H4085" s="73"/>
    </row>
    <row r="4086" spans="1:8" s="212" customFormat="1">
      <c r="A4086" s="150"/>
      <c r="B4086" s="83"/>
      <c r="C4086" s="148"/>
      <c r="D4086" s="84"/>
      <c r="E4086" s="84"/>
      <c r="F4086" s="84"/>
      <c r="G4086" s="224"/>
      <c r="H4086" s="221"/>
    </row>
    <row r="4087" spans="1:8" s="212" customFormat="1">
      <c r="A4087" s="84"/>
      <c r="B4087" s="83"/>
      <c r="C4087" s="84"/>
      <c r="D4087" s="84"/>
      <c r="E4087" s="84"/>
      <c r="G4087" s="213"/>
      <c r="H4087" s="222"/>
    </row>
    <row r="4088" spans="1:8" s="212" customFormat="1">
      <c r="A4088" s="120"/>
      <c r="B4088" s="73"/>
      <c r="C4088" s="73"/>
      <c r="D4088" s="73"/>
      <c r="E4088" s="73"/>
      <c r="G4088" s="73"/>
      <c r="H4088" s="222"/>
    </row>
    <row r="4089" spans="1:8" s="212" customFormat="1">
      <c r="A4089" s="220"/>
      <c r="B4089" s="141"/>
      <c r="C4089" s="141"/>
      <c r="D4089" s="141"/>
      <c r="E4089" s="141"/>
      <c r="F4089" s="141"/>
      <c r="G4089" s="141"/>
      <c r="H4089" s="222"/>
    </row>
    <row r="4090" spans="1:8" s="212" customFormat="1">
      <c r="A4090" s="150"/>
      <c r="B4090" s="83"/>
      <c r="C4090" s="148"/>
      <c r="D4090" s="84"/>
      <c r="E4090" s="84"/>
      <c r="F4090" s="84"/>
      <c r="G4090" s="224"/>
      <c r="H4090" s="222"/>
    </row>
    <row r="4091" spans="1:8" s="212" customFormat="1">
      <c r="A4091" s="150"/>
      <c r="B4091" s="83"/>
      <c r="C4091" s="148"/>
      <c r="D4091" s="84"/>
      <c r="E4091" s="84"/>
      <c r="F4091" s="84"/>
      <c r="G4091" s="224"/>
      <c r="H4091" s="222"/>
    </row>
    <row r="4092" spans="1:8" s="212" customFormat="1">
      <c r="A4092" s="150"/>
      <c r="B4092" s="83"/>
      <c r="C4092" s="148"/>
      <c r="D4092" s="84"/>
      <c r="E4092" s="84"/>
      <c r="F4092" s="84"/>
      <c r="G4092" s="224"/>
      <c r="H4092" s="222"/>
    </row>
    <row r="4093" spans="1:8" s="212" customFormat="1">
      <c r="A4093" s="150"/>
      <c r="B4093" s="83"/>
      <c r="C4093" s="148"/>
      <c r="D4093" s="84"/>
      <c r="E4093" s="84"/>
      <c r="F4093" s="84"/>
      <c r="G4093" s="224"/>
      <c r="H4093" s="222"/>
    </row>
    <row r="4094" spans="1:8" s="212" customFormat="1">
      <c r="A4094" s="150"/>
      <c r="B4094" s="83"/>
      <c r="C4094" s="148"/>
      <c r="D4094" s="84"/>
      <c r="E4094" s="84"/>
      <c r="F4094" s="84"/>
      <c r="G4094" s="224"/>
      <c r="H4094" s="222"/>
    </row>
    <row r="4095" spans="1:8" s="212" customFormat="1">
      <c r="A4095" s="150"/>
      <c r="B4095" s="83"/>
      <c r="C4095" s="148"/>
      <c r="D4095" s="84"/>
      <c r="E4095" s="84"/>
      <c r="F4095" s="84"/>
      <c r="G4095" s="224"/>
      <c r="H4095" s="222"/>
    </row>
    <row r="4096" spans="1:8" s="212" customFormat="1">
      <c r="A4096" s="150"/>
      <c r="B4096" s="83"/>
      <c r="C4096" s="148"/>
      <c r="D4096" s="84"/>
      <c r="E4096" s="84"/>
      <c r="F4096" s="84"/>
      <c r="G4096" s="224"/>
      <c r="H4096" s="221"/>
    </row>
    <row r="4097" spans="1:9" s="212" customFormat="1">
      <c r="A4097" s="91"/>
      <c r="B4097" s="91"/>
      <c r="C4097" s="91"/>
      <c r="D4097" s="91"/>
      <c r="E4097" s="91"/>
      <c r="G4097" s="213"/>
      <c r="H4097" s="222"/>
    </row>
    <row r="4098" spans="1:9" s="212" customFormat="1">
      <c r="A4098" s="120"/>
      <c r="B4098" s="73"/>
      <c r="C4098" s="73"/>
      <c r="D4098" s="73"/>
      <c r="E4098" s="73"/>
      <c r="G4098" s="73"/>
      <c r="H4098" s="222"/>
    </row>
    <row r="4099" spans="1:9" s="212" customFormat="1">
      <c r="A4099" s="220"/>
      <c r="B4099" s="141"/>
      <c r="C4099" s="141"/>
      <c r="D4099" s="141"/>
      <c r="E4099" s="141"/>
      <c r="F4099" s="141"/>
      <c r="G4099" s="141"/>
      <c r="H4099" s="222"/>
    </row>
    <row r="4100" spans="1:9" s="212" customFormat="1">
      <c r="A4100" s="146"/>
      <c r="B4100" s="83"/>
      <c r="C4100" s="148"/>
      <c r="D4100" s="84"/>
      <c r="E4100" s="84"/>
      <c r="F4100" s="84"/>
      <c r="G4100" s="146"/>
      <c r="H4100" s="222"/>
    </row>
    <row r="4101" spans="1:9" s="212" customFormat="1">
      <c r="A4101" s="146"/>
      <c r="B4101" s="83"/>
      <c r="C4101" s="148"/>
      <c r="D4101" s="84"/>
      <c r="E4101" s="84"/>
      <c r="F4101" s="84"/>
      <c r="G4101" s="146"/>
      <c r="H4101" s="221"/>
    </row>
    <row r="4102" spans="1:9" s="212" customFormat="1">
      <c r="A4102" s="91"/>
      <c r="B4102" s="91"/>
      <c r="C4102" s="91"/>
      <c r="D4102" s="91"/>
      <c r="E4102" s="91"/>
      <c r="G4102" s="213"/>
      <c r="H4102" s="222"/>
    </row>
    <row r="4103" spans="1:9" s="212" customFormat="1">
      <c r="A4103" s="120"/>
      <c r="B4103" s="73"/>
      <c r="C4103" s="73"/>
      <c r="D4103" s="73"/>
      <c r="E4103" s="73"/>
      <c r="G4103" s="73"/>
      <c r="H4103" s="222"/>
    </row>
    <row r="4104" spans="1:9" s="212" customFormat="1">
      <c r="A4104" s="220"/>
      <c r="B4104" s="141"/>
      <c r="C4104" s="141"/>
      <c r="D4104" s="141"/>
      <c r="E4104" s="141"/>
      <c r="F4104" s="141"/>
      <c r="G4104" s="141"/>
      <c r="H4104" s="222"/>
    </row>
    <row r="4105" spans="1:9" s="212" customFormat="1">
      <c r="A4105" s="142"/>
      <c r="B4105" s="143"/>
      <c r="C4105" s="143"/>
      <c r="D4105" s="143"/>
      <c r="E4105" s="143"/>
      <c r="F4105" s="84"/>
      <c r="G4105" s="146"/>
      <c r="H4105" s="221"/>
    </row>
    <row r="4106" spans="1:9" s="212" customFormat="1">
      <c r="A4106" s="123"/>
      <c r="B4106" s="95"/>
      <c r="C4106" s="95"/>
      <c r="D4106" s="95"/>
      <c r="E4106" s="95"/>
      <c r="G4106" s="213"/>
      <c r="H4106" s="73"/>
    </row>
    <row r="4107" spans="1:9" s="212" customFormat="1">
      <c r="A4107" s="123"/>
      <c r="B4107" s="95"/>
      <c r="C4107" s="95"/>
      <c r="D4107" s="95"/>
      <c r="E4107" s="95"/>
      <c r="G4107" s="73"/>
      <c r="H4107" s="225"/>
    </row>
    <row r="4108" spans="1:9" s="212" customFormat="1">
      <c r="B4108" s="97"/>
      <c r="C4108" s="98"/>
      <c r="D4108" s="98"/>
      <c r="E4108" s="98"/>
      <c r="G4108" s="220"/>
    </row>
    <row r="4109" spans="1:9" s="212" customFormat="1">
      <c r="B4109" s="97"/>
      <c r="C4109" s="98"/>
      <c r="D4109" s="98"/>
      <c r="E4109" s="98"/>
      <c r="F4109" s="220"/>
      <c r="G4109" s="225"/>
      <c r="H4109" s="226"/>
    </row>
    <row r="4110" spans="1:9" s="212" customFormat="1">
      <c r="A4110" s="633"/>
      <c r="B4110" s="633"/>
      <c r="C4110" s="633"/>
      <c r="D4110" s="633"/>
      <c r="E4110" s="633"/>
      <c r="F4110" s="633"/>
      <c r="G4110" s="633"/>
    </row>
    <row r="4111" spans="1:9" s="212" customFormat="1">
      <c r="H4111" s="227"/>
      <c r="I4111" s="228"/>
    </row>
    <row r="4112" spans="1:9" s="212" customFormat="1">
      <c r="A4112" s="658"/>
      <c r="B4112" s="227"/>
      <c r="C4112" s="227"/>
      <c r="D4112" s="227"/>
      <c r="E4112" s="227"/>
      <c r="F4112" s="227"/>
      <c r="G4112" s="227"/>
      <c r="H4112" s="227"/>
      <c r="I4112" s="229"/>
    </row>
    <row r="4113" spans="1:8" s="212" customFormat="1">
      <c r="A4113" s="658"/>
      <c r="B4113" s="227"/>
      <c r="C4113" s="227"/>
      <c r="D4113" s="227"/>
      <c r="E4113" s="227"/>
      <c r="F4113" s="227"/>
      <c r="G4113" s="227"/>
    </row>
    <row r="4114" spans="1:8" s="212" customFormat="1">
      <c r="A4114" s="69"/>
      <c r="B4114" s="69"/>
      <c r="C4114" s="69"/>
      <c r="D4114" s="69"/>
      <c r="E4114" s="69"/>
    </row>
    <row r="4115" spans="1:8" s="212" customFormat="1">
      <c r="A4115" s="120"/>
      <c r="B4115" s="73"/>
      <c r="C4115" s="73"/>
      <c r="D4115" s="73"/>
      <c r="E4115" s="73"/>
      <c r="F4115" s="73"/>
      <c r="G4115" s="73"/>
      <c r="H4115" s="73"/>
    </row>
    <row r="4116" spans="1:8" s="212" customFormat="1">
      <c r="A4116" s="220"/>
      <c r="B4116" s="141"/>
      <c r="C4116" s="141"/>
      <c r="D4116" s="141"/>
      <c r="E4116" s="141"/>
      <c r="F4116" s="141"/>
      <c r="G4116" s="141"/>
      <c r="H4116" s="73"/>
    </row>
    <row r="4117" spans="1:8" s="212" customFormat="1">
      <c r="A4117" s="150"/>
      <c r="B4117" s="83"/>
      <c r="C4117" s="148"/>
      <c r="D4117" s="84"/>
      <c r="E4117" s="84"/>
      <c r="F4117" s="84"/>
      <c r="G4117" s="224"/>
      <c r="H4117" s="73"/>
    </row>
    <row r="4118" spans="1:8" s="212" customFormat="1">
      <c r="A4118" s="150"/>
      <c r="B4118" s="83"/>
      <c r="C4118" s="148"/>
      <c r="D4118" s="84"/>
      <c r="E4118" s="84"/>
      <c r="F4118" s="84"/>
      <c r="G4118" s="224"/>
      <c r="H4118" s="73"/>
    </row>
    <row r="4119" spans="1:8" s="212" customFormat="1">
      <c r="A4119" s="150"/>
      <c r="B4119" s="83"/>
      <c r="C4119" s="148"/>
      <c r="D4119" s="84"/>
      <c r="E4119" s="84"/>
      <c r="F4119" s="84"/>
      <c r="G4119" s="224"/>
      <c r="H4119" s="221"/>
    </row>
    <row r="4120" spans="1:8" s="212" customFormat="1">
      <c r="A4120" s="84"/>
      <c r="B4120" s="83"/>
      <c r="C4120" s="84"/>
      <c r="D4120" s="84"/>
      <c r="E4120" s="84"/>
      <c r="G4120" s="213"/>
      <c r="H4120" s="222"/>
    </row>
    <row r="4121" spans="1:8" s="212" customFormat="1">
      <c r="A4121" s="120"/>
      <c r="B4121" s="73"/>
      <c r="C4121" s="73"/>
      <c r="D4121" s="73"/>
      <c r="E4121" s="73"/>
      <c r="G4121" s="73"/>
      <c r="H4121" s="222"/>
    </row>
    <row r="4122" spans="1:8" s="212" customFormat="1">
      <c r="A4122" s="220"/>
      <c r="B4122" s="141"/>
      <c r="C4122" s="141"/>
      <c r="D4122" s="141"/>
      <c r="E4122" s="141"/>
      <c r="F4122" s="141"/>
      <c r="G4122" s="141"/>
      <c r="H4122" s="222"/>
    </row>
    <row r="4123" spans="1:8" s="212" customFormat="1">
      <c r="A4123" s="150"/>
      <c r="B4123" s="83"/>
      <c r="C4123" s="148"/>
      <c r="D4123" s="84"/>
      <c r="E4123" s="84"/>
      <c r="F4123" s="84"/>
      <c r="G4123" s="224"/>
      <c r="H4123" s="222"/>
    </row>
    <row r="4124" spans="1:8" s="212" customFormat="1">
      <c r="A4124" s="150"/>
      <c r="B4124" s="83"/>
      <c r="C4124" s="148"/>
      <c r="D4124" s="84"/>
      <c r="E4124" s="84"/>
      <c r="F4124" s="84"/>
      <c r="G4124" s="224"/>
      <c r="H4124" s="221"/>
    </row>
    <row r="4125" spans="1:8" s="212" customFormat="1">
      <c r="A4125" s="91"/>
      <c r="B4125" s="91"/>
      <c r="C4125" s="91"/>
      <c r="D4125" s="91"/>
      <c r="E4125" s="91"/>
      <c r="G4125" s="213"/>
      <c r="H4125" s="222"/>
    </row>
    <row r="4126" spans="1:8" s="212" customFormat="1">
      <c r="A4126" s="120"/>
      <c r="B4126" s="73"/>
      <c r="C4126" s="73"/>
      <c r="D4126" s="73"/>
      <c r="E4126" s="73"/>
      <c r="G4126" s="73"/>
      <c r="H4126" s="222"/>
    </row>
    <row r="4127" spans="1:8" s="212" customFormat="1">
      <c r="A4127" s="220"/>
      <c r="B4127" s="141"/>
      <c r="C4127" s="141"/>
      <c r="D4127" s="141"/>
      <c r="E4127" s="141"/>
      <c r="F4127" s="141"/>
      <c r="G4127" s="141"/>
      <c r="H4127" s="222"/>
    </row>
    <row r="4128" spans="1:8" s="212" customFormat="1">
      <c r="A4128" s="146"/>
      <c r="B4128" s="83"/>
      <c r="C4128" s="148"/>
      <c r="D4128" s="84"/>
      <c r="E4128" s="84"/>
      <c r="F4128" s="84"/>
      <c r="G4128" s="146"/>
      <c r="H4128" s="221"/>
    </row>
    <row r="4129" spans="1:9" s="212" customFormat="1">
      <c r="A4129" s="91"/>
      <c r="B4129" s="91"/>
      <c r="C4129" s="91"/>
      <c r="D4129" s="91"/>
      <c r="E4129" s="91"/>
      <c r="G4129" s="213"/>
      <c r="H4129" s="222"/>
    </row>
    <row r="4130" spans="1:9" s="212" customFormat="1">
      <c r="A4130" s="120"/>
      <c r="B4130" s="73"/>
      <c r="C4130" s="73"/>
      <c r="D4130" s="73"/>
      <c r="E4130" s="73"/>
      <c r="G4130" s="73"/>
      <c r="H4130" s="222"/>
    </row>
    <row r="4131" spans="1:9" s="212" customFormat="1">
      <c r="A4131" s="220"/>
      <c r="B4131" s="141"/>
      <c r="C4131" s="141"/>
      <c r="D4131" s="141"/>
      <c r="E4131" s="141"/>
      <c r="F4131" s="141"/>
      <c r="G4131" s="141"/>
      <c r="H4131" s="222"/>
    </row>
    <row r="4132" spans="1:9" s="212" customFormat="1">
      <c r="A4132" s="142"/>
      <c r="B4132" s="143"/>
      <c r="C4132" s="143"/>
      <c r="D4132" s="143"/>
      <c r="E4132" s="143"/>
      <c r="F4132" s="84"/>
      <c r="G4132" s="146"/>
      <c r="H4132" s="221"/>
    </row>
    <row r="4133" spans="1:9" s="212" customFormat="1">
      <c r="A4133" s="123"/>
      <c r="B4133" s="95"/>
      <c r="C4133" s="95"/>
      <c r="D4133" s="95"/>
      <c r="E4133" s="95"/>
      <c r="G4133" s="213"/>
      <c r="H4133" s="73"/>
    </row>
    <row r="4134" spans="1:9" s="212" customFormat="1">
      <c r="A4134" s="123"/>
      <c r="B4134" s="95"/>
      <c r="C4134" s="95"/>
      <c r="D4134" s="95"/>
      <c r="E4134" s="95"/>
      <c r="G4134" s="73"/>
      <c r="H4134" s="225"/>
    </row>
    <row r="4135" spans="1:9" s="212" customFormat="1">
      <c r="B4135" s="97"/>
      <c r="C4135" s="98"/>
      <c r="D4135" s="98"/>
      <c r="E4135" s="98"/>
      <c r="G4135" s="220"/>
    </row>
    <row r="4136" spans="1:9" s="212" customFormat="1">
      <c r="B4136" s="97"/>
      <c r="C4136" s="98"/>
      <c r="D4136" s="98"/>
      <c r="E4136" s="98"/>
      <c r="F4136" s="220"/>
      <c r="G4136" s="225"/>
      <c r="H4136" s="226"/>
    </row>
    <row r="4137" spans="1:9" s="212" customFormat="1">
      <c r="A4137" s="633"/>
      <c r="B4137" s="633"/>
      <c r="C4137" s="633"/>
      <c r="D4137" s="633"/>
      <c r="E4137" s="633"/>
      <c r="F4137" s="633"/>
      <c r="G4137" s="633"/>
    </row>
    <row r="4138" spans="1:9" s="212" customFormat="1">
      <c r="H4138" s="227"/>
      <c r="I4138" s="228"/>
    </row>
    <row r="4139" spans="1:9" s="212" customFormat="1">
      <c r="A4139" s="658"/>
      <c r="B4139" s="227"/>
      <c r="C4139" s="227"/>
      <c r="D4139" s="227"/>
      <c r="E4139" s="227"/>
      <c r="F4139" s="227"/>
      <c r="G4139" s="227"/>
      <c r="H4139" s="227"/>
      <c r="I4139" s="229"/>
    </row>
    <row r="4140" spans="1:9" s="212" customFormat="1">
      <c r="A4140" s="658"/>
      <c r="B4140" s="227"/>
      <c r="C4140" s="227"/>
      <c r="D4140" s="227"/>
      <c r="E4140" s="227"/>
      <c r="F4140" s="227"/>
      <c r="G4140" s="227"/>
    </row>
    <row r="4141" spans="1:9" s="212" customFormat="1">
      <c r="A4141" s="69"/>
      <c r="B4141" s="69"/>
      <c r="C4141" s="69"/>
      <c r="D4141" s="69"/>
      <c r="E4141" s="69"/>
    </row>
    <row r="4142" spans="1:9" s="212" customFormat="1">
      <c r="A4142" s="120"/>
      <c r="B4142" s="73"/>
      <c r="C4142" s="73"/>
      <c r="D4142" s="73"/>
      <c r="E4142" s="73"/>
      <c r="F4142" s="73"/>
      <c r="G4142" s="73"/>
      <c r="H4142" s="73"/>
    </row>
    <row r="4143" spans="1:9" s="212" customFormat="1">
      <c r="A4143" s="220"/>
      <c r="B4143" s="141"/>
      <c r="C4143" s="141"/>
      <c r="D4143" s="141"/>
      <c r="E4143" s="141"/>
      <c r="F4143" s="141"/>
      <c r="G4143" s="141"/>
      <c r="H4143" s="73"/>
    </row>
    <row r="4144" spans="1:9" s="212" customFormat="1">
      <c r="A4144" s="150"/>
      <c r="B4144" s="83"/>
      <c r="C4144" s="148"/>
      <c r="D4144" s="84"/>
      <c r="E4144" s="84"/>
      <c r="F4144" s="84"/>
      <c r="G4144" s="224"/>
      <c r="H4144" s="221"/>
    </row>
    <row r="4145" spans="1:8" s="212" customFormat="1">
      <c r="A4145" s="84"/>
      <c r="B4145" s="83"/>
      <c r="C4145" s="84"/>
      <c r="D4145" s="84"/>
      <c r="E4145" s="84"/>
      <c r="G4145" s="213"/>
      <c r="H4145" s="222"/>
    </row>
    <row r="4146" spans="1:8" s="212" customFormat="1">
      <c r="A4146" s="120"/>
      <c r="B4146" s="73"/>
      <c r="C4146" s="73"/>
      <c r="D4146" s="73"/>
      <c r="E4146" s="73"/>
      <c r="G4146" s="73"/>
      <c r="H4146" s="222"/>
    </row>
    <row r="4147" spans="1:8" s="212" customFormat="1">
      <c r="A4147" s="220"/>
      <c r="B4147" s="141"/>
      <c r="C4147" s="141"/>
      <c r="D4147" s="141"/>
      <c r="E4147" s="141"/>
      <c r="F4147" s="141"/>
      <c r="G4147" s="141"/>
      <c r="H4147" s="222"/>
    </row>
    <row r="4148" spans="1:8" s="212" customFormat="1">
      <c r="A4148" s="150"/>
      <c r="B4148" s="83"/>
      <c r="C4148" s="148"/>
      <c r="D4148" s="84"/>
      <c r="E4148" s="84"/>
      <c r="F4148" s="84"/>
      <c r="G4148" s="224"/>
      <c r="H4148" s="222"/>
    </row>
    <row r="4149" spans="1:8" s="212" customFormat="1">
      <c r="A4149" s="150"/>
      <c r="B4149" s="83"/>
      <c r="C4149" s="148"/>
      <c r="D4149" s="84"/>
      <c r="E4149" s="84"/>
      <c r="F4149" s="84"/>
      <c r="G4149" s="224"/>
      <c r="H4149" s="222"/>
    </row>
    <row r="4150" spans="1:8" s="212" customFormat="1">
      <c r="A4150" s="150"/>
      <c r="B4150" s="83"/>
      <c r="C4150" s="148"/>
      <c r="D4150" s="84"/>
      <c r="E4150" s="84"/>
      <c r="F4150" s="84"/>
      <c r="G4150" s="224"/>
      <c r="H4150" s="221"/>
    </row>
    <row r="4151" spans="1:8" s="212" customFormat="1">
      <c r="A4151" s="91"/>
      <c r="B4151" s="91"/>
      <c r="C4151" s="91"/>
      <c r="D4151" s="91"/>
      <c r="E4151" s="91"/>
      <c r="G4151" s="213"/>
      <c r="H4151" s="222"/>
    </row>
    <row r="4152" spans="1:8" s="212" customFormat="1">
      <c r="A4152" s="120"/>
      <c r="B4152" s="73"/>
      <c r="C4152" s="73"/>
      <c r="D4152" s="73"/>
      <c r="E4152" s="73"/>
      <c r="G4152" s="73"/>
      <c r="H4152" s="222"/>
    </row>
    <row r="4153" spans="1:8" s="212" customFormat="1">
      <c r="A4153" s="220"/>
      <c r="B4153" s="141"/>
      <c r="C4153" s="141"/>
      <c r="D4153" s="141"/>
      <c r="E4153" s="141"/>
      <c r="F4153" s="141"/>
      <c r="G4153" s="141"/>
      <c r="H4153" s="222"/>
    </row>
    <row r="4154" spans="1:8" s="212" customFormat="1">
      <c r="A4154" s="146"/>
      <c r="B4154" s="83"/>
      <c r="C4154" s="148"/>
      <c r="D4154" s="84"/>
      <c r="E4154" s="84"/>
      <c r="F4154" s="84"/>
      <c r="G4154" s="146"/>
      <c r="H4154" s="221"/>
    </row>
    <row r="4155" spans="1:8" s="212" customFormat="1">
      <c r="A4155" s="91"/>
      <c r="B4155" s="91"/>
      <c r="C4155" s="91"/>
      <c r="D4155" s="91"/>
      <c r="E4155" s="91"/>
      <c r="G4155" s="213"/>
      <c r="H4155" s="222"/>
    </row>
    <row r="4156" spans="1:8" s="212" customFormat="1">
      <c r="A4156" s="120"/>
      <c r="B4156" s="73"/>
      <c r="C4156" s="73"/>
      <c r="D4156" s="73"/>
      <c r="E4156" s="73"/>
      <c r="G4156" s="73"/>
      <c r="H4156" s="222"/>
    </row>
    <row r="4157" spans="1:8" s="212" customFormat="1">
      <c r="A4157" s="220"/>
      <c r="B4157" s="141"/>
      <c r="C4157" s="141"/>
      <c r="D4157" s="141"/>
      <c r="E4157" s="141"/>
      <c r="F4157" s="141"/>
      <c r="G4157" s="141"/>
      <c r="H4157" s="222"/>
    </row>
    <row r="4158" spans="1:8" s="212" customFormat="1">
      <c r="A4158" s="142"/>
      <c r="B4158" s="143"/>
      <c r="C4158" s="143"/>
      <c r="D4158" s="143"/>
      <c r="E4158" s="143"/>
      <c r="F4158" s="84"/>
      <c r="G4158" s="146"/>
      <c r="H4158" s="221"/>
    </row>
    <row r="4159" spans="1:8" s="212" customFormat="1">
      <c r="A4159" s="123"/>
      <c r="B4159" s="95"/>
      <c r="C4159" s="95"/>
      <c r="D4159" s="95"/>
      <c r="E4159" s="95"/>
      <c r="G4159" s="213"/>
      <c r="H4159" s="73"/>
    </row>
    <row r="4160" spans="1:8" s="212" customFormat="1">
      <c r="A4160" s="123"/>
      <c r="B4160" s="95"/>
      <c r="C4160" s="95"/>
      <c r="D4160" s="95"/>
      <c r="E4160" s="95"/>
      <c r="G4160" s="73"/>
      <c r="H4160" s="225"/>
    </row>
    <row r="4161" spans="1:9" s="212" customFormat="1">
      <c r="B4161" s="97"/>
      <c r="C4161" s="98"/>
      <c r="D4161" s="98"/>
      <c r="E4161" s="98"/>
      <c r="G4161" s="220"/>
    </row>
    <row r="4162" spans="1:9" s="212" customFormat="1">
      <c r="B4162" s="97"/>
      <c r="C4162" s="98"/>
      <c r="D4162" s="98"/>
      <c r="E4162" s="98"/>
      <c r="F4162" s="220"/>
      <c r="G4162" s="225"/>
      <c r="H4162" s="226"/>
    </row>
    <row r="4163" spans="1:9" s="212" customFormat="1">
      <c r="A4163" s="633"/>
      <c r="B4163" s="633"/>
      <c r="C4163" s="633"/>
      <c r="D4163" s="633"/>
      <c r="E4163" s="633"/>
      <c r="F4163" s="633"/>
      <c r="G4163" s="633"/>
    </row>
    <row r="4164" spans="1:9" s="212" customFormat="1">
      <c r="H4164" s="227"/>
      <c r="I4164" s="228"/>
    </row>
    <row r="4165" spans="1:9" s="212" customFormat="1">
      <c r="A4165" s="658"/>
      <c r="B4165" s="227"/>
      <c r="C4165" s="227"/>
      <c r="D4165" s="227"/>
      <c r="E4165" s="227"/>
      <c r="F4165" s="227"/>
      <c r="G4165" s="227"/>
      <c r="H4165" s="227"/>
      <c r="I4165" s="229"/>
    </row>
    <row r="4166" spans="1:9" s="212" customFormat="1">
      <c r="A4166" s="658"/>
      <c r="B4166" s="227"/>
      <c r="C4166" s="227"/>
      <c r="D4166" s="227"/>
      <c r="E4166" s="227"/>
      <c r="F4166" s="227"/>
      <c r="G4166" s="227"/>
    </row>
    <row r="4167" spans="1:9" s="212" customFormat="1">
      <c r="A4167" s="69"/>
      <c r="B4167" s="69"/>
      <c r="C4167" s="69"/>
      <c r="D4167" s="69"/>
      <c r="E4167" s="69"/>
    </row>
    <row r="4168" spans="1:9" s="212" customFormat="1">
      <c r="A4168" s="120"/>
      <c r="B4168" s="73"/>
      <c r="C4168" s="73"/>
      <c r="D4168" s="73"/>
      <c r="E4168" s="73"/>
      <c r="F4168" s="73"/>
      <c r="G4168" s="73"/>
      <c r="H4168" s="73"/>
    </row>
    <row r="4169" spans="1:9" s="212" customFormat="1">
      <c r="A4169" s="220"/>
      <c r="B4169" s="141"/>
      <c r="C4169" s="141"/>
      <c r="D4169" s="141"/>
      <c r="E4169" s="141"/>
      <c r="F4169" s="141"/>
      <c r="G4169" s="141"/>
      <c r="H4169" s="73"/>
    </row>
    <row r="4170" spans="1:9" s="212" customFormat="1">
      <c r="A4170" s="150"/>
      <c r="B4170" s="83"/>
      <c r="C4170" s="148"/>
      <c r="D4170" s="84"/>
      <c r="E4170" s="84"/>
      <c r="F4170" s="84"/>
      <c r="G4170" s="224"/>
      <c r="H4170" s="73"/>
    </row>
    <row r="4171" spans="1:9" s="212" customFormat="1">
      <c r="A4171" s="150"/>
      <c r="B4171" s="83"/>
      <c r="C4171" s="148"/>
      <c r="D4171" s="84"/>
      <c r="E4171" s="84"/>
      <c r="F4171" s="84"/>
      <c r="G4171" s="224"/>
      <c r="H4171" s="221"/>
    </row>
    <row r="4172" spans="1:9" s="212" customFormat="1">
      <c r="A4172" s="84"/>
      <c r="B4172" s="83"/>
      <c r="C4172" s="84"/>
      <c r="D4172" s="84"/>
      <c r="E4172" s="84"/>
      <c r="G4172" s="213"/>
      <c r="H4172" s="222"/>
    </row>
    <row r="4173" spans="1:9" s="212" customFormat="1">
      <c r="A4173" s="120"/>
      <c r="B4173" s="73"/>
      <c r="C4173" s="73"/>
      <c r="D4173" s="73"/>
      <c r="E4173" s="73"/>
      <c r="G4173" s="73"/>
      <c r="H4173" s="222"/>
    </row>
    <row r="4174" spans="1:9" s="212" customFormat="1">
      <c r="A4174" s="220"/>
      <c r="B4174" s="141"/>
      <c r="C4174" s="141"/>
      <c r="D4174" s="141"/>
      <c r="E4174" s="141"/>
      <c r="F4174" s="141"/>
      <c r="G4174" s="141"/>
      <c r="H4174" s="222"/>
    </row>
    <row r="4175" spans="1:9" s="212" customFormat="1">
      <c r="A4175" s="150"/>
      <c r="B4175" s="83"/>
      <c r="C4175" s="148"/>
      <c r="D4175" s="84"/>
      <c r="E4175" s="84"/>
      <c r="F4175" s="84"/>
      <c r="G4175" s="224"/>
      <c r="H4175" s="222"/>
    </row>
    <row r="4176" spans="1:9" s="212" customFormat="1">
      <c r="A4176" s="150"/>
      <c r="B4176" s="83"/>
      <c r="C4176" s="148"/>
      <c r="D4176" s="84"/>
      <c r="E4176" s="84"/>
      <c r="F4176" s="84"/>
      <c r="G4176" s="224"/>
      <c r="H4176" s="221"/>
    </row>
    <row r="4177" spans="1:9" s="212" customFormat="1">
      <c r="A4177" s="91"/>
      <c r="B4177" s="91"/>
      <c r="C4177" s="91"/>
      <c r="D4177" s="91"/>
      <c r="E4177" s="91"/>
      <c r="G4177" s="213"/>
      <c r="H4177" s="222"/>
    </row>
    <row r="4178" spans="1:9" s="212" customFormat="1">
      <c r="A4178" s="120"/>
      <c r="B4178" s="73"/>
      <c r="C4178" s="73"/>
      <c r="D4178" s="73"/>
      <c r="E4178" s="73"/>
      <c r="G4178" s="73"/>
      <c r="H4178" s="222"/>
    </row>
    <row r="4179" spans="1:9" s="212" customFormat="1">
      <c r="A4179" s="220"/>
      <c r="B4179" s="141"/>
      <c r="C4179" s="141"/>
      <c r="D4179" s="141"/>
      <c r="E4179" s="141"/>
      <c r="F4179" s="141"/>
      <c r="G4179" s="141"/>
      <c r="H4179" s="222"/>
    </row>
    <row r="4180" spans="1:9" s="212" customFormat="1">
      <c r="A4180" s="146"/>
      <c r="B4180" s="83"/>
      <c r="C4180" s="148"/>
      <c r="D4180" s="84"/>
      <c r="E4180" s="84"/>
      <c r="F4180" s="84"/>
      <c r="G4180" s="146"/>
      <c r="H4180" s="221"/>
    </row>
    <row r="4181" spans="1:9" s="212" customFormat="1">
      <c r="A4181" s="91"/>
      <c r="B4181" s="91"/>
      <c r="C4181" s="91"/>
      <c r="D4181" s="91"/>
      <c r="E4181" s="91"/>
      <c r="G4181" s="213"/>
      <c r="H4181" s="222"/>
    </row>
    <row r="4182" spans="1:9" s="212" customFormat="1">
      <c r="A4182" s="120"/>
      <c r="B4182" s="73"/>
      <c r="C4182" s="73"/>
      <c r="D4182" s="73"/>
      <c r="E4182" s="73"/>
      <c r="G4182" s="73"/>
      <c r="H4182" s="222"/>
    </row>
    <row r="4183" spans="1:9" s="212" customFormat="1">
      <c r="A4183" s="220"/>
      <c r="B4183" s="141"/>
      <c r="C4183" s="141"/>
      <c r="D4183" s="141"/>
      <c r="E4183" s="141"/>
      <c r="F4183" s="141"/>
      <c r="G4183" s="141"/>
      <c r="H4183" s="222"/>
    </row>
    <row r="4184" spans="1:9" s="212" customFormat="1">
      <c r="A4184" s="142"/>
      <c r="B4184" s="143"/>
      <c r="C4184" s="143"/>
      <c r="D4184" s="143"/>
      <c r="E4184" s="143"/>
      <c r="F4184" s="84"/>
      <c r="G4184" s="146"/>
      <c r="H4184" s="221"/>
    </row>
    <row r="4185" spans="1:9" s="212" customFormat="1">
      <c r="A4185" s="123"/>
      <c r="B4185" s="95"/>
      <c r="C4185" s="95"/>
      <c r="D4185" s="95"/>
      <c r="E4185" s="95"/>
      <c r="G4185" s="213"/>
      <c r="H4185" s="73"/>
    </row>
    <row r="4186" spans="1:9" s="212" customFormat="1">
      <c r="A4186" s="123"/>
      <c r="B4186" s="95"/>
      <c r="C4186" s="95"/>
      <c r="D4186" s="95"/>
      <c r="E4186" s="95"/>
      <c r="G4186" s="73"/>
      <c r="H4186" s="225"/>
    </row>
    <row r="4187" spans="1:9" s="212" customFormat="1">
      <c r="B4187" s="97"/>
      <c r="C4187" s="98"/>
      <c r="D4187" s="98"/>
      <c r="E4187" s="98"/>
      <c r="G4187" s="220"/>
    </row>
    <row r="4188" spans="1:9" s="212" customFormat="1">
      <c r="B4188" s="97"/>
      <c r="C4188" s="98"/>
      <c r="D4188" s="98"/>
      <c r="E4188" s="98"/>
      <c r="F4188" s="220"/>
      <c r="G4188" s="225"/>
      <c r="H4188" s="226"/>
    </row>
    <row r="4189" spans="1:9" s="212" customFormat="1">
      <c r="A4189" s="633"/>
      <c r="B4189" s="633"/>
      <c r="C4189" s="633"/>
      <c r="D4189" s="633"/>
      <c r="E4189" s="633"/>
      <c r="F4189" s="633"/>
      <c r="G4189" s="633"/>
    </row>
    <row r="4190" spans="1:9" s="212" customFormat="1">
      <c r="H4190" s="227"/>
      <c r="I4190" s="228"/>
    </row>
    <row r="4191" spans="1:9" s="212" customFormat="1">
      <c r="A4191" s="658"/>
      <c r="B4191" s="227"/>
      <c r="C4191" s="227"/>
      <c r="D4191" s="227"/>
      <c r="E4191" s="227"/>
      <c r="F4191" s="227"/>
      <c r="G4191" s="227"/>
      <c r="H4191" s="227"/>
      <c r="I4191" s="229"/>
    </row>
    <row r="4192" spans="1:9" s="212" customFormat="1">
      <c r="A4192" s="658"/>
      <c r="B4192" s="227"/>
      <c r="C4192" s="227"/>
      <c r="D4192" s="227"/>
      <c r="E4192" s="227"/>
      <c r="F4192" s="227"/>
      <c r="G4192" s="227"/>
    </row>
    <row r="4193" spans="1:8" s="212" customFormat="1">
      <c r="A4193" s="69"/>
      <c r="B4193" s="69"/>
      <c r="C4193" s="69"/>
      <c r="D4193" s="69"/>
      <c r="E4193" s="69"/>
    </row>
    <row r="4194" spans="1:8" s="212" customFormat="1">
      <c r="A4194" s="120"/>
      <c r="B4194" s="73"/>
      <c r="C4194" s="73"/>
      <c r="D4194" s="73"/>
      <c r="E4194" s="73"/>
      <c r="F4194" s="73"/>
      <c r="G4194" s="73"/>
      <c r="H4194" s="73"/>
    </row>
    <row r="4195" spans="1:8" s="212" customFormat="1">
      <c r="A4195" s="220"/>
      <c r="B4195" s="141"/>
      <c r="C4195" s="141"/>
      <c r="D4195" s="141"/>
      <c r="E4195" s="141"/>
      <c r="F4195" s="141"/>
      <c r="G4195" s="141"/>
      <c r="H4195" s="73"/>
    </row>
    <row r="4196" spans="1:8" s="212" customFormat="1">
      <c r="A4196" s="150"/>
      <c r="B4196" s="83"/>
      <c r="C4196" s="148"/>
      <c r="D4196" s="84"/>
      <c r="E4196" s="84"/>
      <c r="F4196" s="84"/>
      <c r="G4196" s="224"/>
      <c r="H4196" s="73"/>
    </row>
    <row r="4197" spans="1:8" s="212" customFormat="1">
      <c r="A4197" s="150"/>
      <c r="B4197" s="83"/>
      <c r="C4197" s="148"/>
      <c r="D4197" s="84"/>
      <c r="E4197" s="84"/>
      <c r="F4197" s="84"/>
      <c r="G4197" s="224"/>
      <c r="H4197" s="221"/>
    </row>
    <row r="4198" spans="1:8" s="212" customFormat="1">
      <c r="A4198" s="84"/>
      <c r="B4198" s="83"/>
      <c r="C4198" s="84"/>
      <c r="D4198" s="84"/>
      <c r="E4198" s="84"/>
      <c r="G4198" s="213"/>
      <c r="H4198" s="222"/>
    </row>
    <row r="4199" spans="1:8" s="212" customFormat="1">
      <c r="A4199" s="120"/>
      <c r="B4199" s="73"/>
      <c r="C4199" s="73"/>
      <c r="D4199" s="73"/>
      <c r="E4199" s="73"/>
      <c r="G4199" s="73"/>
      <c r="H4199" s="222"/>
    </row>
    <row r="4200" spans="1:8" s="212" customFormat="1">
      <c r="A4200" s="220"/>
      <c r="B4200" s="141"/>
      <c r="C4200" s="141"/>
      <c r="D4200" s="141"/>
      <c r="E4200" s="141"/>
      <c r="F4200" s="141"/>
      <c r="G4200" s="141"/>
      <c r="H4200" s="222"/>
    </row>
    <row r="4201" spans="1:8" s="212" customFormat="1">
      <c r="A4201" s="150"/>
      <c r="B4201" s="83"/>
      <c r="C4201" s="148"/>
      <c r="D4201" s="84"/>
      <c r="E4201" s="84"/>
      <c r="F4201" s="84"/>
      <c r="G4201" s="224"/>
      <c r="H4201" s="221"/>
    </row>
    <row r="4202" spans="1:8" s="212" customFormat="1">
      <c r="A4202" s="91"/>
      <c r="B4202" s="91"/>
      <c r="C4202" s="91"/>
      <c r="D4202" s="91"/>
      <c r="E4202" s="91"/>
      <c r="G4202" s="213"/>
      <c r="H4202" s="222"/>
    </row>
    <row r="4203" spans="1:8" s="212" customFormat="1">
      <c r="A4203" s="120"/>
      <c r="B4203" s="73"/>
      <c r="C4203" s="73"/>
      <c r="D4203" s="73"/>
      <c r="E4203" s="73"/>
      <c r="G4203" s="73"/>
      <c r="H4203" s="222"/>
    </row>
    <row r="4204" spans="1:8" s="212" customFormat="1">
      <c r="A4204" s="220"/>
      <c r="B4204" s="141"/>
      <c r="C4204" s="141"/>
      <c r="D4204" s="141"/>
      <c r="E4204" s="141"/>
      <c r="F4204" s="141"/>
      <c r="G4204" s="141"/>
      <c r="H4204" s="222"/>
    </row>
    <row r="4205" spans="1:8" s="212" customFormat="1">
      <c r="A4205" s="146"/>
      <c r="B4205" s="83"/>
      <c r="C4205" s="148"/>
      <c r="D4205" s="84"/>
      <c r="E4205" s="84"/>
      <c r="F4205" s="84"/>
      <c r="G4205" s="146"/>
      <c r="H4205" s="221"/>
    </row>
    <row r="4206" spans="1:8" s="212" customFormat="1">
      <c r="A4206" s="91"/>
      <c r="B4206" s="91"/>
      <c r="C4206" s="91"/>
      <c r="D4206" s="91"/>
      <c r="E4206" s="91"/>
      <c r="G4206" s="213"/>
      <c r="H4206" s="222"/>
    </row>
    <row r="4207" spans="1:8" s="212" customFormat="1">
      <c r="A4207" s="120"/>
      <c r="B4207" s="73"/>
      <c r="C4207" s="73"/>
      <c r="D4207" s="73"/>
      <c r="E4207" s="73"/>
      <c r="G4207" s="73"/>
      <c r="H4207" s="222"/>
    </row>
    <row r="4208" spans="1:8" s="212" customFormat="1">
      <c r="A4208" s="220"/>
      <c r="B4208" s="141"/>
      <c r="C4208" s="141"/>
      <c r="D4208" s="141"/>
      <c r="E4208" s="141"/>
      <c r="F4208" s="141"/>
      <c r="G4208" s="141"/>
      <c r="H4208" s="222"/>
    </row>
    <row r="4209" spans="1:9" s="212" customFormat="1">
      <c r="A4209" s="142"/>
      <c r="B4209" s="143"/>
      <c r="C4209" s="143"/>
      <c r="D4209" s="143"/>
      <c r="E4209" s="143"/>
      <c r="F4209" s="84"/>
      <c r="G4209" s="146"/>
      <c r="H4209" s="221"/>
    </row>
    <row r="4210" spans="1:9" s="212" customFormat="1">
      <c r="A4210" s="123"/>
      <c r="B4210" s="95"/>
      <c r="C4210" s="95"/>
      <c r="D4210" s="95"/>
      <c r="E4210" s="95"/>
      <c r="G4210" s="213"/>
      <c r="H4210" s="73"/>
    </row>
    <row r="4211" spans="1:9" s="212" customFormat="1">
      <c r="A4211" s="123"/>
      <c r="B4211" s="95"/>
      <c r="C4211" s="95"/>
      <c r="D4211" s="95"/>
      <c r="E4211" s="95"/>
      <c r="G4211" s="73"/>
      <c r="H4211" s="225"/>
    </row>
    <row r="4212" spans="1:9" s="212" customFormat="1">
      <c r="B4212" s="97"/>
      <c r="C4212" s="98"/>
      <c r="D4212" s="98"/>
      <c r="E4212" s="98"/>
      <c r="G4212" s="220"/>
    </row>
    <row r="4213" spans="1:9" s="212" customFormat="1">
      <c r="B4213" s="97"/>
      <c r="C4213" s="98"/>
      <c r="D4213" s="98"/>
      <c r="E4213" s="98"/>
      <c r="F4213" s="220"/>
      <c r="G4213" s="225"/>
      <c r="H4213" s="226"/>
    </row>
    <row r="4214" spans="1:9" s="212" customFormat="1">
      <c r="A4214" s="633"/>
      <c r="B4214" s="633"/>
      <c r="C4214" s="633"/>
      <c r="D4214" s="633"/>
      <c r="E4214" s="633"/>
      <c r="F4214" s="633"/>
      <c r="G4214" s="633"/>
    </row>
    <row r="4215" spans="1:9" s="212" customFormat="1">
      <c r="H4215" s="227"/>
      <c r="I4215" s="228"/>
    </row>
    <row r="4216" spans="1:9" s="212" customFormat="1">
      <c r="A4216" s="658"/>
      <c r="B4216" s="227"/>
      <c r="C4216" s="227"/>
      <c r="D4216" s="227"/>
      <c r="E4216" s="227"/>
      <c r="F4216" s="227"/>
      <c r="G4216" s="227"/>
      <c r="H4216" s="227"/>
      <c r="I4216" s="229"/>
    </row>
    <row r="4217" spans="1:9" s="212" customFormat="1">
      <c r="A4217" s="658"/>
      <c r="B4217" s="227"/>
      <c r="C4217" s="227"/>
      <c r="D4217" s="227"/>
      <c r="E4217" s="227"/>
      <c r="F4217" s="227"/>
      <c r="G4217" s="227"/>
    </row>
    <row r="4218" spans="1:9" s="212" customFormat="1">
      <c r="A4218" s="69"/>
      <c r="B4218" s="69"/>
      <c r="C4218" s="69"/>
      <c r="D4218" s="69"/>
      <c r="E4218" s="69"/>
    </row>
    <row r="4219" spans="1:9" s="212" customFormat="1">
      <c r="A4219" s="120"/>
      <c r="B4219" s="73"/>
      <c r="C4219" s="73"/>
      <c r="D4219" s="73"/>
      <c r="E4219" s="73"/>
      <c r="F4219" s="73"/>
      <c r="G4219" s="73"/>
      <c r="H4219" s="73"/>
    </row>
    <row r="4220" spans="1:9" s="212" customFormat="1">
      <c r="A4220" s="220"/>
      <c r="B4220" s="141"/>
      <c r="C4220" s="141"/>
      <c r="D4220" s="141"/>
      <c r="E4220" s="141"/>
      <c r="F4220" s="141"/>
      <c r="G4220" s="141"/>
      <c r="H4220" s="73"/>
    </row>
    <row r="4221" spans="1:9" s="212" customFormat="1">
      <c r="A4221" s="150"/>
      <c r="B4221" s="83"/>
      <c r="C4221" s="148"/>
      <c r="D4221" s="84"/>
      <c r="E4221" s="84"/>
      <c r="F4221" s="84"/>
      <c r="G4221" s="224"/>
      <c r="H4221" s="73"/>
    </row>
    <row r="4222" spans="1:9" s="212" customFormat="1">
      <c r="A4222" s="150"/>
      <c r="B4222" s="83"/>
      <c r="C4222" s="148"/>
      <c r="D4222" s="84"/>
      <c r="E4222" s="84"/>
      <c r="F4222" s="84"/>
      <c r="G4222" s="224"/>
      <c r="H4222" s="221"/>
    </row>
    <row r="4223" spans="1:9" s="212" customFormat="1">
      <c r="A4223" s="84"/>
      <c r="B4223" s="83"/>
      <c r="C4223" s="84"/>
      <c r="D4223" s="84"/>
      <c r="E4223" s="84"/>
      <c r="G4223" s="213"/>
      <c r="H4223" s="222"/>
    </row>
    <row r="4224" spans="1:9" s="212" customFormat="1">
      <c r="A4224" s="120"/>
      <c r="B4224" s="73"/>
      <c r="C4224" s="73"/>
      <c r="D4224" s="73"/>
      <c r="E4224" s="73"/>
      <c r="G4224" s="73"/>
      <c r="H4224" s="222"/>
    </row>
    <row r="4225" spans="1:8" s="212" customFormat="1">
      <c r="A4225" s="220"/>
      <c r="B4225" s="141"/>
      <c r="C4225" s="141"/>
      <c r="D4225" s="141"/>
      <c r="E4225" s="141"/>
      <c r="F4225" s="141"/>
      <c r="G4225" s="141"/>
      <c r="H4225" s="222"/>
    </row>
    <row r="4226" spans="1:8" s="212" customFormat="1">
      <c r="A4226" s="150"/>
      <c r="B4226" s="83"/>
      <c r="C4226" s="148"/>
      <c r="D4226" s="84"/>
      <c r="E4226" s="84"/>
      <c r="F4226" s="84"/>
      <c r="G4226" s="224"/>
      <c r="H4226" s="222"/>
    </row>
    <row r="4227" spans="1:8" s="212" customFormat="1">
      <c r="A4227" s="150"/>
      <c r="B4227" s="83"/>
      <c r="C4227" s="148"/>
      <c r="D4227" s="84"/>
      <c r="E4227" s="84"/>
      <c r="F4227" s="84"/>
      <c r="G4227" s="224"/>
      <c r="H4227" s="221"/>
    </row>
    <row r="4228" spans="1:8" s="212" customFormat="1">
      <c r="A4228" s="91"/>
      <c r="B4228" s="91"/>
      <c r="C4228" s="91"/>
      <c r="D4228" s="91"/>
      <c r="E4228" s="91"/>
      <c r="G4228" s="213"/>
      <c r="H4228" s="222"/>
    </row>
    <row r="4229" spans="1:8" s="212" customFormat="1">
      <c r="A4229" s="120"/>
      <c r="B4229" s="73"/>
      <c r="C4229" s="73"/>
      <c r="D4229" s="73"/>
      <c r="E4229" s="73"/>
      <c r="G4229" s="73"/>
      <c r="H4229" s="222"/>
    </row>
    <row r="4230" spans="1:8" s="212" customFormat="1">
      <c r="A4230" s="220"/>
      <c r="B4230" s="141"/>
      <c r="C4230" s="141"/>
      <c r="D4230" s="141"/>
      <c r="E4230" s="141"/>
      <c r="F4230" s="141"/>
      <c r="G4230" s="141"/>
      <c r="H4230" s="222"/>
    </row>
    <row r="4231" spans="1:8" s="212" customFormat="1">
      <c r="A4231" s="146"/>
      <c r="B4231" s="83"/>
      <c r="C4231" s="148"/>
      <c r="D4231" s="84"/>
      <c r="E4231" s="84"/>
      <c r="F4231" s="84"/>
      <c r="G4231" s="146"/>
      <c r="H4231" s="221"/>
    </row>
    <row r="4232" spans="1:8" s="212" customFormat="1">
      <c r="A4232" s="91"/>
      <c r="B4232" s="91"/>
      <c r="C4232" s="91"/>
      <c r="D4232" s="91"/>
      <c r="E4232" s="91"/>
      <c r="G4232" s="213"/>
      <c r="H4232" s="222"/>
    </row>
    <row r="4233" spans="1:8" s="212" customFormat="1">
      <c r="A4233" s="120"/>
      <c r="B4233" s="73"/>
      <c r="C4233" s="73"/>
      <c r="D4233" s="73"/>
      <c r="E4233" s="73"/>
      <c r="G4233" s="73"/>
      <c r="H4233" s="222"/>
    </row>
    <row r="4234" spans="1:8" s="212" customFormat="1">
      <c r="A4234" s="220"/>
      <c r="B4234" s="141"/>
      <c r="C4234" s="141"/>
      <c r="D4234" s="141"/>
      <c r="E4234" s="141"/>
      <c r="F4234" s="141"/>
      <c r="G4234" s="141"/>
      <c r="H4234" s="222"/>
    </row>
    <row r="4235" spans="1:8" s="212" customFormat="1">
      <c r="A4235" s="142"/>
      <c r="B4235" s="143"/>
      <c r="C4235" s="143"/>
      <c r="D4235" s="143"/>
      <c r="E4235" s="143"/>
      <c r="F4235" s="84"/>
      <c r="G4235" s="146"/>
      <c r="H4235" s="221"/>
    </row>
    <row r="4236" spans="1:8" s="212" customFormat="1">
      <c r="A4236" s="123"/>
      <c r="B4236" s="95"/>
      <c r="C4236" s="95"/>
      <c r="D4236" s="95"/>
      <c r="E4236" s="95"/>
      <c r="G4236" s="213"/>
      <c r="H4236" s="73"/>
    </row>
    <row r="4237" spans="1:8" s="212" customFormat="1">
      <c r="A4237" s="123"/>
      <c r="B4237" s="95"/>
      <c r="C4237" s="95"/>
      <c r="D4237" s="95"/>
      <c r="E4237" s="95"/>
      <c r="G4237" s="73"/>
      <c r="H4237" s="225"/>
    </row>
    <row r="4238" spans="1:8" s="212" customFormat="1">
      <c r="B4238" s="97"/>
      <c r="C4238" s="98"/>
      <c r="D4238" s="98"/>
      <c r="E4238" s="98"/>
      <c r="G4238" s="220"/>
    </row>
    <row r="4239" spans="1:8" s="212" customFormat="1">
      <c r="B4239" s="97"/>
      <c r="C4239" s="98"/>
      <c r="D4239" s="98"/>
      <c r="E4239" s="98"/>
      <c r="F4239" s="220"/>
      <c r="G4239" s="225"/>
      <c r="H4239" s="226"/>
    </row>
    <row r="4240" spans="1:8" s="212" customFormat="1">
      <c r="A4240" s="633"/>
      <c r="B4240" s="633"/>
      <c r="C4240" s="633"/>
      <c r="D4240" s="633"/>
      <c r="E4240" s="633"/>
      <c r="F4240" s="633"/>
      <c r="G4240" s="633"/>
    </row>
    <row r="4241" spans="1:9" s="212" customFormat="1">
      <c r="H4241" s="227"/>
      <c r="I4241" s="228"/>
    </row>
    <row r="4242" spans="1:9" s="212" customFormat="1">
      <c r="A4242" s="658"/>
      <c r="B4242" s="227"/>
      <c r="C4242" s="227"/>
      <c r="D4242" s="227"/>
      <c r="E4242" s="227"/>
      <c r="F4242" s="227"/>
      <c r="G4242" s="227"/>
      <c r="H4242" s="227"/>
      <c r="I4242" s="229"/>
    </row>
    <row r="4243" spans="1:9" s="212" customFormat="1">
      <c r="A4243" s="658"/>
      <c r="B4243" s="227"/>
      <c r="C4243" s="227"/>
      <c r="D4243" s="227"/>
      <c r="E4243" s="227"/>
      <c r="F4243" s="227"/>
      <c r="G4243" s="227"/>
    </row>
    <row r="4244" spans="1:9" s="212" customFormat="1">
      <c r="A4244" s="69"/>
      <c r="B4244" s="69"/>
      <c r="C4244" s="69"/>
      <c r="D4244" s="69"/>
      <c r="E4244" s="69"/>
    </row>
    <row r="4245" spans="1:9" s="212" customFormat="1">
      <c r="A4245" s="120"/>
      <c r="B4245" s="73"/>
      <c r="C4245" s="73"/>
      <c r="D4245" s="73"/>
      <c r="E4245" s="73"/>
      <c r="F4245" s="73"/>
      <c r="G4245" s="73"/>
      <c r="H4245" s="73"/>
    </row>
    <row r="4246" spans="1:9" s="212" customFormat="1">
      <c r="A4246" s="220"/>
      <c r="B4246" s="141"/>
      <c r="C4246" s="141"/>
      <c r="D4246" s="141"/>
      <c r="E4246" s="141"/>
      <c r="F4246" s="141"/>
      <c r="G4246" s="141"/>
      <c r="H4246" s="73"/>
    </row>
    <row r="4247" spans="1:9" s="212" customFormat="1">
      <c r="A4247" s="150"/>
      <c r="B4247" s="83"/>
      <c r="C4247" s="148"/>
      <c r="D4247" s="84"/>
      <c r="E4247" s="84"/>
      <c r="F4247" s="84"/>
      <c r="G4247" s="224"/>
      <c r="H4247" s="221"/>
    </row>
    <row r="4248" spans="1:9" s="212" customFormat="1">
      <c r="A4248" s="84"/>
      <c r="B4248" s="83"/>
      <c r="C4248" s="84"/>
      <c r="D4248" s="84"/>
      <c r="E4248" s="84"/>
      <c r="G4248" s="213"/>
      <c r="H4248" s="222"/>
    </row>
    <row r="4249" spans="1:9" s="212" customFormat="1">
      <c r="A4249" s="120"/>
      <c r="B4249" s="73"/>
      <c r="C4249" s="73"/>
      <c r="D4249" s="73"/>
      <c r="E4249" s="73"/>
      <c r="G4249" s="73"/>
      <c r="H4249" s="222"/>
    </row>
    <row r="4250" spans="1:9" s="212" customFormat="1">
      <c r="A4250" s="220"/>
      <c r="B4250" s="141"/>
      <c r="C4250" s="141"/>
      <c r="D4250" s="141"/>
      <c r="E4250" s="141"/>
      <c r="F4250" s="141"/>
      <c r="G4250" s="141"/>
      <c r="H4250" s="222"/>
    </row>
    <row r="4251" spans="1:9" s="212" customFormat="1">
      <c r="A4251" s="150"/>
      <c r="B4251" s="83"/>
      <c r="C4251" s="148"/>
      <c r="D4251" s="84"/>
      <c r="E4251" s="84"/>
      <c r="F4251" s="84"/>
      <c r="G4251" s="224"/>
      <c r="H4251" s="222"/>
    </row>
    <row r="4252" spans="1:9" s="212" customFormat="1">
      <c r="A4252" s="150"/>
      <c r="B4252" s="83"/>
      <c r="C4252" s="148"/>
      <c r="D4252" s="84"/>
      <c r="E4252" s="84"/>
      <c r="F4252" s="84"/>
      <c r="G4252" s="224"/>
      <c r="H4252" s="222"/>
    </row>
    <row r="4253" spans="1:9" s="212" customFormat="1">
      <c r="A4253" s="150"/>
      <c r="B4253" s="83"/>
      <c r="C4253" s="148"/>
      <c r="D4253" s="84"/>
      <c r="E4253" s="84"/>
      <c r="F4253" s="84"/>
      <c r="G4253" s="224"/>
      <c r="H4253" s="222"/>
    </row>
    <row r="4254" spans="1:9" s="212" customFormat="1">
      <c r="A4254" s="150"/>
      <c r="B4254" s="83"/>
      <c r="C4254" s="148"/>
      <c r="D4254" s="84"/>
      <c r="E4254" s="84"/>
      <c r="F4254" s="84"/>
      <c r="G4254" s="224"/>
      <c r="H4254" s="222"/>
    </row>
    <row r="4255" spans="1:9" s="212" customFormat="1">
      <c r="A4255" s="150"/>
      <c r="B4255" s="83"/>
      <c r="C4255" s="148"/>
      <c r="D4255" s="84"/>
      <c r="E4255" s="84"/>
      <c r="F4255" s="84"/>
      <c r="G4255" s="224"/>
      <c r="H4255" s="221"/>
    </row>
    <row r="4256" spans="1:9" s="212" customFormat="1">
      <c r="A4256" s="91"/>
      <c r="B4256" s="91"/>
      <c r="C4256" s="91"/>
      <c r="D4256" s="91"/>
      <c r="E4256" s="91"/>
      <c r="G4256" s="213"/>
      <c r="H4256" s="222"/>
    </row>
    <row r="4257" spans="1:9" s="212" customFormat="1">
      <c r="A4257" s="120"/>
      <c r="B4257" s="73"/>
      <c r="C4257" s="73"/>
      <c r="D4257" s="73"/>
      <c r="E4257" s="73"/>
      <c r="G4257" s="73"/>
      <c r="H4257" s="222"/>
    </row>
    <row r="4258" spans="1:9" s="212" customFormat="1">
      <c r="A4258" s="220"/>
      <c r="B4258" s="141"/>
      <c r="C4258" s="141"/>
      <c r="D4258" s="141"/>
      <c r="E4258" s="141"/>
      <c r="F4258" s="141"/>
      <c r="G4258" s="141"/>
      <c r="H4258" s="222"/>
    </row>
    <row r="4259" spans="1:9" s="212" customFormat="1">
      <c r="A4259" s="146"/>
      <c r="B4259" s="83"/>
      <c r="C4259" s="148"/>
      <c r="D4259" s="84"/>
      <c r="E4259" s="84"/>
      <c r="F4259" s="84"/>
      <c r="G4259" s="146"/>
      <c r="H4259" s="221"/>
    </row>
    <row r="4260" spans="1:9" s="212" customFormat="1">
      <c r="A4260" s="91"/>
      <c r="B4260" s="91"/>
      <c r="C4260" s="91"/>
      <c r="D4260" s="91"/>
      <c r="E4260" s="91"/>
      <c r="G4260" s="213"/>
      <c r="H4260" s="222"/>
    </row>
    <row r="4261" spans="1:9" s="212" customFormat="1">
      <c r="A4261" s="120"/>
      <c r="B4261" s="73"/>
      <c r="C4261" s="73"/>
      <c r="D4261" s="73"/>
      <c r="E4261" s="73"/>
      <c r="G4261" s="73"/>
      <c r="H4261" s="222"/>
    </row>
    <row r="4262" spans="1:9" s="212" customFormat="1">
      <c r="A4262" s="220"/>
      <c r="B4262" s="141"/>
      <c r="C4262" s="141"/>
      <c r="D4262" s="141"/>
      <c r="E4262" s="141"/>
      <c r="F4262" s="141"/>
      <c r="G4262" s="141"/>
      <c r="H4262" s="222"/>
    </row>
    <row r="4263" spans="1:9" s="212" customFormat="1">
      <c r="A4263" s="142"/>
      <c r="B4263" s="143"/>
      <c r="C4263" s="143"/>
      <c r="D4263" s="143"/>
      <c r="E4263" s="143"/>
      <c r="F4263" s="84"/>
      <c r="G4263" s="146"/>
      <c r="H4263" s="221"/>
    </row>
    <row r="4264" spans="1:9" s="212" customFormat="1">
      <c r="A4264" s="123"/>
      <c r="B4264" s="95"/>
      <c r="C4264" s="95"/>
      <c r="D4264" s="95"/>
      <c r="E4264" s="95"/>
      <c r="G4264" s="213"/>
      <c r="H4264" s="73"/>
    </row>
    <row r="4265" spans="1:9" s="212" customFormat="1">
      <c r="A4265" s="123"/>
      <c r="B4265" s="95"/>
      <c r="C4265" s="95"/>
      <c r="D4265" s="95"/>
      <c r="E4265" s="95"/>
      <c r="G4265" s="73"/>
      <c r="H4265" s="225"/>
    </row>
    <row r="4266" spans="1:9" s="212" customFormat="1">
      <c r="B4266" s="97"/>
      <c r="C4266" s="98"/>
      <c r="D4266" s="98"/>
      <c r="E4266" s="98"/>
      <c r="G4266" s="220"/>
    </row>
    <row r="4267" spans="1:9" s="212" customFormat="1">
      <c r="B4267" s="97"/>
      <c r="C4267" s="98"/>
      <c r="D4267" s="98"/>
      <c r="E4267" s="98"/>
      <c r="F4267" s="220"/>
      <c r="G4267" s="225"/>
      <c r="H4267" s="226"/>
    </row>
    <row r="4268" spans="1:9" s="212" customFormat="1">
      <c r="A4268" s="633"/>
      <c r="B4268" s="633"/>
      <c r="C4268" s="633"/>
      <c r="D4268" s="633"/>
      <c r="E4268" s="633"/>
      <c r="F4268" s="633"/>
      <c r="G4268" s="633"/>
    </row>
    <row r="4269" spans="1:9" s="212" customFormat="1">
      <c r="H4269" s="227"/>
      <c r="I4269" s="228"/>
    </row>
    <row r="4270" spans="1:9" s="212" customFormat="1">
      <c r="A4270" s="658"/>
      <c r="B4270" s="227"/>
      <c r="C4270" s="227"/>
      <c r="D4270" s="227"/>
      <c r="E4270" s="227"/>
      <c r="F4270" s="227"/>
      <c r="G4270" s="227"/>
      <c r="H4270" s="227"/>
      <c r="I4270" s="229"/>
    </row>
    <row r="4271" spans="1:9" s="212" customFormat="1">
      <c r="A4271" s="658"/>
      <c r="B4271" s="227"/>
      <c r="C4271" s="227"/>
      <c r="D4271" s="227"/>
      <c r="E4271" s="227"/>
      <c r="F4271" s="227"/>
      <c r="G4271" s="227"/>
    </row>
    <row r="4272" spans="1:9" s="212" customFormat="1">
      <c r="A4272" s="69"/>
      <c r="B4272" s="69"/>
      <c r="C4272" s="69"/>
      <c r="D4272" s="69"/>
      <c r="E4272" s="69"/>
    </row>
    <row r="4273" spans="1:8" s="212" customFormat="1">
      <c r="A4273" s="120"/>
      <c r="B4273" s="73"/>
      <c r="C4273" s="73"/>
      <c r="D4273" s="73"/>
      <c r="E4273" s="73"/>
      <c r="F4273" s="73"/>
      <c r="G4273" s="73"/>
      <c r="H4273" s="73"/>
    </row>
    <row r="4274" spans="1:8" s="212" customFormat="1">
      <c r="A4274" s="220"/>
      <c r="B4274" s="141"/>
      <c r="C4274" s="141"/>
      <c r="D4274" s="141"/>
      <c r="E4274" s="141"/>
      <c r="F4274" s="141"/>
      <c r="G4274" s="141"/>
      <c r="H4274" s="73"/>
    </row>
    <row r="4275" spans="1:8" s="212" customFormat="1">
      <c r="A4275" s="150"/>
      <c r="B4275" s="83"/>
      <c r="C4275" s="148"/>
      <c r="D4275" s="84"/>
      <c r="E4275" s="84"/>
      <c r="F4275" s="84"/>
      <c r="G4275" s="224"/>
      <c r="H4275" s="221"/>
    </row>
    <row r="4276" spans="1:8" s="212" customFormat="1">
      <c r="A4276" s="84"/>
      <c r="B4276" s="83"/>
      <c r="C4276" s="84"/>
      <c r="D4276" s="84"/>
      <c r="E4276" s="84"/>
      <c r="G4276" s="213"/>
      <c r="H4276" s="222"/>
    </row>
    <row r="4277" spans="1:8" s="212" customFormat="1">
      <c r="A4277" s="120"/>
      <c r="B4277" s="73"/>
      <c r="C4277" s="73"/>
      <c r="D4277" s="73"/>
      <c r="E4277" s="73"/>
      <c r="G4277" s="73"/>
      <c r="H4277" s="222"/>
    </row>
    <row r="4278" spans="1:8" s="212" customFormat="1">
      <c r="A4278" s="220"/>
      <c r="B4278" s="141"/>
      <c r="C4278" s="141"/>
      <c r="D4278" s="141"/>
      <c r="E4278" s="141"/>
      <c r="F4278" s="141"/>
      <c r="G4278" s="141"/>
      <c r="H4278" s="222"/>
    </row>
    <row r="4279" spans="1:8" s="212" customFormat="1">
      <c r="A4279" s="150"/>
      <c r="B4279" s="83"/>
      <c r="C4279" s="148"/>
      <c r="D4279" s="84"/>
      <c r="E4279" s="84"/>
      <c r="F4279" s="84"/>
      <c r="G4279" s="224"/>
      <c r="H4279" s="222"/>
    </row>
    <row r="4280" spans="1:8" s="212" customFormat="1">
      <c r="A4280" s="150"/>
      <c r="B4280" s="83"/>
      <c r="C4280" s="148"/>
      <c r="D4280" s="84"/>
      <c r="E4280" s="84"/>
      <c r="F4280" s="84"/>
      <c r="G4280" s="224"/>
      <c r="H4280" s="222"/>
    </row>
    <row r="4281" spans="1:8" s="212" customFormat="1">
      <c r="A4281" s="150"/>
      <c r="B4281" s="83"/>
      <c r="C4281" s="148"/>
      <c r="D4281" s="84"/>
      <c r="E4281" s="84"/>
      <c r="F4281" s="84"/>
      <c r="G4281" s="224"/>
      <c r="H4281" s="222"/>
    </row>
    <row r="4282" spans="1:8" s="212" customFormat="1">
      <c r="A4282" s="150"/>
      <c r="B4282" s="83"/>
      <c r="C4282" s="148"/>
      <c r="D4282" s="84"/>
      <c r="E4282" s="84"/>
      <c r="F4282" s="84"/>
      <c r="G4282" s="224"/>
      <c r="H4282" s="222"/>
    </row>
    <row r="4283" spans="1:8" s="212" customFormat="1">
      <c r="A4283" s="150"/>
      <c r="B4283" s="83"/>
      <c r="C4283" s="148"/>
      <c r="D4283" s="84"/>
      <c r="E4283" s="84"/>
      <c r="F4283" s="84"/>
      <c r="G4283" s="224"/>
      <c r="H4283" s="222"/>
    </row>
    <row r="4284" spans="1:8" s="212" customFormat="1">
      <c r="A4284" s="150"/>
      <c r="B4284" s="83"/>
      <c r="C4284" s="148"/>
      <c r="D4284" s="84"/>
      <c r="E4284" s="84"/>
      <c r="F4284" s="84"/>
      <c r="G4284" s="224"/>
      <c r="H4284" s="222"/>
    </row>
    <row r="4285" spans="1:8" s="212" customFormat="1">
      <c r="A4285" s="150"/>
      <c r="B4285" s="83"/>
      <c r="C4285" s="148"/>
      <c r="D4285" s="84"/>
      <c r="E4285" s="84"/>
      <c r="F4285" s="84"/>
      <c r="G4285" s="224"/>
      <c r="H4285" s="222"/>
    </row>
    <row r="4286" spans="1:8" s="212" customFormat="1">
      <c r="A4286" s="150"/>
      <c r="B4286" s="83"/>
      <c r="C4286" s="148"/>
      <c r="D4286" s="84"/>
      <c r="E4286" s="84"/>
      <c r="F4286" s="84"/>
      <c r="G4286" s="224"/>
      <c r="H4286" s="222"/>
    </row>
    <row r="4287" spans="1:8" s="212" customFormat="1">
      <c r="A4287" s="150"/>
      <c r="B4287" s="83"/>
      <c r="C4287" s="148"/>
      <c r="D4287" s="84"/>
      <c r="E4287" s="84"/>
      <c r="F4287" s="84"/>
      <c r="G4287" s="224"/>
      <c r="H4287" s="221"/>
    </row>
    <row r="4288" spans="1:8" s="212" customFormat="1">
      <c r="A4288" s="91"/>
      <c r="B4288" s="91"/>
      <c r="C4288" s="91"/>
      <c r="D4288" s="91"/>
      <c r="E4288" s="91"/>
      <c r="G4288" s="213"/>
      <c r="H4288" s="222"/>
    </row>
    <row r="4289" spans="1:9" s="212" customFormat="1">
      <c r="A4289" s="120"/>
      <c r="B4289" s="73"/>
      <c r="C4289" s="73"/>
      <c r="D4289" s="73"/>
      <c r="E4289" s="73"/>
      <c r="G4289" s="73"/>
      <c r="H4289" s="222"/>
    </row>
    <row r="4290" spans="1:9" s="212" customFormat="1">
      <c r="A4290" s="220"/>
      <c r="B4290" s="141"/>
      <c r="C4290" s="141"/>
      <c r="D4290" s="141"/>
      <c r="E4290" s="141"/>
      <c r="F4290" s="141"/>
      <c r="G4290" s="141"/>
      <c r="H4290" s="222"/>
    </row>
    <row r="4291" spans="1:9" s="212" customFormat="1">
      <c r="A4291" s="146"/>
      <c r="B4291" s="83"/>
      <c r="C4291" s="148"/>
      <c r="D4291" s="84"/>
      <c r="E4291" s="84"/>
      <c r="F4291" s="84"/>
      <c r="G4291" s="146"/>
      <c r="H4291" s="222"/>
    </row>
    <row r="4292" spans="1:9" s="212" customFormat="1">
      <c r="A4292" s="146"/>
      <c r="B4292" s="83"/>
      <c r="C4292" s="148"/>
      <c r="D4292" s="84"/>
      <c r="E4292" s="84"/>
      <c r="F4292" s="84"/>
      <c r="G4292" s="146"/>
      <c r="H4292" s="221"/>
    </row>
    <row r="4293" spans="1:9" s="212" customFormat="1">
      <c r="A4293" s="91"/>
      <c r="B4293" s="91"/>
      <c r="C4293" s="91"/>
      <c r="D4293" s="91"/>
      <c r="E4293" s="91"/>
      <c r="G4293" s="213"/>
      <c r="H4293" s="222"/>
    </row>
    <row r="4294" spans="1:9" s="212" customFormat="1">
      <c r="A4294" s="120"/>
      <c r="B4294" s="73"/>
      <c r="C4294" s="73"/>
      <c r="D4294" s="73"/>
      <c r="E4294" s="73"/>
      <c r="G4294" s="73"/>
      <c r="H4294" s="222"/>
    </row>
    <row r="4295" spans="1:9" s="212" customFormat="1">
      <c r="A4295" s="220"/>
      <c r="B4295" s="141"/>
      <c r="C4295" s="141"/>
      <c r="D4295" s="141"/>
      <c r="E4295" s="141"/>
      <c r="F4295" s="141"/>
      <c r="G4295" s="141"/>
      <c r="H4295" s="222"/>
    </row>
    <row r="4296" spans="1:9" s="212" customFormat="1">
      <c r="A4296" s="142"/>
      <c r="B4296" s="143"/>
      <c r="C4296" s="143"/>
      <c r="D4296" s="143"/>
      <c r="E4296" s="143"/>
      <c r="F4296" s="84"/>
      <c r="G4296" s="146"/>
      <c r="H4296" s="221"/>
    </row>
    <row r="4297" spans="1:9" s="212" customFormat="1">
      <c r="A4297" s="123"/>
      <c r="B4297" s="95"/>
      <c r="C4297" s="95"/>
      <c r="D4297" s="95"/>
      <c r="E4297" s="95"/>
      <c r="G4297" s="213"/>
      <c r="H4297" s="73"/>
    </row>
    <row r="4298" spans="1:9" s="212" customFormat="1">
      <c r="A4298" s="123"/>
      <c r="B4298" s="95"/>
      <c r="C4298" s="95"/>
      <c r="D4298" s="95"/>
      <c r="E4298" s="95"/>
      <c r="G4298" s="73"/>
      <c r="H4298" s="225"/>
    </row>
    <row r="4299" spans="1:9" s="212" customFormat="1">
      <c r="B4299" s="97"/>
      <c r="C4299" s="98"/>
      <c r="D4299" s="98"/>
      <c r="E4299" s="98"/>
      <c r="G4299" s="220"/>
    </row>
    <row r="4300" spans="1:9" s="212" customFormat="1">
      <c r="B4300" s="97"/>
      <c r="C4300" s="98"/>
      <c r="D4300" s="98"/>
      <c r="E4300" s="98"/>
      <c r="F4300" s="220"/>
      <c r="G4300" s="225"/>
      <c r="H4300" s="226"/>
    </row>
    <row r="4301" spans="1:9" s="212" customFormat="1">
      <c r="A4301" s="633"/>
      <c r="B4301" s="633"/>
      <c r="C4301" s="633"/>
      <c r="D4301" s="633"/>
      <c r="E4301" s="633"/>
      <c r="F4301" s="633"/>
      <c r="G4301" s="633"/>
    </row>
    <row r="4302" spans="1:9" s="212" customFormat="1">
      <c r="H4302" s="227"/>
      <c r="I4302" s="228"/>
    </row>
    <row r="4303" spans="1:9" s="212" customFormat="1">
      <c r="A4303" s="658"/>
      <c r="B4303" s="227"/>
      <c r="C4303" s="227"/>
      <c r="D4303" s="227"/>
      <c r="E4303" s="227"/>
      <c r="F4303" s="227"/>
      <c r="G4303" s="227"/>
      <c r="H4303" s="227"/>
      <c r="I4303" s="229"/>
    </row>
    <row r="4304" spans="1:9" s="212" customFormat="1">
      <c r="A4304" s="658"/>
      <c r="B4304" s="227"/>
      <c r="C4304" s="227"/>
      <c r="D4304" s="227"/>
      <c r="E4304" s="227"/>
      <c r="F4304" s="227"/>
      <c r="G4304" s="227"/>
    </row>
    <row r="4305" spans="1:8" s="212" customFormat="1">
      <c r="A4305" s="69"/>
      <c r="B4305" s="69"/>
      <c r="C4305" s="69"/>
      <c r="D4305" s="69"/>
      <c r="E4305" s="69"/>
    </row>
    <row r="4306" spans="1:8" s="212" customFormat="1">
      <c r="A4306" s="120"/>
      <c r="B4306" s="73"/>
      <c r="C4306" s="73"/>
      <c r="D4306" s="73"/>
      <c r="E4306" s="73"/>
      <c r="F4306" s="73"/>
      <c r="G4306" s="73"/>
      <c r="H4306" s="73"/>
    </row>
    <row r="4307" spans="1:8" s="212" customFormat="1">
      <c r="A4307" s="220"/>
      <c r="B4307" s="141"/>
      <c r="C4307" s="141"/>
      <c r="D4307" s="141"/>
      <c r="E4307" s="141"/>
      <c r="F4307" s="141"/>
      <c r="G4307" s="141"/>
      <c r="H4307" s="73"/>
    </row>
    <row r="4308" spans="1:8" s="212" customFormat="1">
      <c r="A4308" s="150"/>
      <c r="B4308" s="83"/>
      <c r="C4308" s="148"/>
      <c r="D4308" s="84"/>
      <c r="E4308" s="84"/>
      <c r="F4308" s="84"/>
      <c r="G4308" s="224"/>
      <c r="H4308" s="221"/>
    </row>
    <row r="4309" spans="1:8" s="212" customFormat="1">
      <c r="A4309" s="84"/>
      <c r="B4309" s="83"/>
      <c r="C4309" s="84"/>
      <c r="D4309" s="84"/>
      <c r="E4309" s="84"/>
      <c r="G4309" s="213"/>
      <c r="H4309" s="222"/>
    </row>
    <row r="4310" spans="1:8" s="212" customFormat="1">
      <c r="A4310" s="120"/>
      <c r="B4310" s="73"/>
      <c r="C4310" s="73"/>
      <c r="D4310" s="73"/>
      <c r="E4310" s="73"/>
      <c r="G4310" s="73"/>
      <c r="H4310" s="222"/>
    </row>
    <row r="4311" spans="1:8" s="212" customFormat="1">
      <c r="A4311" s="220"/>
      <c r="B4311" s="141"/>
      <c r="C4311" s="141"/>
      <c r="D4311" s="141"/>
      <c r="E4311" s="141"/>
      <c r="F4311" s="141"/>
      <c r="G4311" s="141"/>
      <c r="H4311" s="222"/>
    </row>
    <row r="4312" spans="1:8" s="212" customFormat="1">
      <c r="A4312" s="150"/>
      <c r="B4312" s="83"/>
      <c r="C4312" s="148"/>
      <c r="D4312" s="84"/>
      <c r="E4312" s="84"/>
      <c r="F4312" s="84"/>
      <c r="G4312" s="224"/>
      <c r="H4312" s="222"/>
    </row>
    <row r="4313" spans="1:8" s="212" customFormat="1">
      <c r="A4313" s="150"/>
      <c r="B4313" s="83"/>
      <c r="C4313" s="148"/>
      <c r="D4313" s="84"/>
      <c r="E4313" s="84"/>
      <c r="F4313" s="84"/>
      <c r="G4313" s="224"/>
      <c r="H4313" s="222"/>
    </row>
    <row r="4314" spans="1:8" s="212" customFormat="1">
      <c r="A4314" s="150"/>
      <c r="B4314" s="83"/>
      <c r="C4314" s="148"/>
      <c r="D4314" s="84"/>
      <c r="E4314" s="84"/>
      <c r="F4314" s="84"/>
      <c r="G4314" s="224"/>
      <c r="H4314" s="222"/>
    </row>
    <row r="4315" spans="1:8" s="212" customFormat="1">
      <c r="A4315" s="150"/>
      <c r="B4315" s="83"/>
      <c r="C4315" s="148"/>
      <c r="D4315" s="84"/>
      <c r="E4315" s="84"/>
      <c r="F4315" s="84"/>
      <c r="G4315" s="224"/>
      <c r="H4315" s="222"/>
    </row>
    <row r="4316" spans="1:8" s="212" customFormat="1">
      <c r="A4316" s="150"/>
      <c r="B4316" s="83"/>
      <c r="C4316" s="148"/>
      <c r="D4316" s="84"/>
      <c r="E4316" s="84"/>
      <c r="F4316" s="84"/>
      <c r="G4316" s="224"/>
      <c r="H4316" s="222"/>
    </row>
    <row r="4317" spans="1:8" s="212" customFormat="1">
      <c r="A4317" s="150"/>
      <c r="B4317" s="83"/>
      <c r="C4317" s="148"/>
      <c r="D4317" s="84"/>
      <c r="E4317" s="84"/>
      <c r="F4317" s="84"/>
      <c r="G4317" s="224"/>
      <c r="H4317" s="221"/>
    </row>
    <row r="4318" spans="1:8" s="212" customFormat="1">
      <c r="A4318" s="91"/>
      <c r="B4318" s="91"/>
      <c r="C4318" s="91"/>
      <c r="D4318" s="91"/>
      <c r="E4318" s="91"/>
      <c r="G4318" s="213"/>
      <c r="H4318" s="222"/>
    </row>
    <row r="4319" spans="1:8" s="212" customFormat="1">
      <c r="A4319" s="120"/>
      <c r="B4319" s="73"/>
      <c r="C4319" s="73"/>
      <c r="D4319" s="73"/>
      <c r="E4319" s="73"/>
      <c r="G4319" s="73"/>
      <c r="H4319" s="222"/>
    </row>
    <row r="4320" spans="1:8" s="212" customFormat="1">
      <c r="A4320" s="220"/>
      <c r="B4320" s="141"/>
      <c r="C4320" s="141"/>
      <c r="D4320" s="141"/>
      <c r="E4320" s="141"/>
      <c r="F4320" s="141"/>
      <c r="G4320" s="141"/>
      <c r="H4320" s="222"/>
    </row>
    <row r="4321" spans="1:9" s="212" customFormat="1">
      <c r="A4321" s="146"/>
      <c r="B4321" s="83"/>
      <c r="C4321" s="148"/>
      <c r="D4321" s="84"/>
      <c r="E4321" s="84"/>
      <c r="F4321" s="84"/>
      <c r="G4321" s="146"/>
      <c r="H4321" s="221"/>
    </row>
    <row r="4322" spans="1:9" s="212" customFormat="1">
      <c r="A4322" s="91"/>
      <c r="B4322" s="91"/>
      <c r="C4322" s="91"/>
      <c r="D4322" s="91"/>
      <c r="E4322" s="91"/>
      <c r="G4322" s="213"/>
      <c r="H4322" s="222"/>
    </row>
    <row r="4323" spans="1:9" s="212" customFormat="1">
      <c r="A4323" s="120"/>
      <c r="B4323" s="73"/>
      <c r="C4323" s="73"/>
      <c r="D4323" s="73"/>
      <c r="E4323" s="73"/>
      <c r="G4323" s="73"/>
      <c r="H4323" s="222"/>
    </row>
    <row r="4324" spans="1:9" s="212" customFormat="1">
      <c r="A4324" s="220"/>
      <c r="B4324" s="141"/>
      <c r="C4324" s="141"/>
      <c r="D4324" s="141"/>
      <c r="E4324" s="141"/>
      <c r="F4324" s="141"/>
      <c r="G4324" s="141"/>
      <c r="H4324" s="222"/>
    </row>
    <row r="4325" spans="1:9" s="212" customFormat="1">
      <c r="A4325" s="142"/>
      <c r="B4325" s="143"/>
      <c r="C4325" s="143"/>
      <c r="D4325" s="143"/>
      <c r="E4325" s="143"/>
      <c r="F4325" s="84"/>
      <c r="G4325" s="146"/>
      <c r="H4325" s="221"/>
    </row>
    <row r="4326" spans="1:9" s="212" customFormat="1">
      <c r="A4326" s="123"/>
      <c r="B4326" s="95"/>
      <c r="C4326" s="95"/>
      <c r="D4326" s="95"/>
      <c r="E4326" s="95"/>
      <c r="G4326" s="213"/>
      <c r="H4326" s="73"/>
    </row>
    <row r="4327" spans="1:9" s="212" customFormat="1">
      <c r="A4327" s="123"/>
      <c r="B4327" s="95"/>
      <c r="C4327" s="95"/>
      <c r="D4327" s="95"/>
      <c r="E4327" s="95"/>
      <c r="G4327" s="73"/>
      <c r="H4327" s="225"/>
    </row>
    <row r="4328" spans="1:9" s="212" customFormat="1">
      <c r="B4328" s="97"/>
      <c r="C4328" s="98"/>
      <c r="D4328" s="98"/>
      <c r="E4328" s="98"/>
      <c r="G4328" s="220"/>
    </row>
    <row r="4329" spans="1:9" s="212" customFormat="1">
      <c r="B4329" s="97"/>
      <c r="C4329" s="98"/>
      <c r="D4329" s="98"/>
      <c r="E4329" s="98"/>
      <c r="F4329" s="220"/>
      <c r="G4329" s="225"/>
      <c r="H4329" s="226"/>
    </row>
    <row r="4330" spans="1:9" s="212" customFormat="1">
      <c r="A4330" s="633"/>
      <c r="B4330" s="633"/>
      <c r="C4330" s="633"/>
      <c r="D4330" s="633"/>
      <c r="E4330" s="633"/>
      <c r="F4330" s="633"/>
      <c r="G4330" s="633"/>
    </row>
    <row r="4331" spans="1:9" s="212" customFormat="1">
      <c r="H4331" s="227"/>
      <c r="I4331" s="228"/>
    </row>
    <row r="4332" spans="1:9" s="212" customFormat="1">
      <c r="A4332" s="658"/>
      <c r="B4332" s="227"/>
      <c r="C4332" s="227"/>
      <c r="D4332" s="227"/>
      <c r="E4332" s="227"/>
      <c r="F4332" s="227"/>
      <c r="G4332" s="227"/>
      <c r="H4332" s="227"/>
      <c r="I4332" s="229"/>
    </row>
    <row r="4333" spans="1:9" s="212" customFormat="1">
      <c r="A4333" s="658"/>
      <c r="B4333" s="227"/>
      <c r="C4333" s="227"/>
      <c r="D4333" s="227"/>
      <c r="E4333" s="227"/>
      <c r="F4333" s="227"/>
      <c r="G4333" s="227"/>
    </row>
    <row r="4334" spans="1:9" s="212" customFormat="1">
      <c r="A4334" s="69"/>
      <c r="B4334" s="69"/>
      <c r="C4334" s="69"/>
      <c r="D4334" s="69"/>
      <c r="E4334" s="69"/>
    </row>
    <row r="4335" spans="1:9" s="212" customFormat="1">
      <c r="A4335" s="120"/>
      <c r="B4335" s="73"/>
      <c r="C4335" s="73"/>
      <c r="D4335" s="73"/>
      <c r="E4335" s="73"/>
      <c r="F4335" s="73"/>
      <c r="G4335" s="73"/>
      <c r="H4335" s="73"/>
    </row>
    <row r="4336" spans="1:9" s="212" customFormat="1">
      <c r="A4336" s="220"/>
      <c r="B4336" s="141"/>
      <c r="C4336" s="141"/>
      <c r="D4336" s="141"/>
      <c r="E4336" s="141"/>
      <c r="F4336" s="141"/>
      <c r="G4336" s="141"/>
      <c r="H4336" s="73"/>
    </row>
    <row r="4337" spans="1:8" s="212" customFormat="1">
      <c r="A4337" s="150"/>
      <c r="B4337" s="83"/>
      <c r="C4337" s="148"/>
      <c r="D4337" s="84"/>
      <c r="E4337" s="84"/>
      <c r="F4337" s="84"/>
      <c r="G4337" s="224"/>
      <c r="H4337" s="73"/>
    </row>
    <row r="4338" spans="1:8" s="212" customFormat="1">
      <c r="A4338" s="150"/>
      <c r="B4338" s="83"/>
      <c r="C4338" s="148"/>
      <c r="D4338" s="84"/>
      <c r="E4338" s="84"/>
      <c r="F4338" s="84"/>
      <c r="G4338" s="224"/>
      <c r="H4338" s="73"/>
    </row>
    <row r="4339" spans="1:8" s="212" customFormat="1">
      <c r="A4339" s="150"/>
      <c r="B4339" s="83"/>
      <c r="C4339" s="148"/>
      <c r="D4339" s="84"/>
      <c r="E4339" s="84"/>
      <c r="F4339" s="84"/>
      <c r="G4339" s="224"/>
      <c r="H4339" s="73"/>
    </row>
    <row r="4340" spans="1:8" s="212" customFormat="1">
      <c r="A4340" s="150"/>
      <c r="B4340" s="83"/>
      <c r="C4340" s="148"/>
      <c r="D4340" s="84"/>
      <c r="E4340" s="84"/>
      <c r="F4340" s="84"/>
      <c r="G4340" s="224"/>
      <c r="H4340" s="221"/>
    </row>
    <row r="4341" spans="1:8" s="212" customFormat="1">
      <c r="A4341" s="84"/>
      <c r="B4341" s="83"/>
      <c r="C4341" s="84"/>
      <c r="D4341" s="84"/>
      <c r="E4341" s="84"/>
      <c r="G4341" s="213"/>
      <c r="H4341" s="222"/>
    </row>
    <row r="4342" spans="1:8" s="212" customFormat="1">
      <c r="A4342" s="120"/>
      <c r="B4342" s="73"/>
      <c r="C4342" s="73"/>
      <c r="D4342" s="73"/>
      <c r="E4342" s="73"/>
      <c r="G4342" s="73"/>
      <c r="H4342" s="222"/>
    </row>
    <row r="4343" spans="1:8" s="212" customFormat="1">
      <c r="A4343" s="220"/>
      <c r="B4343" s="141"/>
      <c r="C4343" s="141"/>
      <c r="D4343" s="141"/>
      <c r="E4343" s="141"/>
      <c r="F4343" s="141"/>
      <c r="G4343" s="141"/>
      <c r="H4343" s="222"/>
    </row>
    <row r="4344" spans="1:8" s="212" customFormat="1">
      <c r="A4344" s="150"/>
      <c r="B4344" s="83"/>
      <c r="C4344" s="148"/>
      <c r="D4344" s="84"/>
      <c r="E4344" s="84"/>
      <c r="F4344" s="84"/>
      <c r="G4344" s="224"/>
      <c r="H4344" s="222"/>
    </row>
    <row r="4345" spans="1:8" s="212" customFormat="1">
      <c r="A4345" s="150"/>
      <c r="B4345" s="83"/>
      <c r="C4345" s="148"/>
      <c r="D4345" s="84"/>
      <c r="E4345" s="84"/>
      <c r="F4345" s="84"/>
      <c r="G4345" s="224"/>
      <c r="H4345" s="222"/>
    </row>
    <row r="4346" spans="1:8" s="212" customFormat="1">
      <c r="A4346" s="150"/>
      <c r="B4346" s="83"/>
      <c r="C4346" s="148"/>
      <c r="D4346" s="84"/>
      <c r="E4346" s="84"/>
      <c r="F4346" s="84"/>
      <c r="G4346" s="224"/>
      <c r="H4346" s="222"/>
    </row>
    <row r="4347" spans="1:8" s="212" customFormat="1">
      <c r="A4347" s="150"/>
      <c r="B4347" s="83"/>
      <c r="C4347" s="148"/>
      <c r="D4347" s="84"/>
      <c r="E4347" s="84"/>
      <c r="F4347" s="84"/>
      <c r="G4347" s="224"/>
      <c r="H4347" s="222"/>
    </row>
    <row r="4348" spans="1:8" s="212" customFormat="1">
      <c r="A4348" s="150"/>
      <c r="B4348" s="83"/>
      <c r="C4348" s="148"/>
      <c r="D4348" s="84"/>
      <c r="E4348" s="84"/>
      <c r="F4348" s="84"/>
      <c r="G4348" s="224"/>
      <c r="H4348" s="222"/>
    </row>
    <row r="4349" spans="1:8" s="212" customFormat="1">
      <c r="A4349" s="150"/>
      <c r="B4349" s="83"/>
      <c r="C4349" s="148"/>
      <c r="D4349" s="84"/>
      <c r="E4349" s="84"/>
      <c r="F4349" s="84"/>
      <c r="G4349" s="224"/>
      <c r="H4349" s="222"/>
    </row>
    <row r="4350" spans="1:8" s="212" customFormat="1">
      <c r="A4350" s="150"/>
      <c r="B4350" s="83"/>
      <c r="C4350" s="148"/>
      <c r="D4350" s="84"/>
      <c r="E4350" s="84"/>
      <c r="F4350" s="84"/>
      <c r="G4350" s="224"/>
      <c r="H4350" s="222"/>
    </row>
    <row r="4351" spans="1:8" s="212" customFormat="1">
      <c r="A4351" s="150"/>
      <c r="B4351" s="83"/>
      <c r="C4351" s="148"/>
      <c r="D4351" s="84"/>
      <c r="E4351" s="84"/>
      <c r="F4351" s="84"/>
      <c r="G4351" s="224"/>
      <c r="H4351" s="221"/>
    </row>
    <row r="4352" spans="1:8" s="212" customFormat="1">
      <c r="A4352" s="91"/>
      <c r="B4352" s="91"/>
      <c r="C4352" s="91"/>
      <c r="D4352" s="91"/>
      <c r="E4352" s="91"/>
      <c r="G4352" s="213"/>
      <c r="H4352" s="222"/>
    </row>
    <row r="4353" spans="1:9" s="212" customFormat="1">
      <c r="A4353" s="120"/>
      <c r="B4353" s="73"/>
      <c r="C4353" s="73"/>
      <c r="D4353" s="73"/>
      <c r="E4353" s="73"/>
      <c r="G4353" s="73"/>
      <c r="H4353" s="222"/>
    </row>
    <row r="4354" spans="1:9" s="212" customFormat="1">
      <c r="A4354" s="220"/>
      <c r="B4354" s="141"/>
      <c r="C4354" s="141"/>
      <c r="D4354" s="141"/>
      <c r="E4354" s="141"/>
      <c r="F4354" s="141"/>
      <c r="G4354" s="141"/>
      <c r="H4354" s="222"/>
    </row>
    <row r="4355" spans="1:9" s="212" customFormat="1">
      <c r="A4355" s="146"/>
      <c r="B4355" s="83"/>
      <c r="C4355" s="148"/>
      <c r="D4355" s="84"/>
      <c r="E4355" s="84"/>
      <c r="F4355" s="84"/>
      <c r="G4355" s="146"/>
      <c r="H4355" s="222"/>
    </row>
    <row r="4356" spans="1:9" s="212" customFormat="1">
      <c r="A4356" s="146"/>
      <c r="B4356" s="83"/>
      <c r="C4356" s="148"/>
      <c r="D4356" s="84"/>
      <c r="E4356" s="84"/>
      <c r="F4356" s="84"/>
      <c r="G4356" s="146"/>
      <c r="H4356" s="221"/>
    </row>
    <row r="4357" spans="1:9" s="212" customFormat="1">
      <c r="A4357" s="91"/>
      <c r="B4357" s="91"/>
      <c r="C4357" s="91"/>
      <c r="D4357" s="91"/>
      <c r="E4357" s="91"/>
      <c r="G4357" s="213"/>
      <c r="H4357" s="222"/>
    </row>
    <row r="4358" spans="1:9" s="212" customFormat="1">
      <c r="A4358" s="120"/>
      <c r="B4358" s="73"/>
      <c r="C4358" s="73"/>
      <c r="D4358" s="73"/>
      <c r="E4358" s="73"/>
      <c r="G4358" s="73"/>
      <c r="H4358" s="222"/>
    </row>
    <row r="4359" spans="1:9" s="212" customFormat="1">
      <c r="A4359" s="220"/>
      <c r="B4359" s="141"/>
      <c r="C4359" s="141"/>
      <c r="D4359" s="141"/>
      <c r="E4359" s="141"/>
      <c r="F4359" s="141"/>
      <c r="G4359" s="141"/>
      <c r="H4359" s="222"/>
    </row>
    <row r="4360" spans="1:9" s="212" customFormat="1">
      <c r="A4360" s="142"/>
      <c r="B4360" s="143"/>
      <c r="C4360" s="143"/>
      <c r="D4360" s="143"/>
      <c r="E4360" s="143"/>
      <c r="F4360" s="84"/>
      <c r="G4360" s="146"/>
      <c r="H4360" s="221"/>
    </row>
    <row r="4361" spans="1:9" s="212" customFormat="1">
      <c r="A4361" s="123"/>
      <c r="B4361" s="95"/>
      <c r="C4361" s="95"/>
      <c r="D4361" s="95"/>
      <c r="E4361" s="95"/>
      <c r="G4361" s="213"/>
      <c r="H4361" s="73"/>
    </row>
    <row r="4362" spans="1:9" s="212" customFormat="1">
      <c r="A4362" s="123"/>
      <c r="B4362" s="95"/>
      <c r="C4362" s="95"/>
      <c r="D4362" s="95"/>
      <c r="E4362" s="95"/>
      <c r="G4362" s="73"/>
      <c r="H4362" s="225"/>
    </row>
    <row r="4363" spans="1:9" s="212" customFormat="1">
      <c r="B4363" s="97"/>
      <c r="C4363" s="98"/>
      <c r="D4363" s="98"/>
      <c r="E4363" s="98"/>
      <c r="G4363" s="220"/>
    </row>
    <row r="4364" spans="1:9" s="212" customFormat="1">
      <c r="B4364" s="97"/>
      <c r="C4364" s="98"/>
      <c r="D4364" s="98"/>
      <c r="E4364" s="98"/>
      <c r="F4364" s="220"/>
      <c r="G4364" s="225"/>
      <c r="H4364" s="226"/>
    </row>
    <row r="4365" spans="1:9" s="212" customFormat="1">
      <c r="A4365" s="633"/>
      <c r="B4365" s="633"/>
      <c r="C4365" s="633"/>
      <c r="D4365" s="633"/>
      <c r="E4365" s="633"/>
      <c r="F4365" s="633"/>
      <c r="G4365" s="633"/>
    </row>
    <row r="4366" spans="1:9" s="212" customFormat="1">
      <c r="H4366" s="227"/>
      <c r="I4366" s="228"/>
    </row>
    <row r="4367" spans="1:9" s="212" customFormat="1">
      <c r="A4367" s="658"/>
      <c r="B4367" s="227"/>
      <c r="C4367" s="227"/>
      <c r="D4367" s="227"/>
      <c r="E4367" s="227"/>
      <c r="F4367" s="227"/>
      <c r="G4367" s="227"/>
      <c r="H4367" s="227"/>
      <c r="I4367" s="229"/>
    </row>
    <row r="4368" spans="1:9" s="212" customFormat="1">
      <c r="A4368" s="658"/>
      <c r="B4368" s="227"/>
      <c r="C4368" s="227"/>
      <c r="D4368" s="227"/>
      <c r="E4368" s="227"/>
      <c r="F4368" s="227"/>
      <c r="G4368" s="227"/>
    </row>
    <row r="4369" spans="1:8" s="212" customFormat="1">
      <c r="A4369" s="69"/>
      <c r="B4369" s="69"/>
      <c r="C4369" s="69"/>
      <c r="D4369" s="69"/>
      <c r="E4369" s="69"/>
    </row>
    <row r="4370" spans="1:8" s="212" customFormat="1">
      <c r="A4370" s="120"/>
      <c r="B4370" s="73"/>
      <c r="C4370" s="73"/>
      <c r="D4370" s="73"/>
      <c r="E4370" s="73"/>
      <c r="F4370" s="73"/>
      <c r="G4370" s="73"/>
      <c r="H4370" s="73"/>
    </row>
    <row r="4371" spans="1:8" s="212" customFormat="1">
      <c r="A4371" s="220"/>
      <c r="B4371" s="141"/>
      <c r="C4371" s="141"/>
      <c r="D4371" s="141"/>
      <c r="E4371" s="141"/>
      <c r="F4371" s="141"/>
      <c r="G4371" s="141"/>
      <c r="H4371" s="73"/>
    </row>
    <row r="4372" spans="1:8" s="212" customFormat="1">
      <c r="A4372" s="150"/>
      <c r="B4372" s="83"/>
      <c r="C4372" s="148"/>
      <c r="D4372" s="84"/>
      <c r="E4372" s="84"/>
      <c r="F4372" s="84"/>
      <c r="G4372" s="224"/>
      <c r="H4372" s="221"/>
    </row>
    <row r="4373" spans="1:8" s="212" customFormat="1">
      <c r="A4373" s="84"/>
      <c r="B4373" s="83"/>
      <c r="C4373" s="84"/>
      <c r="D4373" s="84"/>
      <c r="E4373" s="84"/>
      <c r="G4373" s="213"/>
      <c r="H4373" s="222"/>
    </row>
    <row r="4374" spans="1:8" s="212" customFormat="1">
      <c r="A4374" s="120"/>
      <c r="B4374" s="73"/>
      <c r="C4374" s="73"/>
      <c r="D4374" s="73"/>
      <c r="E4374" s="73"/>
      <c r="G4374" s="73"/>
      <c r="H4374" s="222"/>
    </row>
    <row r="4375" spans="1:8" s="212" customFormat="1">
      <c r="A4375" s="220"/>
      <c r="B4375" s="141"/>
      <c r="C4375" s="141"/>
      <c r="D4375" s="141"/>
      <c r="E4375" s="141"/>
      <c r="F4375" s="141"/>
      <c r="G4375" s="141"/>
      <c r="H4375" s="222"/>
    </row>
    <row r="4376" spans="1:8" s="212" customFormat="1">
      <c r="A4376" s="150"/>
      <c r="B4376" s="83"/>
      <c r="C4376" s="148"/>
      <c r="D4376" s="84"/>
      <c r="E4376" s="84"/>
      <c r="F4376" s="84"/>
      <c r="G4376" s="224"/>
      <c r="H4376" s="221"/>
    </row>
    <row r="4377" spans="1:8" s="212" customFormat="1">
      <c r="A4377" s="91"/>
      <c r="B4377" s="91"/>
      <c r="C4377" s="91"/>
      <c r="D4377" s="91"/>
      <c r="E4377" s="91"/>
      <c r="G4377" s="213"/>
      <c r="H4377" s="222"/>
    </row>
    <row r="4378" spans="1:8" s="212" customFormat="1">
      <c r="A4378" s="120"/>
      <c r="B4378" s="73"/>
      <c r="C4378" s="73"/>
      <c r="D4378" s="73"/>
      <c r="E4378" s="73"/>
      <c r="G4378" s="73"/>
      <c r="H4378" s="222"/>
    </row>
    <row r="4379" spans="1:8" s="212" customFormat="1">
      <c r="A4379" s="220"/>
      <c r="B4379" s="141"/>
      <c r="C4379" s="141"/>
      <c r="D4379" s="141"/>
      <c r="E4379" s="141"/>
      <c r="F4379" s="141"/>
      <c r="G4379" s="141"/>
      <c r="H4379" s="222"/>
    </row>
    <row r="4380" spans="1:8" s="212" customFormat="1">
      <c r="A4380" s="146"/>
      <c r="B4380" s="83"/>
      <c r="C4380" s="148"/>
      <c r="D4380" s="84"/>
      <c r="E4380" s="84"/>
      <c r="F4380" s="84"/>
      <c r="G4380" s="146"/>
      <c r="H4380" s="221"/>
    </row>
    <row r="4381" spans="1:8" s="212" customFormat="1">
      <c r="A4381" s="91"/>
      <c r="B4381" s="91"/>
      <c r="C4381" s="91"/>
      <c r="D4381" s="91"/>
      <c r="E4381" s="91"/>
      <c r="G4381" s="213"/>
      <c r="H4381" s="222"/>
    </row>
    <row r="4382" spans="1:8" s="212" customFormat="1">
      <c r="A4382" s="120"/>
      <c r="B4382" s="73"/>
      <c r="C4382" s="73"/>
      <c r="D4382" s="73"/>
      <c r="E4382" s="73"/>
      <c r="G4382" s="73"/>
      <c r="H4382" s="222"/>
    </row>
    <row r="4383" spans="1:8" s="212" customFormat="1">
      <c r="A4383" s="220"/>
      <c r="B4383" s="141"/>
      <c r="C4383" s="141"/>
      <c r="D4383" s="141"/>
      <c r="E4383" s="141"/>
      <c r="F4383" s="141"/>
      <c r="G4383" s="141"/>
      <c r="H4383" s="222"/>
    </row>
    <row r="4384" spans="1:8" s="212" customFormat="1">
      <c r="A4384" s="142"/>
      <c r="B4384" s="143"/>
      <c r="C4384" s="143"/>
      <c r="D4384" s="143"/>
      <c r="E4384" s="143"/>
      <c r="F4384" s="84"/>
      <c r="G4384" s="146"/>
      <c r="H4384" s="221"/>
    </row>
    <row r="4385" spans="1:9" s="212" customFormat="1">
      <c r="A4385" s="123"/>
      <c r="B4385" s="95"/>
      <c r="C4385" s="95"/>
      <c r="D4385" s="95"/>
      <c r="E4385" s="95"/>
      <c r="G4385" s="213"/>
      <c r="H4385" s="73"/>
    </row>
    <row r="4386" spans="1:9" s="212" customFormat="1">
      <c r="A4386" s="123"/>
      <c r="B4386" s="95"/>
      <c r="C4386" s="95"/>
      <c r="D4386" s="95"/>
      <c r="E4386" s="95"/>
      <c r="G4386" s="73"/>
      <c r="H4386" s="225"/>
    </row>
    <row r="4387" spans="1:9" s="212" customFormat="1">
      <c r="B4387" s="97"/>
      <c r="C4387" s="98"/>
      <c r="D4387" s="98"/>
      <c r="E4387" s="98"/>
      <c r="G4387" s="220"/>
    </row>
    <row r="4388" spans="1:9" s="212" customFormat="1">
      <c r="B4388" s="97"/>
      <c r="C4388" s="98"/>
      <c r="D4388" s="98"/>
      <c r="E4388" s="98"/>
      <c r="F4388" s="220"/>
      <c r="G4388" s="225"/>
      <c r="H4388" s="226"/>
    </row>
    <row r="4389" spans="1:9" s="212" customFormat="1">
      <c r="A4389" s="633"/>
      <c r="B4389" s="633"/>
      <c r="C4389" s="633"/>
      <c r="D4389" s="633"/>
      <c r="E4389" s="633"/>
      <c r="F4389" s="633"/>
      <c r="G4389" s="633"/>
    </row>
    <row r="4390" spans="1:9" s="212" customFormat="1">
      <c r="H4390" s="227"/>
      <c r="I4390" s="228"/>
    </row>
    <row r="4391" spans="1:9" s="212" customFormat="1">
      <c r="A4391" s="658"/>
      <c r="B4391" s="227"/>
      <c r="C4391" s="227"/>
      <c r="D4391" s="227"/>
      <c r="E4391" s="227"/>
      <c r="F4391" s="227"/>
      <c r="G4391" s="227"/>
      <c r="H4391" s="227"/>
      <c r="I4391" s="229"/>
    </row>
    <row r="4392" spans="1:9" s="212" customFormat="1">
      <c r="A4392" s="658"/>
      <c r="B4392" s="227"/>
      <c r="C4392" s="227"/>
      <c r="D4392" s="227"/>
      <c r="E4392" s="227"/>
      <c r="F4392" s="227"/>
      <c r="G4392" s="227"/>
    </row>
    <row r="4393" spans="1:9" s="212" customFormat="1">
      <c r="A4393" s="69"/>
      <c r="B4393" s="69"/>
      <c r="C4393" s="69"/>
      <c r="D4393" s="69"/>
      <c r="E4393" s="69"/>
    </row>
    <row r="4394" spans="1:9" s="212" customFormat="1">
      <c r="A4394" s="120"/>
      <c r="B4394" s="73"/>
      <c r="C4394" s="73"/>
      <c r="D4394" s="73"/>
      <c r="E4394" s="73"/>
      <c r="F4394" s="73"/>
      <c r="G4394" s="73"/>
      <c r="H4394" s="73"/>
    </row>
    <row r="4395" spans="1:9" s="212" customFormat="1">
      <c r="A4395" s="220"/>
      <c r="B4395" s="141"/>
      <c r="C4395" s="141"/>
      <c r="D4395" s="141"/>
      <c r="E4395" s="141"/>
      <c r="F4395" s="141"/>
      <c r="G4395" s="141"/>
      <c r="H4395" s="73"/>
    </row>
    <row r="4396" spans="1:9" s="212" customFormat="1">
      <c r="A4396" s="150"/>
      <c r="B4396" s="83"/>
      <c r="C4396" s="148"/>
      <c r="D4396" s="84"/>
      <c r="E4396" s="84"/>
      <c r="F4396" s="84"/>
      <c r="G4396" s="224"/>
      <c r="H4396" s="221"/>
    </row>
    <row r="4397" spans="1:9" s="212" customFormat="1">
      <c r="A4397" s="84"/>
      <c r="B4397" s="83"/>
      <c r="C4397" s="84"/>
      <c r="D4397" s="84"/>
      <c r="E4397" s="84"/>
      <c r="G4397" s="213"/>
      <c r="H4397" s="222"/>
    </row>
    <row r="4398" spans="1:9" s="212" customFormat="1">
      <c r="A4398" s="120"/>
      <c r="B4398" s="73"/>
      <c r="C4398" s="73"/>
      <c r="D4398" s="73"/>
      <c r="E4398" s="73"/>
      <c r="G4398" s="73"/>
      <c r="H4398" s="222"/>
    </row>
    <row r="4399" spans="1:9" s="212" customFormat="1">
      <c r="A4399" s="220"/>
      <c r="B4399" s="141"/>
      <c r="C4399" s="141"/>
      <c r="D4399" s="141"/>
      <c r="E4399" s="141"/>
      <c r="F4399" s="141"/>
      <c r="G4399" s="141"/>
      <c r="H4399" s="222"/>
    </row>
    <row r="4400" spans="1:9" s="212" customFormat="1">
      <c r="A4400" s="150"/>
      <c r="B4400" s="83"/>
      <c r="C4400" s="148"/>
      <c r="D4400" s="84"/>
      <c r="E4400" s="84"/>
      <c r="F4400" s="84"/>
      <c r="G4400" s="224"/>
      <c r="H4400" s="222"/>
    </row>
    <row r="4401" spans="1:8" s="212" customFormat="1">
      <c r="A4401" s="150"/>
      <c r="B4401" s="83"/>
      <c r="C4401" s="148"/>
      <c r="D4401" s="84"/>
      <c r="E4401" s="84"/>
      <c r="F4401" s="84"/>
      <c r="G4401" s="224"/>
      <c r="H4401" s="222"/>
    </row>
    <row r="4402" spans="1:8" s="212" customFormat="1">
      <c r="A4402" s="150"/>
      <c r="B4402" s="83"/>
      <c r="C4402" s="148"/>
      <c r="D4402" s="84"/>
      <c r="E4402" s="84"/>
      <c r="F4402" s="84"/>
      <c r="G4402" s="224"/>
      <c r="H4402" s="222"/>
    </row>
    <row r="4403" spans="1:8" s="212" customFormat="1">
      <c r="A4403" s="150"/>
      <c r="B4403" s="83"/>
      <c r="C4403" s="148"/>
      <c r="D4403" s="84"/>
      <c r="E4403" s="84"/>
      <c r="F4403" s="84"/>
      <c r="G4403" s="224"/>
      <c r="H4403" s="222"/>
    </row>
    <row r="4404" spans="1:8" s="212" customFormat="1">
      <c r="A4404" s="150"/>
      <c r="B4404" s="83"/>
      <c r="C4404" s="148"/>
      <c r="D4404" s="84"/>
      <c r="E4404" s="84"/>
      <c r="F4404" s="84"/>
      <c r="G4404" s="224"/>
      <c r="H4404" s="222"/>
    </row>
    <row r="4405" spans="1:8" s="212" customFormat="1">
      <c r="A4405" s="150"/>
      <c r="B4405" s="83"/>
      <c r="C4405" s="148"/>
      <c r="D4405" s="84"/>
      <c r="E4405" s="84"/>
      <c r="F4405" s="84"/>
      <c r="G4405" s="224"/>
      <c r="H4405" s="222"/>
    </row>
    <row r="4406" spans="1:8" s="212" customFormat="1">
      <c r="A4406" s="150"/>
      <c r="B4406" s="83"/>
      <c r="C4406" s="148"/>
      <c r="D4406" s="84"/>
      <c r="E4406" s="84"/>
      <c r="F4406" s="84"/>
      <c r="G4406" s="224"/>
      <c r="H4406" s="221"/>
    </row>
    <row r="4407" spans="1:8" s="212" customFormat="1">
      <c r="A4407" s="91"/>
      <c r="B4407" s="91"/>
      <c r="C4407" s="91"/>
      <c r="D4407" s="91"/>
      <c r="E4407" s="91"/>
      <c r="G4407" s="213"/>
      <c r="H4407" s="222"/>
    </row>
    <row r="4408" spans="1:8" s="212" customFormat="1">
      <c r="A4408" s="120"/>
      <c r="B4408" s="73"/>
      <c r="C4408" s="73"/>
      <c r="D4408" s="73"/>
      <c r="E4408" s="73"/>
      <c r="G4408" s="73"/>
      <c r="H4408" s="222"/>
    </row>
    <row r="4409" spans="1:8" s="212" customFormat="1">
      <c r="A4409" s="220"/>
      <c r="B4409" s="141"/>
      <c r="C4409" s="141"/>
      <c r="D4409" s="141"/>
      <c r="E4409" s="141"/>
      <c r="F4409" s="141"/>
      <c r="G4409" s="141"/>
      <c r="H4409" s="222"/>
    </row>
    <row r="4410" spans="1:8" s="212" customFormat="1">
      <c r="A4410" s="146"/>
      <c r="B4410" s="83"/>
      <c r="C4410" s="148"/>
      <c r="D4410" s="84"/>
      <c r="E4410" s="84"/>
      <c r="F4410" s="84"/>
      <c r="G4410" s="146"/>
      <c r="H4410" s="222"/>
    </row>
    <row r="4411" spans="1:8" s="212" customFormat="1">
      <c r="A4411" s="146"/>
      <c r="B4411" s="83"/>
      <c r="C4411" s="148"/>
      <c r="D4411" s="84"/>
      <c r="E4411" s="84"/>
      <c r="F4411" s="84"/>
      <c r="G4411" s="146"/>
      <c r="H4411" s="221"/>
    </row>
    <row r="4412" spans="1:8" s="212" customFormat="1">
      <c r="A4412" s="91"/>
      <c r="B4412" s="91"/>
      <c r="C4412" s="91"/>
      <c r="D4412" s="91"/>
      <c r="E4412" s="91"/>
      <c r="G4412" s="213"/>
      <c r="H4412" s="222"/>
    </row>
    <row r="4413" spans="1:8" s="212" customFormat="1">
      <c r="A4413" s="120"/>
      <c r="B4413" s="73"/>
      <c r="C4413" s="73"/>
      <c r="D4413" s="73"/>
      <c r="E4413" s="73"/>
      <c r="G4413" s="73"/>
      <c r="H4413" s="222"/>
    </row>
    <row r="4414" spans="1:8" s="212" customFormat="1">
      <c r="A4414" s="220"/>
      <c r="B4414" s="141"/>
      <c r="C4414" s="141"/>
      <c r="D4414" s="141"/>
      <c r="E4414" s="141"/>
      <c r="F4414" s="141"/>
      <c r="G4414" s="141"/>
      <c r="H4414" s="222"/>
    </row>
    <row r="4415" spans="1:8" s="212" customFormat="1">
      <c r="A4415" s="142"/>
      <c r="B4415" s="143"/>
      <c r="C4415" s="143"/>
      <c r="D4415" s="143"/>
      <c r="E4415" s="143"/>
      <c r="F4415" s="84"/>
      <c r="G4415" s="146"/>
      <c r="H4415" s="221"/>
    </row>
    <row r="4416" spans="1:8" s="212" customFormat="1">
      <c r="A4416" s="123"/>
      <c r="B4416" s="95"/>
      <c r="C4416" s="95"/>
      <c r="D4416" s="95"/>
      <c r="E4416" s="95"/>
      <c r="G4416" s="213"/>
      <c r="H4416" s="73"/>
    </row>
    <row r="4417" spans="1:9" s="212" customFormat="1">
      <c r="A4417" s="123"/>
      <c r="B4417" s="95"/>
      <c r="C4417" s="95"/>
      <c r="D4417" s="95"/>
      <c r="E4417" s="95"/>
      <c r="G4417" s="73"/>
      <c r="H4417" s="225"/>
    </row>
    <row r="4418" spans="1:9" s="212" customFormat="1">
      <c r="B4418" s="97"/>
      <c r="C4418" s="98"/>
      <c r="D4418" s="98"/>
      <c r="E4418" s="98"/>
      <c r="G4418" s="220"/>
    </row>
    <row r="4419" spans="1:9" s="212" customFormat="1">
      <c r="B4419" s="97"/>
      <c r="C4419" s="98"/>
      <c r="D4419" s="98"/>
      <c r="E4419" s="98"/>
      <c r="F4419" s="220"/>
      <c r="G4419" s="225"/>
      <c r="H4419" s="226"/>
    </row>
    <row r="4420" spans="1:9" s="212" customFormat="1">
      <c r="A4420" s="633"/>
      <c r="B4420" s="633"/>
      <c r="C4420" s="633"/>
      <c r="D4420" s="633"/>
      <c r="E4420" s="633"/>
      <c r="F4420" s="633"/>
      <c r="G4420" s="633"/>
    </row>
    <row r="4421" spans="1:9" s="212" customFormat="1">
      <c r="H4421" s="227"/>
      <c r="I4421" s="228"/>
    </row>
    <row r="4422" spans="1:9" s="212" customFormat="1">
      <c r="A4422" s="658"/>
      <c r="B4422" s="227"/>
      <c r="C4422" s="227"/>
      <c r="D4422" s="227"/>
      <c r="E4422" s="227"/>
      <c r="F4422" s="227"/>
      <c r="G4422" s="227"/>
      <c r="H4422" s="227"/>
      <c r="I4422" s="229"/>
    </row>
    <row r="4423" spans="1:9" s="212" customFormat="1">
      <c r="A4423" s="658"/>
      <c r="B4423" s="227"/>
      <c r="C4423" s="227"/>
      <c r="D4423" s="227"/>
      <c r="E4423" s="227"/>
      <c r="F4423" s="227"/>
      <c r="G4423" s="227"/>
    </row>
    <row r="4424" spans="1:9" s="212" customFormat="1">
      <c r="A4424" s="69"/>
      <c r="B4424" s="69"/>
      <c r="C4424" s="69"/>
      <c r="D4424" s="69"/>
      <c r="E4424" s="69"/>
    </row>
    <row r="4425" spans="1:9" s="212" customFormat="1">
      <c r="A4425" s="120"/>
      <c r="B4425" s="73"/>
      <c r="C4425" s="73"/>
      <c r="D4425" s="73"/>
      <c r="E4425" s="73"/>
      <c r="F4425" s="73"/>
      <c r="G4425" s="73"/>
      <c r="H4425" s="73"/>
    </row>
    <row r="4426" spans="1:9" s="212" customFormat="1">
      <c r="A4426" s="220"/>
      <c r="B4426" s="141"/>
      <c r="C4426" s="141"/>
      <c r="D4426" s="141"/>
      <c r="E4426" s="141"/>
      <c r="F4426" s="141"/>
      <c r="G4426" s="141"/>
      <c r="H4426" s="73"/>
    </row>
    <row r="4427" spans="1:9" s="212" customFormat="1">
      <c r="A4427" s="150"/>
      <c r="B4427" s="83"/>
      <c r="C4427" s="148"/>
      <c r="D4427" s="84"/>
      <c r="E4427" s="84"/>
      <c r="F4427" s="84"/>
      <c r="G4427" s="224"/>
      <c r="H4427" s="221"/>
    </row>
    <row r="4428" spans="1:9" s="212" customFormat="1">
      <c r="A4428" s="84"/>
      <c r="B4428" s="83"/>
      <c r="C4428" s="84"/>
      <c r="D4428" s="84"/>
      <c r="E4428" s="84"/>
      <c r="G4428" s="213"/>
      <c r="H4428" s="222"/>
    </row>
    <row r="4429" spans="1:9" s="212" customFormat="1">
      <c r="A4429" s="120"/>
      <c r="B4429" s="73"/>
      <c r="C4429" s="73"/>
      <c r="D4429" s="73"/>
      <c r="E4429" s="73"/>
      <c r="G4429" s="73"/>
      <c r="H4429" s="222"/>
    </row>
    <row r="4430" spans="1:9" s="212" customFormat="1">
      <c r="A4430" s="220"/>
      <c r="B4430" s="141"/>
      <c r="C4430" s="141"/>
      <c r="D4430" s="141"/>
      <c r="E4430" s="141"/>
      <c r="F4430" s="141"/>
      <c r="G4430" s="141"/>
      <c r="H4430" s="222"/>
    </row>
    <row r="4431" spans="1:9" s="212" customFormat="1">
      <c r="A4431" s="150"/>
      <c r="B4431" s="83"/>
      <c r="C4431" s="148"/>
      <c r="D4431" s="84"/>
      <c r="E4431" s="84"/>
      <c r="F4431" s="84"/>
      <c r="G4431" s="224"/>
      <c r="H4431" s="222"/>
    </row>
    <row r="4432" spans="1:9" s="212" customFormat="1">
      <c r="A4432" s="150"/>
      <c r="B4432" s="83"/>
      <c r="C4432" s="148"/>
      <c r="D4432" s="84"/>
      <c r="E4432" s="84"/>
      <c r="F4432" s="84"/>
      <c r="G4432" s="224"/>
      <c r="H4432" s="221"/>
    </row>
    <row r="4433" spans="1:9" s="212" customFormat="1">
      <c r="A4433" s="91"/>
      <c r="B4433" s="91"/>
      <c r="C4433" s="91"/>
      <c r="D4433" s="91"/>
      <c r="E4433" s="91"/>
      <c r="G4433" s="213"/>
      <c r="H4433" s="222"/>
    </row>
    <row r="4434" spans="1:9" s="212" customFormat="1">
      <c r="A4434" s="120"/>
      <c r="B4434" s="73"/>
      <c r="C4434" s="73"/>
      <c r="D4434" s="73"/>
      <c r="E4434" s="73"/>
      <c r="G4434" s="73"/>
      <c r="H4434" s="222"/>
    </row>
    <row r="4435" spans="1:9" s="212" customFormat="1">
      <c r="A4435" s="220"/>
      <c r="B4435" s="141"/>
      <c r="C4435" s="141"/>
      <c r="D4435" s="141"/>
      <c r="E4435" s="141"/>
      <c r="F4435" s="141"/>
      <c r="G4435" s="141"/>
      <c r="H4435" s="222"/>
    </row>
    <row r="4436" spans="1:9" s="212" customFormat="1">
      <c r="A4436" s="146"/>
      <c r="B4436" s="83"/>
      <c r="C4436" s="148"/>
      <c r="D4436" s="84"/>
      <c r="E4436" s="84"/>
      <c r="F4436" s="84"/>
      <c r="G4436" s="146"/>
      <c r="H4436" s="221"/>
    </row>
    <row r="4437" spans="1:9" s="212" customFormat="1">
      <c r="A4437" s="91"/>
      <c r="B4437" s="91"/>
      <c r="C4437" s="91"/>
      <c r="D4437" s="91"/>
      <c r="E4437" s="91"/>
      <c r="G4437" s="213"/>
      <c r="H4437" s="222"/>
    </row>
    <row r="4438" spans="1:9" s="212" customFormat="1">
      <c r="A4438" s="120"/>
      <c r="B4438" s="73"/>
      <c r="C4438" s="73"/>
      <c r="D4438" s="73"/>
      <c r="E4438" s="73"/>
      <c r="G4438" s="73"/>
      <c r="H4438" s="222"/>
    </row>
    <row r="4439" spans="1:9" s="212" customFormat="1">
      <c r="A4439" s="220"/>
      <c r="B4439" s="141"/>
      <c r="C4439" s="141"/>
      <c r="D4439" s="141"/>
      <c r="E4439" s="141"/>
      <c r="F4439" s="141"/>
      <c r="G4439" s="141"/>
      <c r="H4439" s="222"/>
    </row>
    <row r="4440" spans="1:9" s="212" customFormat="1">
      <c r="A4440" s="142"/>
      <c r="B4440" s="143"/>
      <c r="C4440" s="143"/>
      <c r="D4440" s="143"/>
      <c r="E4440" s="143"/>
      <c r="F4440" s="84"/>
      <c r="G4440" s="146"/>
      <c r="H4440" s="221"/>
    </row>
    <row r="4441" spans="1:9" s="212" customFormat="1">
      <c r="A4441" s="123"/>
      <c r="B4441" s="95"/>
      <c r="C4441" s="95"/>
      <c r="D4441" s="95"/>
      <c r="E4441" s="95"/>
      <c r="G4441" s="213"/>
      <c r="H4441" s="73"/>
    </row>
    <row r="4442" spans="1:9" s="212" customFormat="1">
      <c r="A4442" s="123"/>
      <c r="B4442" s="95"/>
      <c r="C4442" s="95"/>
      <c r="D4442" s="95"/>
      <c r="E4442" s="95"/>
      <c r="G4442" s="73"/>
      <c r="H4442" s="225"/>
    </row>
    <row r="4443" spans="1:9" s="212" customFormat="1">
      <c r="B4443" s="97"/>
      <c r="C4443" s="98"/>
      <c r="D4443" s="98"/>
      <c r="E4443" s="98"/>
      <c r="G4443" s="220"/>
    </row>
    <row r="4444" spans="1:9" s="212" customFormat="1">
      <c r="B4444" s="97"/>
      <c r="C4444" s="98"/>
      <c r="D4444" s="98"/>
      <c r="E4444" s="98"/>
      <c r="F4444" s="220"/>
      <c r="G4444" s="225"/>
      <c r="H4444" s="226"/>
    </row>
    <row r="4445" spans="1:9" s="212" customFormat="1">
      <c r="A4445" s="633"/>
      <c r="B4445" s="633"/>
      <c r="C4445" s="633"/>
      <c r="D4445" s="633"/>
      <c r="E4445" s="633"/>
      <c r="F4445" s="633"/>
      <c r="G4445" s="633"/>
    </row>
    <row r="4446" spans="1:9" s="212" customFormat="1">
      <c r="H4446" s="227"/>
      <c r="I4446" s="228"/>
    </row>
    <row r="4447" spans="1:9" s="212" customFormat="1">
      <c r="A4447" s="658"/>
      <c r="B4447" s="227"/>
      <c r="C4447" s="227"/>
      <c r="D4447" s="227"/>
      <c r="E4447" s="227"/>
      <c r="F4447" s="227"/>
      <c r="G4447" s="227"/>
      <c r="H4447" s="227"/>
      <c r="I4447" s="229"/>
    </row>
    <row r="4448" spans="1:9" s="212" customFormat="1">
      <c r="A4448" s="658"/>
      <c r="B4448" s="227"/>
      <c r="C4448" s="227"/>
      <c r="D4448" s="227"/>
      <c r="E4448" s="227"/>
      <c r="F4448" s="227"/>
      <c r="G4448" s="227"/>
    </row>
    <row r="4449" spans="1:8" s="212" customFormat="1">
      <c r="A4449" s="69"/>
      <c r="B4449" s="69"/>
      <c r="C4449" s="69"/>
      <c r="D4449" s="69"/>
      <c r="E4449" s="69"/>
    </row>
    <row r="4450" spans="1:8" s="212" customFormat="1">
      <c r="A4450" s="120"/>
      <c r="B4450" s="73"/>
      <c r="C4450" s="73"/>
      <c r="D4450" s="73"/>
      <c r="E4450" s="73"/>
      <c r="F4450" s="73"/>
      <c r="G4450" s="73"/>
      <c r="H4450" s="73"/>
    </row>
    <row r="4451" spans="1:8" s="212" customFormat="1">
      <c r="A4451" s="220"/>
      <c r="B4451" s="141"/>
      <c r="C4451" s="141"/>
      <c r="D4451" s="141"/>
      <c r="E4451" s="141"/>
      <c r="F4451" s="141"/>
      <c r="G4451" s="141"/>
      <c r="H4451" s="73"/>
    </row>
    <row r="4452" spans="1:8" s="212" customFormat="1">
      <c r="A4452" s="150"/>
      <c r="B4452" s="83"/>
      <c r="C4452" s="148"/>
      <c r="D4452" s="84"/>
      <c r="E4452" s="84"/>
      <c r="F4452" s="84"/>
      <c r="G4452" s="224"/>
      <c r="H4452" s="221"/>
    </row>
    <row r="4453" spans="1:8" s="212" customFormat="1">
      <c r="A4453" s="84"/>
      <c r="B4453" s="83"/>
      <c r="C4453" s="84"/>
      <c r="D4453" s="84"/>
      <c r="E4453" s="84"/>
      <c r="G4453" s="213"/>
      <c r="H4453" s="222"/>
    </row>
    <row r="4454" spans="1:8" s="212" customFormat="1">
      <c r="A4454" s="120"/>
      <c r="B4454" s="73"/>
      <c r="C4454" s="73"/>
      <c r="D4454" s="73"/>
      <c r="E4454" s="73"/>
      <c r="G4454" s="73"/>
      <c r="H4454" s="222"/>
    </row>
    <row r="4455" spans="1:8" s="212" customFormat="1">
      <c r="A4455" s="220"/>
      <c r="B4455" s="141"/>
      <c r="C4455" s="141"/>
      <c r="D4455" s="141"/>
      <c r="E4455" s="141"/>
      <c r="F4455" s="141"/>
      <c r="G4455" s="141"/>
      <c r="H4455" s="222"/>
    </row>
    <row r="4456" spans="1:8" s="212" customFormat="1">
      <c r="A4456" s="150"/>
      <c r="B4456" s="83"/>
      <c r="C4456" s="148"/>
      <c r="D4456" s="84"/>
      <c r="E4456" s="84"/>
      <c r="F4456" s="84"/>
      <c r="G4456" s="224"/>
      <c r="H4456" s="221"/>
    </row>
    <row r="4457" spans="1:8" s="212" customFormat="1">
      <c r="A4457" s="91"/>
      <c r="B4457" s="91"/>
      <c r="C4457" s="91"/>
      <c r="D4457" s="91"/>
      <c r="E4457" s="91"/>
      <c r="G4457" s="213"/>
      <c r="H4457" s="222"/>
    </row>
    <row r="4458" spans="1:8" s="212" customFormat="1">
      <c r="A4458" s="120"/>
      <c r="B4458" s="73"/>
      <c r="C4458" s="73"/>
      <c r="D4458" s="73"/>
      <c r="E4458" s="73"/>
      <c r="G4458" s="73"/>
      <c r="H4458" s="222"/>
    </row>
    <row r="4459" spans="1:8" s="212" customFormat="1">
      <c r="A4459" s="220"/>
      <c r="B4459" s="141"/>
      <c r="C4459" s="141"/>
      <c r="D4459" s="141"/>
      <c r="E4459" s="141"/>
      <c r="F4459" s="141"/>
      <c r="G4459" s="141"/>
      <c r="H4459" s="222"/>
    </row>
    <row r="4460" spans="1:8" s="212" customFormat="1">
      <c r="A4460" s="146"/>
      <c r="B4460" s="83"/>
      <c r="C4460" s="148"/>
      <c r="D4460" s="84"/>
      <c r="E4460" s="84"/>
      <c r="F4460" s="84"/>
      <c r="G4460" s="146"/>
      <c r="H4460" s="221"/>
    </row>
    <row r="4461" spans="1:8" s="212" customFormat="1">
      <c r="A4461" s="91"/>
      <c r="B4461" s="91"/>
      <c r="C4461" s="91"/>
      <c r="D4461" s="91"/>
      <c r="E4461" s="91"/>
      <c r="G4461" s="213"/>
      <c r="H4461" s="222"/>
    </row>
    <row r="4462" spans="1:8" s="212" customFormat="1">
      <c r="A4462" s="120"/>
      <c r="B4462" s="73"/>
      <c r="C4462" s="73"/>
      <c r="D4462" s="73"/>
      <c r="E4462" s="73"/>
      <c r="G4462" s="73"/>
      <c r="H4462" s="222"/>
    </row>
    <row r="4463" spans="1:8" s="212" customFormat="1">
      <c r="A4463" s="220"/>
      <c r="B4463" s="141"/>
      <c r="C4463" s="141"/>
      <c r="D4463" s="141"/>
      <c r="E4463" s="141"/>
      <c r="F4463" s="141"/>
      <c r="G4463" s="141"/>
      <c r="H4463" s="222"/>
    </row>
    <row r="4464" spans="1:8" s="212" customFormat="1">
      <c r="A4464" s="142"/>
      <c r="B4464" s="143"/>
      <c r="C4464" s="143"/>
      <c r="D4464" s="143"/>
      <c r="E4464" s="143"/>
      <c r="F4464" s="84"/>
      <c r="G4464" s="146"/>
      <c r="H4464" s="221"/>
    </row>
    <row r="4465" spans="1:9" s="212" customFormat="1">
      <c r="A4465" s="123"/>
      <c r="B4465" s="95"/>
      <c r="C4465" s="95"/>
      <c r="D4465" s="95"/>
      <c r="E4465" s="95"/>
      <c r="G4465" s="213"/>
      <c r="H4465" s="73"/>
    </row>
    <row r="4466" spans="1:9" s="212" customFormat="1">
      <c r="A4466" s="123"/>
      <c r="B4466" s="95"/>
      <c r="C4466" s="95"/>
      <c r="D4466" s="95"/>
      <c r="E4466" s="95"/>
      <c r="G4466" s="73"/>
      <c r="H4466" s="225"/>
    </row>
    <row r="4467" spans="1:9" s="212" customFormat="1">
      <c r="B4467" s="97"/>
      <c r="C4467" s="98"/>
      <c r="D4467" s="98"/>
      <c r="E4467" s="98"/>
      <c r="G4467" s="220"/>
    </row>
    <row r="4468" spans="1:9" s="212" customFormat="1">
      <c r="B4468" s="97"/>
      <c r="C4468" s="98"/>
      <c r="D4468" s="98"/>
      <c r="E4468" s="98"/>
      <c r="F4468" s="220"/>
      <c r="G4468" s="225"/>
      <c r="H4468" s="226"/>
    </row>
    <row r="4469" spans="1:9" s="212" customFormat="1">
      <c r="A4469" s="633"/>
      <c r="B4469" s="633"/>
      <c r="C4469" s="633"/>
      <c r="D4469" s="633"/>
      <c r="E4469" s="633"/>
      <c r="F4469" s="633"/>
      <c r="G4469" s="633"/>
    </row>
    <row r="4470" spans="1:9" s="212" customFormat="1">
      <c r="H4470" s="227"/>
      <c r="I4470" s="228"/>
    </row>
    <row r="4471" spans="1:9" s="212" customFormat="1">
      <c r="A4471" s="658"/>
      <c r="B4471" s="227"/>
      <c r="C4471" s="227"/>
      <c r="D4471" s="227"/>
      <c r="E4471" s="227"/>
      <c r="F4471" s="227"/>
      <c r="G4471" s="227"/>
      <c r="H4471" s="227"/>
      <c r="I4471" s="229"/>
    </row>
    <row r="4472" spans="1:9" s="212" customFormat="1">
      <c r="A4472" s="658"/>
      <c r="B4472" s="227"/>
      <c r="C4472" s="227"/>
      <c r="D4472" s="227"/>
      <c r="E4472" s="227"/>
      <c r="F4472" s="227"/>
      <c r="G4472" s="227"/>
    </row>
    <row r="4473" spans="1:9" s="212" customFormat="1">
      <c r="A4473" s="69"/>
      <c r="B4473" s="69"/>
      <c r="C4473" s="69"/>
      <c r="D4473" s="69"/>
      <c r="E4473" s="69"/>
    </row>
    <row r="4474" spans="1:9" s="212" customFormat="1">
      <c r="A4474" s="120"/>
      <c r="B4474" s="73"/>
      <c r="C4474" s="73"/>
      <c r="D4474" s="73"/>
      <c r="E4474" s="73"/>
      <c r="F4474" s="73"/>
      <c r="G4474" s="73"/>
      <c r="H4474" s="73"/>
    </row>
    <row r="4475" spans="1:9" s="212" customFormat="1">
      <c r="A4475" s="220"/>
      <c r="B4475" s="141"/>
      <c r="C4475" s="141"/>
      <c r="D4475" s="141"/>
      <c r="E4475" s="141"/>
      <c r="F4475" s="141"/>
      <c r="G4475" s="141"/>
      <c r="H4475" s="73"/>
    </row>
    <row r="4476" spans="1:9" s="212" customFormat="1">
      <c r="A4476" s="150"/>
      <c r="B4476" s="83"/>
      <c r="C4476" s="148"/>
      <c r="D4476" s="84"/>
      <c r="E4476" s="84"/>
      <c r="F4476" s="84"/>
      <c r="G4476" s="224"/>
      <c r="H4476" s="221"/>
    </row>
    <row r="4477" spans="1:9" s="212" customFormat="1">
      <c r="A4477" s="84"/>
      <c r="B4477" s="83"/>
      <c r="C4477" s="84"/>
      <c r="D4477" s="84"/>
      <c r="E4477" s="84"/>
      <c r="G4477" s="213"/>
      <c r="H4477" s="222"/>
    </row>
    <row r="4478" spans="1:9" s="212" customFormat="1">
      <c r="A4478" s="120"/>
      <c r="B4478" s="73"/>
      <c r="C4478" s="73"/>
      <c r="D4478" s="73"/>
      <c r="E4478" s="73"/>
      <c r="G4478" s="73"/>
      <c r="H4478" s="222"/>
    </row>
    <row r="4479" spans="1:9" s="212" customFormat="1">
      <c r="A4479" s="220"/>
      <c r="B4479" s="141"/>
      <c r="C4479" s="141"/>
      <c r="D4479" s="141"/>
      <c r="E4479" s="141"/>
      <c r="F4479" s="141"/>
      <c r="G4479" s="141"/>
      <c r="H4479" s="222"/>
    </row>
    <row r="4480" spans="1:9" s="212" customFormat="1">
      <c r="A4480" s="150"/>
      <c r="B4480" s="83"/>
      <c r="C4480" s="148"/>
      <c r="D4480" s="84"/>
      <c r="E4480" s="84"/>
      <c r="F4480" s="84"/>
      <c r="G4480" s="224"/>
      <c r="H4480" s="221"/>
    </row>
    <row r="4481" spans="1:9" s="212" customFormat="1">
      <c r="A4481" s="91"/>
      <c r="B4481" s="91"/>
      <c r="C4481" s="91"/>
      <c r="D4481" s="91"/>
      <c r="E4481" s="91"/>
      <c r="G4481" s="213"/>
      <c r="H4481" s="222"/>
    </row>
    <row r="4482" spans="1:9" s="212" customFormat="1">
      <c r="A4482" s="120"/>
      <c r="B4482" s="73"/>
      <c r="C4482" s="73"/>
      <c r="D4482" s="73"/>
      <c r="E4482" s="73"/>
      <c r="G4482" s="73"/>
      <c r="H4482" s="222"/>
    </row>
    <row r="4483" spans="1:9" s="212" customFormat="1">
      <c r="A4483" s="220"/>
      <c r="B4483" s="141"/>
      <c r="C4483" s="141"/>
      <c r="D4483" s="141"/>
      <c r="E4483" s="141"/>
      <c r="F4483" s="141"/>
      <c r="G4483" s="141"/>
      <c r="H4483" s="222"/>
    </row>
    <row r="4484" spans="1:9" s="212" customFormat="1">
      <c r="A4484" s="146"/>
      <c r="B4484" s="83"/>
      <c r="C4484" s="148"/>
      <c r="D4484" s="84"/>
      <c r="E4484" s="84"/>
      <c r="F4484" s="84"/>
      <c r="G4484" s="146"/>
      <c r="H4484" s="221"/>
    </row>
    <row r="4485" spans="1:9" s="212" customFormat="1">
      <c r="A4485" s="91"/>
      <c r="B4485" s="91"/>
      <c r="C4485" s="91"/>
      <c r="D4485" s="91"/>
      <c r="E4485" s="91"/>
      <c r="G4485" s="213"/>
      <c r="H4485" s="222"/>
    </row>
    <row r="4486" spans="1:9" s="212" customFormat="1">
      <c r="A4486" s="120"/>
      <c r="B4486" s="73"/>
      <c r="C4486" s="73"/>
      <c r="D4486" s="73"/>
      <c r="E4486" s="73"/>
      <c r="G4486" s="73"/>
      <c r="H4486" s="222"/>
    </row>
    <row r="4487" spans="1:9" s="212" customFormat="1">
      <c r="A4487" s="220"/>
      <c r="B4487" s="141"/>
      <c r="C4487" s="141"/>
      <c r="D4487" s="141"/>
      <c r="E4487" s="141"/>
      <c r="F4487" s="141"/>
      <c r="G4487" s="141"/>
      <c r="H4487" s="222"/>
    </row>
    <row r="4488" spans="1:9" s="212" customFormat="1">
      <c r="A4488" s="142"/>
      <c r="B4488" s="143"/>
      <c r="C4488" s="143"/>
      <c r="D4488" s="143"/>
      <c r="E4488" s="143"/>
      <c r="F4488" s="84"/>
      <c r="G4488" s="146"/>
      <c r="H4488" s="221"/>
    </row>
    <row r="4489" spans="1:9" s="212" customFormat="1">
      <c r="A4489" s="123"/>
      <c r="B4489" s="95"/>
      <c r="C4489" s="95"/>
      <c r="D4489" s="95"/>
      <c r="E4489" s="95"/>
      <c r="G4489" s="213"/>
      <c r="H4489" s="73"/>
    </row>
    <row r="4490" spans="1:9" s="212" customFormat="1">
      <c r="A4490" s="123"/>
      <c r="B4490" s="95"/>
      <c r="C4490" s="95"/>
      <c r="D4490" s="95"/>
      <c r="E4490" s="95"/>
      <c r="G4490" s="73"/>
      <c r="H4490" s="225"/>
    </row>
    <row r="4491" spans="1:9" s="212" customFormat="1">
      <c r="B4491" s="97"/>
      <c r="C4491" s="98"/>
      <c r="D4491" s="98"/>
      <c r="E4491" s="98"/>
      <c r="G4491" s="220"/>
    </row>
    <row r="4492" spans="1:9" s="212" customFormat="1">
      <c r="B4492" s="97"/>
      <c r="C4492" s="98"/>
      <c r="D4492" s="98"/>
      <c r="E4492" s="98"/>
      <c r="F4492" s="220"/>
      <c r="G4492" s="225"/>
      <c r="H4492" s="226"/>
    </row>
    <row r="4493" spans="1:9" s="212" customFormat="1">
      <c r="A4493" s="633"/>
      <c r="B4493" s="633"/>
      <c r="C4493" s="633"/>
      <c r="D4493" s="633"/>
      <c r="E4493" s="633"/>
      <c r="F4493" s="633"/>
      <c r="G4493" s="633"/>
    </row>
    <row r="4494" spans="1:9" s="212" customFormat="1">
      <c r="H4494" s="227"/>
      <c r="I4494" s="228"/>
    </row>
    <row r="4495" spans="1:9" s="212" customFormat="1">
      <c r="A4495" s="658"/>
      <c r="B4495" s="227"/>
      <c r="C4495" s="227"/>
      <c r="D4495" s="227"/>
      <c r="E4495" s="227"/>
      <c r="F4495" s="227"/>
      <c r="G4495" s="227"/>
      <c r="H4495" s="227"/>
      <c r="I4495" s="229"/>
    </row>
    <row r="4496" spans="1:9" s="212" customFormat="1">
      <c r="A4496" s="658"/>
      <c r="B4496" s="227"/>
      <c r="C4496" s="227"/>
      <c r="D4496" s="227"/>
      <c r="E4496" s="227"/>
      <c r="F4496" s="227"/>
      <c r="G4496" s="227"/>
    </row>
    <row r="4497" spans="1:8" s="212" customFormat="1">
      <c r="A4497" s="69"/>
      <c r="B4497" s="69"/>
      <c r="C4497" s="69"/>
      <c r="D4497" s="69"/>
      <c r="E4497" s="69"/>
    </row>
    <row r="4498" spans="1:8" s="212" customFormat="1">
      <c r="A4498" s="120"/>
      <c r="B4498" s="73"/>
      <c r="C4498" s="73"/>
      <c r="D4498" s="73"/>
      <c r="E4498" s="73"/>
      <c r="F4498" s="73"/>
      <c r="G4498" s="73"/>
      <c r="H4498" s="73"/>
    </row>
    <row r="4499" spans="1:8" s="212" customFormat="1">
      <c r="A4499" s="220"/>
      <c r="B4499" s="141"/>
      <c r="C4499" s="141"/>
      <c r="D4499" s="141"/>
      <c r="E4499" s="141"/>
      <c r="F4499" s="141"/>
      <c r="G4499" s="141"/>
      <c r="H4499" s="73"/>
    </row>
    <row r="4500" spans="1:8" s="212" customFormat="1">
      <c r="A4500" s="150"/>
      <c r="B4500" s="83"/>
      <c r="C4500" s="148"/>
      <c r="D4500" s="84"/>
      <c r="E4500" s="84"/>
      <c r="F4500" s="84"/>
      <c r="G4500" s="224"/>
      <c r="H4500" s="221"/>
    </row>
    <row r="4501" spans="1:8" s="212" customFormat="1">
      <c r="A4501" s="84"/>
      <c r="B4501" s="83"/>
      <c r="C4501" s="84"/>
      <c r="D4501" s="84"/>
      <c r="E4501" s="84"/>
      <c r="G4501" s="213"/>
      <c r="H4501" s="222"/>
    </row>
    <row r="4502" spans="1:8" s="212" customFormat="1">
      <c r="A4502" s="120"/>
      <c r="B4502" s="73"/>
      <c r="C4502" s="73"/>
      <c r="D4502" s="73"/>
      <c r="E4502" s="73"/>
      <c r="G4502" s="73"/>
      <c r="H4502" s="222"/>
    </row>
    <row r="4503" spans="1:8" s="212" customFormat="1">
      <c r="A4503" s="220"/>
      <c r="B4503" s="141"/>
      <c r="C4503" s="141"/>
      <c r="D4503" s="141"/>
      <c r="E4503" s="141"/>
      <c r="F4503" s="141"/>
      <c r="G4503" s="141"/>
      <c r="H4503" s="222"/>
    </row>
    <row r="4504" spans="1:8" s="212" customFormat="1">
      <c r="A4504" s="150"/>
      <c r="B4504" s="83"/>
      <c r="C4504" s="148"/>
      <c r="D4504" s="84"/>
      <c r="E4504" s="84"/>
      <c r="F4504" s="84"/>
      <c r="G4504" s="224"/>
      <c r="H4504" s="221"/>
    </row>
    <row r="4505" spans="1:8" s="212" customFormat="1">
      <c r="A4505" s="91"/>
      <c r="B4505" s="91"/>
      <c r="C4505" s="91"/>
      <c r="D4505" s="91"/>
      <c r="E4505" s="91"/>
      <c r="G4505" s="213"/>
      <c r="H4505" s="222"/>
    </row>
    <row r="4506" spans="1:8" s="212" customFormat="1">
      <c r="A4506" s="120"/>
      <c r="B4506" s="73"/>
      <c r="C4506" s="73"/>
      <c r="D4506" s="73"/>
      <c r="E4506" s="73"/>
      <c r="G4506" s="73"/>
      <c r="H4506" s="222"/>
    </row>
    <row r="4507" spans="1:8" s="212" customFormat="1">
      <c r="A4507" s="220"/>
      <c r="B4507" s="141"/>
      <c r="C4507" s="141"/>
      <c r="D4507" s="141"/>
      <c r="E4507" s="141"/>
      <c r="F4507" s="141"/>
      <c r="G4507" s="141"/>
      <c r="H4507" s="222"/>
    </row>
    <row r="4508" spans="1:8" s="212" customFormat="1">
      <c r="A4508" s="146"/>
      <c r="B4508" s="83"/>
      <c r="C4508" s="148"/>
      <c r="D4508" s="84"/>
      <c r="E4508" s="84"/>
      <c r="F4508" s="84"/>
      <c r="G4508" s="146"/>
      <c r="H4508" s="221"/>
    </row>
    <row r="4509" spans="1:8" s="212" customFormat="1">
      <c r="A4509" s="91"/>
      <c r="B4509" s="91"/>
      <c r="C4509" s="91"/>
      <c r="D4509" s="91"/>
      <c r="E4509" s="91"/>
      <c r="G4509" s="213"/>
      <c r="H4509" s="222"/>
    </row>
    <row r="4510" spans="1:8" s="212" customFormat="1">
      <c r="A4510" s="120"/>
      <c r="B4510" s="73"/>
      <c r="C4510" s="73"/>
      <c r="D4510" s="73"/>
      <c r="E4510" s="73"/>
      <c r="G4510" s="73"/>
      <c r="H4510" s="222"/>
    </row>
    <row r="4511" spans="1:8" s="212" customFormat="1">
      <c r="A4511" s="220"/>
      <c r="B4511" s="141"/>
      <c r="C4511" s="141"/>
      <c r="D4511" s="141"/>
      <c r="E4511" s="141"/>
      <c r="F4511" s="141"/>
      <c r="G4511" s="141"/>
      <c r="H4511" s="222"/>
    </row>
    <row r="4512" spans="1:8" s="212" customFormat="1">
      <c r="A4512" s="142"/>
      <c r="B4512" s="143"/>
      <c r="C4512" s="143"/>
      <c r="D4512" s="143"/>
      <c r="E4512" s="143"/>
      <c r="F4512" s="84"/>
      <c r="G4512" s="146"/>
      <c r="H4512" s="221"/>
    </row>
    <row r="4513" spans="1:9" s="212" customFormat="1">
      <c r="A4513" s="123"/>
      <c r="B4513" s="95"/>
      <c r="C4513" s="95"/>
      <c r="D4513" s="95"/>
      <c r="E4513" s="95"/>
      <c r="G4513" s="213"/>
      <c r="H4513" s="73"/>
    </row>
    <row r="4514" spans="1:9" s="212" customFormat="1">
      <c r="A4514" s="123"/>
      <c r="B4514" s="95"/>
      <c r="C4514" s="95"/>
      <c r="D4514" s="95"/>
      <c r="E4514" s="95"/>
      <c r="G4514" s="73"/>
      <c r="H4514" s="225"/>
    </row>
    <row r="4515" spans="1:9" s="212" customFormat="1">
      <c r="B4515" s="97"/>
      <c r="C4515" s="98"/>
      <c r="D4515" s="98"/>
      <c r="E4515" s="98"/>
      <c r="G4515" s="220"/>
    </row>
    <row r="4516" spans="1:9" s="212" customFormat="1">
      <c r="B4516" s="97"/>
      <c r="C4516" s="98"/>
      <c r="D4516" s="98"/>
      <c r="E4516" s="98"/>
      <c r="F4516" s="220"/>
      <c r="G4516" s="225"/>
      <c r="H4516" s="226"/>
    </row>
    <row r="4517" spans="1:9" s="212" customFormat="1">
      <c r="A4517" s="633"/>
      <c r="B4517" s="633"/>
      <c r="C4517" s="633"/>
      <c r="D4517" s="633"/>
      <c r="E4517" s="633"/>
      <c r="F4517" s="633"/>
      <c r="G4517" s="633"/>
    </row>
    <row r="4518" spans="1:9" s="212" customFormat="1">
      <c r="H4518" s="227"/>
      <c r="I4518" s="228"/>
    </row>
    <row r="4519" spans="1:9" s="212" customFormat="1">
      <c r="A4519" s="658"/>
      <c r="B4519" s="227"/>
      <c r="C4519" s="227"/>
      <c r="D4519" s="227"/>
      <c r="E4519" s="227"/>
      <c r="F4519" s="227"/>
      <c r="G4519" s="227"/>
      <c r="H4519" s="227"/>
      <c r="I4519" s="229"/>
    </row>
    <row r="4520" spans="1:9" s="212" customFormat="1">
      <c r="A4520" s="658"/>
      <c r="B4520" s="227"/>
      <c r="C4520" s="227"/>
      <c r="D4520" s="227"/>
      <c r="E4520" s="227"/>
      <c r="F4520" s="227"/>
      <c r="G4520" s="227"/>
    </row>
    <row r="4521" spans="1:9" s="212" customFormat="1">
      <c r="A4521" s="69"/>
      <c r="B4521" s="69"/>
      <c r="C4521" s="69"/>
      <c r="D4521" s="69"/>
      <c r="E4521" s="69"/>
    </row>
    <row r="4522" spans="1:9" s="212" customFormat="1">
      <c r="A4522" s="120"/>
      <c r="B4522" s="73"/>
      <c r="C4522" s="73"/>
      <c r="D4522" s="73"/>
      <c r="E4522" s="73"/>
      <c r="F4522" s="73"/>
      <c r="G4522" s="73"/>
      <c r="H4522" s="73"/>
    </row>
    <row r="4523" spans="1:9" s="212" customFormat="1">
      <c r="A4523" s="220"/>
      <c r="B4523" s="141"/>
      <c r="C4523" s="141"/>
      <c r="D4523" s="141"/>
      <c r="E4523" s="141"/>
      <c r="F4523" s="141"/>
      <c r="G4523" s="141"/>
      <c r="H4523" s="73"/>
    </row>
    <row r="4524" spans="1:9" s="212" customFormat="1">
      <c r="A4524" s="150"/>
      <c r="B4524" s="83"/>
      <c r="C4524" s="148"/>
      <c r="D4524" s="84"/>
      <c r="E4524" s="84"/>
      <c r="F4524" s="84"/>
      <c r="G4524" s="224"/>
      <c r="H4524" s="73"/>
    </row>
    <row r="4525" spans="1:9" s="212" customFormat="1">
      <c r="A4525" s="150"/>
      <c r="B4525" s="83"/>
      <c r="C4525" s="148"/>
      <c r="D4525" s="84"/>
      <c r="E4525" s="84"/>
      <c r="F4525" s="84"/>
      <c r="G4525" s="224"/>
      <c r="H4525" s="221"/>
    </row>
    <row r="4526" spans="1:9" s="212" customFormat="1">
      <c r="A4526" s="84"/>
      <c r="B4526" s="83"/>
      <c r="C4526" s="84"/>
      <c r="D4526" s="84"/>
      <c r="E4526" s="84"/>
      <c r="G4526" s="213"/>
      <c r="H4526" s="222"/>
    </row>
    <row r="4527" spans="1:9" s="212" customFormat="1">
      <c r="A4527" s="120"/>
      <c r="B4527" s="73"/>
      <c r="C4527" s="73"/>
      <c r="D4527" s="73"/>
      <c r="E4527" s="73"/>
      <c r="G4527" s="73"/>
      <c r="H4527" s="222"/>
    </row>
    <row r="4528" spans="1:9" s="212" customFormat="1">
      <c r="A4528" s="220"/>
      <c r="B4528" s="141"/>
      <c r="C4528" s="141"/>
      <c r="D4528" s="141"/>
      <c r="E4528" s="141"/>
      <c r="F4528" s="141"/>
      <c r="G4528" s="141"/>
      <c r="H4528" s="222"/>
    </row>
    <row r="4529" spans="1:8" s="212" customFormat="1">
      <c r="A4529" s="150"/>
      <c r="B4529" s="83"/>
      <c r="C4529" s="148"/>
      <c r="D4529" s="84"/>
      <c r="E4529" s="84"/>
      <c r="F4529" s="84"/>
      <c r="G4529" s="224"/>
      <c r="H4529" s="222"/>
    </row>
    <row r="4530" spans="1:8" s="212" customFormat="1">
      <c r="A4530" s="150"/>
      <c r="B4530" s="83"/>
      <c r="C4530" s="148"/>
      <c r="D4530" s="84"/>
      <c r="E4530" s="84"/>
      <c r="F4530" s="84"/>
      <c r="G4530" s="224"/>
      <c r="H4530" s="222"/>
    </row>
    <row r="4531" spans="1:8" s="212" customFormat="1">
      <c r="A4531" s="150"/>
      <c r="B4531" s="83"/>
      <c r="C4531" s="148"/>
      <c r="D4531" s="84"/>
      <c r="E4531" s="84"/>
      <c r="F4531" s="84"/>
      <c r="G4531" s="224"/>
      <c r="H4531" s="222"/>
    </row>
    <row r="4532" spans="1:8" s="212" customFormat="1">
      <c r="A4532" s="150"/>
      <c r="B4532" s="83"/>
      <c r="C4532" s="148"/>
      <c r="D4532" s="84"/>
      <c r="E4532" s="84"/>
      <c r="F4532" s="84"/>
      <c r="G4532" s="224"/>
      <c r="H4532" s="222"/>
    </row>
    <row r="4533" spans="1:8" s="212" customFormat="1">
      <c r="A4533" s="150"/>
      <c r="B4533" s="83"/>
      <c r="C4533" s="148"/>
      <c r="D4533" s="84"/>
      <c r="E4533" s="84"/>
      <c r="F4533" s="84"/>
      <c r="G4533" s="224"/>
      <c r="H4533" s="222"/>
    </row>
    <row r="4534" spans="1:8" s="212" customFormat="1">
      <c r="A4534" s="150"/>
      <c r="B4534" s="83"/>
      <c r="C4534" s="148"/>
      <c r="D4534" s="84"/>
      <c r="E4534" s="84"/>
      <c r="F4534" s="84"/>
      <c r="G4534" s="224"/>
      <c r="H4534" s="222"/>
    </row>
    <row r="4535" spans="1:8" s="212" customFormat="1">
      <c r="A4535" s="150"/>
      <c r="B4535" s="83"/>
      <c r="C4535" s="148"/>
      <c r="D4535" s="84"/>
      <c r="E4535" s="84"/>
      <c r="F4535" s="84"/>
      <c r="G4535" s="224"/>
      <c r="H4535" s="222"/>
    </row>
    <row r="4536" spans="1:8" s="212" customFormat="1">
      <c r="A4536" s="150"/>
      <c r="B4536" s="83"/>
      <c r="C4536" s="148"/>
      <c r="D4536" s="84"/>
      <c r="E4536" s="84"/>
      <c r="F4536" s="84"/>
      <c r="G4536" s="224"/>
      <c r="H4536" s="221"/>
    </row>
    <row r="4537" spans="1:8" s="212" customFormat="1">
      <c r="A4537" s="91"/>
      <c r="B4537" s="91"/>
      <c r="C4537" s="91"/>
      <c r="D4537" s="91"/>
      <c r="E4537" s="91"/>
      <c r="G4537" s="213"/>
      <c r="H4537" s="222"/>
    </row>
    <row r="4538" spans="1:8" s="212" customFormat="1">
      <c r="A4538" s="120"/>
      <c r="B4538" s="73"/>
      <c r="C4538" s="73"/>
      <c r="D4538" s="73"/>
      <c r="E4538" s="73"/>
      <c r="G4538" s="73"/>
      <c r="H4538" s="222"/>
    </row>
    <row r="4539" spans="1:8" s="212" customFormat="1">
      <c r="A4539" s="220"/>
      <c r="B4539" s="141"/>
      <c r="C4539" s="141"/>
      <c r="D4539" s="141"/>
      <c r="E4539" s="141"/>
      <c r="F4539" s="141"/>
      <c r="G4539" s="141"/>
      <c r="H4539" s="222"/>
    </row>
    <row r="4540" spans="1:8" s="212" customFormat="1">
      <c r="A4540" s="146"/>
      <c r="B4540" s="83"/>
      <c r="C4540" s="148"/>
      <c r="D4540" s="84"/>
      <c r="E4540" s="84"/>
      <c r="F4540" s="84"/>
      <c r="G4540" s="146"/>
      <c r="H4540" s="222"/>
    </row>
    <row r="4541" spans="1:8" s="212" customFormat="1">
      <c r="A4541" s="146"/>
      <c r="B4541" s="83"/>
      <c r="C4541" s="148"/>
      <c r="D4541" s="84"/>
      <c r="E4541" s="84"/>
      <c r="F4541" s="84"/>
      <c r="G4541" s="146"/>
      <c r="H4541" s="221"/>
    </row>
    <row r="4542" spans="1:8" s="212" customFormat="1">
      <c r="A4542" s="91"/>
      <c r="B4542" s="91"/>
      <c r="C4542" s="91"/>
      <c r="D4542" s="91"/>
      <c r="E4542" s="91"/>
      <c r="G4542" s="213"/>
      <c r="H4542" s="222"/>
    </row>
    <row r="4543" spans="1:8" s="212" customFormat="1">
      <c r="A4543" s="120"/>
      <c r="B4543" s="73"/>
      <c r="C4543" s="73"/>
      <c r="D4543" s="73"/>
      <c r="E4543" s="73"/>
      <c r="G4543" s="73"/>
      <c r="H4543" s="222"/>
    </row>
    <row r="4544" spans="1:8" s="212" customFormat="1">
      <c r="A4544" s="220"/>
      <c r="B4544" s="141"/>
      <c r="C4544" s="141"/>
      <c r="D4544" s="141"/>
      <c r="E4544" s="141"/>
      <c r="F4544" s="141"/>
      <c r="G4544" s="141"/>
      <c r="H4544" s="222"/>
    </row>
    <row r="4545" spans="1:9" s="212" customFormat="1">
      <c r="A4545" s="142"/>
      <c r="B4545" s="143"/>
      <c r="C4545" s="143"/>
      <c r="D4545" s="143"/>
      <c r="E4545" s="143"/>
      <c r="F4545" s="84"/>
      <c r="G4545" s="146"/>
      <c r="H4545" s="221"/>
    </row>
    <row r="4546" spans="1:9" s="212" customFormat="1">
      <c r="A4546" s="123"/>
      <c r="B4546" s="95"/>
      <c r="C4546" s="95"/>
      <c r="D4546" s="95"/>
      <c r="E4546" s="95"/>
      <c r="G4546" s="213"/>
      <c r="H4546" s="73"/>
    </row>
    <row r="4547" spans="1:9" s="212" customFormat="1">
      <c r="A4547" s="123"/>
      <c r="B4547" s="95"/>
      <c r="C4547" s="95"/>
      <c r="D4547" s="95"/>
      <c r="E4547" s="95"/>
      <c r="G4547" s="73"/>
      <c r="H4547" s="225"/>
    </row>
    <row r="4548" spans="1:9" s="212" customFormat="1">
      <c r="B4548" s="97"/>
      <c r="C4548" s="98"/>
      <c r="D4548" s="98"/>
      <c r="E4548" s="98"/>
      <c r="G4548" s="220"/>
    </row>
    <row r="4549" spans="1:9" s="212" customFormat="1">
      <c r="B4549" s="97"/>
      <c r="C4549" s="98"/>
      <c r="D4549" s="98"/>
      <c r="E4549" s="98"/>
      <c r="F4549" s="220"/>
      <c r="G4549" s="225"/>
      <c r="H4549" s="226"/>
    </row>
    <row r="4550" spans="1:9" s="212" customFormat="1">
      <c r="A4550" s="633"/>
      <c r="B4550" s="633"/>
      <c r="C4550" s="633"/>
      <c r="D4550" s="633"/>
      <c r="E4550" s="633"/>
      <c r="F4550" s="633"/>
      <c r="G4550" s="633"/>
    </row>
    <row r="4551" spans="1:9" s="212" customFormat="1">
      <c r="H4551" s="227"/>
      <c r="I4551" s="228"/>
    </row>
    <row r="4552" spans="1:9" s="212" customFormat="1">
      <c r="A4552" s="658"/>
      <c r="B4552" s="227"/>
      <c r="C4552" s="227"/>
      <c r="D4552" s="227"/>
      <c r="E4552" s="227"/>
      <c r="F4552" s="227"/>
      <c r="G4552" s="227"/>
      <c r="H4552" s="227"/>
      <c r="I4552" s="229"/>
    </row>
    <row r="4553" spans="1:9" s="212" customFormat="1">
      <c r="A4553" s="658"/>
      <c r="B4553" s="227"/>
      <c r="C4553" s="227"/>
      <c r="D4553" s="227"/>
      <c r="E4553" s="227"/>
      <c r="F4553" s="227"/>
      <c r="G4553" s="227"/>
    </row>
    <row r="4554" spans="1:9" s="212" customFormat="1">
      <c r="A4554" s="69"/>
      <c r="B4554" s="69"/>
      <c r="C4554" s="69"/>
      <c r="D4554" s="69"/>
      <c r="E4554" s="69"/>
    </row>
    <row r="4555" spans="1:9" s="212" customFormat="1">
      <c r="A4555" s="120"/>
      <c r="B4555" s="73"/>
      <c r="C4555" s="73"/>
      <c r="D4555" s="73"/>
      <c r="E4555" s="73"/>
      <c r="F4555" s="73"/>
      <c r="G4555" s="73"/>
      <c r="H4555" s="73"/>
    </row>
    <row r="4556" spans="1:9" s="212" customFormat="1">
      <c r="A4556" s="220"/>
      <c r="B4556" s="141"/>
      <c r="C4556" s="141"/>
      <c r="D4556" s="141"/>
      <c r="E4556" s="141"/>
      <c r="F4556" s="141"/>
      <c r="G4556" s="141"/>
      <c r="H4556" s="73"/>
    </row>
    <row r="4557" spans="1:9" s="212" customFormat="1">
      <c r="A4557" s="150"/>
      <c r="B4557" s="83"/>
      <c r="C4557" s="148"/>
      <c r="D4557" s="84"/>
      <c r="E4557" s="84"/>
      <c r="F4557" s="84"/>
      <c r="G4557" s="224"/>
      <c r="H4557" s="221"/>
    </row>
    <row r="4558" spans="1:9" s="212" customFormat="1">
      <c r="A4558" s="84"/>
      <c r="B4558" s="83"/>
      <c r="C4558" s="84"/>
      <c r="D4558" s="84"/>
      <c r="E4558" s="84"/>
      <c r="G4558" s="213"/>
      <c r="H4558" s="222"/>
    </row>
    <row r="4559" spans="1:9" s="212" customFormat="1">
      <c r="A4559" s="120"/>
      <c r="B4559" s="73"/>
      <c r="C4559" s="73"/>
      <c r="D4559" s="73"/>
      <c r="E4559" s="73"/>
      <c r="G4559" s="73"/>
      <c r="H4559" s="222"/>
    </row>
    <row r="4560" spans="1:9" s="212" customFormat="1">
      <c r="A4560" s="220"/>
      <c r="B4560" s="141"/>
      <c r="C4560" s="141"/>
      <c r="D4560" s="141"/>
      <c r="E4560" s="141"/>
      <c r="F4560" s="141"/>
      <c r="G4560" s="141"/>
      <c r="H4560" s="222"/>
    </row>
    <row r="4561" spans="1:9" s="212" customFormat="1">
      <c r="A4561" s="150"/>
      <c r="B4561" s="83"/>
      <c r="C4561" s="148"/>
      <c r="D4561" s="84"/>
      <c r="E4561" s="84"/>
      <c r="F4561" s="84"/>
      <c r="G4561" s="224"/>
      <c r="H4561" s="221"/>
    </row>
    <row r="4562" spans="1:9" s="212" customFormat="1">
      <c r="A4562" s="91"/>
      <c r="B4562" s="91"/>
      <c r="C4562" s="91"/>
      <c r="D4562" s="91"/>
      <c r="E4562" s="91"/>
      <c r="G4562" s="213"/>
      <c r="H4562" s="222"/>
    </row>
    <row r="4563" spans="1:9" s="212" customFormat="1">
      <c r="A4563" s="120"/>
      <c r="B4563" s="73"/>
      <c r="C4563" s="73"/>
      <c r="D4563" s="73"/>
      <c r="E4563" s="73"/>
      <c r="G4563" s="73"/>
      <c r="H4563" s="222"/>
    </row>
    <row r="4564" spans="1:9" s="212" customFormat="1">
      <c r="A4564" s="220"/>
      <c r="B4564" s="141"/>
      <c r="C4564" s="141"/>
      <c r="D4564" s="141"/>
      <c r="E4564" s="141"/>
      <c r="F4564" s="141"/>
      <c r="G4564" s="141"/>
      <c r="H4564" s="222"/>
    </row>
    <row r="4565" spans="1:9" s="212" customFormat="1">
      <c r="A4565" s="146"/>
      <c r="B4565" s="83"/>
      <c r="C4565" s="148"/>
      <c r="D4565" s="84"/>
      <c r="E4565" s="84"/>
      <c r="F4565" s="84"/>
      <c r="G4565" s="146"/>
      <c r="H4565" s="221"/>
    </row>
    <row r="4566" spans="1:9" s="212" customFormat="1">
      <c r="A4566" s="91"/>
      <c r="B4566" s="91"/>
      <c r="C4566" s="91"/>
      <c r="D4566" s="91"/>
      <c r="E4566" s="91"/>
      <c r="G4566" s="213"/>
      <c r="H4566" s="222"/>
    </row>
    <row r="4567" spans="1:9" s="212" customFormat="1">
      <c r="A4567" s="120"/>
      <c r="B4567" s="73"/>
      <c r="C4567" s="73"/>
      <c r="D4567" s="73"/>
      <c r="E4567" s="73"/>
      <c r="G4567" s="73"/>
      <c r="H4567" s="222"/>
    </row>
    <row r="4568" spans="1:9" s="212" customFormat="1">
      <c r="A4568" s="220"/>
      <c r="B4568" s="141"/>
      <c r="C4568" s="141"/>
      <c r="D4568" s="141"/>
      <c r="E4568" s="141"/>
      <c r="F4568" s="141"/>
      <c r="G4568" s="141"/>
      <c r="H4568" s="222"/>
    </row>
    <row r="4569" spans="1:9" s="212" customFormat="1">
      <c r="A4569" s="142"/>
      <c r="B4569" s="143"/>
      <c r="C4569" s="143"/>
      <c r="D4569" s="143"/>
      <c r="E4569" s="143"/>
      <c r="F4569" s="84"/>
      <c r="G4569" s="146"/>
      <c r="H4569" s="221"/>
    </row>
    <row r="4570" spans="1:9" s="212" customFormat="1">
      <c r="A4570" s="123"/>
      <c r="B4570" s="95"/>
      <c r="C4570" s="95"/>
      <c r="D4570" s="95"/>
      <c r="E4570" s="95"/>
      <c r="G4570" s="213"/>
      <c r="H4570" s="73"/>
    </row>
    <row r="4571" spans="1:9" s="212" customFormat="1">
      <c r="A4571" s="123"/>
      <c r="B4571" s="95"/>
      <c r="C4571" s="95"/>
      <c r="D4571" s="95"/>
      <c r="E4571" s="95"/>
      <c r="G4571" s="73"/>
      <c r="H4571" s="225"/>
    </row>
    <row r="4572" spans="1:9" s="212" customFormat="1">
      <c r="B4572" s="97"/>
      <c r="C4572" s="98"/>
      <c r="D4572" s="98"/>
      <c r="E4572" s="98"/>
      <c r="G4572" s="220"/>
    </row>
    <row r="4573" spans="1:9" s="212" customFormat="1">
      <c r="B4573" s="97"/>
      <c r="C4573" s="98"/>
      <c r="D4573" s="98"/>
      <c r="E4573" s="98"/>
      <c r="F4573" s="220"/>
      <c r="G4573" s="225"/>
      <c r="H4573" s="226"/>
    </row>
    <row r="4574" spans="1:9" s="212" customFormat="1">
      <c r="A4574" s="633"/>
      <c r="B4574" s="633"/>
      <c r="C4574" s="633"/>
      <c r="D4574" s="633"/>
      <c r="E4574" s="633"/>
      <c r="F4574" s="633"/>
      <c r="G4574" s="633"/>
    </row>
    <row r="4575" spans="1:9" s="212" customFormat="1">
      <c r="H4575" s="227"/>
      <c r="I4575" s="228"/>
    </row>
    <row r="4576" spans="1:9" s="212" customFormat="1">
      <c r="A4576" s="658"/>
      <c r="B4576" s="227"/>
      <c r="C4576" s="227"/>
      <c r="D4576" s="227"/>
      <c r="E4576" s="227"/>
      <c r="F4576" s="227"/>
      <c r="G4576" s="227"/>
      <c r="H4576" s="227"/>
      <c r="I4576" s="229"/>
    </row>
    <row r="4577" spans="1:8" s="212" customFormat="1">
      <c r="A4577" s="658"/>
      <c r="B4577" s="227"/>
      <c r="C4577" s="227"/>
      <c r="D4577" s="227"/>
      <c r="E4577" s="227"/>
      <c r="F4577" s="227"/>
      <c r="G4577" s="227"/>
    </row>
    <row r="4578" spans="1:8" s="212" customFormat="1">
      <c r="A4578" s="69"/>
      <c r="B4578" s="69"/>
      <c r="C4578" s="69"/>
      <c r="D4578" s="69"/>
      <c r="E4578" s="69"/>
    </row>
    <row r="4579" spans="1:8" s="212" customFormat="1">
      <c r="A4579" s="120"/>
      <c r="B4579" s="73"/>
      <c r="C4579" s="73"/>
      <c r="D4579" s="73"/>
      <c r="E4579" s="73"/>
      <c r="F4579" s="73"/>
      <c r="G4579" s="73"/>
      <c r="H4579" s="73"/>
    </row>
    <row r="4580" spans="1:8" s="212" customFormat="1">
      <c r="A4580" s="220"/>
      <c r="B4580" s="141"/>
      <c r="C4580" s="141"/>
      <c r="D4580" s="141"/>
      <c r="E4580" s="141"/>
      <c r="F4580" s="141"/>
      <c r="G4580" s="141"/>
      <c r="H4580" s="73"/>
    </row>
    <row r="4581" spans="1:8" s="212" customFormat="1">
      <c r="A4581" s="150"/>
      <c r="B4581" s="83"/>
      <c r="C4581" s="148"/>
      <c r="D4581" s="84"/>
      <c r="E4581" s="84"/>
      <c r="F4581" s="84"/>
      <c r="G4581" s="224"/>
      <c r="H4581" s="221"/>
    </row>
    <row r="4582" spans="1:8" s="212" customFormat="1">
      <c r="A4582" s="84"/>
      <c r="B4582" s="83"/>
      <c r="C4582" s="84"/>
      <c r="D4582" s="84"/>
      <c r="E4582" s="84"/>
      <c r="G4582" s="213"/>
      <c r="H4582" s="222"/>
    </row>
    <row r="4583" spans="1:8" s="212" customFormat="1">
      <c r="A4583" s="120"/>
      <c r="B4583" s="73"/>
      <c r="C4583" s="73"/>
      <c r="D4583" s="73"/>
      <c r="E4583" s="73"/>
      <c r="G4583" s="73"/>
      <c r="H4583" s="222"/>
    </row>
    <row r="4584" spans="1:8" s="212" customFormat="1">
      <c r="A4584" s="220"/>
      <c r="B4584" s="141"/>
      <c r="C4584" s="141"/>
      <c r="D4584" s="141"/>
      <c r="E4584" s="141"/>
      <c r="F4584" s="141"/>
      <c r="G4584" s="141"/>
      <c r="H4584" s="222"/>
    </row>
    <row r="4585" spans="1:8" s="212" customFormat="1">
      <c r="A4585" s="150"/>
      <c r="B4585" s="83"/>
      <c r="C4585" s="148"/>
      <c r="D4585" s="84"/>
      <c r="E4585" s="84"/>
      <c r="F4585" s="84"/>
      <c r="G4585" s="224"/>
      <c r="H4585" s="221"/>
    </row>
    <row r="4586" spans="1:8" s="212" customFormat="1">
      <c r="A4586" s="91"/>
      <c r="B4586" s="91"/>
      <c r="C4586" s="91"/>
      <c r="D4586" s="91"/>
      <c r="E4586" s="91"/>
      <c r="G4586" s="213"/>
      <c r="H4586" s="222"/>
    </row>
    <row r="4587" spans="1:8" s="212" customFormat="1">
      <c r="A4587" s="120"/>
      <c r="B4587" s="73"/>
      <c r="C4587" s="73"/>
      <c r="D4587" s="73"/>
      <c r="E4587" s="73"/>
      <c r="G4587" s="73"/>
      <c r="H4587" s="222"/>
    </row>
    <row r="4588" spans="1:8" s="212" customFormat="1">
      <c r="A4588" s="220"/>
      <c r="B4588" s="141"/>
      <c r="C4588" s="141"/>
      <c r="D4588" s="141"/>
      <c r="E4588" s="141"/>
      <c r="F4588" s="141"/>
      <c r="G4588" s="141"/>
      <c r="H4588" s="222"/>
    </row>
    <row r="4589" spans="1:8" s="212" customFormat="1">
      <c r="A4589" s="146"/>
      <c r="B4589" s="83"/>
      <c r="C4589" s="148"/>
      <c r="D4589" s="84"/>
      <c r="E4589" s="84"/>
      <c r="F4589" s="84"/>
      <c r="G4589" s="146"/>
      <c r="H4589" s="221"/>
    </row>
    <row r="4590" spans="1:8" s="212" customFormat="1">
      <c r="A4590" s="91"/>
      <c r="B4590" s="91"/>
      <c r="C4590" s="91"/>
      <c r="D4590" s="91"/>
      <c r="E4590" s="91"/>
      <c r="G4590" s="213"/>
      <c r="H4590" s="222"/>
    </row>
    <row r="4591" spans="1:8" s="212" customFormat="1">
      <c r="A4591" s="120"/>
      <c r="B4591" s="73"/>
      <c r="C4591" s="73"/>
      <c r="D4591" s="73"/>
      <c r="E4591" s="73"/>
      <c r="G4591" s="73"/>
      <c r="H4591" s="222"/>
    </row>
    <row r="4592" spans="1:8" s="212" customFormat="1">
      <c r="A4592" s="220"/>
      <c r="B4592" s="141"/>
      <c r="C4592" s="141"/>
      <c r="D4592" s="141"/>
      <c r="E4592" s="141"/>
      <c r="F4592" s="141"/>
      <c r="G4592" s="141"/>
      <c r="H4592" s="222"/>
    </row>
    <row r="4593" spans="1:9" s="212" customFormat="1">
      <c r="A4593" s="142"/>
      <c r="B4593" s="143"/>
      <c r="C4593" s="143"/>
      <c r="D4593" s="143"/>
      <c r="E4593" s="143"/>
      <c r="F4593" s="84"/>
      <c r="G4593" s="146"/>
      <c r="H4593" s="221"/>
    </row>
    <row r="4594" spans="1:9" s="212" customFormat="1">
      <c r="A4594" s="123"/>
      <c r="B4594" s="95"/>
      <c r="C4594" s="95"/>
      <c r="D4594" s="95"/>
      <c r="E4594" s="95"/>
      <c r="G4594" s="213"/>
      <c r="H4594" s="73"/>
    </row>
    <row r="4595" spans="1:9" s="212" customFormat="1">
      <c r="A4595" s="123"/>
      <c r="B4595" s="95"/>
      <c r="C4595" s="95"/>
      <c r="D4595" s="95"/>
      <c r="E4595" s="95"/>
      <c r="G4595" s="73"/>
      <c r="H4595" s="225"/>
    </row>
    <row r="4596" spans="1:9" s="212" customFormat="1">
      <c r="B4596" s="97"/>
      <c r="C4596" s="98"/>
      <c r="D4596" s="98"/>
      <c r="E4596" s="98"/>
      <c r="G4596" s="220"/>
    </row>
    <row r="4597" spans="1:9" s="212" customFormat="1">
      <c r="B4597" s="97"/>
      <c r="C4597" s="98"/>
      <c r="D4597" s="98"/>
      <c r="E4597" s="98"/>
      <c r="F4597" s="220"/>
      <c r="G4597" s="225"/>
      <c r="H4597" s="226"/>
    </row>
    <row r="4598" spans="1:9" s="212" customFormat="1">
      <c r="A4598" s="633"/>
      <c r="B4598" s="633"/>
      <c r="C4598" s="633"/>
      <c r="D4598" s="633"/>
      <c r="E4598" s="633"/>
      <c r="F4598" s="633"/>
      <c r="G4598" s="633"/>
    </row>
    <row r="4599" spans="1:9" s="212" customFormat="1">
      <c r="H4599" s="227"/>
      <c r="I4599" s="228"/>
    </row>
    <row r="4600" spans="1:9" s="212" customFormat="1">
      <c r="A4600" s="658"/>
      <c r="B4600" s="227"/>
      <c r="C4600" s="227"/>
      <c r="D4600" s="227"/>
      <c r="E4600" s="227"/>
      <c r="F4600" s="227"/>
      <c r="G4600" s="227"/>
      <c r="H4600" s="227"/>
      <c r="I4600" s="229"/>
    </row>
    <row r="4601" spans="1:9" s="212" customFormat="1">
      <c r="A4601" s="658"/>
      <c r="B4601" s="227"/>
      <c r="C4601" s="227"/>
      <c r="D4601" s="227"/>
      <c r="E4601" s="227"/>
      <c r="F4601" s="227"/>
      <c r="G4601" s="227"/>
    </row>
    <row r="4602" spans="1:9" s="212" customFormat="1">
      <c r="A4602" s="69"/>
      <c r="B4602" s="69"/>
      <c r="C4602" s="69"/>
      <c r="D4602" s="69"/>
      <c r="E4602" s="69"/>
    </row>
    <row r="4603" spans="1:9" s="212" customFormat="1">
      <c r="A4603" s="120"/>
      <c r="B4603" s="73"/>
      <c r="C4603" s="73"/>
      <c r="D4603" s="73"/>
      <c r="E4603" s="73"/>
      <c r="F4603" s="73"/>
      <c r="G4603" s="73"/>
      <c r="H4603" s="73"/>
    </row>
    <row r="4604" spans="1:9" s="212" customFormat="1">
      <c r="A4604" s="220"/>
      <c r="B4604" s="141"/>
      <c r="C4604" s="141"/>
      <c r="D4604" s="141"/>
      <c r="E4604" s="141"/>
      <c r="F4604" s="141"/>
      <c r="G4604" s="141"/>
      <c r="H4604" s="73"/>
    </row>
    <row r="4605" spans="1:9" s="212" customFormat="1">
      <c r="A4605" s="150"/>
      <c r="B4605" s="83"/>
      <c r="C4605" s="148"/>
      <c r="D4605" s="84"/>
      <c r="E4605" s="84"/>
      <c r="F4605" s="84"/>
      <c r="G4605" s="224"/>
      <c r="H4605" s="221"/>
    </row>
    <row r="4606" spans="1:9" s="212" customFormat="1">
      <c r="A4606" s="84"/>
      <c r="B4606" s="83"/>
      <c r="C4606" s="84"/>
      <c r="D4606" s="84"/>
      <c r="E4606" s="84"/>
      <c r="G4606" s="213"/>
      <c r="H4606" s="222"/>
    </row>
    <row r="4607" spans="1:9" s="212" customFormat="1">
      <c r="A4607" s="120"/>
      <c r="B4607" s="73"/>
      <c r="C4607" s="73"/>
      <c r="D4607" s="73"/>
      <c r="E4607" s="73"/>
      <c r="G4607" s="73"/>
      <c r="H4607" s="222"/>
    </row>
    <row r="4608" spans="1:9" s="212" customFormat="1">
      <c r="A4608" s="220"/>
      <c r="B4608" s="141"/>
      <c r="C4608" s="141"/>
      <c r="D4608" s="141"/>
      <c r="E4608" s="141"/>
      <c r="F4608" s="141"/>
      <c r="G4608" s="141"/>
      <c r="H4608" s="222"/>
    </row>
    <row r="4609" spans="1:8" s="212" customFormat="1">
      <c r="A4609" s="150"/>
      <c r="B4609" s="83"/>
      <c r="C4609" s="148"/>
      <c r="D4609" s="84"/>
      <c r="E4609" s="84"/>
      <c r="F4609" s="84"/>
      <c r="G4609" s="224"/>
      <c r="H4609" s="222"/>
    </row>
    <row r="4610" spans="1:8" s="212" customFormat="1">
      <c r="A4610" s="150"/>
      <c r="B4610" s="83"/>
      <c r="C4610" s="148"/>
      <c r="D4610" s="84"/>
      <c r="E4610" s="84"/>
      <c r="F4610" s="84"/>
      <c r="G4610" s="224"/>
      <c r="H4610" s="222"/>
    </row>
    <row r="4611" spans="1:8" s="212" customFormat="1">
      <c r="A4611" s="150"/>
      <c r="B4611" s="83"/>
      <c r="C4611" s="148"/>
      <c r="D4611" s="84"/>
      <c r="E4611" s="84"/>
      <c r="F4611" s="84"/>
      <c r="G4611" s="224"/>
      <c r="H4611" s="222"/>
    </row>
    <row r="4612" spans="1:8" s="212" customFormat="1">
      <c r="A4612" s="150"/>
      <c r="B4612" s="83"/>
      <c r="C4612" s="148"/>
      <c r="D4612" s="84"/>
      <c r="E4612" s="84"/>
      <c r="F4612" s="84"/>
      <c r="G4612" s="224"/>
      <c r="H4612" s="221"/>
    </row>
    <row r="4613" spans="1:8" s="212" customFormat="1">
      <c r="A4613" s="91"/>
      <c r="B4613" s="91"/>
      <c r="C4613" s="91"/>
      <c r="D4613" s="91"/>
      <c r="E4613" s="91"/>
      <c r="G4613" s="213"/>
      <c r="H4613" s="222"/>
    </row>
    <row r="4614" spans="1:8" s="212" customFormat="1">
      <c r="A4614" s="120"/>
      <c r="B4614" s="73"/>
      <c r="C4614" s="73"/>
      <c r="D4614" s="73"/>
      <c r="E4614" s="73"/>
      <c r="G4614" s="73"/>
      <c r="H4614" s="222"/>
    </row>
    <row r="4615" spans="1:8" s="212" customFormat="1">
      <c r="A4615" s="220"/>
      <c r="B4615" s="141"/>
      <c r="C4615" s="141"/>
      <c r="D4615" s="141"/>
      <c r="E4615" s="141"/>
      <c r="F4615" s="141"/>
      <c r="G4615" s="141"/>
      <c r="H4615" s="222"/>
    </row>
    <row r="4616" spans="1:8" s="212" customFormat="1">
      <c r="A4616" s="146"/>
      <c r="B4616" s="83"/>
      <c r="C4616" s="148"/>
      <c r="D4616" s="84"/>
      <c r="E4616" s="84"/>
      <c r="F4616" s="84"/>
      <c r="G4616" s="146"/>
      <c r="H4616" s="221"/>
    </row>
    <row r="4617" spans="1:8" s="212" customFormat="1">
      <c r="A4617" s="91"/>
      <c r="B4617" s="91"/>
      <c r="C4617" s="91"/>
      <c r="D4617" s="91"/>
      <c r="E4617" s="91"/>
      <c r="G4617" s="213"/>
      <c r="H4617" s="222"/>
    </row>
    <row r="4618" spans="1:8" s="212" customFormat="1">
      <c r="A4618" s="120"/>
      <c r="B4618" s="73"/>
      <c r="C4618" s="73"/>
      <c r="D4618" s="73"/>
      <c r="E4618" s="73"/>
      <c r="G4618" s="73"/>
      <c r="H4618" s="222"/>
    </row>
    <row r="4619" spans="1:8" s="212" customFormat="1">
      <c r="A4619" s="220"/>
      <c r="B4619" s="141"/>
      <c r="C4619" s="141"/>
      <c r="D4619" s="141"/>
      <c r="E4619" s="141"/>
      <c r="F4619" s="141"/>
      <c r="G4619" s="141"/>
      <c r="H4619" s="222"/>
    </row>
    <row r="4620" spans="1:8" s="212" customFormat="1">
      <c r="A4620" s="142"/>
      <c r="B4620" s="143"/>
      <c r="C4620" s="143"/>
      <c r="D4620" s="143"/>
      <c r="E4620" s="143"/>
      <c r="F4620" s="84"/>
      <c r="G4620" s="146"/>
      <c r="H4620" s="221"/>
    </row>
    <row r="4621" spans="1:8" s="212" customFormat="1">
      <c r="A4621" s="123"/>
      <c r="B4621" s="95"/>
      <c r="C4621" s="95"/>
      <c r="D4621" s="95"/>
      <c r="E4621" s="95"/>
      <c r="G4621" s="213"/>
      <c r="H4621" s="73"/>
    </row>
    <row r="4622" spans="1:8" s="212" customFormat="1">
      <c r="A4622" s="123"/>
      <c r="B4622" s="95"/>
      <c r="C4622" s="95"/>
      <c r="D4622" s="95"/>
      <c r="E4622" s="95"/>
      <c r="G4622" s="73"/>
      <c r="H4622" s="225"/>
    </row>
    <row r="4623" spans="1:8" s="212" customFormat="1">
      <c r="B4623" s="97"/>
      <c r="C4623" s="98"/>
      <c r="D4623" s="98"/>
      <c r="E4623" s="98"/>
      <c r="G4623" s="220"/>
    </row>
    <row r="4624" spans="1:8" s="212" customFormat="1">
      <c r="B4624" s="97"/>
      <c r="C4624" s="98"/>
      <c r="D4624" s="98"/>
      <c r="E4624" s="98"/>
      <c r="F4624" s="220"/>
      <c r="G4624" s="225"/>
      <c r="H4624" s="226"/>
    </row>
    <row r="4625" spans="1:9" s="212" customFormat="1">
      <c r="A4625" s="633"/>
      <c r="B4625" s="633"/>
      <c r="C4625" s="633"/>
      <c r="D4625" s="633"/>
      <c r="E4625" s="633"/>
      <c r="F4625" s="633"/>
      <c r="G4625" s="633"/>
    </row>
    <row r="4626" spans="1:9" s="212" customFormat="1">
      <c r="H4626" s="227"/>
      <c r="I4626" s="228"/>
    </row>
    <row r="4627" spans="1:9" s="212" customFormat="1">
      <c r="A4627" s="658"/>
      <c r="B4627" s="227"/>
      <c r="C4627" s="227"/>
      <c r="D4627" s="227"/>
      <c r="E4627" s="227"/>
      <c r="F4627" s="227"/>
      <c r="G4627" s="227"/>
      <c r="H4627" s="227"/>
      <c r="I4627" s="229"/>
    </row>
    <row r="4628" spans="1:9" s="212" customFormat="1">
      <c r="A4628" s="658"/>
      <c r="B4628" s="227"/>
      <c r="C4628" s="227"/>
      <c r="D4628" s="227"/>
      <c r="E4628" s="227"/>
      <c r="F4628" s="227"/>
      <c r="G4628" s="227"/>
    </row>
    <row r="4629" spans="1:9" s="212" customFormat="1">
      <c r="A4629" s="69"/>
      <c r="B4629" s="69"/>
      <c r="C4629" s="69"/>
      <c r="D4629" s="69"/>
      <c r="E4629" s="69"/>
    </row>
    <row r="4630" spans="1:9" s="212" customFormat="1">
      <c r="A4630" s="120"/>
      <c r="B4630" s="73"/>
      <c r="C4630" s="73"/>
      <c r="D4630" s="73"/>
      <c r="E4630" s="73"/>
      <c r="F4630" s="73"/>
      <c r="G4630" s="73"/>
      <c r="H4630" s="73"/>
    </row>
    <row r="4631" spans="1:9" s="212" customFormat="1">
      <c r="A4631" s="220"/>
      <c r="B4631" s="141"/>
      <c r="C4631" s="141"/>
      <c r="D4631" s="141"/>
      <c r="E4631" s="141"/>
      <c r="F4631" s="141"/>
      <c r="G4631" s="141"/>
      <c r="H4631" s="73"/>
    </row>
    <row r="4632" spans="1:9" s="212" customFormat="1">
      <c r="A4632" s="150"/>
      <c r="B4632" s="83"/>
      <c r="C4632" s="148"/>
      <c r="D4632" s="84"/>
      <c r="E4632" s="84"/>
      <c r="F4632" s="84"/>
      <c r="G4632" s="224"/>
      <c r="H4632" s="221"/>
    </row>
    <row r="4633" spans="1:9" s="212" customFormat="1">
      <c r="A4633" s="84"/>
      <c r="B4633" s="83"/>
      <c r="C4633" s="84"/>
      <c r="D4633" s="84"/>
      <c r="E4633" s="84"/>
      <c r="G4633" s="213"/>
      <c r="H4633" s="222"/>
    </row>
    <row r="4634" spans="1:9" s="212" customFormat="1">
      <c r="A4634" s="120"/>
      <c r="B4634" s="73"/>
      <c r="C4634" s="73"/>
      <c r="D4634" s="73"/>
      <c r="E4634" s="73"/>
      <c r="G4634" s="73"/>
      <c r="H4634" s="222"/>
    </row>
    <row r="4635" spans="1:9" s="212" customFormat="1">
      <c r="A4635" s="220"/>
      <c r="B4635" s="141"/>
      <c r="C4635" s="141"/>
      <c r="D4635" s="141"/>
      <c r="E4635" s="141"/>
      <c r="F4635" s="141"/>
      <c r="G4635" s="141"/>
      <c r="H4635" s="222"/>
    </row>
    <row r="4636" spans="1:9" s="212" customFormat="1">
      <c r="A4636" s="150"/>
      <c r="B4636" s="83"/>
      <c r="C4636" s="148"/>
      <c r="D4636" s="84"/>
      <c r="E4636" s="84"/>
      <c r="F4636" s="84"/>
      <c r="G4636" s="224"/>
      <c r="H4636" s="222"/>
    </row>
    <row r="4637" spans="1:9" s="212" customFormat="1">
      <c r="A4637" s="150"/>
      <c r="B4637" s="83"/>
      <c r="C4637" s="148"/>
      <c r="D4637" s="84"/>
      <c r="E4637" s="84"/>
      <c r="F4637" s="84"/>
      <c r="G4637" s="224"/>
      <c r="H4637" s="222"/>
    </row>
    <row r="4638" spans="1:9" s="212" customFormat="1">
      <c r="A4638" s="150"/>
      <c r="B4638" s="83"/>
      <c r="C4638" s="148"/>
      <c r="D4638" s="84"/>
      <c r="E4638" s="84"/>
      <c r="F4638" s="84"/>
      <c r="G4638" s="224"/>
      <c r="H4638" s="221"/>
    </row>
    <row r="4639" spans="1:9" s="212" customFormat="1">
      <c r="A4639" s="91"/>
      <c r="B4639" s="91"/>
      <c r="C4639" s="91"/>
      <c r="D4639" s="91"/>
      <c r="E4639" s="91"/>
      <c r="G4639" s="213"/>
      <c r="H4639" s="222"/>
    </row>
    <row r="4640" spans="1:9" s="212" customFormat="1">
      <c r="A4640" s="120"/>
      <c r="B4640" s="73"/>
      <c r="C4640" s="73"/>
      <c r="D4640" s="73"/>
      <c r="E4640" s="73"/>
      <c r="G4640" s="73"/>
      <c r="H4640" s="222"/>
    </row>
    <row r="4641" spans="1:9" s="212" customFormat="1">
      <c r="A4641" s="220"/>
      <c r="B4641" s="141"/>
      <c r="C4641" s="141"/>
      <c r="D4641" s="141"/>
      <c r="E4641" s="141"/>
      <c r="F4641" s="141"/>
      <c r="G4641" s="141"/>
      <c r="H4641" s="222"/>
    </row>
    <row r="4642" spans="1:9" s="212" customFormat="1">
      <c r="A4642" s="146"/>
      <c r="B4642" s="83"/>
      <c r="C4642" s="148"/>
      <c r="D4642" s="84"/>
      <c r="E4642" s="84"/>
      <c r="F4642" s="84"/>
      <c r="G4642" s="146"/>
      <c r="H4642" s="221"/>
    </row>
    <row r="4643" spans="1:9" s="212" customFormat="1">
      <c r="A4643" s="91"/>
      <c r="B4643" s="91"/>
      <c r="C4643" s="91"/>
      <c r="D4643" s="91"/>
      <c r="E4643" s="91"/>
      <c r="G4643" s="213"/>
      <c r="H4643" s="222"/>
    </row>
    <row r="4644" spans="1:9" s="212" customFormat="1">
      <c r="A4644" s="120"/>
      <c r="B4644" s="73"/>
      <c r="C4644" s="73"/>
      <c r="D4644" s="73"/>
      <c r="E4644" s="73"/>
      <c r="G4644" s="73"/>
      <c r="H4644" s="222"/>
    </row>
    <row r="4645" spans="1:9" s="212" customFormat="1">
      <c r="A4645" s="220"/>
      <c r="B4645" s="141"/>
      <c r="C4645" s="141"/>
      <c r="D4645" s="141"/>
      <c r="E4645" s="141"/>
      <c r="F4645" s="141"/>
      <c r="G4645" s="141"/>
      <c r="H4645" s="222"/>
    </row>
    <row r="4646" spans="1:9" s="212" customFormat="1">
      <c r="A4646" s="142"/>
      <c r="B4646" s="143"/>
      <c r="C4646" s="143"/>
      <c r="D4646" s="143"/>
      <c r="E4646" s="143"/>
      <c r="F4646" s="84"/>
      <c r="G4646" s="146"/>
      <c r="H4646" s="221"/>
    </row>
    <row r="4647" spans="1:9" s="212" customFormat="1">
      <c r="A4647" s="123"/>
      <c r="B4647" s="95"/>
      <c r="C4647" s="95"/>
      <c r="D4647" s="95"/>
      <c r="E4647" s="95"/>
      <c r="G4647" s="213"/>
      <c r="H4647" s="73"/>
    </row>
    <row r="4648" spans="1:9" s="212" customFormat="1">
      <c r="A4648" s="123"/>
      <c r="B4648" s="95"/>
      <c r="C4648" s="95"/>
      <c r="D4648" s="95"/>
      <c r="E4648" s="95"/>
      <c r="G4648" s="73"/>
      <c r="H4648" s="225"/>
    </row>
    <row r="4649" spans="1:9" s="212" customFormat="1">
      <c r="B4649" s="97"/>
      <c r="C4649" s="98"/>
      <c r="D4649" s="98"/>
      <c r="E4649" s="98"/>
      <c r="G4649" s="220"/>
    </row>
    <row r="4650" spans="1:9" s="212" customFormat="1">
      <c r="B4650" s="97"/>
      <c r="C4650" s="98"/>
      <c r="D4650" s="98"/>
      <c r="E4650" s="98"/>
      <c r="F4650" s="220"/>
      <c r="G4650" s="225"/>
      <c r="H4650" s="226"/>
    </row>
    <row r="4651" spans="1:9" s="212" customFormat="1">
      <c r="A4651" s="633"/>
      <c r="B4651" s="633"/>
      <c r="C4651" s="633"/>
      <c r="D4651" s="633"/>
      <c r="E4651" s="633"/>
      <c r="F4651" s="633"/>
      <c r="G4651" s="633"/>
    </row>
    <row r="4652" spans="1:9" s="212" customFormat="1">
      <c r="H4652" s="227"/>
      <c r="I4652" s="228"/>
    </row>
    <row r="4653" spans="1:9" s="212" customFormat="1">
      <c r="A4653" s="658"/>
      <c r="B4653" s="227"/>
      <c r="C4653" s="227"/>
      <c r="D4653" s="227"/>
      <c r="E4653" s="227"/>
      <c r="F4653" s="227"/>
      <c r="G4653" s="227"/>
      <c r="H4653" s="227"/>
      <c r="I4653" s="229"/>
    </row>
    <row r="4654" spans="1:9" s="212" customFormat="1">
      <c r="A4654" s="658"/>
      <c r="B4654" s="227"/>
      <c r="C4654" s="227"/>
      <c r="D4654" s="227"/>
      <c r="E4654" s="227"/>
      <c r="F4654" s="227"/>
      <c r="G4654" s="227"/>
    </row>
    <row r="4655" spans="1:9" s="212" customFormat="1">
      <c r="A4655" s="69"/>
      <c r="B4655" s="69"/>
      <c r="C4655" s="69"/>
      <c r="D4655" s="69"/>
      <c r="E4655" s="69"/>
    </row>
    <row r="4656" spans="1:9" s="212" customFormat="1">
      <c r="A4656" s="120"/>
      <c r="B4656" s="73"/>
      <c r="C4656" s="73"/>
      <c r="D4656" s="73"/>
      <c r="E4656" s="73"/>
      <c r="F4656" s="73"/>
      <c r="G4656" s="73"/>
      <c r="H4656" s="73"/>
    </row>
    <row r="4657" spans="1:8" s="212" customFormat="1">
      <c r="A4657" s="220"/>
      <c r="B4657" s="141"/>
      <c r="C4657" s="141"/>
      <c r="D4657" s="141"/>
      <c r="E4657" s="141"/>
      <c r="F4657" s="141"/>
      <c r="G4657" s="141"/>
      <c r="H4657" s="73"/>
    </row>
    <row r="4658" spans="1:8" s="212" customFormat="1">
      <c r="A4658" s="150"/>
      <c r="B4658" s="83"/>
      <c r="C4658" s="148"/>
      <c r="D4658" s="84"/>
      <c r="E4658" s="84"/>
      <c r="F4658" s="84"/>
      <c r="G4658" s="224"/>
      <c r="H4658" s="221"/>
    </row>
    <row r="4659" spans="1:8" s="212" customFormat="1">
      <c r="A4659" s="84"/>
      <c r="B4659" s="83"/>
      <c r="C4659" s="84"/>
      <c r="D4659" s="84"/>
      <c r="E4659" s="84"/>
      <c r="G4659" s="213"/>
      <c r="H4659" s="222"/>
    </row>
    <row r="4660" spans="1:8" s="212" customFormat="1">
      <c r="A4660" s="120"/>
      <c r="B4660" s="73"/>
      <c r="C4660" s="73"/>
      <c r="D4660" s="73"/>
      <c r="E4660" s="73"/>
      <c r="G4660" s="73"/>
      <c r="H4660" s="222"/>
    </row>
    <row r="4661" spans="1:8" s="212" customFormat="1">
      <c r="A4661" s="220"/>
      <c r="B4661" s="141"/>
      <c r="C4661" s="141"/>
      <c r="D4661" s="141"/>
      <c r="E4661" s="141"/>
      <c r="F4661" s="141"/>
      <c r="G4661" s="141"/>
      <c r="H4661" s="222"/>
    </row>
    <row r="4662" spans="1:8" s="212" customFormat="1">
      <c r="A4662" s="150"/>
      <c r="B4662" s="83"/>
      <c r="C4662" s="148"/>
      <c r="D4662" s="84"/>
      <c r="E4662" s="84"/>
      <c r="F4662" s="84"/>
      <c r="G4662" s="224"/>
      <c r="H4662" s="222"/>
    </row>
    <row r="4663" spans="1:8" s="212" customFormat="1">
      <c r="A4663" s="150"/>
      <c r="B4663" s="83"/>
      <c r="C4663" s="148"/>
      <c r="D4663" s="84"/>
      <c r="E4663" s="84"/>
      <c r="F4663" s="84"/>
      <c r="G4663" s="224"/>
      <c r="H4663" s="222"/>
    </row>
    <row r="4664" spans="1:8" s="212" customFormat="1">
      <c r="A4664" s="150"/>
      <c r="B4664" s="83"/>
      <c r="C4664" s="148"/>
      <c r="D4664" s="84"/>
      <c r="E4664" s="84"/>
      <c r="F4664" s="84"/>
      <c r="G4664" s="224"/>
      <c r="H4664" s="221"/>
    </row>
    <row r="4665" spans="1:8" s="212" customFormat="1">
      <c r="A4665" s="91"/>
      <c r="B4665" s="91"/>
      <c r="C4665" s="91"/>
      <c r="D4665" s="91"/>
      <c r="E4665" s="91"/>
      <c r="G4665" s="213"/>
      <c r="H4665" s="222"/>
    </row>
    <row r="4666" spans="1:8" s="212" customFormat="1">
      <c r="A4666" s="120"/>
      <c r="B4666" s="73"/>
      <c r="C4666" s="73"/>
      <c r="D4666" s="73"/>
      <c r="E4666" s="73"/>
      <c r="G4666" s="73"/>
      <c r="H4666" s="222"/>
    </row>
    <row r="4667" spans="1:8" s="212" customFormat="1">
      <c r="A4667" s="220"/>
      <c r="B4667" s="141"/>
      <c r="C4667" s="141"/>
      <c r="D4667" s="141"/>
      <c r="E4667" s="141"/>
      <c r="F4667" s="141"/>
      <c r="G4667" s="141"/>
      <c r="H4667" s="222"/>
    </row>
    <row r="4668" spans="1:8" s="212" customFormat="1">
      <c r="A4668" s="146"/>
      <c r="B4668" s="83"/>
      <c r="C4668" s="148"/>
      <c r="D4668" s="84"/>
      <c r="E4668" s="84"/>
      <c r="F4668" s="84"/>
      <c r="G4668" s="146"/>
      <c r="H4668" s="221"/>
    </row>
    <row r="4669" spans="1:8" s="212" customFormat="1">
      <c r="A4669" s="91"/>
      <c r="B4669" s="91"/>
      <c r="C4669" s="91"/>
      <c r="D4669" s="91"/>
      <c r="E4669" s="91"/>
      <c r="G4669" s="213"/>
      <c r="H4669" s="222"/>
    </row>
    <row r="4670" spans="1:8" s="212" customFormat="1">
      <c r="A4670" s="120"/>
      <c r="B4670" s="73"/>
      <c r="C4670" s="73"/>
      <c r="D4670" s="73"/>
      <c r="E4670" s="73"/>
      <c r="G4670" s="73"/>
      <c r="H4670" s="222"/>
    </row>
    <row r="4671" spans="1:8" s="212" customFormat="1">
      <c r="A4671" s="220"/>
      <c r="B4671" s="141"/>
      <c r="C4671" s="141"/>
      <c r="D4671" s="141"/>
      <c r="E4671" s="141"/>
      <c r="F4671" s="141"/>
      <c r="G4671" s="141"/>
      <c r="H4671" s="222"/>
    </row>
    <row r="4672" spans="1:8" s="212" customFormat="1">
      <c r="A4672" s="142"/>
      <c r="B4672" s="143"/>
      <c r="C4672" s="143"/>
      <c r="D4672" s="143"/>
      <c r="E4672" s="143"/>
      <c r="F4672" s="84"/>
      <c r="G4672" s="146"/>
      <c r="H4672" s="221"/>
    </row>
    <row r="4673" spans="1:9" s="212" customFormat="1">
      <c r="A4673" s="123"/>
      <c r="B4673" s="95"/>
      <c r="C4673" s="95"/>
      <c r="D4673" s="95"/>
      <c r="E4673" s="95"/>
      <c r="G4673" s="213"/>
      <c r="H4673" s="73"/>
    </row>
    <row r="4674" spans="1:9" s="212" customFormat="1">
      <c r="A4674" s="123"/>
      <c r="B4674" s="95"/>
      <c r="C4674" s="95"/>
      <c r="D4674" s="95"/>
      <c r="E4674" s="95"/>
      <c r="G4674" s="73"/>
      <c r="H4674" s="225"/>
    </row>
    <row r="4675" spans="1:9" s="212" customFormat="1">
      <c r="B4675" s="97"/>
      <c r="C4675" s="98"/>
      <c r="D4675" s="98"/>
      <c r="E4675" s="98"/>
      <c r="G4675" s="220"/>
    </row>
    <row r="4676" spans="1:9" s="212" customFormat="1">
      <c r="B4676" s="97"/>
      <c r="C4676" s="98"/>
      <c r="D4676" s="98"/>
      <c r="E4676" s="98"/>
      <c r="F4676" s="220"/>
      <c r="G4676" s="225"/>
      <c r="H4676" s="226"/>
    </row>
    <row r="4677" spans="1:9" s="212" customFormat="1">
      <c r="A4677" s="633"/>
      <c r="B4677" s="633"/>
      <c r="C4677" s="633"/>
      <c r="D4677" s="633"/>
      <c r="E4677" s="633"/>
      <c r="F4677" s="633"/>
      <c r="G4677" s="633"/>
    </row>
    <row r="4678" spans="1:9" s="212" customFormat="1">
      <c r="H4678" s="227"/>
      <c r="I4678" s="228"/>
    </row>
    <row r="4679" spans="1:9" s="212" customFormat="1">
      <c r="A4679" s="658"/>
      <c r="B4679" s="227"/>
      <c r="C4679" s="227"/>
      <c r="D4679" s="227"/>
      <c r="E4679" s="227"/>
      <c r="F4679" s="227"/>
      <c r="G4679" s="227"/>
      <c r="H4679" s="227"/>
      <c r="I4679" s="229"/>
    </row>
    <row r="4680" spans="1:9" s="212" customFormat="1">
      <c r="A4680" s="658"/>
      <c r="B4680" s="227"/>
      <c r="C4680" s="227"/>
      <c r="D4680" s="227"/>
      <c r="E4680" s="227"/>
      <c r="F4680" s="227"/>
      <c r="G4680" s="227"/>
    </row>
    <row r="4681" spans="1:9" s="212" customFormat="1">
      <c r="A4681" s="69"/>
      <c r="B4681" s="69"/>
      <c r="C4681" s="69"/>
      <c r="D4681" s="69"/>
      <c r="E4681" s="69"/>
    </row>
    <row r="4682" spans="1:9" s="212" customFormat="1">
      <c r="A4682" s="120"/>
      <c r="B4682" s="73"/>
      <c r="C4682" s="73"/>
      <c r="D4682" s="73"/>
      <c r="E4682" s="73"/>
      <c r="F4682" s="73"/>
      <c r="G4682" s="73"/>
      <c r="H4682" s="73"/>
    </row>
    <row r="4683" spans="1:9" s="212" customFormat="1">
      <c r="A4683" s="220"/>
      <c r="B4683" s="141"/>
      <c r="C4683" s="141"/>
      <c r="D4683" s="141"/>
      <c r="E4683" s="141"/>
      <c r="F4683" s="141"/>
      <c r="G4683" s="141"/>
      <c r="H4683" s="73"/>
    </row>
    <row r="4684" spans="1:9" s="212" customFormat="1">
      <c r="A4684" s="150"/>
      <c r="B4684" s="83"/>
      <c r="C4684" s="148"/>
      <c r="D4684" s="84"/>
      <c r="E4684" s="84"/>
      <c r="F4684" s="84"/>
      <c r="G4684" s="224"/>
      <c r="H4684" s="221"/>
    </row>
    <row r="4685" spans="1:9" s="212" customFormat="1">
      <c r="A4685" s="84"/>
      <c r="B4685" s="83"/>
      <c r="C4685" s="84"/>
      <c r="D4685" s="84"/>
      <c r="E4685" s="84"/>
      <c r="G4685" s="213"/>
      <c r="H4685" s="222"/>
    </row>
    <row r="4686" spans="1:9" s="212" customFormat="1">
      <c r="A4686" s="120"/>
      <c r="B4686" s="73"/>
      <c r="C4686" s="73"/>
      <c r="D4686" s="73"/>
      <c r="E4686" s="73"/>
      <c r="G4686" s="73"/>
      <c r="H4686" s="222"/>
    </row>
    <row r="4687" spans="1:9" s="212" customFormat="1">
      <c r="A4687" s="220"/>
      <c r="B4687" s="141"/>
      <c r="C4687" s="141"/>
      <c r="D4687" s="141"/>
      <c r="E4687" s="141"/>
      <c r="F4687" s="141"/>
      <c r="G4687" s="141"/>
      <c r="H4687" s="222"/>
    </row>
    <row r="4688" spans="1:9" s="212" customFormat="1">
      <c r="A4688" s="150"/>
      <c r="B4688" s="83"/>
      <c r="C4688" s="148"/>
      <c r="D4688" s="84"/>
      <c r="E4688" s="84"/>
      <c r="F4688" s="84"/>
      <c r="G4688" s="224"/>
      <c r="H4688" s="222"/>
    </row>
    <row r="4689" spans="1:9" s="212" customFormat="1">
      <c r="A4689" s="150"/>
      <c r="B4689" s="83"/>
      <c r="C4689" s="148"/>
      <c r="D4689" s="84"/>
      <c r="E4689" s="84"/>
      <c r="F4689" s="84"/>
      <c r="G4689" s="224"/>
      <c r="H4689" s="222"/>
    </row>
    <row r="4690" spans="1:9" s="212" customFormat="1">
      <c r="A4690" s="150"/>
      <c r="B4690" s="83"/>
      <c r="C4690" s="148"/>
      <c r="D4690" s="84"/>
      <c r="E4690" s="84"/>
      <c r="F4690" s="84"/>
      <c r="G4690" s="224"/>
      <c r="H4690" s="221"/>
    </row>
    <row r="4691" spans="1:9" s="212" customFormat="1">
      <c r="A4691" s="91"/>
      <c r="B4691" s="91"/>
      <c r="C4691" s="91"/>
      <c r="D4691" s="91"/>
      <c r="E4691" s="91"/>
      <c r="G4691" s="213"/>
      <c r="H4691" s="222"/>
    </row>
    <row r="4692" spans="1:9" s="212" customFormat="1">
      <c r="A4692" s="120"/>
      <c r="B4692" s="73"/>
      <c r="C4692" s="73"/>
      <c r="D4692" s="73"/>
      <c r="E4692" s="73"/>
      <c r="G4692" s="73"/>
      <c r="H4692" s="222"/>
    </row>
    <row r="4693" spans="1:9" s="212" customFormat="1">
      <c r="A4693" s="220"/>
      <c r="B4693" s="141"/>
      <c r="C4693" s="141"/>
      <c r="D4693" s="141"/>
      <c r="E4693" s="141"/>
      <c r="F4693" s="141"/>
      <c r="G4693" s="141"/>
      <c r="H4693" s="222"/>
    </row>
    <row r="4694" spans="1:9" s="212" customFormat="1">
      <c r="A4694" s="146"/>
      <c r="B4694" s="83"/>
      <c r="C4694" s="148"/>
      <c r="D4694" s="84"/>
      <c r="E4694" s="84"/>
      <c r="F4694" s="84"/>
      <c r="G4694" s="146"/>
      <c r="H4694" s="221"/>
    </row>
    <row r="4695" spans="1:9" s="212" customFormat="1">
      <c r="A4695" s="91"/>
      <c r="B4695" s="91"/>
      <c r="C4695" s="91"/>
      <c r="D4695" s="91"/>
      <c r="E4695" s="91"/>
      <c r="G4695" s="213"/>
      <c r="H4695" s="222"/>
    </row>
    <row r="4696" spans="1:9" s="212" customFormat="1">
      <c r="A4696" s="120"/>
      <c r="B4696" s="73"/>
      <c r="C4696" s="73"/>
      <c r="D4696" s="73"/>
      <c r="E4696" s="73"/>
      <c r="G4696" s="73"/>
      <c r="H4696" s="222"/>
    </row>
    <row r="4697" spans="1:9" s="212" customFormat="1">
      <c r="A4697" s="220"/>
      <c r="B4697" s="141"/>
      <c r="C4697" s="141"/>
      <c r="D4697" s="141"/>
      <c r="E4697" s="141"/>
      <c r="F4697" s="141"/>
      <c r="G4697" s="141"/>
      <c r="H4697" s="222"/>
    </row>
    <row r="4698" spans="1:9" s="212" customFormat="1">
      <c r="A4698" s="142"/>
      <c r="B4698" s="143"/>
      <c r="C4698" s="143"/>
      <c r="D4698" s="143"/>
      <c r="E4698" s="143"/>
      <c r="F4698" s="84"/>
      <c r="G4698" s="146"/>
      <c r="H4698" s="221"/>
    </row>
    <row r="4699" spans="1:9" s="212" customFormat="1">
      <c r="A4699" s="123"/>
      <c r="B4699" s="95"/>
      <c r="C4699" s="95"/>
      <c r="D4699" s="95"/>
      <c r="E4699" s="95"/>
      <c r="G4699" s="213"/>
      <c r="H4699" s="73"/>
    </row>
    <row r="4700" spans="1:9" s="212" customFormat="1">
      <c r="A4700" s="123"/>
      <c r="B4700" s="95"/>
      <c r="C4700" s="95"/>
      <c r="D4700" s="95"/>
      <c r="E4700" s="95"/>
      <c r="G4700" s="73"/>
      <c r="H4700" s="225"/>
    </row>
    <row r="4701" spans="1:9" s="212" customFormat="1">
      <c r="B4701" s="97"/>
      <c r="C4701" s="98"/>
      <c r="D4701" s="98"/>
      <c r="E4701" s="98"/>
      <c r="G4701" s="220"/>
    </row>
    <row r="4702" spans="1:9" s="212" customFormat="1">
      <c r="B4702" s="97"/>
      <c r="C4702" s="98"/>
      <c r="D4702" s="98"/>
      <c r="E4702" s="98"/>
      <c r="F4702" s="220"/>
      <c r="G4702" s="225"/>
      <c r="H4702" s="226"/>
    </row>
    <row r="4703" spans="1:9" s="212" customFormat="1">
      <c r="A4703" s="633"/>
      <c r="B4703" s="633"/>
      <c r="C4703" s="633"/>
      <c r="D4703" s="633"/>
      <c r="E4703" s="633"/>
      <c r="F4703" s="633"/>
      <c r="G4703" s="633"/>
    </row>
    <row r="4704" spans="1:9" s="212" customFormat="1">
      <c r="H4704" s="227"/>
      <c r="I4704" s="228"/>
    </row>
    <row r="4705" spans="1:9" s="212" customFormat="1">
      <c r="A4705" s="658"/>
      <c r="B4705" s="227"/>
      <c r="C4705" s="227"/>
      <c r="D4705" s="227"/>
      <c r="E4705" s="227"/>
      <c r="F4705" s="227"/>
      <c r="G4705" s="227"/>
      <c r="H4705" s="227"/>
      <c r="I4705" s="229"/>
    </row>
    <row r="4706" spans="1:9" s="212" customFormat="1">
      <c r="A4706" s="658"/>
      <c r="B4706" s="227"/>
      <c r="C4706" s="227"/>
      <c r="D4706" s="227"/>
      <c r="E4706" s="227"/>
      <c r="F4706" s="227"/>
      <c r="G4706" s="227"/>
    </row>
    <row r="4707" spans="1:9" s="212" customFormat="1">
      <c r="A4707" s="69"/>
      <c r="B4707" s="69"/>
      <c r="C4707" s="69"/>
      <c r="D4707" s="69"/>
      <c r="E4707" s="69"/>
    </row>
    <row r="4708" spans="1:9" s="212" customFormat="1">
      <c r="A4708" s="120"/>
      <c r="B4708" s="73"/>
      <c r="C4708" s="73"/>
      <c r="D4708" s="73"/>
      <c r="E4708" s="73"/>
      <c r="F4708" s="73"/>
      <c r="G4708" s="73"/>
      <c r="H4708" s="73"/>
    </row>
    <row r="4709" spans="1:9" s="212" customFormat="1">
      <c r="A4709" s="220"/>
      <c r="B4709" s="141"/>
      <c r="C4709" s="141"/>
      <c r="D4709" s="141"/>
      <c r="E4709" s="141"/>
      <c r="F4709" s="141"/>
      <c r="G4709" s="141"/>
      <c r="H4709" s="73"/>
    </row>
    <row r="4710" spans="1:9" s="212" customFormat="1">
      <c r="A4710" s="150"/>
      <c r="B4710" s="83"/>
      <c r="C4710" s="148"/>
      <c r="D4710" s="84"/>
      <c r="E4710" s="84"/>
      <c r="F4710" s="84"/>
      <c r="G4710" s="224"/>
      <c r="H4710" s="221"/>
    </row>
    <row r="4711" spans="1:9" s="212" customFormat="1">
      <c r="A4711" s="84"/>
      <c r="B4711" s="83"/>
      <c r="C4711" s="84"/>
      <c r="D4711" s="84"/>
      <c r="E4711" s="84"/>
      <c r="G4711" s="213"/>
      <c r="H4711" s="222"/>
    </row>
    <row r="4712" spans="1:9" s="212" customFormat="1">
      <c r="A4712" s="120"/>
      <c r="B4712" s="73"/>
      <c r="C4712" s="73"/>
      <c r="D4712" s="73"/>
      <c r="E4712" s="73"/>
      <c r="G4712" s="73"/>
      <c r="H4712" s="222"/>
    </row>
    <row r="4713" spans="1:9" s="212" customFormat="1">
      <c r="A4713" s="220"/>
      <c r="B4713" s="141"/>
      <c r="C4713" s="141"/>
      <c r="D4713" s="141"/>
      <c r="E4713" s="141"/>
      <c r="F4713" s="141"/>
      <c r="G4713" s="141"/>
      <c r="H4713" s="222"/>
    </row>
    <row r="4714" spans="1:9" s="212" customFormat="1">
      <c r="A4714" s="150"/>
      <c r="B4714" s="83"/>
      <c r="C4714" s="148"/>
      <c r="D4714" s="84"/>
      <c r="E4714" s="84"/>
      <c r="F4714" s="84"/>
      <c r="G4714" s="224"/>
      <c r="H4714" s="222"/>
    </row>
    <row r="4715" spans="1:9" s="212" customFormat="1">
      <c r="A4715" s="150"/>
      <c r="B4715" s="83"/>
      <c r="C4715" s="148"/>
      <c r="D4715" s="84"/>
      <c r="E4715" s="84"/>
      <c r="F4715" s="84"/>
      <c r="G4715" s="224"/>
      <c r="H4715" s="222"/>
    </row>
    <row r="4716" spans="1:9" s="212" customFormat="1">
      <c r="A4716" s="150"/>
      <c r="B4716" s="83"/>
      <c r="C4716" s="148"/>
      <c r="D4716" s="84"/>
      <c r="E4716" s="84"/>
      <c r="F4716" s="84"/>
      <c r="G4716" s="224"/>
      <c r="H4716" s="221"/>
    </row>
    <row r="4717" spans="1:9" s="212" customFormat="1">
      <c r="A4717" s="91"/>
      <c r="B4717" s="91"/>
      <c r="C4717" s="91"/>
      <c r="D4717" s="91"/>
      <c r="E4717" s="91"/>
      <c r="G4717" s="213"/>
      <c r="H4717" s="222"/>
    </row>
    <row r="4718" spans="1:9" s="212" customFormat="1">
      <c r="A4718" s="120"/>
      <c r="B4718" s="73"/>
      <c r="C4718" s="73"/>
      <c r="D4718" s="73"/>
      <c r="E4718" s="73"/>
      <c r="G4718" s="73"/>
      <c r="H4718" s="222"/>
    </row>
    <row r="4719" spans="1:9" s="212" customFormat="1">
      <c r="A4719" s="220"/>
      <c r="B4719" s="141"/>
      <c r="C4719" s="141"/>
      <c r="D4719" s="141"/>
      <c r="E4719" s="141"/>
      <c r="F4719" s="141"/>
      <c r="G4719" s="141"/>
      <c r="H4719" s="222"/>
    </row>
    <row r="4720" spans="1:9" s="212" customFormat="1">
      <c r="A4720" s="146"/>
      <c r="B4720" s="83"/>
      <c r="C4720" s="148"/>
      <c r="D4720" s="84"/>
      <c r="E4720" s="84"/>
      <c r="F4720" s="84"/>
      <c r="G4720" s="146"/>
      <c r="H4720" s="221"/>
    </row>
    <row r="4721" spans="1:9" s="212" customFormat="1">
      <c r="A4721" s="91"/>
      <c r="B4721" s="91"/>
      <c r="C4721" s="91"/>
      <c r="D4721" s="91"/>
      <c r="E4721" s="91"/>
      <c r="G4721" s="213"/>
      <c r="H4721" s="222"/>
    </row>
    <row r="4722" spans="1:9" s="212" customFormat="1">
      <c r="A4722" s="120"/>
      <c r="B4722" s="73"/>
      <c r="C4722" s="73"/>
      <c r="D4722" s="73"/>
      <c r="E4722" s="73"/>
      <c r="G4722" s="73"/>
      <c r="H4722" s="222"/>
    </row>
    <row r="4723" spans="1:9" s="212" customFormat="1" ht="15.75" customHeight="1">
      <c r="A4723" s="220"/>
      <c r="B4723" s="141"/>
      <c r="C4723" s="141"/>
      <c r="D4723" s="141"/>
      <c r="E4723" s="141"/>
      <c r="F4723" s="141"/>
      <c r="G4723" s="141"/>
      <c r="H4723" s="222"/>
    </row>
    <row r="4724" spans="1:9" s="212" customFormat="1">
      <c r="A4724" s="142"/>
      <c r="B4724" s="143"/>
      <c r="C4724" s="143"/>
      <c r="D4724" s="143"/>
      <c r="E4724" s="143"/>
      <c r="F4724" s="84"/>
      <c r="G4724" s="146"/>
      <c r="H4724" s="221"/>
    </row>
    <row r="4725" spans="1:9" s="212" customFormat="1">
      <c r="A4725" s="123"/>
      <c r="B4725" s="95"/>
      <c r="C4725" s="95"/>
      <c r="D4725" s="95"/>
      <c r="E4725" s="95"/>
      <c r="G4725" s="213"/>
      <c r="H4725" s="73"/>
    </row>
    <row r="4726" spans="1:9" s="212" customFormat="1">
      <c r="A4726" s="123"/>
      <c r="B4726" s="95"/>
      <c r="C4726" s="95"/>
      <c r="D4726" s="95"/>
      <c r="E4726" s="95"/>
      <c r="G4726" s="73"/>
      <c r="H4726" s="225"/>
    </row>
    <row r="4727" spans="1:9" s="212" customFormat="1">
      <c r="B4727" s="97"/>
      <c r="C4727" s="98"/>
      <c r="D4727" s="98"/>
      <c r="E4727" s="98"/>
      <c r="G4727" s="220"/>
    </row>
    <row r="4728" spans="1:9" s="212" customFormat="1">
      <c r="B4728" s="97"/>
      <c r="C4728" s="98"/>
      <c r="D4728" s="98"/>
      <c r="E4728" s="98"/>
      <c r="F4728" s="220"/>
      <c r="G4728" s="225"/>
      <c r="H4728" s="226"/>
    </row>
    <row r="4729" spans="1:9" s="212" customFormat="1">
      <c r="A4729" s="633"/>
      <c r="B4729" s="633"/>
      <c r="C4729" s="633"/>
      <c r="D4729" s="633"/>
      <c r="E4729" s="633"/>
      <c r="F4729" s="633"/>
      <c r="G4729" s="633"/>
    </row>
    <row r="4730" spans="1:9" s="212" customFormat="1">
      <c r="H4730" s="227"/>
      <c r="I4730" s="228"/>
    </row>
    <row r="4731" spans="1:9" s="212" customFormat="1">
      <c r="A4731" s="658"/>
      <c r="B4731" s="227"/>
      <c r="C4731" s="227"/>
      <c r="D4731" s="227"/>
      <c r="E4731" s="227"/>
      <c r="F4731" s="227"/>
      <c r="G4731" s="227"/>
      <c r="H4731" s="227"/>
      <c r="I4731" s="229"/>
    </row>
    <row r="4732" spans="1:9" s="212" customFormat="1">
      <c r="A4732" s="658"/>
      <c r="B4732" s="227"/>
      <c r="C4732" s="227"/>
      <c r="D4732" s="227"/>
      <c r="E4732" s="227"/>
      <c r="F4732" s="227"/>
      <c r="G4732" s="227"/>
    </row>
    <row r="4733" spans="1:9" s="212" customFormat="1">
      <c r="A4733" s="69"/>
      <c r="B4733" s="69"/>
      <c r="C4733" s="69"/>
      <c r="D4733" s="69"/>
      <c r="E4733" s="69"/>
    </row>
    <row r="4734" spans="1:9" s="212" customFormat="1">
      <c r="A4734" s="120"/>
      <c r="B4734" s="73"/>
      <c r="C4734" s="73"/>
      <c r="D4734" s="73"/>
      <c r="E4734" s="73"/>
      <c r="F4734" s="73"/>
      <c r="G4734" s="73"/>
      <c r="H4734" s="73"/>
    </row>
    <row r="4735" spans="1:9" s="212" customFormat="1">
      <c r="A4735" s="220"/>
      <c r="B4735" s="141"/>
      <c r="C4735" s="141"/>
      <c r="D4735" s="141"/>
      <c r="E4735" s="141"/>
      <c r="F4735" s="141"/>
      <c r="G4735" s="141"/>
      <c r="H4735" s="73"/>
    </row>
    <row r="4736" spans="1:9" s="212" customFormat="1">
      <c r="A4736" s="150"/>
      <c r="B4736" s="83"/>
      <c r="C4736" s="148"/>
      <c r="D4736" s="84"/>
      <c r="E4736" s="84"/>
      <c r="F4736" s="84"/>
      <c r="G4736" s="224"/>
      <c r="H4736" s="221"/>
    </row>
    <row r="4737" spans="1:8" s="212" customFormat="1">
      <c r="A4737" s="84"/>
      <c r="B4737" s="83"/>
      <c r="C4737" s="84"/>
      <c r="D4737" s="84"/>
      <c r="E4737" s="84"/>
      <c r="G4737" s="213"/>
      <c r="H4737" s="222"/>
    </row>
    <row r="4738" spans="1:8" s="212" customFormat="1">
      <c r="A4738" s="120"/>
      <c r="B4738" s="73"/>
      <c r="C4738" s="73"/>
      <c r="D4738" s="73"/>
      <c r="E4738" s="73"/>
      <c r="G4738" s="73"/>
      <c r="H4738" s="222"/>
    </row>
    <row r="4739" spans="1:8" s="212" customFormat="1">
      <c r="A4739" s="220"/>
      <c r="B4739" s="141"/>
      <c r="C4739" s="141"/>
      <c r="D4739" s="141"/>
      <c r="E4739" s="141"/>
      <c r="F4739" s="141"/>
      <c r="G4739" s="141"/>
      <c r="H4739" s="222"/>
    </row>
    <row r="4740" spans="1:8" s="212" customFormat="1">
      <c r="A4740" s="150"/>
      <c r="B4740" s="83"/>
      <c r="C4740" s="148"/>
      <c r="D4740" s="84"/>
      <c r="E4740" s="84"/>
      <c r="F4740" s="84"/>
      <c r="G4740" s="224"/>
      <c r="H4740" s="222"/>
    </row>
    <row r="4741" spans="1:8" s="212" customFormat="1">
      <c r="A4741" s="150"/>
      <c r="B4741" s="83"/>
      <c r="C4741" s="148"/>
      <c r="D4741" s="84"/>
      <c r="E4741" s="84"/>
      <c r="F4741" s="84"/>
      <c r="G4741" s="224"/>
      <c r="H4741" s="222"/>
    </row>
    <row r="4742" spans="1:8" s="212" customFormat="1">
      <c r="A4742" s="150"/>
      <c r="B4742" s="83"/>
      <c r="C4742" s="148"/>
      <c r="D4742" s="84"/>
      <c r="E4742" s="84"/>
      <c r="F4742" s="84"/>
      <c r="G4742" s="224"/>
      <c r="H4742" s="221"/>
    </row>
    <row r="4743" spans="1:8" s="212" customFormat="1">
      <c r="A4743" s="91"/>
      <c r="B4743" s="91"/>
      <c r="C4743" s="91"/>
      <c r="D4743" s="91"/>
      <c r="E4743" s="91"/>
      <c r="G4743" s="213"/>
      <c r="H4743" s="222"/>
    </row>
    <row r="4744" spans="1:8" s="212" customFormat="1">
      <c r="A4744" s="120"/>
      <c r="B4744" s="73"/>
      <c r="C4744" s="73"/>
      <c r="D4744" s="73"/>
      <c r="E4744" s="73"/>
      <c r="G4744" s="73"/>
      <c r="H4744" s="222"/>
    </row>
    <row r="4745" spans="1:8" s="212" customFormat="1">
      <c r="A4745" s="220"/>
      <c r="B4745" s="141"/>
      <c r="C4745" s="141"/>
      <c r="D4745" s="141"/>
      <c r="E4745" s="141"/>
      <c r="F4745" s="141"/>
      <c r="G4745" s="141"/>
      <c r="H4745" s="222"/>
    </row>
    <row r="4746" spans="1:8" s="212" customFormat="1">
      <c r="A4746" s="146"/>
      <c r="B4746" s="83"/>
      <c r="C4746" s="148"/>
      <c r="D4746" s="84"/>
      <c r="E4746" s="84"/>
      <c r="F4746" s="84"/>
      <c r="G4746" s="146"/>
      <c r="H4746" s="222"/>
    </row>
    <row r="4747" spans="1:8" s="212" customFormat="1">
      <c r="A4747" s="146"/>
      <c r="B4747" s="83"/>
      <c r="C4747" s="148"/>
      <c r="D4747" s="84"/>
      <c r="E4747" s="84"/>
      <c r="F4747" s="84"/>
      <c r="G4747" s="146"/>
      <c r="H4747" s="221"/>
    </row>
    <row r="4748" spans="1:8" s="212" customFormat="1">
      <c r="A4748" s="91"/>
      <c r="B4748" s="91"/>
      <c r="C4748" s="91"/>
      <c r="D4748" s="91"/>
      <c r="E4748" s="91"/>
      <c r="G4748" s="213"/>
      <c r="H4748" s="222"/>
    </row>
    <row r="4749" spans="1:8" s="212" customFormat="1">
      <c r="A4749" s="120"/>
      <c r="B4749" s="73"/>
      <c r="C4749" s="73"/>
      <c r="D4749" s="73"/>
      <c r="E4749" s="73"/>
      <c r="G4749" s="73"/>
      <c r="H4749" s="222"/>
    </row>
    <row r="4750" spans="1:8" s="212" customFormat="1">
      <c r="A4750" s="220"/>
      <c r="B4750" s="141"/>
      <c r="C4750" s="141"/>
      <c r="D4750" s="141"/>
      <c r="E4750" s="141"/>
      <c r="F4750" s="141"/>
      <c r="G4750" s="141"/>
      <c r="H4750" s="222"/>
    </row>
    <row r="4751" spans="1:8" s="212" customFormat="1">
      <c r="A4751" s="142"/>
      <c r="B4751" s="143"/>
      <c r="C4751" s="143"/>
      <c r="D4751" s="143"/>
      <c r="E4751" s="143"/>
      <c r="F4751" s="84"/>
      <c r="G4751" s="146"/>
      <c r="H4751" s="221"/>
    </row>
    <row r="4752" spans="1:8" s="212" customFormat="1">
      <c r="A4752" s="123"/>
      <c r="B4752" s="95"/>
      <c r="C4752" s="95"/>
      <c r="D4752" s="95"/>
      <c r="E4752" s="95"/>
      <c r="G4752" s="213"/>
      <c r="H4752" s="73"/>
    </row>
    <row r="4753" spans="1:9" s="212" customFormat="1">
      <c r="A4753" s="123"/>
      <c r="B4753" s="95"/>
      <c r="C4753" s="95"/>
      <c r="D4753" s="95"/>
      <c r="E4753" s="95"/>
      <c r="G4753" s="73"/>
      <c r="H4753" s="225"/>
    </row>
    <row r="4754" spans="1:9" s="212" customFormat="1">
      <c r="B4754" s="97"/>
      <c r="C4754" s="98"/>
      <c r="D4754" s="98"/>
      <c r="E4754" s="98"/>
      <c r="G4754" s="220"/>
    </row>
    <row r="4755" spans="1:9" s="212" customFormat="1">
      <c r="B4755" s="97"/>
      <c r="C4755" s="98"/>
      <c r="D4755" s="98"/>
      <c r="E4755" s="98"/>
      <c r="F4755" s="220"/>
      <c r="G4755" s="225"/>
      <c r="H4755" s="226"/>
    </row>
    <row r="4756" spans="1:9" s="212" customFormat="1">
      <c r="A4756" s="633"/>
      <c r="B4756" s="633"/>
      <c r="C4756" s="633"/>
      <c r="D4756" s="633"/>
      <c r="E4756" s="633"/>
      <c r="F4756" s="633"/>
      <c r="G4756" s="633"/>
    </row>
    <row r="4757" spans="1:9" s="212" customFormat="1">
      <c r="H4757" s="227"/>
      <c r="I4757" s="228"/>
    </row>
    <row r="4758" spans="1:9" s="212" customFormat="1">
      <c r="A4758" s="658"/>
      <c r="B4758" s="227"/>
      <c r="C4758" s="227"/>
      <c r="D4758" s="227"/>
      <c r="E4758" s="227"/>
      <c r="F4758" s="227"/>
      <c r="G4758" s="227"/>
      <c r="H4758" s="227"/>
      <c r="I4758" s="229"/>
    </row>
    <row r="4759" spans="1:9" s="212" customFormat="1">
      <c r="A4759" s="658"/>
      <c r="B4759" s="227"/>
      <c r="C4759" s="227"/>
      <c r="D4759" s="227"/>
      <c r="E4759" s="227"/>
      <c r="F4759" s="227"/>
      <c r="G4759" s="227"/>
    </row>
    <row r="4760" spans="1:9" s="212" customFormat="1">
      <c r="A4760" s="69"/>
      <c r="B4760" s="69"/>
      <c r="C4760" s="69"/>
      <c r="D4760" s="69"/>
      <c r="E4760" s="69"/>
    </row>
    <row r="4761" spans="1:9" s="212" customFormat="1">
      <c r="A4761" s="120"/>
      <c r="B4761" s="73"/>
      <c r="C4761" s="73"/>
      <c r="D4761" s="73"/>
      <c r="E4761" s="73"/>
      <c r="F4761" s="73"/>
      <c r="G4761" s="73"/>
      <c r="H4761" s="73"/>
    </row>
    <row r="4762" spans="1:9" s="212" customFormat="1">
      <c r="A4762" s="220"/>
      <c r="B4762" s="141"/>
      <c r="C4762" s="141"/>
      <c r="D4762" s="141"/>
      <c r="E4762" s="141"/>
      <c r="F4762" s="141"/>
      <c r="G4762" s="141"/>
      <c r="H4762" s="73"/>
    </row>
    <row r="4763" spans="1:9" s="212" customFormat="1">
      <c r="A4763" s="150"/>
      <c r="B4763" s="83"/>
      <c r="C4763" s="148"/>
      <c r="D4763" s="84"/>
      <c r="E4763" s="84"/>
      <c r="F4763" s="84"/>
      <c r="G4763" s="224"/>
      <c r="H4763" s="73"/>
    </row>
    <row r="4764" spans="1:9" s="212" customFormat="1">
      <c r="A4764" s="150"/>
      <c r="B4764" s="83"/>
      <c r="C4764" s="148"/>
      <c r="D4764" s="84"/>
      <c r="E4764" s="84"/>
      <c r="F4764" s="84"/>
      <c r="G4764" s="224"/>
      <c r="H4764" s="73"/>
    </row>
    <row r="4765" spans="1:9" s="212" customFormat="1">
      <c r="A4765" s="150"/>
      <c r="B4765" s="83"/>
      <c r="C4765" s="148"/>
      <c r="D4765" s="84"/>
      <c r="E4765" s="84"/>
      <c r="F4765" s="84"/>
      <c r="G4765" s="224"/>
      <c r="H4765" s="221"/>
    </row>
    <row r="4766" spans="1:9" s="212" customFormat="1">
      <c r="A4766" s="84"/>
      <c r="B4766" s="83"/>
      <c r="C4766" s="84"/>
      <c r="D4766" s="84"/>
      <c r="E4766" s="84"/>
      <c r="G4766" s="213"/>
      <c r="H4766" s="222"/>
    </row>
    <row r="4767" spans="1:9" s="212" customFormat="1">
      <c r="A4767" s="120"/>
      <c r="B4767" s="73"/>
      <c r="C4767" s="73"/>
      <c r="D4767" s="73"/>
      <c r="E4767" s="73"/>
      <c r="G4767" s="73"/>
      <c r="H4767" s="222"/>
    </row>
    <row r="4768" spans="1:9" s="212" customFormat="1">
      <c r="A4768" s="220"/>
      <c r="B4768" s="141"/>
      <c r="C4768" s="141"/>
      <c r="D4768" s="141"/>
      <c r="E4768" s="141"/>
      <c r="F4768" s="141"/>
      <c r="G4768" s="141"/>
      <c r="H4768" s="222"/>
    </row>
    <row r="4769" spans="1:9" s="212" customFormat="1">
      <c r="A4769" s="150"/>
      <c r="B4769" s="83"/>
      <c r="C4769" s="148"/>
      <c r="D4769" s="84"/>
      <c r="E4769" s="84"/>
      <c r="F4769" s="84"/>
      <c r="G4769" s="224"/>
      <c r="H4769" s="221"/>
    </row>
    <row r="4770" spans="1:9" s="212" customFormat="1">
      <c r="A4770" s="91"/>
      <c r="B4770" s="91"/>
      <c r="C4770" s="91"/>
      <c r="D4770" s="91"/>
      <c r="E4770" s="91"/>
      <c r="G4770" s="213"/>
      <c r="H4770" s="222"/>
    </row>
    <row r="4771" spans="1:9" s="212" customFormat="1">
      <c r="A4771" s="120"/>
      <c r="B4771" s="73"/>
      <c r="C4771" s="73"/>
      <c r="D4771" s="73"/>
      <c r="E4771" s="73"/>
      <c r="G4771" s="73"/>
      <c r="H4771" s="222"/>
    </row>
    <row r="4772" spans="1:9" s="212" customFormat="1">
      <c r="A4772" s="220"/>
      <c r="B4772" s="141"/>
      <c r="C4772" s="141"/>
      <c r="D4772" s="141"/>
      <c r="E4772" s="141"/>
      <c r="F4772" s="141"/>
      <c r="G4772" s="141"/>
      <c r="H4772" s="222"/>
    </row>
    <row r="4773" spans="1:9" s="212" customFormat="1">
      <c r="A4773" s="146"/>
      <c r="B4773" s="83"/>
      <c r="C4773" s="148"/>
      <c r="D4773" s="84"/>
      <c r="E4773" s="84"/>
      <c r="F4773" s="84"/>
      <c r="G4773" s="146"/>
      <c r="H4773" s="221"/>
    </row>
    <row r="4774" spans="1:9" s="212" customFormat="1">
      <c r="A4774" s="91"/>
      <c r="B4774" s="91"/>
      <c r="C4774" s="91"/>
      <c r="D4774" s="91"/>
      <c r="E4774" s="91"/>
      <c r="G4774" s="213"/>
      <c r="H4774" s="222"/>
    </row>
    <row r="4775" spans="1:9" s="212" customFormat="1">
      <c r="A4775" s="120"/>
      <c r="B4775" s="73"/>
      <c r="C4775" s="73"/>
      <c r="D4775" s="73"/>
      <c r="E4775" s="73"/>
      <c r="G4775" s="73"/>
      <c r="H4775" s="222"/>
    </row>
    <row r="4776" spans="1:9" s="212" customFormat="1">
      <c r="A4776" s="220"/>
      <c r="B4776" s="141"/>
      <c r="C4776" s="141"/>
      <c r="D4776" s="141"/>
      <c r="E4776" s="141"/>
      <c r="F4776" s="141"/>
      <c r="G4776" s="141"/>
      <c r="H4776" s="222"/>
    </row>
    <row r="4777" spans="1:9" s="212" customFormat="1">
      <c r="A4777" s="142"/>
      <c r="B4777" s="143"/>
      <c r="C4777" s="143"/>
      <c r="D4777" s="143"/>
      <c r="E4777" s="143"/>
      <c r="F4777" s="84"/>
      <c r="G4777" s="146"/>
      <c r="H4777" s="221"/>
    </row>
    <row r="4778" spans="1:9" s="212" customFormat="1">
      <c r="A4778" s="123"/>
      <c r="B4778" s="95"/>
      <c r="C4778" s="95"/>
      <c r="D4778" s="95"/>
      <c r="E4778" s="95"/>
      <c r="G4778" s="213"/>
      <c r="H4778" s="73"/>
    </row>
    <row r="4779" spans="1:9" s="212" customFormat="1">
      <c r="A4779" s="123"/>
      <c r="B4779" s="95"/>
      <c r="C4779" s="95"/>
      <c r="D4779" s="95"/>
      <c r="E4779" s="95"/>
      <c r="G4779" s="73"/>
      <c r="H4779" s="225"/>
    </row>
    <row r="4780" spans="1:9" s="212" customFormat="1">
      <c r="B4780" s="97"/>
      <c r="C4780" s="98"/>
      <c r="D4780" s="98"/>
      <c r="E4780" s="98"/>
      <c r="G4780" s="220"/>
    </row>
    <row r="4781" spans="1:9" s="212" customFormat="1">
      <c r="B4781" s="97"/>
      <c r="C4781" s="98"/>
      <c r="D4781" s="98"/>
      <c r="E4781" s="98"/>
      <c r="F4781" s="220"/>
      <c r="G4781" s="225"/>
      <c r="H4781" s="226"/>
    </row>
    <row r="4782" spans="1:9" s="212" customFormat="1">
      <c r="A4782" s="633"/>
      <c r="B4782" s="633"/>
      <c r="C4782" s="633"/>
      <c r="D4782" s="633"/>
      <c r="E4782" s="633"/>
      <c r="F4782" s="633"/>
      <c r="G4782" s="633"/>
    </row>
    <row r="4783" spans="1:9" s="212" customFormat="1">
      <c r="H4783" s="227"/>
      <c r="I4783" s="228"/>
    </row>
    <row r="4784" spans="1:9" s="212" customFormat="1">
      <c r="A4784" s="658"/>
      <c r="B4784" s="227"/>
      <c r="C4784" s="227"/>
      <c r="D4784" s="227"/>
      <c r="E4784" s="227"/>
      <c r="F4784" s="227"/>
      <c r="G4784" s="227"/>
      <c r="H4784" s="227"/>
      <c r="I4784" s="229"/>
    </row>
    <row r="4785" spans="1:8" s="212" customFormat="1">
      <c r="A4785" s="658"/>
      <c r="B4785" s="227"/>
      <c r="C4785" s="227"/>
      <c r="D4785" s="227"/>
      <c r="E4785" s="227"/>
      <c r="F4785" s="227"/>
      <c r="G4785" s="227"/>
    </row>
    <row r="4786" spans="1:8" s="212" customFormat="1">
      <c r="A4786" s="69"/>
      <c r="B4786" s="69"/>
      <c r="C4786" s="69"/>
      <c r="D4786" s="69"/>
      <c r="E4786" s="69"/>
    </row>
    <row r="4787" spans="1:8" s="212" customFormat="1">
      <c r="A4787" s="120"/>
      <c r="B4787" s="73"/>
      <c r="C4787" s="73"/>
      <c r="D4787" s="73"/>
      <c r="E4787" s="73"/>
      <c r="F4787" s="73"/>
      <c r="G4787" s="73"/>
      <c r="H4787" s="73"/>
    </row>
    <row r="4788" spans="1:8" s="212" customFormat="1">
      <c r="A4788" s="220"/>
      <c r="B4788" s="141"/>
      <c r="C4788" s="141"/>
      <c r="D4788" s="141"/>
      <c r="E4788" s="141"/>
      <c r="F4788" s="141"/>
      <c r="G4788" s="141"/>
      <c r="H4788" s="73"/>
    </row>
    <row r="4789" spans="1:8" s="212" customFormat="1">
      <c r="A4789" s="150"/>
      <c r="B4789" s="83"/>
      <c r="C4789" s="148"/>
      <c r="D4789" s="84"/>
      <c r="E4789" s="84"/>
      <c r="F4789" s="84"/>
      <c r="G4789" s="224"/>
      <c r="H4789" s="73"/>
    </row>
    <row r="4790" spans="1:8" s="212" customFormat="1">
      <c r="A4790" s="150"/>
      <c r="B4790" s="83"/>
      <c r="C4790" s="148"/>
      <c r="D4790" s="84"/>
      <c r="E4790" s="84"/>
      <c r="F4790" s="84"/>
      <c r="G4790" s="224"/>
      <c r="H4790" s="221"/>
    </row>
    <row r="4791" spans="1:8" s="212" customFormat="1">
      <c r="A4791" s="84"/>
      <c r="B4791" s="83"/>
      <c r="C4791" s="84"/>
      <c r="D4791" s="84"/>
      <c r="E4791" s="84"/>
      <c r="G4791" s="213"/>
      <c r="H4791" s="222"/>
    </row>
    <row r="4792" spans="1:8" s="212" customFormat="1">
      <c r="A4792" s="120"/>
      <c r="B4792" s="73"/>
      <c r="C4792" s="73"/>
      <c r="D4792" s="73"/>
      <c r="E4792" s="73"/>
      <c r="G4792" s="73"/>
      <c r="H4792" s="222"/>
    </row>
    <row r="4793" spans="1:8" s="212" customFormat="1">
      <c r="A4793" s="220"/>
      <c r="B4793" s="141"/>
      <c r="C4793" s="141"/>
      <c r="D4793" s="141"/>
      <c r="E4793" s="141"/>
      <c r="F4793" s="141"/>
      <c r="G4793" s="141"/>
      <c r="H4793" s="222"/>
    </row>
    <row r="4794" spans="1:8" s="212" customFormat="1">
      <c r="A4794" s="150"/>
      <c r="B4794" s="83"/>
      <c r="C4794" s="148"/>
      <c r="D4794" s="84"/>
      <c r="E4794" s="84"/>
      <c r="F4794" s="84"/>
      <c r="G4794" s="224"/>
      <c r="H4794" s="221"/>
    </row>
    <row r="4795" spans="1:8" s="212" customFormat="1">
      <c r="A4795" s="91"/>
      <c r="B4795" s="91"/>
      <c r="C4795" s="91"/>
      <c r="D4795" s="91"/>
      <c r="E4795" s="91"/>
      <c r="G4795" s="213"/>
      <c r="H4795" s="222"/>
    </row>
    <row r="4796" spans="1:8" s="212" customFormat="1">
      <c r="A4796" s="120"/>
      <c r="B4796" s="73"/>
      <c r="C4796" s="73"/>
      <c r="D4796" s="73"/>
      <c r="E4796" s="73"/>
      <c r="G4796" s="73"/>
      <c r="H4796" s="222"/>
    </row>
    <row r="4797" spans="1:8" s="212" customFormat="1">
      <c r="A4797" s="220"/>
      <c r="B4797" s="141"/>
      <c r="C4797" s="141"/>
      <c r="D4797" s="141"/>
      <c r="E4797" s="141"/>
      <c r="F4797" s="141"/>
      <c r="G4797" s="141"/>
      <c r="H4797" s="222"/>
    </row>
    <row r="4798" spans="1:8" s="212" customFormat="1">
      <c r="A4798" s="146"/>
      <c r="B4798" s="83"/>
      <c r="C4798" s="148"/>
      <c r="D4798" s="84"/>
      <c r="E4798" s="84"/>
      <c r="F4798" s="84"/>
      <c r="G4798" s="146"/>
      <c r="H4798" s="221"/>
    </row>
    <row r="4799" spans="1:8" s="212" customFormat="1">
      <c r="A4799" s="91"/>
      <c r="B4799" s="91"/>
      <c r="C4799" s="91"/>
      <c r="D4799" s="91"/>
      <c r="E4799" s="91"/>
      <c r="G4799" s="213"/>
      <c r="H4799" s="222"/>
    </row>
    <row r="4800" spans="1:8" s="212" customFormat="1">
      <c r="A4800" s="120"/>
      <c r="B4800" s="73"/>
      <c r="C4800" s="73"/>
      <c r="D4800" s="73"/>
      <c r="E4800" s="73"/>
      <c r="G4800" s="73"/>
      <c r="H4800" s="222"/>
    </row>
    <row r="4801" spans="1:9" s="212" customFormat="1">
      <c r="A4801" s="220"/>
      <c r="B4801" s="141"/>
      <c r="C4801" s="141"/>
      <c r="D4801" s="141"/>
      <c r="E4801" s="141"/>
      <c r="F4801" s="141"/>
      <c r="G4801" s="141"/>
      <c r="H4801" s="222"/>
    </row>
    <row r="4802" spans="1:9" s="212" customFormat="1">
      <c r="A4802" s="142"/>
      <c r="B4802" s="143"/>
      <c r="C4802" s="143"/>
      <c r="D4802" s="143"/>
      <c r="E4802" s="143"/>
      <c r="F4802" s="84"/>
      <c r="G4802" s="146"/>
      <c r="H4802" s="221"/>
    </row>
    <row r="4803" spans="1:9" s="212" customFormat="1">
      <c r="A4803" s="123"/>
      <c r="B4803" s="95"/>
      <c r="C4803" s="95"/>
      <c r="D4803" s="95"/>
      <c r="E4803" s="95"/>
      <c r="G4803" s="213"/>
      <c r="H4803" s="73"/>
    </row>
    <row r="4804" spans="1:9" s="212" customFormat="1">
      <c r="A4804" s="123"/>
      <c r="B4804" s="95"/>
      <c r="C4804" s="95"/>
      <c r="D4804" s="95"/>
      <c r="E4804" s="95"/>
      <c r="G4804" s="73"/>
      <c r="H4804" s="225"/>
    </row>
    <row r="4805" spans="1:9" s="212" customFormat="1">
      <c r="B4805" s="97"/>
      <c r="C4805" s="98"/>
      <c r="D4805" s="98"/>
      <c r="E4805" s="98"/>
      <c r="G4805" s="220"/>
    </row>
    <row r="4806" spans="1:9" s="212" customFormat="1">
      <c r="B4806" s="97"/>
      <c r="C4806" s="98"/>
      <c r="D4806" s="98"/>
      <c r="E4806" s="98"/>
      <c r="F4806" s="220"/>
      <c r="G4806" s="225"/>
      <c r="H4806" s="226"/>
    </row>
    <row r="4807" spans="1:9" s="212" customFormat="1">
      <c r="A4807" s="633"/>
      <c r="B4807" s="633"/>
      <c r="C4807" s="633"/>
      <c r="D4807" s="633"/>
      <c r="E4807" s="633"/>
      <c r="F4807" s="633"/>
      <c r="G4807" s="633"/>
    </row>
    <row r="4808" spans="1:9" s="212" customFormat="1">
      <c r="H4808" s="227"/>
      <c r="I4808" s="228"/>
    </row>
    <row r="4809" spans="1:9" s="212" customFormat="1">
      <c r="A4809" s="658"/>
      <c r="B4809" s="227"/>
      <c r="C4809" s="227"/>
      <c r="D4809" s="227"/>
      <c r="E4809" s="227"/>
      <c r="F4809" s="227"/>
      <c r="G4809" s="227"/>
      <c r="H4809" s="227"/>
      <c r="I4809" s="229"/>
    </row>
    <row r="4810" spans="1:9" s="212" customFormat="1">
      <c r="A4810" s="658"/>
      <c r="B4810" s="227"/>
      <c r="C4810" s="227"/>
      <c r="D4810" s="227"/>
      <c r="E4810" s="227"/>
      <c r="F4810" s="227"/>
      <c r="G4810" s="227"/>
    </row>
    <row r="4811" spans="1:9" s="212" customFormat="1">
      <c r="A4811" s="69"/>
      <c r="B4811" s="69"/>
      <c r="C4811" s="69"/>
      <c r="D4811" s="69"/>
      <c r="E4811" s="69"/>
    </row>
    <row r="4812" spans="1:9" s="212" customFormat="1">
      <c r="A4812" s="120"/>
      <c r="B4812" s="73"/>
      <c r="C4812" s="73"/>
      <c r="D4812" s="73"/>
      <c r="E4812" s="73"/>
      <c r="F4812" s="73"/>
      <c r="G4812" s="73"/>
      <c r="H4812" s="73"/>
    </row>
    <row r="4813" spans="1:9" s="212" customFormat="1">
      <c r="A4813" s="220"/>
      <c r="B4813" s="141"/>
      <c r="C4813" s="141"/>
      <c r="D4813" s="141"/>
      <c r="E4813" s="141"/>
      <c r="F4813" s="141"/>
      <c r="G4813" s="141"/>
      <c r="H4813" s="73"/>
    </row>
    <row r="4814" spans="1:9" s="212" customFormat="1">
      <c r="A4814" s="150"/>
      <c r="B4814" s="83"/>
      <c r="C4814" s="148"/>
      <c r="D4814" s="84"/>
      <c r="E4814" s="84"/>
      <c r="F4814" s="84"/>
      <c r="G4814" s="224"/>
      <c r="H4814" s="221"/>
    </row>
    <row r="4815" spans="1:9" s="212" customFormat="1">
      <c r="A4815" s="84"/>
      <c r="B4815" s="83"/>
      <c r="C4815" s="84"/>
      <c r="D4815" s="84"/>
      <c r="E4815" s="84"/>
      <c r="G4815" s="213"/>
      <c r="H4815" s="222"/>
    </row>
    <row r="4816" spans="1:9" s="212" customFormat="1">
      <c r="A4816" s="120"/>
      <c r="B4816" s="73"/>
      <c r="C4816" s="73"/>
      <c r="D4816" s="73"/>
      <c r="E4816" s="73"/>
      <c r="G4816" s="73"/>
      <c r="H4816" s="222"/>
    </row>
    <row r="4817" spans="1:8" s="212" customFormat="1">
      <c r="A4817" s="220"/>
      <c r="B4817" s="141"/>
      <c r="C4817" s="141"/>
      <c r="D4817" s="141"/>
      <c r="E4817" s="141"/>
      <c r="F4817" s="141"/>
      <c r="G4817" s="141"/>
      <c r="H4817" s="222"/>
    </row>
    <row r="4818" spans="1:8" s="212" customFormat="1">
      <c r="A4818" s="150"/>
      <c r="B4818" s="83"/>
      <c r="C4818" s="148"/>
      <c r="D4818" s="84"/>
      <c r="E4818" s="84"/>
      <c r="F4818" s="84"/>
      <c r="G4818" s="224"/>
      <c r="H4818" s="222"/>
    </row>
    <row r="4819" spans="1:8" s="212" customFormat="1">
      <c r="A4819" s="150"/>
      <c r="B4819" s="83"/>
      <c r="C4819" s="148"/>
      <c r="D4819" s="84"/>
      <c r="E4819" s="84"/>
      <c r="F4819" s="84"/>
      <c r="G4819" s="224"/>
      <c r="H4819" s="222"/>
    </row>
    <row r="4820" spans="1:8" s="212" customFormat="1">
      <c r="A4820" s="150"/>
      <c r="B4820" s="83"/>
      <c r="C4820" s="148"/>
      <c r="D4820" s="84"/>
      <c r="E4820" s="84"/>
      <c r="F4820" s="84"/>
      <c r="G4820" s="224"/>
      <c r="H4820" s="222"/>
    </row>
    <row r="4821" spans="1:8" s="212" customFormat="1">
      <c r="A4821" s="150"/>
      <c r="B4821" s="83"/>
      <c r="C4821" s="148"/>
      <c r="D4821" s="84"/>
      <c r="E4821" s="84"/>
      <c r="F4821" s="84"/>
      <c r="G4821" s="224"/>
      <c r="H4821" s="222"/>
    </row>
    <row r="4822" spans="1:8" s="212" customFormat="1">
      <c r="A4822" s="150"/>
      <c r="B4822" s="83"/>
      <c r="C4822" s="148"/>
      <c r="D4822" s="84"/>
      <c r="E4822" s="84"/>
      <c r="F4822" s="84"/>
      <c r="G4822" s="224"/>
      <c r="H4822" s="222"/>
    </row>
    <row r="4823" spans="1:8" s="212" customFormat="1">
      <c r="A4823" s="150"/>
      <c r="B4823" s="83"/>
      <c r="C4823" s="148"/>
      <c r="D4823" s="84"/>
      <c r="E4823" s="84"/>
      <c r="F4823" s="84"/>
      <c r="G4823" s="224"/>
      <c r="H4823" s="222"/>
    </row>
    <row r="4824" spans="1:8" s="212" customFormat="1">
      <c r="A4824" s="150"/>
      <c r="B4824" s="83"/>
      <c r="C4824" s="148"/>
      <c r="D4824" s="84"/>
      <c r="E4824" s="84"/>
      <c r="F4824" s="84"/>
      <c r="G4824" s="224"/>
      <c r="H4824" s="221"/>
    </row>
    <row r="4825" spans="1:8" s="212" customFormat="1">
      <c r="A4825" s="91"/>
      <c r="B4825" s="91"/>
      <c r="C4825" s="91"/>
      <c r="D4825" s="91"/>
      <c r="E4825" s="91"/>
      <c r="G4825" s="213"/>
      <c r="H4825" s="222"/>
    </row>
    <row r="4826" spans="1:8" s="212" customFormat="1">
      <c r="A4826" s="120"/>
      <c r="B4826" s="73"/>
      <c r="C4826" s="73"/>
      <c r="D4826" s="73"/>
      <c r="E4826" s="73"/>
      <c r="G4826" s="73"/>
      <c r="H4826" s="222"/>
    </row>
    <row r="4827" spans="1:8" s="212" customFormat="1">
      <c r="A4827" s="220"/>
      <c r="B4827" s="141"/>
      <c r="C4827" s="141"/>
      <c r="D4827" s="141"/>
      <c r="E4827" s="141"/>
      <c r="F4827" s="141"/>
      <c r="G4827" s="141"/>
      <c r="H4827" s="222"/>
    </row>
    <row r="4828" spans="1:8" s="212" customFormat="1">
      <c r="A4828" s="146"/>
      <c r="B4828" s="83"/>
      <c r="C4828" s="148"/>
      <c r="D4828" s="84"/>
      <c r="E4828" s="84"/>
      <c r="F4828" s="84"/>
      <c r="G4828" s="146"/>
      <c r="H4828" s="222"/>
    </row>
    <row r="4829" spans="1:8" s="212" customFormat="1">
      <c r="A4829" s="146"/>
      <c r="B4829" s="83"/>
      <c r="C4829" s="148"/>
      <c r="D4829" s="84"/>
      <c r="E4829" s="84"/>
      <c r="F4829" s="84"/>
      <c r="G4829" s="146"/>
      <c r="H4829" s="221"/>
    </row>
    <row r="4830" spans="1:8" s="212" customFormat="1">
      <c r="A4830" s="91"/>
      <c r="B4830" s="91"/>
      <c r="C4830" s="91"/>
      <c r="D4830" s="91"/>
      <c r="E4830" s="91"/>
      <c r="G4830" s="213"/>
      <c r="H4830" s="222"/>
    </row>
    <row r="4831" spans="1:8" s="212" customFormat="1">
      <c r="A4831" s="120"/>
      <c r="B4831" s="73"/>
      <c r="C4831" s="73"/>
      <c r="D4831" s="73"/>
      <c r="E4831" s="73"/>
      <c r="G4831" s="73"/>
      <c r="H4831" s="222"/>
    </row>
    <row r="4832" spans="1:8" s="212" customFormat="1">
      <c r="A4832" s="220"/>
      <c r="B4832" s="141"/>
      <c r="C4832" s="141"/>
      <c r="D4832" s="141"/>
      <c r="E4832" s="141"/>
      <c r="F4832" s="141"/>
      <c r="G4832" s="141"/>
      <c r="H4832" s="222"/>
    </row>
    <row r="4833" spans="1:9" s="212" customFormat="1">
      <c r="A4833" s="142"/>
      <c r="B4833" s="143"/>
      <c r="C4833" s="143"/>
      <c r="D4833" s="143"/>
      <c r="E4833" s="143"/>
      <c r="F4833" s="84"/>
      <c r="G4833" s="146"/>
      <c r="H4833" s="221"/>
    </row>
    <row r="4834" spans="1:9" s="212" customFormat="1">
      <c r="A4834" s="123"/>
      <c r="B4834" s="95"/>
      <c r="C4834" s="95"/>
      <c r="D4834" s="95"/>
      <c r="E4834" s="95"/>
      <c r="G4834" s="213"/>
      <c r="H4834" s="73"/>
    </row>
    <row r="4835" spans="1:9" s="212" customFormat="1">
      <c r="A4835" s="123"/>
      <c r="B4835" s="95"/>
      <c r="C4835" s="95"/>
      <c r="D4835" s="95"/>
      <c r="E4835" s="95"/>
      <c r="G4835" s="73"/>
      <c r="H4835" s="225"/>
    </row>
    <row r="4836" spans="1:9" s="212" customFormat="1">
      <c r="B4836" s="97"/>
      <c r="C4836" s="98"/>
      <c r="D4836" s="98"/>
      <c r="E4836" s="98"/>
      <c r="G4836" s="220"/>
    </row>
    <row r="4837" spans="1:9" s="212" customFormat="1">
      <c r="B4837" s="97"/>
      <c r="C4837" s="98"/>
      <c r="D4837" s="98"/>
      <c r="E4837" s="98"/>
      <c r="F4837" s="220"/>
      <c r="G4837" s="225"/>
      <c r="H4837" s="226"/>
    </row>
    <row r="4838" spans="1:9" s="212" customFormat="1">
      <c r="A4838" s="633"/>
      <c r="B4838" s="633"/>
      <c r="C4838" s="633"/>
      <c r="D4838" s="633"/>
      <c r="E4838" s="633"/>
      <c r="F4838" s="633"/>
      <c r="G4838" s="633"/>
    </row>
    <row r="4839" spans="1:9" s="212" customFormat="1">
      <c r="H4839" s="227"/>
      <c r="I4839" s="228"/>
    </row>
    <row r="4840" spans="1:9" s="212" customFormat="1">
      <c r="A4840" s="658"/>
      <c r="B4840" s="227"/>
      <c r="C4840" s="227"/>
      <c r="D4840" s="227"/>
      <c r="E4840" s="227"/>
      <c r="F4840" s="227"/>
      <c r="G4840" s="227"/>
      <c r="H4840" s="227"/>
      <c r="I4840" s="229"/>
    </row>
    <row r="4841" spans="1:9" s="212" customFormat="1">
      <c r="A4841" s="658"/>
      <c r="B4841" s="227"/>
      <c r="C4841" s="227"/>
      <c r="D4841" s="227"/>
      <c r="E4841" s="227"/>
      <c r="F4841" s="227"/>
      <c r="G4841" s="227"/>
    </row>
    <row r="4842" spans="1:9" s="212" customFormat="1">
      <c r="A4842" s="69"/>
      <c r="B4842" s="69"/>
      <c r="C4842" s="69"/>
      <c r="D4842" s="69"/>
      <c r="E4842" s="69"/>
    </row>
    <row r="4843" spans="1:9" s="212" customFormat="1">
      <c r="A4843" s="120"/>
      <c r="B4843" s="73"/>
      <c r="C4843" s="73"/>
      <c r="D4843" s="73"/>
      <c r="E4843" s="73"/>
      <c r="F4843" s="73"/>
      <c r="G4843" s="73"/>
      <c r="H4843" s="73"/>
    </row>
    <row r="4844" spans="1:9" s="212" customFormat="1">
      <c r="A4844" s="220"/>
      <c r="B4844" s="141"/>
      <c r="C4844" s="141"/>
      <c r="D4844" s="141"/>
      <c r="E4844" s="141"/>
      <c r="F4844" s="141"/>
      <c r="G4844" s="141"/>
      <c r="H4844" s="73"/>
    </row>
    <row r="4845" spans="1:9" s="212" customFormat="1">
      <c r="A4845" s="150"/>
      <c r="B4845" s="83"/>
      <c r="C4845" s="148"/>
      <c r="D4845" s="84"/>
      <c r="E4845" s="84"/>
      <c r="F4845" s="84"/>
      <c r="G4845" s="224"/>
      <c r="H4845" s="221"/>
    </row>
    <row r="4846" spans="1:9" s="212" customFormat="1">
      <c r="A4846" s="84"/>
      <c r="B4846" s="83"/>
      <c r="C4846" s="84"/>
      <c r="D4846" s="84"/>
      <c r="E4846" s="84"/>
      <c r="G4846" s="213"/>
      <c r="H4846" s="222"/>
    </row>
    <row r="4847" spans="1:9" s="212" customFormat="1">
      <c r="A4847" s="120"/>
      <c r="B4847" s="73"/>
      <c r="C4847" s="73"/>
      <c r="D4847" s="73"/>
      <c r="E4847" s="73"/>
      <c r="G4847" s="73"/>
      <c r="H4847" s="222"/>
    </row>
    <row r="4848" spans="1:9" s="212" customFormat="1">
      <c r="A4848" s="220"/>
      <c r="B4848" s="141"/>
      <c r="C4848" s="141"/>
      <c r="D4848" s="141"/>
      <c r="E4848" s="141"/>
      <c r="F4848" s="141"/>
      <c r="G4848" s="141"/>
      <c r="H4848" s="222"/>
    </row>
    <row r="4849" spans="1:8" s="212" customFormat="1">
      <c r="A4849" s="150"/>
      <c r="B4849" s="83"/>
      <c r="C4849" s="148"/>
      <c r="D4849" s="84"/>
      <c r="E4849" s="84"/>
      <c r="F4849" s="84"/>
      <c r="G4849" s="224"/>
      <c r="H4849" s="222"/>
    </row>
    <row r="4850" spans="1:8" s="212" customFormat="1">
      <c r="A4850" s="150"/>
      <c r="B4850" s="83"/>
      <c r="C4850" s="148"/>
      <c r="D4850" s="84"/>
      <c r="E4850" s="84"/>
      <c r="F4850" s="84"/>
      <c r="G4850" s="224"/>
      <c r="H4850" s="222"/>
    </row>
    <row r="4851" spans="1:8" s="212" customFormat="1">
      <c r="A4851" s="150"/>
      <c r="B4851" s="83"/>
      <c r="C4851" s="148"/>
      <c r="D4851" s="84"/>
      <c r="E4851" s="84"/>
      <c r="F4851" s="84"/>
      <c r="G4851" s="224"/>
      <c r="H4851" s="222"/>
    </row>
    <row r="4852" spans="1:8" s="212" customFormat="1">
      <c r="A4852" s="150"/>
      <c r="B4852" s="83"/>
      <c r="C4852" s="148"/>
      <c r="D4852" s="84"/>
      <c r="E4852" s="84"/>
      <c r="F4852" s="84"/>
      <c r="G4852" s="224"/>
      <c r="H4852" s="222"/>
    </row>
    <row r="4853" spans="1:8" s="212" customFormat="1">
      <c r="A4853" s="150"/>
      <c r="B4853" s="83"/>
      <c r="C4853" s="148"/>
      <c r="D4853" s="84"/>
      <c r="E4853" s="84"/>
      <c r="F4853" s="84"/>
      <c r="G4853" s="224"/>
      <c r="H4853" s="221"/>
    </row>
    <row r="4854" spans="1:8" s="212" customFormat="1">
      <c r="A4854" s="91"/>
      <c r="B4854" s="91"/>
      <c r="C4854" s="91"/>
      <c r="D4854" s="91"/>
      <c r="E4854" s="91"/>
      <c r="G4854" s="213"/>
      <c r="H4854" s="222"/>
    </row>
    <row r="4855" spans="1:8" s="212" customFormat="1">
      <c r="A4855" s="120"/>
      <c r="B4855" s="73"/>
      <c r="C4855" s="73"/>
      <c r="D4855" s="73"/>
      <c r="E4855" s="73"/>
      <c r="G4855" s="73"/>
      <c r="H4855" s="222"/>
    </row>
    <row r="4856" spans="1:8" s="212" customFormat="1">
      <c r="A4856" s="220"/>
      <c r="B4856" s="141"/>
      <c r="C4856" s="141"/>
      <c r="D4856" s="141"/>
      <c r="E4856" s="141"/>
      <c r="F4856" s="141"/>
      <c r="G4856" s="141"/>
      <c r="H4856" s="222"/>
    </row>
    <row r="4857" spans="1:8" s="212" customFormat="1">
      <c r="A4857" s="146"/>
      <c r="B4857" s="83"/>
      <c r="C4857" s="148"/>
      <c r="D4857" s="84"/>
      <c r="E4857" s="84"/>
      <c r="F4857" s="84"/>
      <c r="G4857" s="146"/>
      <c r="H4857" s="222"/>
    </row>
    <row r="4858" spans="1:8" s="212" customFormat="1">
      <c r="A4858" s="146"/>
      <c r="B4858" s="83"/>
      <c r="C4858" s="148"/>
      <c r="D4858" s="84"/>
      <c r="E4858" s="84"/>
      <c r="F4858" s="84"/>
      <c r="G4858" s="146"/>
      <c r="H4858" s="221"/>
    </row>
    <row r="4859" spans="1:8" s="212" customFormat="1">
      <c r="A4859" s="91"/>
      <c r="B4859" s="91"/>
      <c r="C4859" s="91"/>
      <c r="D4859" s="91"/>
      <c r="E4859" s="91"/>
      <c r="G4859" s="213"/>
      <c r="H4859" s="222"/>
    </row>
    <row r="4860" spans="1:8" s="212" customFormat="1">
      <c r="A4860" s="120"/>
      <c r="B4860" s="73"/>
      <c r="C4860" s="73"/>
      <c r="D4860" s="73"/>
      <c r="E4860" s="73"/>
      <c r="G4860" s="73"/>
      <c r="H4860" s="222"/>
    </row>
    <row r="4861" spans="1:8" s="212" customFormat="1">
      <c r="A4861" s="220"/>
      <c r="B4861" s="141"/>
      <c r="C4861" s="141"/>
      <c r="D4861" s="141"/>
      <c r="E4861" s="141"/>
      <c r="F4861" s="141"/>
      <c r="G4861" s="141"/>
      <c r="H4861" s="222"/>
    </row>
    <row r="4862" spans="1:8" s="212" customFormat="1">
      <c r="A4862" s="142"/>
      <c r="B4862" s="143"/>
      <c r="C4862" s="143"/>
      <c r="D4862" s="143"/>
      <c r="E4862" s="143"/>
      <c r="F4862" s="84"/>
      <c r="G4862" s="146"/>
      <c r="H4862" s="221"/>
    </row>
    <row r="4863" spans="1:8" s="212" customFormat="1">
      <c r="A4863" s="123"/>
      <c r="B4863" s="95"/>
      <c r="C4863" s="95"/>
      <c r="D4863" s="95"/>
      <c r="E4863" s="95"/>
      <c r="G4863" s="213"/>
      <c r="H4863" s="73"/>
    </row>
    <row r="4864" spans="1:8" s="212" customFormat="1">
      <c r="A4864" s="123"/>
      <c r="B4864" s="95"/>
      <c r="C4864" s="95"/>
      <c r="D4864" s="95"/>
      <c r="E4864" s="95"/>
      <c r="G4864" s="73"/>
      <c r="H4864" s="225"/>
    </row>
    <row r="4865" spans="1:9" s="212" customFormat="1">
      <c r="B4865" s="97"/>
      <c r="C4865" s="98"/>
      <c r="D4865" s="98"/>
      <c r="E4865" s="98"/>
      <c r="G4865" s="220"/>
    </row>
    <row r="4866" spans="1:9" s="212" customFormat="1">
      <c r="B4866" s="97"/>
      <c r="C4866" s="98"/>
      <c r="D4866" s="98"/>
      <c r="E4866" s="98"/>
      <c r="F4866" s="220"/>
      <c r="G4866" s="225"/>
      <c r="H4866" s="226"/>
    </row>
    <row r="4867" spans="1:9" s="212" customFormat="1">
      <c r="A4867" s="633"/>
      <c r="B4867" s="633"/>
      <c r="C4867" s="633"/>
      <c r="D4867" s="633"/>
      <c r="E4867" s="633"/>
      <c r="F4867" s="633"/>
      <c r="G4867" s="633"/>
    </row>
    <row r="4868" spans="1:9" s="212" customFormat="1">
      <c r="H4868" s="227"/>
      <c r="I4868" s="228"/>
    </row>
    <row r="4869" spans="1:9" s="212" customFormat="1">
      <c r="A4869" s="658"/>
      <c r="B4869" s="227"/>
      <c r="C4869" s="227"/>
      <c r="D4869" s="227"/>
      <c r="E4869" s="227"/>
      <c r="F4869" s="227"/>
      <c r="G4869" s="227"/>
      <c r="H4869" s="227"/>
      <c r="I4869" s="229"/>
    </row>
    <row r="4870" spans="1:9" s="212" customFormat="1">
      <c r="A4870" s="658"/>
      <c r="B4870" s="227"/>
      <c r="C4870" s="227"/>
      <c r="D4870" s="227"/>
      <c r="E4870" s="227"/>
      <c r="F4870" s="227"/>
      <c r="G4870" s="227"/>
    </row>
    <row r="4871" spans="1:9" s="212" customFormat="1">
      <c r="A4871" s="69"/>
      <c r="B4871" s="69"/>
      <c r="C4871" s="69"/>
      <c r="D4871" s="69"/>
      <c r="E4871" s="69"/>
    </row>
    <row r="4872" spans="1:9" s="212" customFormat="1">
      <c r="A4872" s="120"/>
      <c r="B4872" s="73"/>
      <c r="C4872" s="73"/>
      <c r="D4872" s="73"/>
      <c r="E4872" s="73"/>
      <c r="F4872" s="73"/>
      <c r="G4872" s="73"/>
      <c r="H4872" s="73"/>
    </row>
    <row r="4873" spans="1:9" s="212" customFormat="1">
      <c r="A4873" s="220"/>
      <c r="B4873" s="141"/>
      <c r="C4873" s="141"/>
      <c r="D4873" s="141"/>
      <c r="E4873" s="141"/>
      <c r="F4873" s="141"/>
      <c r="G4873" s="141"/>
      <c r="H4873" s="73"/>
    </row>
    <row r="4874" spans="1:9" s="212" customFormat="1">
      <c r="A4874" s="150"/>
      <c r="B4874" s="83"/>
      <c r="C4874" s="148"/>
      <c r="D4874" s="84"/>
      <c r="E4874" s="84"/>
      <c r="F4874" s="84"/>
      <c r="G4874" s="224"/>
      <c r="H4874" s="73"/>
    </row>
    <row r="4875" spans="1:9" s="212" customFormat="1">
      <c r="A4875" s="150"/>
      <c r="B4875" s="83"/>
      <c r="C4875" s="148"/>
      <c r="D4875" s="84"/>
      <c r="E4875" s="84"/>
      <c r="F4875" s="84"/>
      <c r="G4875" s="224"/>
      <c r="H4875" s="221"/>
    </row>
    <row r="4876" spans="1:9" s="212" customFormat="1">
      <c r="A4876" s="84"/>
      <c r="B4876" s="83"/>
      <c r="C4876" s="84"/>
      <c r="D4876" s="84"/>
      <c r="E4876" s="84"/>
      <c r="G4876" s="213"/>
      <c r="H4876" s="222"/>
    </row>
    <row r="4877" spans="1:9" s="212" customFormat="1">
      <c r="A4877" s="120"/>
      <c r="B4877" s="73"/>
      <c r="C4877" s="73"/>
      <c r="D4877" s="73"/>
      <c r="E4877" s="73"/>
      <c r="G4877" s="73"/>
      <c r="H4877" s="222"/>
    </row>
    <row r="4878" spans="1:9" s="212" customFormat="1">
      <c r="A4878" s="220"/>
      <c r="B4878" s="141"/>
      <c r="C4878" s="141"/>
      <c r="D4878" s="141"/>
      <c r="E4878" s="141"/>
      <c r="F4878" s="141"/>
      <c r="G4878" s="141"/>
      <c r="H4878" s="222"/>
    </row>
    <row r="4879" spans="1:9" s="212" customFormat="1">
      <c r="A4879" s="150"/>
      <c r="B4879" s="83"/>
      <c r="C4879" s="148"/>
      <c r="D4879" s="84"/>
      <c r="E4879" s="84"/>
      <c r="F4879" s="84"/>
      <c r="G4879" s="224"/>
      <c r="H4879" s="222"/>
    </row>
    <row r="4880" spans="1:9" s="212" customFormat="1">
      <c r="A4880" s="150"/>
      <c r="B4880" s="83"/>
      <c r="C4880" s="148"/>
      <c r="D4880" s="84"/>
      <c r="E4880" s="84"/>
      <c r="F4880" s="84"/>
      <c r="G4880" s="224"/>
      <c r="H4880" s="222"/>
    </row>
    <row r="4881" spans="1:8" s="212" customFormat="1">
      <c r="A4881" s="150"/>
      <c r="B4881" s="83"/>
      <c r="C4881" s="148"/>
      <c r="D4881" s="84"/>
      <c r="E4881" s="84"/>
      <c r="F4881" s="84"/>
      <c r="G4881" s="224"/>
      <c r="H4881" s="222"/>
    </row>
    <row r="4882" spans="1:8" s="212" customFormat="1">
      <c r="A4882" s="150"/>
      <c r="B4882" s="83"/>
      <c r="C4882" s="148"/>
      <c r="D4882" s="84"/>
      <c r="E4882" s="84"/>
      <c r="F4882" s="84"/>
      <c r="G4882" s="224"/>
      <c r="H4882" s="221"/>
    </row>
    <row r="4883" spans="1:8" s="212" customFormat="1">
      <c r="A4883" s="91"/>
      <c r="B4883" s="91"/>
      <c r="C4883" s="91"/>
      <c r="D4883" s="91"/>
      <c r="E4883" s="91"/>
      <c r="G4883" s="213"/>
      <c r="H4883" s="222"/>
    </row>
    <row r="4884" spans="1:8" s="212" customFormat="1">
      <c r="A4884" s="120"/>
      <c r="B4884" s="73"/>
      <c r="C4884" s="73"/>
      <c r="D4884" s="73"/>
      <c r="E4884" s="73"/>
      <c r="G4884" s="73"/>
      <c r="H4884" s="222"/>
    </row>
    <row r="4885" spans="1:8" s="212" customFormat="1">
      <c r="A4885" s="220"/>
      <c r="B4885" s="141"/>
      <c r="C4885" s="141"/>
      <c r="D4885" s="141"/>
      <c r="E4885" s="141"/>
      <c r="F4885" s="141"/>
      <c r="G4885" s="141"/>
      <c r="H4885" s="222"/>
    </row>
    <row r="4886" spans="1:8" s="212" customFormat="1">
      <c r="A4886" s="146"/>
      <c r="B4886" s="83"/>
      <c r="C4886" s="148"/>
      <c r="D4886" s="84"/>
      <c r="E4886" s="84"/>
      <c r="F4886" s="84"/>
      <c r="G4886" s="146"/>
      <c r="H4886" s="222"/>
    </row>
    <row r="4887" spans="1:8" s="212" customFormat="1">
      <c r="A4887" s="146"/>
      <c r="B4887" s="83"/>
      <c r="C4887" s="148"/>
      <c r="D4887" s="84"/>
      <c r="E4887" s="84"/>
      <c r="F4887" s="84"/>
      <c r="G4887" s="146"/>
      <c r="H4887" s="221"/>
    </row>
    <row r="4888" spans="1:8" s="212" customFormat="1">
      <c r="A4888" s="91"/>
      <c r="B4888" s="91"/>
      <c r="C4888" s="91"/>
      <c r="D4888" s="91"/>
      <c r="E4888" s="91"/>
      <c r="G4888" s="213"/>
      <c r="H4888" s="222"/>
    </row>
    <row r="4889" spans="1:8" s="212" customFormat="1">
      <c r="A4889" s="120"/>
      <c r="B4889" s="73"/>
      <c r="C4889" s="73"/>
      <c r="D4889" s="73"/>
      <c r="E4889" s="73"/>
      <c r="G4889" s="73"/>
      <c r="H4889" s="222"/>
    </row>
    <row r="4890" spans="1:8" s="212" customFormat="1">
      <c r="A4890" s="220"/>
      <c r="B4890" s="141"/>
      <c r="C4890" s="141"/>
      <c r="D4890" s="141"/>
      <c r="E4890" s="141"/>
      <c r="F4890" s="141"/>
      <c r="G4890" s="141"/>
      <c r="H4890" s="222"/>
    </row>
    <row r="4891" spans="1:8" s="212" customFormat="1">
      <c r="A4891" s="142"/>
      <c r="B4891" s="143"/>
      <c r="C4891" s="143"/>
      <c r="D4891" s="143"/>
      <c r="E4891" s="143"/>
      <c r="F4891" s="84"/>
      <c r="G4891" s="146"/>
      <c r="H4891" s="221"/>
    </row>
    <row r="4892" spans="1:8" s="212" customFormat="1">
      <c r="A4892" s="123"/>
      <c r="B4892" s="95"/>
      <c r="C4892" s="95"/>
      <c r="D4892" s="95"/>
      <c r="E4892" s="95"/>
      <c r="G4892" s="213"/>
      <c r="H4892" s="73"/>
    </row>
    <row r="4893" spans="1:8" s="212" customFormat="1">
      <c r="A4893" s="123"/>
      <c r="B4893" s="95"/>
      <c r="C4893" s="95"/>
      <c r="D4893" s="95"/>
      <c r="E4893" s="95"/>
      <c r="G4893" s="73"/>
      <c r="H4893" s="225"/>
    </row>
    <row r="4894" spans="1:8" s="212" customFormat="1">
      <c r="B4894" s="97"/>
      <c r="C4894" s="98"/>
      <c r="D4894" s="98"/>
      <c r="E4894" s="98"/>
      <c r="G4894" s="220"/>
    </row>
    <row r="4895" spans="1:8" s="212" customFormat="1">
      <c r="B4895" s="97"/>
      <c r="C4895" s="98"/>
      <c r="D4895" s="98"/>
      <c r="E4895" s="98"/>
      <c r="F4895" s="220"/>
      <c r="G4895" s="225"/>
      <c r="H4895" s="226"/>
    </row>
    <row r="4896" spans="1:8" s="212" customFormat="1">
      <c r="A4896" s="633"/>
      <c r="B4896" s="633"/>
      <c r="C4896" s="633"/>
      <c r="D4896" s="633"/>
      <c r="E4896" s="633"/>
      <c r="F4896" s="633"/>
      <c r="G4896" s="633"/>
    </row>
    <row r="4897" spans="1:9" s="212" customFormat="1">
      <c r="H4897" s="227"/>
      <c r="I4897" s="228"/>
    </row>
    <row r="4898" spans="1:9" s="212" customFormat="1">
      <c r="A4898" s="658"/>
      <c r="B4898" s="227"/>
      <c r="C4898" s="227"/>
      <c r="D4898" s="227"/>
      <c r="E4898" s="227"/>
      <c r="F4898" s="227"/>
      <c r="G4898" s="227"/>
      <c r="H4898" s="227"/>
      <c r="I4898" s="229"/>
    </row>
    <row r="4899" spans="1:9" s="212" customFormat="1">
      <c r="A4899" s="658"/>
      <c r="B4899" s="227"/>
      <c r="C4899" s="227"/>
      <c r="D4899" s="227"/>
      <c r="E4899" s="227"/>
      <c r="F4899" s="227"/>
      <c r="G4899" s="227"/>
    </row>
    <row r="4900" spans="1:9" s="212" customFormat="1">
      <c r="A4900" s="69"/>
      <c r="B4900" s="69"/>
      <c r="C4900" s="69"/>
      <c r="D4900" s="69"/>
      <c r="E4900" s="69"/>
    </row>
    <row r="4901" spans="1:9" s="212" customFormat="1">
      <c r="A4901" s="120"/>
      <c r="B4901" s="73"/>
      <c r="C4901" s="73"/>
      <c r="D4901" s="73"/>
      <c r="E4901" s="73"/>
      <c r="F4901" s="73"/>
      <c r="G4901" s="73"/>
      <c r="H4901" s="73"/>
    </row>
    <row r="4902" spans="1:9" s="212" customFormat="1">
      <c r="A4902" s="220"/>
      <c r="B4902" s="141"/>
      <c r="C4902" s="141"/>
      <c r="D4902" s="141"/>
      <c r="E4902" s="141"/>
      <c r="F4902" s="141"/>
      <c r="G4902" s="141"/>
      <c r="H4902" s="73"/>
    </row>
    <row r="4903" spans="1:9" s="212" customFormat="1">
      <c r="A4903" s="150"/>
      <c r="B4903" s="83"/>
      <c r="C4903" s="148"/>
      <c r="D4903" s="84"/>
      <c r="E4903" s="84"/>
      <c r="F4903" s="84"/>
      <c r="G4903" s="224"/>
      <c r="H4903" s="221"/>
    </row>
    <row r="4904" spans="1:9" s="212" customFormat="1">
      <c r="A4904" s="84"/>
      <c r="B4904" s="83"/>
      <c r="C4904" s="84"/>
      <c r="D4904" s="84"/>
      <c r="E4904" s="84"/>
      <c r="G4904" s="213"/>
      <c r="H4904" s="222"/>
    </row>
    <row r="4905" spans="1:9" s="212" customFormat="1">
      <c r="A4905" s="120"/>
      <c r="B4905" s="73"/>
      <c r="C4905" s="73"/>
      <c r="D4905" s="73"/>
      <c r="E4905" s="73"/>
      <c r="G4905" s="73"/>
      <c r="H4905" s="222"/>
    </row>
    <row r="4906" spans="1:9" s="212" customFormat="1">
      <c r="A4906" s="220"/>
      <c r="B4906" s="141"/>
      <c r="C4906" s="141"/>
      <c r="D4906" s="141"/>
      <c r="E4906" s="141"/>
      <c r="F4906" s="141"/>
      <c r="G4906" s="141"/>
      <c r="H4906" s="222"/>
    </row>
    <row r="4907" spans="1:9" s="212" customFormat="1">
      <c r="A4907" s="150"/>
      <c r="B4907" s="83"/>
      <c r="C4907" s="148"/>
      <c r="D4907" s="84"/>
      <c r="E4907" s="84"/>
      <c r="F4907" s="84"/>
      <c r="G4907" s="224"/>
      <c r="H4907" s="222"/>
    </row>
    <row r="4908" spans="1:9" s="212" customFormat="1">
      <c r="A4908" s="150"/>
      <c r="B4908" s="83"/>
      <c r="C4908" s="148"/>
      <c r="D4908" s="84"/>
      <c r="E4908" s="84"/>
      <c r="F4908" s="84"/>
      <c r="G4908" s="224"/>
      <c r="H4908" s="222"/>
    </row>
    <row r="4909" spans="1:9" s="212" customFormat="1">
      <c r="A4909" s="150"/>
      <c r="B4909" s="83"/>
      <c r="C4909" s="148"/>
      <c r="D4909" s="84"/>
      <c r="E4909" s="84"/>
      <c r="F4909" s="84"/>
      <c r="G4909" s="224"/>
      <c r="H4909" s="221"/>
    </row>
    <row r="4910" spans="1:9" s="212" customFormat="1">
      <c r="A4910" s="91"/>
      <c r="B4910" s="91"/>
      <c r="C4910" s="91"/>
      <c r="D4910" s="91"/>
      <c r="E4910" s="91"/>
      <c r="G4910" s="213"/>
      <c r="H4910" s="222"/>
    </row>
    <row r="4911" spans="1:9" s="212" customFormat="1">
      <c r="A4911" s="120"/>
      <c r="B4911" s="73"/>
      <c r="C4911" s="73"/>
      <c r="D4911" s="73"/>
      <c r="E4911" s="73"/>
      <c r="G4911" s="73"/>
      <c r="H4911" s="222"/>
    </row>
    <row r="4912" spans="1:9" s="212" customFormat="1">
      <c r="A4912" s="220"/>
      <c r="B4912" s="141"/>
      <c r="C4912" s="141"/>
      <c r="D4912" s="141"/>
      <c r="E4912" s="141"/>
      <c r="F4912" s="141"/>
      <c r="G4912" s="141"/>
      <c r="H4912" s="222"/>
    </row>
    <row r="4913" spans="1:9" s="212" customFormat="1">
      <c r="A4913" s="146"/>
      <c r="B4913" s="83"/>
      <c r="C4913" s="148"/>
      <c r="D4913" s="84"/>
      <c r="E4913" s="84"/>
      <c r="F4913" s="84"/>
      <c r="G4913" s="146"/>
      <c r="H4913" s="222"/>
    </row>
    <row r="4914" spans="1:9" s="212" customFormat="1">
      <c r="A4914" s="146"/>
      <c r="B4914" s="83"/>
      <c r="C4914" s="148"/>
      <c r="D4914" s="84"/>
      <c r="E4914" s="84"/>
      <c r="F4914" s="84"/>
      <c r="G4914" s="146"/>
      <c r="H4914" s="221"/>
    </row>
    <row r="4915" spans="1:9" s="212" customFormat="1">
      <c r="A4915" s="91"/>
      <c r="B4915" s="91"/>
      <c r="C4915" s="91"/>
      <c r="D4915" s="91"/>
      <c r="E4915" s="91"/>
      <c r="G4915" s="213"/>
      <c r="H4915" s="222"/>
    </row>
    <row r="4916" spans="1:9" s="212" customFormat="1">
      <c r="A4916" s="120"/>
      <c r="B4916" s="73"/>
      <c r="C4916" s="73"/>
      <c r="D4916" s="73"/>
      <c r="E4916" s="73"/>
      <c r="G4916" s="73"/>
      <c r="H4916" s="222"/>
    </row>
    <row r="4917" spans="1:9" s="212" customFormat="1">
      <c r="A4917" s="220"/>
      <c r="B4917" s="141"/>
      <c r="C4917" s="141"/>
      <c r="D4917" s="141"/>
      <c r="E4917" s="141"/>
      <c r="F4917" s="141"/>
      <c r="G4917" s="141"/>
      <c r="H4917" s="222"/>
    </row>
    <row r="4918" spans="1:9" s="212" customFormat="1">
      <c r="A4918" s="142"/>
      <c r="B4918" s="143"/>
      <c r="C4918" s="143"/>
      <c r="D4918" s="143"/>
      <c r="E4918" s="143"/>
      <c r="F4918" s="84"/>
      <c r="G4918" s="146"/>
      <c r="H4918" s="221"/>
    </row>
    <row r="4919" spans="1:9" s="212" customFormat="1">
      <c r="A4919" s="123"/>
      <c r="B4919" s="95"/>
      <c r="C4919" s="95"/>
      <c r="D4919" s="95"/>
      <c r="E4919" s="95"/>
      <c r="G4919" s="213"/>
      <c r="H4919" s="73"/>
    </row>
    <row r="4920" spans="1:9" s="212" customFormat="1">
      <c r="A4920" s="123"/>
      <c r="B4920" s="95"/>
      <c r="C4920" s="95"/>
      <c r="D4920" s="95"/>
      <c r="E4920" s="95"/>
      <c r="G4920" s="73"/>
      <c r="H4920" s="225"/>
    </row>
    <row r="4921" spans="1:9" s="212" customFormat="1">
      <c r="B4921" s="97"/>
      <c r="C4921" s="98"/>
      <c r="D4921" s="98"/>
      <c r="E4921" s="98"/>
      <c r="G4921" s="220"/>
    </row>
    <row r="4922" spans="1:9" s="212" customFormat="1">
      <c r="B4922" s="97"/>
      <c r="C4922" s="98"/>
      <c r="D4922" s="98"/>
      <c r="E4922" s="98"/>
      <c r="F4922" s="220"/>
      <c r="G4922" s="225"/>
      <c r="H4922" s="226"/>
    </row>
    <row r="4923" spans="1:9" s="212" customFormat="1">
      <c r="A4923" s="633"/>
      <c r="B4923" s="633"/>
      <c r="C4923" s="633"/>
      <c r="D4923" s="633"/>
      <c r="E4923" s="633"/>
      <c r="F4923" s="633"/>
      <c r="G4923" s="633"/>
    </row>
    <row r="4924" spans="1:9" s="212" customFormat="1">
      <c r="H4924" s="227"/>
      <c r="I4924" s="228"/>
    </row>
    <row r="4925" spans="1:9" s="212" customFormat="1">
      <c r="A4925" s="658"/>
      <c r="B4925" s="227"/>
      <c r="C4925" s="227"/>
      <c r="D4925" s="227"/>
      <c r="E4925" s="227"/>
      <c r="F4925" s="227"/>
      <c r="G4925" s="227"/>
      <c r="H4925" s="227"/>
      <c r="I4925" s="229"/>
    </row>
    <row r="4926" spans="1:9" s="212" customFormat="1">
      <c r="A4926" s="658"/>
      <c r="B4926" s="227"/>
      <c r="C4926" s="227"/>
      <c r="D4926" s="227"/>
      <c r="E4926" s="227"/>
      <c r="F4926" s="227"/>
      <c r="G4926" s="227"/>
    </row>
    <row r="4927" spans="1:9" s="212" customFormat="1">
      <c r="A4927" s="69"/>
      <c r="B4927" s="69"/>
      <c r="C4927" s="69"/>
      <c r="D4927" s="69"/>
      <c r="E4927" s="69"/>
    </row>
    <row r="4928" spans="1:9" s="212" customFormat="1">
      <c r="A4928" s="120"/>
      <c r="B4928" s="73"/>
      <c r="C4928" s="73"/>
      <c r="D4928" s="73"/>
      <c r="E4928" s="73"/>
      <c r="F4928" s="73"/>
      <c r="G4928" s="73"/>
      <c r="H4928" s="73"/>
    </row>
    <row r="4929" spans="1:8" s="212" customFormat="1">
      <c r="A4929" s="220"/>
      <c r="B4929" s="141"/>
      <c r="C4929" s="141"/>
      <c r="D4929" s="141"/>
      <c r="E4929" s="141"/>
      <c r="F4929" s="141"/>
      <c r="G4929" s="141"/>
      <c r="H4929" s="73"/>
    </row>
    <row r="4930" spans="1:8" s="212" customFormat="1">
      <c r="A4930" s="150"/>
      <c r="B4930" s="83"/>
      <c r="C4930" s="148"/>
      <c r="D4930" s="84"/>
      <c r="E4930" s="84"/>
      <c r="F4930" s="84"/>
      <c r="G4930" s="224"/>
      <c r="H4930" s="221"/>
    </row>
    <row r="4931" spans="1:8" s="212" customFormat="1">
      <c r="A4931" s="84"/>
      <c r="B4931" s="83"/>
      <c r="C4931" s="84"/>
      <c r="D4931" s="84"/>
      <c r="E4931" s="84"/>
      <c r="G4931" s="213"/>
      <c r="H4931" s="222"/>
    </row>
    <row r="4932" spans="1:8" s="212" customFormat="1">
      <c r="A4932" s="120"/>
      <c r="B4932" s="73"/>
      <c r="C4932" s="73"/>
      <c r="D4932" s="73"/>
      <c r="E4932" s="73"/>
      <c r="G4932" s="73"/>
      <c r="H4932" s="222"/>
    </row>
    <row r="4933" spans="1:8" s="212" customFormat="1">
      <c r="A4933" s="220"/>
      <c r="B4933" s="141"/>
      <c r="C4933" s="141"/>
      <c r="D4933" s="141"/>
      <c r="E4933" s="141"/>
      <c r="F4933" s="141"/>
      <c r="G4933" s="141"/>
      <c r="H4933" s="222"/>
    </row>
    <row r="4934" spans="1:8" s="212" customFormat="1">
      <c r="A4934" s="150"/>
      <c r="B4934" s="83"/>
      <c r="C4934" s="148"/>
      <c r="D4934" s="84"/>
      <c r="E4934" s="84"/>
      <c r="F4934" s="84"/>
      <c r="G4934" s="224"/>
      <c r="H4934" s="222"/>
    </row>
    <row r="4935" spans="1:8" s="212" customFormat="1">
      <c r="A4935" s="150"/>
      <c r="B4935" s="83"/>
      <c r="C4935" s="148"/>
      <c r="D4935" s="84"/>
      <c r="E4935" s="84"/>
      <c r="F4935" s="84"/>
      <c r="G4935" s="224"/>
      <c r="H4935" s="221"/>
    </row>
    <row r="4936" spans="1:8" s="212" customFormat="1">
      <c r="A4936" s="91"/>
      <c r="B4936" s="91"/>
      <c r="C4936" s="91"/>
      <c r="D4936" s="91"/>
      <c r="E4936" s="91"/>
      <c r="G4936" s="213"/>
      <c r="H4936" s="222"/>
    </row>
    <row r="4937" spans="1:8" s="212" customFormat="1">
      <c r="A4937" s="120"/>
      <c r="B4937" s="73"/>
      <c r="C4937" s="73"/>
      <c r="D4937" s="73"/>
      <c r="E4937" s="73"/>
      <c r="G4937" s="73"/>
      <c r="H4937" s="222"/>
    </row>
    <row r="4938" spans="1:8" s="212" customFormat="1">
      <c r="A4938" s="220"/>
      <c r="B4938" s="141"/>
      <c r="C4938" s="141"/>
      <c r="D4938" s="141"/>
      <c r="E4938" s="141"/>
      <c r="F4938" s="141"/>
      <c r="G4938" s="141"/>
      <c r="H4938" s="222"/>
    </row>
    <row r="4939" spans="1:8" s="212" customFormat="1">
      <c r="A4939" s="146"/>
      <c r="B4939" s="83"/>
      <c r="C4939" s="148"/>
      <c r="D4939" s="84"/>
      <c r="E4939" s="84"/>
      <c r="F4939" s="84"/>
      <c r="G4939" s="146"/>
      <c r="H4939" s="222"/>
    </row>
    <row r="4940" spans="1:8" s="212" customFormat="1">
      <c r="A4940" s="146"/>
      <c r="B4940" s="83"/>
      <c r="C4940" s="148"/>
      <c r="D4940" s="84"/>
      <c r="E4940" s="84"/>
      <c r="F4940" s="84"/>
      <c r="G4940" s="146"/>
      <c r="H4940" s="221"/>
    </row>
    <row r="4941" spans="1:8" s="212" customFormat="1">
      <c r="A4941" s="91"/>
      <c r="B4941" s="91"/>
      <c r="C4941" s="91"/>
      <c r="D4941" s="91"/>
      <c r="E4941" s="91"/>
      <c r="G4941" s="213"/>
      <c r="H4941" s="222"/>
    </row>
    <row r="4942" spans="1:8" s="212" customFormat="1">
      <c r="A4942" s="120"/>
      <c r="B4942" s="73"/>
      <c r="C4942" s="73"/>
      <c r="D4942" s="73"/>
      <c r="E4942" s="73"/>
      <c r="G4942" s="73"/>
      <c r="H4942" s="222"/>
    </row>
    <row r="4943" spans="1:8" s="212" customFormat="1">
      <c r="A4943" s="220"/>
      <c r="B4943" s="141"/>
      <c r="C4943" s="141"/>
      <c r="D4943" s="141"/>
      <c r="E4943" s="141"/>
      <c r="F4943" s="141"/>
      <c r="G4943" s="141"/>
      <c r="H4943" s="222"/>
    </row>
    <row r="4944" spans="1:8" s="212" customFormat="1">
      <c r="A4944" s="142"/>
      <c r="B4944" s="143"/>
      <c r="C4944" s="143"/>
      <c r="D4944" s="143"/>
      <c r="E4944" s="143"/>
      <c r="F4944" s="84"/>
      <c r="G4944" s="146"/>
      <c r="H4944" s="221"/>
    </row>
    <row r="4945" spans="1:9" s="212" customFormat="1">
      <c r="A4945" s="123"/>
      <c r="B4945" s="95"/>
      <c r="C4945" s="95"/>
      <c r="D4945" s="95"/>
      <c r="E4945" s="95"/>
      <c r="G4945" s="213"/>
      <c r="H4945" s="73"/>
    </row>
    <row r="4946" spans="1:9" s="212" customFormat="1">
      <c r="A4946" s="123"/>
      <c r="B4946" s="95"/>
      <c r="C4946" s="95"/>
      <c r="D4946" s="95"/>
      <c r="E4946" s="95"/>
      <c r="G4946" s="73"/>
      <c r="H4946" s="225"/>
    </row>
    <row r="4947" spans="1:9" s="212" customFormat="1">
      <c r="B4947" s="97"/>
      <c r="C4947" s="98"/>
      <c r="D4947" s="98"/>
      <c r="E4947" s="98"/>
      <c r="G4947" s="220"/>
    </row>
    <row r="4948" spans="1:9" s="212" customFormat="1">
      <c r="B4948" s="97"/>
      <c r="C4948" s="98"/>
      <c r="D4948" s="98"/>
      <c r="E4948" s="98"/>
      <c r="F4948" s="220"/>
      <c r="G4948" s="225"/>
      <c r="H4948" s="226"/>
    </row>
    <row r="4949" spans="1:9" s="212" customFormat="1">
      <c r="A4949" s="633"/>
      <c r="B4949" s="633"/>
      <c r="C4949" s="633"/>
      <c r="D4949" s="633"/>
      <c r="E4949" s="633"/>
      <c r="F4949" s="633"/>
      <c r="G4949" s="633"/>
    </row>
    <row r="4950" spans="1:9" s="212" customFormat="1">
      <c r="H4950" s="227"/>
      <c r="I4950" s="228"/>
    </row>
    <row r="4951" spans="1:9" s="212" customFormat="1">
      <c r="A4951" s="658"/>
      <c r="B4951" s="227"/>
      <c r="C4951" s="227"/>
      <c r="D4951" s="227"/>
      <c r="E4951" s="227"/>
      <c r="F4951" s="227"/>
      <c r="G4951" s="227"/>
      <c r="H4951" s="227"/>
      <c r="I4951" s="229"/>
    </row>
    <row r="4952" spans="1:9" s="212" customFormat="1">
      <c r="A4952" s="658"/>
      <c r="B4952" s="227"/>
      <c r="C4952" s="227"/>
      <c r="D4952" s="227"/>
      <c r="E4952" s="227"/>
      <c r="F4952" s="227"/>
      <c r="G4952" s="227"/>
    </row>
    <row r="4953" spans="1:9" s="212" customFormat="1">
      <c r="A4953" s="69"/>
      <c r="B4953" s="69"/>
      <c r="C4953" s="69"/>
      <c r="D4953" s="69"/>
      <c r="E4953" s="69"/>
    </row>
    <row r="4954" spans="1:9" s="212" customFormat="1">
      <c r="A4954" s="120"/>
      <c r="B4954" s="73"/>
      <c r="C4954" s="73"/>
      <c r="D4954" s="73"/>
      <c r="E4954" s="73"/>
      <c r="F4954" s="73"/>
      <c r="G4954" s="73"/>
      <c r="H4954" s="73"/>
    </row>
    <row r="4955" spans="1:9" s="212" customFormat="1">
      <c r="A4955" s="220"/>
      <c r="B4955" s="141"/>
      <c r="C4955" s="141"/>
      <c r="D4955" s="141"/>
      <c r="E4955" s="141"/>
      <c r="F4955" s="141"/>
      <c r="G4955" s="141"/>
      <c r="H4955" s="73"/>
    </row>
    <row r="4956" spans="1:9" s="212" customFormat="1">
      <c r="A4956" s="142"/>
      <c r="B4956" s="143"/>
      <c r="C4956" s="143"/>
      <c r="D4956" s="143"/>
      <c r="E4956" s="143"/>
      <c r="F4956" s="84"/>
      <c r="G4956" s="146"/>
      <c r="H4956" s="221"/>
    </row>
    <row r="4957" spans="1:9" s="212" customFormat="1">
      <c r="A4957" s="84"/>
      <c r="B4957" s="83"/>
      <c r="C4957" s="84"/>
      <c r="D4957" s="84"/>
      <c r="E4957" s="84"/>
      <c r="G4957" s="213"/>
      <c r="H4957" s="222"/>
    </row>
    <row r="4958" spans="1:9" s="212" customFormat="1">
      <c r="A4958" s="120"/>
      <c r="B4958" s="73"/>
      <c r="C4958" s="73"/>
      <c r="D4958" s="73"/>
      <c r="E4958" s="73"/>
      <c r="G4958" s="73"/>
      <c r="H4958" s="222"/>
    </row>
    <row r="4959" spans="1:9" s="212" customFormat="1">
      <c r="A4959" s="220"/>
      <c r="B4959" s="141"/>
      <c r="C4959" s="141"/>
      <c r="D4959" s="141"/>
      <c r="E4959" s="141"/>
      <c r="F4959" s="141"/>
      <c r="G4959" s="141"/>
      <c r="H4959" s="222"/>
    </row>
    <row r="4960" spans="1:9" s="212" customFormat="1">
      <c r="A4960" s="150"/>
      <c r="B4960" s="83"/>
      <c r="C4960" s="148"/>
      <c r="D4960" s="84"/>
      <c r="E4960" s="84"/>
      <c r="F4960" s="84"/>
      <c r="G4960" s="224"/>
      <c r="H4960" s="221"/>
    </row>
    <row r="4961" spans="1:9" s="212" customFormat="1">
      <c r="A4961" s="91"/>
      <c r="B4961" s="91"/>
      <c r="C4961" s="91"/>
      <c r="D4961" s="91"/>
      <c r="E4961" s="91"/>
      <c r="G4961" s="213"/>
      <c r="H4961" s="222"/>
    </row>
    <row r="4962" spans="1:9" s="212" customFormat="1">
      <c r="A4962" s="120"/>
      <c r="B4962" s="73"/>
      <c r="C4962" s="73"/>
      <c r="D4962" s="73"/>
      <c r="E4962" s="73"/>
      <c r="G4962" s="73"/>
      <c r="H4962" s="222"/>
    </row>
    <row r="4963" spans="1:9" s="212" customFormat="1">
      <c r="A4963" s="220"/>
      <c r="B4963" s="141"/>
      <c r="C4963" s="141"/>
      <c r="D4963" s="141"/>
      <c r="E4963" s="141"/>
      <c r="F4963" s="141"/>
      <c r="G4963" s="141"/>
      <c r="H4963" s="222"/>
    </row>
    <row r="4964" spans="1:9" s="212" customFormat="1">
      <c r="A4964" s="146"/>
      <c r="B4964" s="83"/>
      <c r="C4964" s="148"/>
      <c r="D4964" s="84"/>
      <c r="E4964" s="84"/>
      <c r="F4964" s="84"/>
      <c r="G4964" s="146"/>
      <c r="H4964" s="221"/>
    </row>
    <row r="4965" spans="1:9" s="212" customFormat="1">
      <c r="A4965" s="91"/>
      <c r="B4965" s="91"/>
      <c r="C4965" s="91"/>
      <c r="D4965" s="91"/>
      <c r="E4965" s="91"/>
      <c r="G4965" s="213"/>
      <c r="H4965" s="222"/>
    </row>
    <row r="4966" spans="1:9" s="212" customFormat="1">
      <c r="A4966" s="120"/>
      <c r="B4966" s="73"/>
      <c r="C4966" s="73"/>
      <c r="D4966" s="73"/>
      <c r="E4966" s="73"/>
      <c r="G4966" s="73"/>
      <c r="H4966" s="222"/>
    </row>
    <row r="4967" spans="1:9" s="212" customFormat="1">
      <c r="A4967" s="220"/>
      <c r="B4967" s="141"/>
      <c r="C4967" s="141"/>
      <c r="D4967" s="141"/>
      <c r="E4967" s="141"/>
      <c r="F4967" s="141"/>
      <c r="G4967" s="141"/>
      <c r="H4967" s="222"/>
    </row>
    <row r="4968" spans="1:9" s="212" customFormat="1">
      <c r="A4968" s="142"/>
      <c r="B4968" s="143"/>
      <c r="C4968" s="143"/>
      <c r="D4968" s="143"/>
      <c r="E4968" s="143"/>
      <c r="F4968" s="84"/>
      <c r="G4968" s="146"/>
      <c r="H4968" s="221"/>
    </row>
    <row r="4969" spans="1:9" s="212" customFormat="1">
      <c r="A4969" s="123"/>
      <c r="B4969" s="95"/>
      <c r="C4969" s="95"/>
      <c r="D4969" s="95"/>
      <c r="E4969" s="95"/>
      <c r="G4969" s="213"/>
      <c r="H4969" s="73"/>
    </row>
    <row r="4970" spans="1:9" s="212" customFormat="1">
      <c r="A4970" s="123"/>
      <c r="B4970" s="95"/>
      <c r="C4970" s="95"/>
      <c r="D4970" s="95"/>
      <c r="E4970" s="95"/>
      <c r="G4970" s="73"/>
      <c r="H4970" s="225"/>
    </row>
    <row r="4971" spans="1:9" s="212" customFormat="1">
      <c r="B4971" s="97"/>
      <c r="C4971" s="98"/>
      <c r="D4971" s="98"/>
      <c r="E4971" s="98"/>
      <c r="G4971" s="220"/>
    </row>
    <row r="4972" spans="1:9" s="212" customFormat="1">
      <c r="B4972" s="97"/>
      <c r="C4972" s="98"/>
      <c r="D4972" s="98"/>
      <c r="E4972" s="98"/>
      <c r="F4972" s="220"/>
      <c r="G4972" s="225"/>
      <c r="H4972" s="226"/>
    </row>
    <row r="4973" spans="1:9" s="212" customFormat="1">
      <c r="A4973" s="633"/>
      <c r="B4973" s="633"/>
      <c r="C4973" s="633"/>
      <c r="D4973" s="633"/>
      <c r="E4973" s="633"/>
      <c r="F4973" s="633"/>
      <c r="G4973" s="633"/>
    </row>
    <row r="4974" spans="1:9" s="212" customFormat="1">
      <c r="H4974" s="227"/>
      <c r="I4974" s="228"/>
    </row>
    <row r="4975" spans="1:9" s="212" customFormat="1">
      <c r="A4975" s="658"/>
      <c r="B4975" s="227"/>
      <c r="C4975" s="227"/>
      <c r="D4975" s="227"/>
      <c r="E4975" s="227"/>
      <c r="F4975" s="227"/>
      <c r="G4975" s="227"/>
      <c r="H4975" s="227"/>
      <c r="I4975" s="229"/>
    </row>
    <row r="4976" spans="1:9" s="212" customFormat="1">
      <c r="A4976" s="658"/>
      <c r="B4976" s="227"/>
      <c r="C4976" s="227"/>
      <c r="D4976" s="227"/>
      <c r="E4976" s="227"/>
      <c r="F4976" s="227"/>
      <c r="G4976" s="227"/>
    </row>
    <row r="4977" spans="1:8" s="212" customFormat="1">
      <c r="A4977" s="69"/>
      <c r="B4977" s="69"/>
      <c r="C4977" s="69"/>
      <c r="D4977" s="69"/>
      <c r="E4977" s="69"/>
    </row>
    <row r="4978" spans="1:8" s="212" customFormat="1">
      <c r="A4978" s="120"/>
      <c r="B4978" s="73"/>
      <c r="C4978" s="73"/>
      <c r="D4978" s="73"/>
      <c r="E4978" s="73"/>
      <c r="F4978" s="73"/>
      <c r="G4978" s="73"/>
      <c r="H4978" s="73"/>
    </row>
    <row r="4979" spans="1:8" s="212" customFormat="1">
      <c r="A4979" s="220"/>
      <c r="B4979" s="141"/>
      <c r="C4979" s="141"/>
      <c r="D4979" s="141"/>
      <c r="E4979" s="141"/>
      <c r="F4979" s="141"/>
      <c r="G4979" s="141"/>
      <c r="H4979" s="73"/>
    </row>
    <row r="4980" spans="1:8" s="212" customFormat="1">
      <c r="A4980" s="150"/>
      <c r="B4980" s="83"/>
      <c r="C4980" s="148"/>
      <c r="D4980" s="84"/>
      <c r="E4980" s="84"/>
      <c r="F4980" s="84"/>
      <c r="G4980" s="224"/>
      <c r="H4980" s="73"/>
    </row>
    <row r="4981" spans="1:8" s="212" customFormat="1">
      <c r="A4981" s="150"/>
      <c r="B4981" s="83"/>
      <c r="C4981" s="148"/>
      <c r="D4981" s="84"/>
      <c r="E4981" s="84"/>
      <c r="F4981" s="84"/>
      <c r="G4981" s="224"/>
      <c r="H4981" s="73"/>
    </row>
    <row r="4982" spans="1:8" s="212" customFormat="1">
      <c r="A4982" s="150"/>
      <c r="B4982" s="83"/>
      <c r="C4982" s="148"/>
      <c r="D4982" s="84"/>
      <c r="E4982" s="84"/>
      <c r="F4982" s="84"/>
      <c r="G4982" s="224"/>
      <c r="H4982" s="73"/>
    </row>
    <row r="4983" spans="1:8" s="212" customFormat="1">
      <c r="A4983" s="150"/>
      <c r="B4983" s="83"/>
      <c r="C4983" s="148"/>
      <c r="D4983" s="84"/>
      <c r="E4983" s="84"/>
      <c r="F4983" s="84"/>
      <c r="G4983" s="224"/>
      <c r="H4983" s="221"/>
    </row>
    <row r="4984" spans="1:8" s="212" customFormat="1">
      <c r="A4984" s="84"/>
      <c r="B4984" s="83"/>
      <c r="C4984" s="84"/>
      <c r="D4984" s="84"/>
      <c r="E4984" s="84"/>
      <c r="G4984" s="213"/>
      <c r="H4984" s="222"/>
    </row>
    <row r="4985" spans="1:8" s="212" customFormat="1">
      <c r="A4985" s="120"/>
      <c r="B4985" s="73"/>
      <c r="C4985" s="73"/>
      <c r="D4985" s="73"/>
      <c r="E4985" s="73"/>
      <c r="G4985" s="73"/>
      <c r="H4985" s="222"/>
    </row>
    <row r="4986" spans="1:8" s="212" customFormat="1">
      <c r="A4986" s="220"/>
      <c r="B4986" s="141"/>
      <c r="C4986" s="141"/>
      <c r="D4986" s="141"/>
      <c r="E4986" s="141"/>
      <c r="F4986" s="141"/>
      <c r="G4986" s="141"/>
      <c r="H4986" s="222"/>
    </row>
    <row r="4987" spans="1:8" s="212" customFormat="1">
      <c r="A4987" s="150"/>
      <c r="B4987" s="83"/>
      <c r="C4987" s="148"/>
      <c r="D4987" s="84"/>
      <c r="E4987" s="84"/>
      <c r="F4987" s="84"/>
      <c r="G4987" s="224"/>
      <c r="H4987" s="221"/>
    </row>
    <row r="4988" spans="1:8" s="212" customFormat="1">
      <c r="A4988" s="91"/>
      <c r="B4988" s="91"/>
      <c r="C4988" s="91"/>
      <c r="D4988" s="91"/>
      <c r="E4988" s="91"/>
      <c r="G4988" s="213"/>
      <c r="H4988" s="222"/>
    </row>
    <row r="4989" spans="1:8" s="212" customFormat="1" ht="17.25" customHeight="1">
      <c r="A4989" s="120"/>
      <c r="B4989" s="73"/>
      <c r="C4989" s="73"/>
      <c r="D4989" s="73"/>
      <c r="E4989" s="73"/>
      <c r="G4989" s="73"/>
      <c r="H4989" s="222"/>
    </row>
    <row r="4990" spans="1:8" s="212" customFormat="1">
      <c r="A4990" s="220"/>
      <c r="B4990" s="141"/>
      <c r="C4990" s="141"/>
      <c r="D4990" s="141"/>
      <c r="E4990" s="141"/>
      <c r="F4990" s="141"/>
      <c r="G4990" s="141"/>
      <c r="H4990" s="222"/>
    </row>
    <row r="4991" spans="1:8" s="212" customFormat="1">
      <c r="A4991" s="146"/>
      <c r="B4991" s="83"/>
      <c r="C4991" s="148"/>
      <c r="D4991" s="84"/>
      <c r="E4991" s="84"/>
      <c r="F4991" s="84"/>
      <c r="G4991" s="146"/>
      <c r="H4991" s="221"/>
    </row>
    <row r="4992" spans="1:8" s="212" customFormat="1">
      <c r="A4992" s="91"/>
      <c r="B4992" s="91"/>
      <c r="C4992" s="91"/>
      <c r="D4992" s="91"/>
      <c r="E4992" s="91"/>
      <c r="G4992" s="213"/>
      <c r="H4992" s="222"/>
    </row>
    <row r="4993" spans="1:9" s="212" customFormat="1">
      <c r="A4993" s="120"/>
      <c r="B4993" s="73"/>
      <c r="C4993" s="73"/>
      <c r="D4993" s="73"/>
      <c r="E4993" s="73"/>
      <c r="G4993" s="73"/>
      <c r="H4993" s="222"/>
    </row>
    <row r="4994" spans="1:9" s="212" customFormat="1">
      <c r="A4994" s="220"/>
      <c r="B4994" s="141"/>
      <c r="C4994" s="141"/>
      <c r="D4994" s="141"/>
      <c r="E4994" s="141"/>
      <c r="F4994" s="141"/>
      <c r="G4994" s="141"/>
      <c r="H4994" s="222"/>
    </row>
    <row r="4995" spans="1:9" s="212" customFormat="1">
      <c r="A4995" s="142"/>
      <c r="B4995" s="143"/>
      <c r="C4995" s="143"/>
      <c r="D4995" s="143"/>
      <c r="E4995" s="143"/>
      <c r="F4995" s="84"/>
      <c r="G4995" s="146"/>
      <c r="H4995" s="221"/>
    </row>
    <row r="4996" spans="1:9" s="212" customFormat="1">
      <c r="A4996" s="123"/>
      <c r="B4996" s="95"/>
      <c r="C4996" s="95"/>
      <c r="D4996" s="95"/>
      <c r="E4996" s="95"/>
      <c r="G4996" s="213"/>
      <c r="H4996" s="73"/>
    </row>
    <row r="4997" spans="1:9" s="212" customFormat="1">
      <c r="A4997" s="123"/>
      <c r="B4997" s="95"/>
      <c r="C4997" s="95"/>
      <c r="D4997" s="95"/>
      <c r="E4997" s="95"/>
      <c r="G4997" s="73"/>
      <c r="H4997" s="225"/>
    </row>
    <row r="4998" spans="1:9" s="212" customFormat="1">
      <c r="B4998" s="97"/>
      <c r="C4998" s="98"/>
      <c r="D4998" s="98"/>
      <c r="E4998" s="98"/>
      <c r="G4998" s="220"/>
    </row>
    <row r="4999" spans="1:9" s="212" customFormat="1">
      <c r="B4999" s="97"/>
      <c r="C4999" s="98"/>
      <c r="D4999" s="98"/>
      <c r="E4999" s="98"/>
      <c r="F4999" s="220"/>
      <c r="G4999" s="225"/>
      <c r="H4999" s="226"/>
    </row>
    <row r="5000" spans="1:9" s="212" customFormat="1">
      <c r="A5000" s="633"/>
      <c r="B5000" s="633"/>
      <c r="C5000" s="633"/>
      <c r="D5000" s="633"/>
      <c r="E5000" s="633"/>
      <c r="F5000" s="633"/>
      <c r="G5000" s="633"/>
    </row>
    <row r="5001" spans="1:9" s="212" customFormat="1">
      <c r="H5001" s="227"/>
      <c r="I5001" s="228"/>
    </row>
    <row r="5002" spans="1:9" s="212" customFormat="1">
      <c r="A5002" s="658"/>
      <c r="B5002" s="227"/>
      <c r="C5002" s="227"/>
      <c r="D5002" s="227"/>
      <c r="E5002" s="227"/>
      <c r="F5002" s="227"/>
      <c r="G5002" s="227"/>
      <c r="H5002" s="227"/>
      <c r="I5002" s="229"/>
    </row>
    <row r="5003" spans="1:9" s="212" customFormat="1">
      <c r="A5003" s="658"/>
      <c r="B5003" s="227"/>
      <c r="C5003" s="227"/>
      <c r="D5003" s="227"/>
      <c r="E5003" s="227"/>
      <c r="F5003" s="227"/>
      <c r="G5003" s="227"/>
    </row>
    <row r="5004" spans="1:9" s="212" customFormat="1">
      <c r="A5004" s="69"/>
      <c r="B5004" s="69"/>
      <c r="C5004" s="69"/>
      <c r="D5004" s="69"/>
      <c r="E5004" s="69"/>
    </row>
    <row r="5005" spans="1:9" s="212" customFormat="1">
      <c r="A5005" s="120"/>
      <c r="B5005" s="73"/>
      <c r="C5005" s="73"/>
      <c r="D5005" s="73"/>
      <c r="E5005" s="73"/>
      <c r="F5005" s="73"/>
      <c r="G5005" s="73"/>
      <c r="H5005" s="73"/>
    </row>
    <row r="5006" spans="1:9" s="212" customFormat="1">
      <c r="A5006" s="220"/>
      <c r="B5006" s="141"/>
      <c r="C5006" s="141"/>
      <c r="D5006" s="141"/>
      <c r="E5006" s="141"/>
      <c r="F5006" s="141"/>
      <c r="G5006" s="141"/>
      <c r="H5006" s="73"/>
    </row>
    <row r="5007" spans="1:9" s="212" customFormat="1">
      <c r="A5007" s="150"/>
      <c r="B5007" s="83"/>
      <c r="C5007" s="148"/>
      <c r="D5007" s="84"/>
      <c r="E5007" s="84"/>
      <c r="F5007" s="84"/>
      <c r="G5007" s="224"/>
      <c r="H5007" s="73"/>
    </row>
    <row r="5008" spans="1:9" s="212" customFormat="1">
      <c r="A5008" s="150"/>
      <c r="B5008" s="83"/>
      <c r="C5008" s="148"/>
      <c r="D5008" s="84"/>
      <c r="E5008" s="84"/>
      <c r="F5008" s="84"/>
      <c r="G5008" s="224"/>
      <c r="H5008" s="73"/>
    </row>
    <row r="5009" spans="1:8" s="212" customFormat="1">
      <c r="A5009" s="150"/>
      <c r="B5009" s="83"/>
      <c r="C5009" s="148"/>
      <c r="D5009" s="84"/>
      <c r="E5009" s="84"/>
      <c r="F5009" s="84"/>
      <c r="G5009" s="224"/>
      <c r="H5009" s="73"/>
    </row>
    <row r="5010" spans="1:8" s="212" customFormat="1">
      <c r="A5010" s="150"/>
      <c r="B5010" s="83"/>
      <c r="C5010" s="148"/>
      <c r="D5010" s="84"/>
      <c r="E5010" s="84"/>
      <c r="F5010" s="84"/>
      <c r="G5010" s="224"/>
      <c r="H5010" s="221"/>
    </row>
    <row r="5011" spans="1:8" s="212" customFormat="1">
      <c r="A5011" s="84"/>
      <c r="B5011" s="83"/>
      <c r="C5011" s="84"/>
      <c r="D5011" s="84"/>
      <c r="E5011" s="84"/>
      <c r="G5011" s="213"/>
      <c r="H5011" s="222"/>
    </row>
    <row r="5012" spans="1:8" s="212" customFormat="1">
      <c r="A5012" s="120"/>
      <c r="B5012" s="73"/>
      <c r="C5012" s="73"/>
      <c r="D5012" s="73"/>
      <c r="E5012" s="73"/>
      <c r="G5012" s="73"/>
      <c r="H5012" s="222"/>
    </row>
    <row r="5013" spans="1:8" s="212" customFormat="1">
      <c r="A5013" s="220"/>
      <c r="B5013" s="141"/>
      <c r="C5013" s="141"/>
      <c r="D5013" s="141"/>
      <c r="E5013" s="141"/>
      <c r="F5013" s="141"/>
      <c r="G5013" s="141"/>
      <c r="H5013" s="222"/>
    </row>
    <row r="5014" spans="1:8" s="212" customFormat="1">
      <c r="A5014" s="150"/>
      <c r="B5014" s="83"/>
      <c r="C5014" s="148"/>
      <c r="D5014" s="84"/>
      <c r="E5014" s="84"/>
      <c r="F5014" s="84"/>
      <c r="G5014" s="224"/>
      <c r="H5014" s="221"/>
    </row>
    <row r="5015" spans="1:8" s="212" customFormat="1">
      <c r="A5015" s="91"/>
      <c r="B5015" s="91"/>
      <c r="C5015" s="91"/>
      <c r="D5015" s="91"/>
      <c r="E5015" s="91"/>
      <c r="G5015" s="213"/>
      <c r="H5015" s="222"/>
    </row>
    <row r="5016" spans="1:8" s="212" customFormat="1">
      <c r="A5016" s="120"/>
      <c r="B5016" s="73"/>
      <c r="C5016" s="73"/>
      <c r="D5016" s="73"/>
      <c r="E5016" s="73"/>
      <c r="G5016" s="73"/>
      <c r="H5016" s="222"/>
    </row>
    <row r="5017" spans="1:8" s="212" customFormat="1">
      <c r="A5017" s="220"/>
      <c r="B5017" s="141"/>
      <c r="C5017" s="141"/>
      <c r="D5017" s="141"/>
      <c r="E5017" s="141"/>
      <c r="F5017" s="141"/>
      <c r="G5017" s="141"/>
      <c r="H5017" s="222"/>
    </row>
    <row r="5018" spans="1:8" s="212" customFormat="1">
      <c r="A5018" s="146"/>
      <c r="B5018" s="83"/>
      <c r="C5018" s="148"/>
      <c r="D5018" s="84"/>
      <c r="E5018" s="84"/>
      <c r="F5018" s="84"/>
      <c r="G5018" s="146"/>
      <c r="H5018" s="221"/>
    </row>
    <row r="5019" spans="1:8" s="212" customFormat="1">
      <c r="A5019" s="91"/>
      <c r="B5019" s="91"/>
      <c r="C5019" s="91"/>
      <c r="D5019" s="91"/>
      <c r="E5019" s="91"/>
      <c r="G5019" s="213"/>
      <c r="H5019" s="222"/>
    </row>
    <row r="5020" spans="1:8" s="212" customFormat="1">
      <c r="A5020" s="120"/>
      <c r="B5020" s="73"/>
      <c r="C5020" s="73"/>
      <c r="D5020" s="73"/>
      <c r="E5020" s="73"/>
      <c r="G5020" s="73"/>
      <c r="H5020" s="222"/>
    </row>
    <row r="5021" spans="1:8" s="212" customFormat="1">
      <c r="A5021" s="220"/>
      <c r="B5021" s="141"/>
      <c r="C5021" s="141"/>
      <c r="D5021" s="141"/>
      <c r="E5021" s="141"/>
      <c r="F5021" s="141"/>
      <c r="G5021" s="141"/>
      <c r="H5021" s="222"/>
    </row>
    <row r="5022" spans="1:8" s="212" customFormat="1">
      <c r="A5022" s="142"/>
      <c r="B5022" s="143"/>
      <c r="C5022" s="143"/>
      <c r="D5022" s="143"/>
      <c r="E5022" s="143"/>
      <c r="F5022" s="84"/>
      <c r="G5022" s="146"/>
      <c r="H5022" s="221"/>
    </row>
    <row r="5023" spans="1:8" s="212" customFormat="1">
      <c r="A5023" s="123"/>
      <c r="B5023" s="95"/>
      <c r="C5023" s="95"/>
      <c r="D5023" s="95"/>
      <c r="E5023" s="95"/>
      <c r="G5023" s="213"/>
      <c r="H5023" s="73"/>
    </row>
    <row r="5024" spans="1:8" s="212" customFormat="1">
      <c r="A5024" s="123"/>
      <c r="B5024" s="95"/>
      <c r="C5024" s="95"/>
      <c r="D5024" s="95"/>
      <c r="E5024" s="95"/>
      <c r="G5024" s="73"/>
      <c r="H5024" s="225"/>
    </row>
    <row r="5025" spans="1:9" s="212" customFormat="1">
      <c r="B5025" s="97"/>
      <c r="C5025" s="98"/>
      <c r="D5025" s="98"/>
      <c r="E5025" s="98"/>
      <c r="G5025" s="220"/>
    </row>
    <row r="5026" spans="1:9" s="212" customFormat="1">
      <c r="B5026" s="97"/>
      <c r="C5026" s="98"/>
      <c r="D5026" s="98"/>
      <c r="E5026" s="98"/>
      <c r="F5026" s="220"/>
      <c r="G5026" s="225"/>
      <c r="H5026" s="226"/>
    </row>
    <row r="5027" spans="1:9" s="212" customFormat="1">
      <c r="A5027" s="633"/>
      <c r="B5027" s="633"/>
      <c r="C5027" s="633"/>
      <c r="D5027" s="633"/>
      <c r="E5027" s="633"/>
      <c r="F5027" s="633"/>
      <c r="G5027" s="633"/>
    </row>
    <row r="5028" spans="1:9" s="212" customFormat="1">
      <c r="H5028" s="227"/>
      <c r="I5028" s="228"/>
    </row>
    <row r="5029" spans="1:9" s="212" customFormat="1">
      <c r="A5029" s="658"/>
      <c r="B5029" s="227"/>
      <c r="C5029" s="227"/>
      <c r="D5029" s="227"/>
      <c r="E5029" s="227"/>
      <c r="F5029" s="227"/>
      <c r="G5029" s="227"/>
      <c r="H5029" s="227"/>
      <c r="I5029" s="229"/>
    </row>
    <row r="5030" spans="1:9" s="212" customFormat="1">
      <c r="A5030" s="658"/>
      <c r="B5030" s="227"/>
      <c r="C5030" s="227"/>
      <c r="D5030" s="227"/>
      <c r="E5030" s="227"/>
      <c r="F5030" s="227"/>
      <c r="G5030" s="227"/>
    </row>
    <row r="5031" spans="1:9" s="212" customFormat="1">
      <c r="A5031" s="69"/>
      <c r="B5031" s="69"/>
      <c r="C5031" s="69"/>
      <c r="D5031" s="69"/>
      <c r="E5031" s="69"/>
    </row>
    <row r="5032" spans="1:9" s="212" customFormat="1">
      <c r="A5032" s="120"/>
      <c r="B5032" s="73"/>
      <c r="C5032" s="73"/>
      <c r="D5032" s="73"/>
      <c r="E5032" s="73"/>
      <c r="F5032" s="73"/>
      <c r="G5032" s="73"/>
      <c r="H5032" s="73"/>
    </row>
    <row r="5033" spans="1:9" s="212" customFormat="1">
      <c r="A5033" s="220"/>
      <c r="B5033" s="141"/>
      <c r="C5033" s="141"/>
      <c r="D5033" s="141"/>
      <c r="E5033" s="141"/>
      <c r="F5033" s="141"/>
      <c r="G5033" s="141"/>
      <c r="H5033" s="73"/>
    </row>
    <row r="5034" spans="1:9" s="212" customFormat="1">
      <c r="A5034" s="150"/>
      <c r="B5034" s="83"/>
      <c r="C5034" s="148"/>
      <c r="D5034" s="84"/>
      <c r="E5034" s="84"/>
      <c r="F5034" s="84"/>
      <c r="G5034" s="224"/>
      <c r="H5034" s="73"/>
    </row>
    <row r="5035" spans="1:9" s="212" customFormat="1">
      <c r="A5035" s="150"/>
      <c r="B5035" s="83"/>
      <c r="C5035" s="148"/>
      <c r="D5035" s="84"/>
      <c r="E5035" s="84"/>
      <c r="F5035" s="84"/>
      <c r="G5035" s="224"/>
      <c r="H5035" s="221"/>
    </row>
    <row r="5036" spans="1:9" s="212" customFormat="1">
      <c r="A5036" s="84"/>
      <c r="B5036" s="83"/>
      <c r="C5036" s="84"/>
      <c r="D5036" s="84"/>
      <c r="E5036" s="84"/>
      <c r="G5036" s="213"/>
      <c r="H5036" s="222"/>
    </row>
    <row r="5037" spans="1:9" s="212" customFormat="1">
      <c r="A5037" s="120"/>
      <c r="B5037" s="73"/>
      <c r="C5037" s="73"/>
      <c r="D5037" s="73"/>
      <c r="E5037" s="73"/>
      <c r="G5037" s="73"/>
      <c r="H5037" s="222"/>
    </row>
    <row r="5038" spans="1:9" s="212" customFormat="1">
      <c r="A5038" s="220"/>
      <c r="B5038" s="141"/>
      <c r="C5038" s="141"/>
      <c r="D5038" s="141"/>
      <c r="E5038" s="141"/>
      <c r="F5038" s="141"/>
      <c r="G5038" s="141"/>
      <c r="H5038" s="222"/>
    </row>
    <row r="5039" spans="1:9" s="212" customFormat="1">
      <c r="A5039" s="150"/>
      <c r="B5039" s="83"/>
      <c r="C5039" s="148"/>
      <c r="D5039" s="84"/>
      <c r="E5039" s="84"/>
      <c r="F5039" s="84"/>
      <c r="G5039" s="224"/>
      <c r="H5039" s="221"/>
    </row>
    <row r="5040" spans="1:9" s="212" customFormat="1">
      <c r="A5040" s="91"/>
      <c r="B5040" s="91"/>
      <c r="C5040" s="91"/>
      <c r="D5040" s="91"/>
      <c r="E5040" s="91"/>
      <c r="G5040" s="213"/>
      <c r="H5040" s="222"/>
    </row>
    <row r="5041" spans="1:9" s="212" customFormat="1">
      <c r="A5041" s="120"/>
      <c r="B5041" s="73"/>
      <c r="C5041" s="73"/>
      <c r="D5041" s="73"/>
      <c r="E5041" s="73"/>
      <c r="G5041" s="73"/>
      <c r="H5041" s="222"/>
    </row>
    <row r="5042" spans="1:9" s="212" customFormat="1">
      <c r="A5042" s="220"/>
      <c r="B5042" s="141"/>
      <c r="C5042" s="141"/>
      <c r="D5042" s="141"/>
      <c r="E5042" s="141"/>
      <c r="F5042" s="141"/>
      <c r="G5042" s="141"/>
      <c r="H5042" s="222"/>
    </row>
    <row r="5043" spans="1:9" s="212" customFormat="1">
      <c r="A5043" s="146"/>
      <c r="B5043" s="83"/>
      <c r="C5043" s="148"/>
      <c r="D5043" s="84"/>
      <c r="E5043" s="84"/>
      <c r="F5043" s="84"/>
      <c r="G5043" s="146"/>
      <c r="H5043" s="221"/>
    </row>
    <row r="5044" spans="1:9" s="212" customFormat="1">
      <c r="A5044" s="91"/>
      <c r="B5044" s="91"/>
      <c r="C5044" s="91"/>
      <c r="D5044" s="91"/>
      <c r="E5044" s="91"/>
      <c r="G5044" s="213"/>
      <c r="H5044" s="222"/>
    </row>
    <row r="5045" spans="1:9" s="212" customFormat="1">
      <c r="A5045" s="120"/>
      <c r="B5045" s="73"/>
      <c r="C5045" s="73"/>
      <c r="D5045" s="73"/>
      <c r="E5045" s="73"/>
      <c r="G5045" s="73"/>
      <c r="H5045" s="222"/>
    </row>
    <row r="5046" spans="1:9" s="212" customFormat="1">
      <c r="A5046" s="220"/>
      <c r="B5046" s="141"/>
      <c r="C5046" s="141"/>
      <c r="D5046" s="141"/>
      <c r="E5046" s="141"/>
      <c r="F5046" s="141"/>
      <c r="G5046" s="141"/>
      <c r="H5046" s="222"/>
    </row>
    <row r="5047" spans="1:9" s="212" customFormat="1">
      <c r="A5047" s="142"/>
      <c r="B5047" s="143"/>
      <c r="C5047" s="143"/>
      <c r="D5047" s="143"/>
      <c r="E5047" s="143"/>
      <c r="F5047" s="84"/>
      <c r="G5047" s="146"/>
      <c r="H5047" s="221"/>
    </row>
    <row r="5048" spans="1:9" s="212" customFormat="1">
      <c r="A5048" s="123"/>
      <c r="B5048" s="95"/>
      <c r="C5048" s="95"/>
      <c r="D5048" s="95"/>
      <c r="E5048" s="95"/>
      <c r="G5048" s="213"/>
      <c r="H5048" s="73"/>
    </row>
    <row r="5049" spans="1:9" s="212" customFormat="1">
      <c r="A5049" s="123"/>
      <c r="B5049" s="95"/>
      <c r="C5049" s="95"/>
      <c r="D5049" s="95"/>
      <c r="E5049" s="95"/>
      <c r="G5049" s="73"/>
      <c r="H5049" s="225"/>
    </row>
    <row r="5050" spans="1:9" s="212" customFormat="1">
      <c r="B5050" s="97"/>
      <c r="C5050" s="98"/>
      <c r="D5050" s="98"/>
      <c r="E5050" s="98"/>
      <c r="G5050" s="220"/>
    </row>
    <row r="5051" spans="1:9" s="212" customFormat="1">
      <c r="B5051" s="97"/>
      <c r="C5051" s="98"/>
      <c r="D5051" s="98"/>
      <c r="E5051" s="98"/>
      <c r="F5051" s="220"/>
      <c r="G5051" s="225"/>
      <c r="H5051" s="226"/>
    </row>
    <row r="5052" spans="1:9" s="212" customFormat="1">
      <c r="A5052" s="633"/>
      <c r="B5052" s="633"/>
      <c r="C5052" s="633"/>
      <c r="D5052" s="633"/>
      <c r="E5052" s="633"/>
      <c r="F5052" s="633"/>
      <c r="G5052" s="633"/>
    </row>
    <row r="5053" spans="1:9" s="212" customFormat="1">
      <c r="H5053" s="227"/>
      <c r="I5053" s="228"/>
    </row>
    <row r="5054" spans="1:9" s="212" customFormat="1">
      <c r="A5054" s="658"/>
      <c r="B5054" s="227"/>
      <c r="C5054" s="227"/>
      <c r="D5054" s="227"/>
      <c r="E5054" s="227"/>
      <c r="F5054" s="227"/>
      <c r="G5054" s="227"/>
      <c r="H5054" s="227"/>
      <c r="I5054" s="229"/>
    </row>
    <row r="5055" spans="1:9" s="212" customFormat="1">
      <c r="A5055" s="658"/>
      <c r="B5055" s="227"/>
      <c r="C5055" s="227"/>
      <c r="D5055" s="227"/>
      <c r="E5055" s="227"/>
      <c r="F5055" s="227"/>
      <c r="G5055" s="227"/>
    </row>
    <row r="5056" spans="1:9" s="212" customFormat="1">
      <c r="A5056" s="69"/>
      <c r="B5056" s="69"/>
      <c r="C5056" s="69"/>
      <c r="D5056" s="69"/>
      <c r="E5056" s="69"/>
    </row>
    <row r="5057" spans="1:8" s="212" customFormat="1">
      <c r="A5057" s="120"/>
      <c r="B5057" s="73"/>
      <c r="C5057" s="73"/>
      <c r="D5057" s="73"/>
      <c r="E5057" s="73"/>
      <c r="F5057" s="73"/>
      <c r="G5057" s="73"/>
      <c r="H5057" s="73"/>
    </row>
    <row r="5058" spans="1:8" s="212" customFormat="1">
      <c r="A5058" s="220"/>
      <c r="B5058" s="141"/>
      <c r="C5058" s="141"/>
      <c r="D5058" s="141"/>
      <c r="E5058" s="141"/>
      <c r="F5058" s="141"/>
      <c r="G5058" s="141"/>
      <c r="H5058" s="73"/>
    </row>
    <row r="5059" spans="1:8" s="212" customFormat="1">
      <c r="A5059" s="150"/>
      <c r="B5059" s="83"/>
      <c r="C5059" s="148"/>
      <c r="D5059" s="84"/>
      <c r="E5059" s="84"/>
      <c r="F5059" s="84"/>
      <c r="G5059" s="224"/>
      <c r="H5059" s="73"/>
    </row>
    <row r="5060" spans="1:8" s="212" customFormat="1">
      <c r="A5060" s="150"/>
      <c r="B5060" s="83"/>
      <c r="C5060" s="148"/>
      <c r="D5060" s="84"/>
      <c r="E5060" s="84"/>
      <c r="F5060" s="84"/>
      <c r="G5060" s="224"/>
      <c r="H5060" s="73"/>
    </row>
    <row r="5061" spans="1:8" s="212" customFormat="1">
      <c r="A5061" s="150"/>
      <c r="B5061" s="83"/>
      <c r="C5061" s="148"/>
      <c r="D5061" s="84"/>
      <c r="E5061" s="84"/>
      <c r="F5061" s="84"/>
      <c r="G5061" s="224"/>
      <c r="H5061" s="73"/>
    </row>
    <row r="5062" spans="1:8" s="212" customFormat="1">
      <c r="A5062" s="150"/>
      <c r="B5062" s="83"/>
      <c r="C5062" s="148"/>
      <c r="D5062" s="84"/>
      <c r="E5062" s="84"/>
      <c r="F5062" s="84"/>
      <c r="G5062" s="224"/>
      <c r="H5062" s="221"/>
    </row>
    <row r="5063" spans="1:8" s="212" customFormat="1">
      <c r="A5063" s="84"/>
      <c r="B5063" s="83"/>
      <c r="C5063" s="84"/>
      <c r="D5063" s="84"/>
      <c r="E5063" s="84"/>
      <c r="G5063" s="213"/>
      <c r="H5063" s="222"/>
    </row>
    <row r="5064" spans="1:8" s="212" customFormat="1">
      <c r="A5064" s="120"/>
      <c r="B5064" s="73"/>
      <c r="C5064" s="73"/>
      <c r="D5064" s="73"/>
      <c r="E5064" s="73"/>
      <c r="G5064" s="73"/>
      <c r="H5064" s="222"/>
    </row>
    <row r="5065" spans="1:8" s="212" customFormat="1">
      <c r="A5065" s="220"/>
      <c r="B5065" s="141"/>
      <c r="C5065" s="141"/>
      <c r="D5065" s="141"/>
      <c r="E5065" s="141"/>
      <c r="F5065" s="141"/>
      <c r="G5065" s="141"/>
      <c r="H5065" s="222"/>
    </row>
    <row r="5066" spans="1:8" s="212" customFormat="1">
      <c r="A5066" s="150"/>
      <c r="B5066" s="83"/>
      <c r="C5066" s="148"/>
      <c r="D5066" s="84"/>
      <c r="E5066" s="84"/>
      <c r="F5066" s="84"/>
      <c r="G5066" s="224"/>
      <c r="H5066" s="221"/>
    </row>
    <row r="5067" spans="1:8" s="212" customFormat="1">
      <c r="A5067" s="91"/>
      <c r="B5067" s="91"/>
      <c r="C5067" s="91"/>
      <c r="D5067" s="91"/>
      <c r="E5067" s="91"/>
      <c r="G5067" s="213"/>
      <c r="H5067" s="222"/>
    </row>
    <row r="5068" spans="1:8" s="212" customFormat="1">
      <c r="A5068" s="120"/>
      <c r="B5068" s="73"/>
      <c r="C5068" s="73"/>
      <c r="D5068" s="73"/>
      <c r="E5068" s="73"/>
      <c r="G5068" s="73"/>
      <c r="H5068" s="222"/>
    </row>
    <row r="5069" spans="1:8" s="212" customFormat="1">
      <c r="A5069" s="220"/>
      <c r="B5069" s="141"/>
      <c r="C5069" s="141"/>
      <c r="D5069" s="141"/>
      <c r="E5069" s="141"/>
      <c r="F5069" s="141"/>
      <c r="G5069" s="141"/>
      <c r="H5069" s="222"/>
    </row>
    <row r="5070" spans="1:8" s="212" customFormat="1">
      <c r="A5070" s="146"/>
      <c r="B5070" s="83"/>
      <c r="C5070" s="148"/>
      <c r="D5070" s="84"/>
      <c r="E5070" s="84"/>
      <c r="F5070" s="84"/>
      <c r="G5070" s="146"/>
      <c r="H5070" s="221"/>
    </row>
    <row r="5071" spans="1:8" s="212" customFormat="1">
      <c r="A5071" s="91"/>
      <c r="B5071" s="91"/>
      <c r="C5071" s="91"/>
      <c r="D5071" s="91"/>
      <c r="E5071" s="91"/>
      <c r="G5071" s="213"/>
      <c r="H5071" s="222"/>
    </row>
    <row r="5072" spans="1:8" s="212" customFormat="1">
      <c r="A5072" s="120"/>
      <c r="B5072" s="73"/>
      <c r="C5072" s="73"/>
      <c r="D5072" s="73"/>
      <c r="E5072" s="73"/>
      <c r="G5072" s="73"/>
      <c r="H5072" s="222"/>
    </row>
    <row r="5073" spans="1:9" s="212" customFormat="1">
      <c r="A5073" s="220"/>
      <c r="B5073" s="141"/>
      <c r="C5073" s="141"/>
      <c r="D5073" s="141"/>
      <c r="E5073" s="141"/>
      <c r="F5073" s="141"/>
      <c r="G5073" s="141"/>
      <c r="H5073" s="222"/>
    </row>
    <row r="5074" spans="1:9" s="212" customFormat="1">
      <c r="A5074" s="142"/>
      <c r="B5074" s="143"/>
      <c r="C5074" s="143"/>
      <c r="D5074" s="143"/>
      <c r="E5074" s="143"/>
      <c r="F5074" s="84"/>
      <c r="G5074" s="146"/>
      <c r="H5074" s="221"/>
    </row>
    <row r="5075" spans="1:9" s="212" customFormat="1">
      <c r="A5075" s="123"/>
      <c r="B5075" s="95"/>
      <c r="C5075" s="95"/>
      <c r="D5075" s="95"/>
      <c r="E5075" s="95"/>
      <c r="G5075" s="213"/>
      <c r="H5075" s="73"/>
    </row>
    <row r="5076" spans="1:9" s="212" customFormat="1">
      <c r="A5076" s="123"/>
      <c r="B5076" s="95"/>
      <c r="C5076" s="95"/>
      <c r="D5076" s="95"/>
      <c r="E5076" s="95"/>
      <c r="G5076" s="73"/>
      <c r="H5076" s="225"/>
    </row>
    <row r="5077" spans="1:9" s="212" customFormat="1">
      <c r="B5077" s="97"/>
      <c r="C5077" s="98"/>
      <c r="D5077" s="98"/>
      <c r="E5077" s="98"/>
      <c r="G5077" s="220"/>
    </row>
    <row r="5078" spans="1:9" s="212" customFormat="1">
      <c r="B5078" s="97"/>
      <c r="C5078" s="98"/>
      <c r="D5078" s="98"/>
      <c r="E5078" s="98"/>
      <c r="F5078" s="220"/>
      <c r="G5078" s="225"/>
      <c r="H5078" s="226"/>
    </row>
    <row r="5079" spans="1:9" s="212" customFormat="1">
      <c r="A5079" s="633"/>
      <c r="B5079" s="633"/>
      <c r="C5079" s="633"/>
      <c r="D5079" s="633"/>
      <c r="E5079" s="633"/>
      <c r="F5079" s="633"/>
      <c r="G5079" s="633"/>
    </row>
    <row r="5080" spans="1:9" s="212" customFormat="1">
      <c r="H5080" s="227"/>
      <c r="I5080" s="228"/>
    </row>
    <row r="5081" spans="1:9" s="212" customFormat="1">
      <c r="A5081" s="658"/>
      <c r="B5081" s="227"/>
      <c r="C5081" s="227"/>
      <c r="D5081" s="227"/>
      <c r="E5081" s="227"/>
      <c r="F5081" s="227"/>
      <c r="G5081" s="227"/>
      <c r="H5081" s="227"/>
      <c r="I5081" s="229"/>
    </row>
    <row r="5082" spans="1:9" s="212" customFormat="1">
      <c r="A5082" s="658"/>
      <c r="B5082" s="227"/>
      <c r="C5082" s="227"/>
      <c r="D5082" s="227"/>
      <c r="E5082" s="227"/>
      <c r="F5082" s="227"/>
      <c r="G5082" s="227"/>
    </row>
    <row r="5083" spans="1:9" s="212" customFormat="1">
      <c r="A5083" s="69"/>
      <c r="B5083" s="69"/>
      <c r="C5083" s="69"/>
      <c r="D5083" s="69"/>
      <c r="E5083" s="69"/>
    </row>
    <row r="5084" spans="1:9" s="212" customFormat="1">
      <c r="A5084" s="120"/>
      <c r="B5084" s="73"/>
      <c r="C5084" s="73"/>
      <c r="D5084" s="73"/>
      <c r="E5084" s="73"/>
      <c r="F5084" s="73"/>
      <c r="G5084" s="73"/>
      <c r="H5084" s="73"/>
    </row>
    <row r="5085" spans="1:9" s="212" customFormat="1">
      <c r="A5085" s="220"/>
      <c r="B5085" s="141"/>
      <c r="C5085" s="141"/>
      <c r="D5085" s="141"/>
      <c r="E5085" s="141"/>
      <c r="F5085" s="141"/>
      <c r="G5085" s="141"/>
      <c r="H5085" s="73"/>
    </row>
    <row r="5086" spans="1:9" s="212" customFormat="1">
      <c r="A5086" s="150"/>
      <c r="B5086" s="83"/>
      <c r="C5086" s="148"/>
      <c r="D5086" s="84"/>
      <c r="E5086" s="84"/>
      <c r="F5086" s="84"/>
      <c r="G5086" s="224"/>
      <c r="H5086" s="73"/>
    </row>
    <row r="5087" spans="1:9" s="212" customFormat="1">
      <c r="A5087" s="150"/>
      <c r="B5087" s="83"/>
      <c r="C5087" s="148"/>
      <c r="D5087" s="84"/>
      <c r="E5087" s="84"/>
      <c r="F5087" s="84"/>
      <c r="G5087" s="224"/>
      <c r="H5087" s="73"/>
    </row>
    <row r="5088" spans="1:9" s="212" customFormat="1">
      <c r="A5088" s="150"/>
      <c r="B5088" s="83"/>
      <c r="C5088" s="148"/>
      <c r="D5088" s="84"/>
      <c r="E5088" s="84"/>
      <c r="F5088" s="84"/>
      <c r="G5088" s="224"/>
      <c r="H5088" s="221"/>
    </row>
    <row r="5089" spans="1:8" s="212" customFormat="1">
      <c r="A5089" s="84"/>
      <c r="B5089" s="83"/>
      <c r="C5089" s="84"/>
      <c r="D5089" s="84"/>
      <c r="E5089" s="84"/>
      <c r="G5089" s="213"/>
      <c r="H5089" s="222"/>
    </row>
    <row r="5090" spans="1:8" s="212" customFormat="1">
      <c r="A5090" s="120"/>
      <c r="B5090" s="73"/>
      <c r="C5090" s="73"/>
      <c r="D5090" s="73"/>
      <c r="E5090" s="73"/>
      <c r="G5090" s="73"/>
      <c r="H5090" s="222"/>
    </row>
    <row r="5091" spans="1:8" s="212" customFormat="1">
      <c r="A5091" s="220"/>
      <c r="B5091" s="141"/>
      <c r="C5091" s="141"/>
      <c r="D5091" s="141"/>
      <c r="E5091" s="141"/>
      <c r="F5091" s="141"/>
      <c r="G5091" s="141"/>
      <c r="H5091" s="222"/>
    </row>
    <row r="5092" spans="1:8" s="212" customFormat="1">
      <c r="A5092" s="150"/>
      <c r="B5092" s="83"/>
      <c r="C5092" s="148"/>
      <c r="D5092" s="84"/>
      <c r="E5092" s="84"/>
      <c r="F5092" s="84"/>
      <c r="G5092" s="224"/>
      <c r="H5092" s="222"/>
    </row>
    <row r="5093" spans="1:8" s="212" customFormat="1">
      <c r="A5093" s="150"/>
      <c r="B5093" s="83"/>
      <c r="C5093" s="148"/>
      <c r="D5093" s="84"/>
      <c r="E5093" s="84"/>
      <c r="F5093" s="84"/>
      <c r="G5093" s="224"/>
      <c r="H5093" s="221"/>
    </row>
    <row r="5094" spans="1:8" s="212" customFormat="1">
      <c r="A5094" s="91"/>
      <c r="B5094" s="91"/>
      <c r="C5094" s="91"/>
      <c r="D5094" s="91"/>
      <c r="E5094" s="91"/>
      <c r="G5094" s="213"/>
      <c r="H5094" s="222"/>
    </row>
    <row r="5095" spans="1:8" s="212" customFormat="1">
      <c r="A5095" s="120"/>
      <c r="B5095" s="73"/>
      <c r="C5095" s="73"/>
      <c r="D5095" s="73"/>
      <c r="E5095" s="73"/>
      <c r="G5095" s="73"/>
      <c r="H5095" s="222"/>
    </row>
    <row r="5096" spans="1:8" s="212" customFormat="1">
      <c r="A5096" s="220"/>
      <c r="B5096" s="141"/>
      <c r="C5096" s="141"/>
      <c r="D5096" s="141"/>
      <c r="E5096" s="141"/>
      <c r="F5096" s="141"/>
      <c r="G5096" s="141"/>
      <c r="H5096" s="222"/>
    </row>
    <row r="5097" spans="1:8" s="212" customFormat="1">
      <c r="A5097" s="146"/>
      <c r="B5097" s="83"/>
      <c r="C5097" s="148"/>
      <c r="D5097" s="84"/>
      <c r="E5097" s="84"/>
      <c r="F5097" s="84"/>
      <c r="G5097" s="146"/>
      <c r="H5097" s="221"/>
    </row>
    <row r="5098" spans="1:8" s="212" customFormat="1">
      <c r="A5098" s="91"/>
      <c r="B5098" s="91"/>
      <c r="C5098" s="91"/>
      <c r="D5098" s="91"/>
      <c r="E5098" s="91"/>
      <c r="G5098" s="213"/>
      <c r="H5098" s="222"/>
    </row>
    <row r="5099" spans="1:8" s="212" customFormat="1">
      <c r="A5099" s="120"/>
      <c r="B5099" s="73"/>
      <c r="C5099" s="73"/>
      <c r="D5099" s="73"/>
      <c r="E5099" s="73"/>
      <c r="G5099" s="73"/>
      <c r="H5099" s="222"/>
    </row>
    <row r="5100" spans="1:8" s="212" customFormat="1">
      <c r="A5100" s="220"/>
      <c r="B5100" s="141"/>
      <c r="C5100" s="141"/>
      <c r="D5100" s="141"/>
      <c r="E5100" s="141"/>
      <c r="F5100" s="141"/>
      <c r="G5100" s="141"/>
      <c r="H5100" s="222"/>
    </row>
    <row r="5101" spans="1:8" s="212" customFormat="1">
      <c r="A5101" s="142"/>
      <c r="B5101" s="143"/>
      <c r="C5101" s="143"/>
      <c r="D5101" s="143"/>
      <c r="E5101" s="143"/>
      <c r="F5101" s="84"/>
      <c r="G5101" s="146"/>
      <c r="H5101" s="221"/>
    </row>
    <row r="5102" spans="1:8" s="212" customFormat="1">
      <c r="A5102" s="123"/>
      <c r="B5102" s="95"/>
      <c r="C5102" s="95"/>
      <c r="D5102" s="95"/>
      <c r="E5102" s="95"/>
      <c r="G5102" s="213"/>
      <c r="H5102" s="73"/>
    </row>
    <row r="5103" spans="1:8" s="212" customFormat="1">
      <c r="A5103" s="123"/>
      <c r="B5103" s="95"/>
      <c r="C5103" s="95"/>
      <c r="D5103" s="95"/>
      <c r="E5103" s="95"/>
      <c r="G5103" s="73"/>
      <c r="H5103" s="225"/>
    </row>
    <row r="5104" spans="1:8" s="212" customFormat="1">
      <c r="B5104" s="97"/>
      <c r="C5104" s="98"/>
      <c r="D5104" s="98"/>
      <c r="E5104" s="98"/>
      <c r="G5104" s="220"/>
    </row>
    <row r="5105" spans="1:9" s="212" customFormat="1">
      <c r="B5105" s="97"/>
      <c r="C5105" s="98"/>
      <c r="D5105" s="98"/>
      <c r="E5105" s="98"/>
      <c r="F5105" s="220"/>
      <c r="G5105" s="225"/>
      <c r="H5105" s="226"/>
    </row>
    <row r="5106" spans="1:9" s="212" customFormat="1">
      <c r="A5106" s="633"/>
      <c r="B5106" s="633"/>
      <c r="C5106" s="633"/>
      <c r="D5106" s="633"/>
      <c r="E5106" s="633"/>
      <c r="F5106" s="633"/>
      <c r="G5106" s="633"/>
    </row>
    <row r="5107" spans="1:9" s="212" customFormat="1">
      <c r="H5107" s="227"/>
      <c r="I5107" s="228"/>
    </row>
    <row r="5108" spans="1:9" s="212" customFormat="1">
      <c r="A5108" s="658"/>
      <c r="B5108" s="227"/>
      <c r="C5108" s="227"/>
      <c r="D5108" s="227"/>
      <c r="E5108" s="227"/>
      <c r="F5108" s="227"/>
      <c r="G5108" s="227"/>
      <c r="H5108" s="227"/>
      <c r="I5108" s="229"/>
    </row>
    <row r="5109" spans="1:9" s="212" customFormat="1">
      <c r="A5109" s="658"/>
      <c r="B5109" s="227"/>
      <c r="C5109" s="227"/>
      <c r="D5109" s="227"/>
      <c r="E5109" s="227"/>
      <c r="F5109" s="227"/>
      <c r="G5109" s="227"/>
    </row>
    <row r="5110" spans="1:9" s="212" customFormat="1">
      <c r="A5110" s="69"/>
      <c r="B5110" s="69"/>
      <c r="C5110" s="69"/>
      <c r="D5110" s="69"/>
      <c r="E5110" s="69"/>
    </row>
    <row r="5111" spans="1:9" s="212" customFormat="1">
      <c r="A5111" s="120"/>
      <c r="B5111" s="73"/>
      <c r="C5111" s="73"/>
      <c r="D5111" s="73"/>
      <c r="E5111" s="73"/>
      <c r="F5111" s="73"/>
      <c r="G5111" s="73"/>
      <c r="H5111" s="73"/>
    </row>
    <row r="5112" spans="1:9" s="212" customFormat="1">
      <c r="A5112" s="220"/>
      <c r="B5112" s="141"/>
      <c r="C5112" s="141"/>
      <c r="D5112" s="141"/>
      <c r="E5112" s="141"/>
      <c r="F5112" s="141"/>
      <c r="G5112" s="141"/>
      <c r="H5112" s="73"/>
    </row>
    <row r="5113" spans="1:9" s="212" customFormat="1">
      <c r="A5113" s="150"/>
      <c r="B5113" s="84"/>
      <c r="C5113" s="148"/>
      <c r="D5113" s="84"/>
      <c r="E5113" s="84"/>
      <c r="F5113" s="84"/>
      <c r="G5113" s="224"/>
      <c r="H5113" s="221"/>
    </row>
    <row r="5114" spans="1:9" s="212" customFormat="1">
      <c r="A5114" s="84"/>
      <c r="B5114" s="83"/>
      <c r="C5114" s="84"/>
      <c r="D5114" s="84"/>
      <c r="E5114" s="84"/>
      <c r="G5114" s="213"/>
      <c r="H5114" s="222"/>
    </row>
    <row r="5115" spans="1:9" s="212" customFormat="1">
      <c r="A5115" s="120"/>
      <c r="B5115" s="73"/>
      <c r="C5115" s="73"/>
      <c r="D5115" s="73"/>
      <c r="E5115" s="73"/>
      <c r="G5115" s="73"/>
      <c r="H5115" s="222"/>
    </row>
    <row r="5116" spans="1:9" s="212" customFormat="1">
      <c r="A5116" s="220"/>
      <c r="B5116" s="141"/>
      <c r="C5116" s="141"/>
      <c r="D5116" s="141"/>
      <c r="E5116" s="141"/>
      <c r="F5116" s="141"/>
      <c r="G5116" s="141"/>
      <c r="H5116" s="222"/>
    </row>
    <row r="5117" spans="1:9" s="212" customFormat="1">
      <c r="A5117" s="150"/>
      <c r="B5117" s="83"/>
      <c r="C5117" s="148"/>
      <c r="D5117" s="84"/>
      <c r="E5117" s="84"/>
      <c r="F5117" s="84"/>
      <c r="G5117" s="224"/>
      <c r="H5117" s="222"/>
    </row>
    <row r="5118" spans="1:9" s="212" customFormat="1">
      <c r="A5118" s="150"/>
      <c r="B5118" s="83"/>
      <c r="C5118" s="148"/>
      <c r="D5118" s="84"/>
      <c r="E5118" s="84"/>
      <c r="F5118" s="84"/>
      <c r="G5118" s="224"/>
      <c r="H5118" s="222"/>
    </row>
    <row r="5119" spans="1:9" s="212" customFormat="1">
      <c r="A5119" s="150"/>
      <c r="B5119" s="83"/>
      <c r="C5119" s="148"/>
      <c r="D5119" s="84"/>
      <c r="E5119" s="84"/>
      <c r="F5119" s="84"/>
      <c r="G5119" s="224"/>
      <c r="H5119" s="222"/>
    </row>
    <row r="5120" spans="1:9" s="212" customFormat="1">
      <c r="A5120" s="150"/>
      <c r="B5120" s="83"/>
      <c r="C5120" s="148"/>
      <c r="D5120" s="84"/>
      <c r="E5120" s="84"/>
      <c r="F5120" s="84"/>
      <c r="G5120" s="224"/>
      <c r="H5120" s="222"/>
    </row>
    <row r="5121" spans="1:9" s="212" customFormat="1">
      <c r="A5121" s="150"/>
      <c r="B5121" s="83"/>
      <c r="C5121" s="148"/>
      <c r="D5121" s="84"/>
      <c r="E5121" s="84"/>
      <c r="F5121" s="84"/>
      <c r="G5121" s="224"/>
      <c r="H5121" s="222"/>
    </row>
    <row r="5122" spans="1:9" s="212" customFormat="1">
      <c r="A5122" s="150"/>
      <c r="B5122" s="83"/>
      <c r="C5122" s="148"/>
      <c r="D5122" s="84"/>
      <c r="E5122" s="84"/>
      <c r="F5122" s="84"/>
      <c r="G5122" s="224"/>
      <c r="H5122" s="221"/>
    </row>
    <row r="5123" spans="1:9" s="212" customFormat="1">
      <c r="A5123" s="91"/>
      <c r="B5123" s="91"/>
      <c r="C5123" s="91"/>
      <c r="D5123" s="91"/>
      <c r="E5123" s="91"/>
      <c r="G5123" s="213"/>
      <c r="H5123" s="222"/>
    </row>
    <row r="5124" spans="1:9" s="212" customFormat="1">
      <c r="A5124" s="120"/>
      <c r="B5124" s="73"/>
      <c r="C5124" s="73"/>
      <c r="D5124" s="73"/>
      <c r="E5124" s="73"/>
      <c r="G5124" s="73"/>
      <c r="H5124" s="222"/>
    </row>
    <row r="5125" spans="1:9" s="212" customFormat="1">
      <c r="A5125" s="220"/>
      <c r="B5125" s="141"/>
      <c r="C5125" s="141"/>
      <c r="D5125" s="141"/>
      <c r="E5125" s="141"/>
      <c r="F5125" s="141"/>
      <c r="G5125" s="141"/>
      <c r="H5125" s="222"/>
    </row>
    <row r="5126" spans="1:9" s="212" customFormat="1">
      <c r="A5126" s="146"/>
      <c r="B5126" s="83"/>
      <c r="C5126" s="148"/>
      <c r="D5126" s="84"/>
      <c r="E5126" s="84"/>
      <c r="F5126" s="84"/>
      <c r="G5126" s="146"/>
      <c r="H5126" s="221"/>
    </row>
    <row r="5127" spans="1:9" s="212" customFormat="1">
      <c r="A5127" s="91"/>
      <c r="B5127" s="91"/>
      <c r="C5127" s="91"/>
      <c r="D5127" s="91"/>
      <c r="E5127" s="91"/>
      <c r="G5127" s="213"/>
      <c r="H5127" s="222"/>
    </row>
    <row r="5128" spans="1:9" s="212" customFormat="1">
      <c r="A5128" s="120"/>
      <c r="B5128" s="73"/>
      <c r="C5128" s="73"/>
      <c r="D5128" s="73"/>
      <c r="E5128" s="73"/>
      <c r="G5128" s="73"/>
      <c r="H5128" s="222"/>
    </row>
    <row r="5129" spans="1:9" s="212" customFormat="1">
      <c r="A5129" s="220"/>
      <c r="B5129" s="141"/>
      <c r="C5129" s="141"/>
      <c r="D5129" s="141"/>
      <c r="E5129" s="141"/>
      <c r="F5129" s="141"/>
      <c r="G5129" s="141"/>
      <c r="H5129" s="222"/>
    </row>
    <row r="5130" spans="1:9" s="212" customFormat="1">
      <c r="A5130" s="142"/>
      <c r="B5130" s="143"/>
      <c r="C5130" s="143"/>
      <c r="D5130" s="143"/>
      <c r="E5130" s="143"/>
      <c r="F5130" s="84"/>
      <c r="G5130" s="146"/>
      <c r="H5130" s="221"/>
    </row>
    <row r="5131" spans="1:9" s="212" customFormat="1">
      <c r="A5131" s="123"/>
      <c r="B5131" s="95"/>
      <c r="C5131" s="95"/>
      <c r="D5131" s="95"/>
      <c r="E5131" s="95"/>
      <c r="G5131" s="213"/>
      <c r="H5131" s="73"/>
    </row>
    <row r="5132" spans="1:9" s="212" customFormat="1">
      <c r="A5132" s="123"/>
      <c r="B5132" s="95"/>
      <c r="C5132" s="95"/>
      <c r="D5132" s="95"/>
      <c r="E5132" s="95"/>
      <c r="G5132" s="73"/>
      <c r="H5132" s="225"/>
    </row>
    <row r="5133" spans="1:9" s="212" customFormat="1">
      <c r="B5133" s="97"/>
      <c r="C5133" s="98"/>
      <c r="D5133" s="98"/>
      <c r="E5133" s="98"/>
      <c r="G5133" s="220"/>
    </row>
    <row r="5134" spans="1:9" s="212" customFormat="1">
      <c r="B5134" s="97"/>
      <c r="C5134" s="98"/>
      <c r="D5134" s="98"/>
      <c r="E5134" s="98"/>
      <c r="F5134" s="220"/>
      <c r="G5134" s="225"/>
      <c r="H5134" s="226"/>
    </row>
    <row r="5135" spans="1:9" s="212" customFormat="1">
      <c r="A5135" s="633"/>
      <c r="B5135" s="633"/>
      <c r="C5135" s="633"/>
      <c r="D5135" s="633"/>
      <c r="E5135" s="633"/>
      <c r="F5135" s="633"/>
      <c r="G5135" s="633"/>
    </row>
    <row r="5136" spans="1:9" s="212" customFormat="1">
      <c r="H5136" s="227"/>
      <c r="I5136" s="228"/>
    </row>
    <row r="5137" spans="1:9" s="212" customFormat="1">
      <c r="A5137" s="658"/>
      <c r="B5137" s="227"/>
      <c r="C5137" s="227"/>
      <c r="D5137" s="227"/>
      <c r="E5137" s="227"/>
      <c r="F5137" s="227"/>
      <c r="G5137" s="227"/>
      <c r="H5137" s="227"/>
      <c r="I5137" s="229"/>
    </row>
    <row r="5138" spans="1:9" s="212" customFormat="1">
      <c r="A5138" s="658"/>
      <c r="B5138" s="227"/>
      <c r="C5138" s="227"/>
      <c r="D5138" s="227"/>
      <c r="E5138" s="227"/>
      <c r="F5138" s="227"/>
      <c r="G5138" s="227"/>
    </row>
    <row r="5139" spans="1:9" s="212" customFormat="1">
      <c r="A5139" s="69"/>
      <c r="B5139" s="69"/>
      <c r="C5139" s="69"/>
      <c r="D5139" s="69"/>
      <c r="E5139" s="69"/>
    </row>
    <row r="5140" spans="1:9" s="212" customFormat="1">
      <c r="A5140" s="120"/>
      <c r="B5140" s="73"/>
      <c r="C5140" s="73"/>
      <c r="D5140" s="73"/>
      <c r="E5140" s="73"/>
      <c r="F5140" s="73"/>
      <c r="G5140" s="73"/>
      <c r="H5140" s="73"/>
    </row>
    <row r="5141" spans="1:9" s="212" customFormat="1">
      <c r="A5141" s="220"/>
      <c r="B5141" s="141"/>
      <c r="C5141" s="141"/>
      <c r="D5141" s="141"/>
      <c r="E5141" s="141"/>
      <c r="F5141" s="141"/>
      <c r="G5141" s="141"/>
      <c r="H5141" s="73"/>
    </row>
    <row r="5142" spans="1:9" s="212" customFormat="1">
      <c r="A5142" s="150"/>
      <c r="B5142" s="84"/>
      <c r="C5142" s="148"/>
      <c r="D5142" s="84"/>
      <c r="E5142" s="84"/>
      <c r="F5142" s="84"/>
      <c r="G5142" s="224"/>
      <c r="H5142" s="221"/>
    </row>
    <row r="5143" spans="1:9" s="212" customFormat="1">
      <c r="A5143" s="84"/>
      <c r="B5143" s="83"/>
      <c r="C5143" s="84"/>
      <c r="D5143" s="84"/>
      <c r="E5143" s="84"/>
      <c r="G5143" s="213"/>
      <c r="H5143" s="222"/>
    </row>
    <row r="5144" spans="1:9" s="212" customFormat="1">
      <c r="A5144" s="120"/>
      <c r="B5144" s="73"/>
      <c r="C5144" s="73"/>
      <c r="D5144" s="73"/>
      <c r="E5144" s="73"/>
      <c r="G5144" s="73"/>
      <c r="H5144" s="222"/>
    </row>
    <row r="5145" spans="1:9" s="212" customFormat="1">
      <c r="A5145" s="220"/>
      <c r="B5145" s="141"/>
      <c r="C5145" s="141"/>
      <c r="D5145" s="141"/>
      <c r="E5145" s="141"/>
      <c r="F5145" s="141"/>
      <c r="G5145" s="141"/>
      <c r="H5145" s="222"/>
    </row>
    <row r="5146" spans="1:9" s="212" customFormat="1">
      <c r="A5146" s="150"/>
      <c r="B5146" s="83"/>
      <c r="C5146" s="148"/>
      <c r="D5146" s="84"/>
      <c r="E5146" s="84"/>
      <c r="F5146" s="84"/>
      <c r="G5146" s="224"/>
      <c r="H5146" s="222"/>
    </row>
    <row r="5147" spans="1:9" s="212" customFormat="1">
      <c r="A5147" s="150"/>
      <c r="B5147" s="83"/>
      <c r="C5147" s="148"/>
      <c r="D5147" s="84"/>
      <c r="E5147" s="84"/>
      <c r="F5147" s="84"/>
      <c r="G5147" s="224"/>
      <c r="H5147" s="222"/>
    </row>
    <row r="5148" spans="1:9" s="212" customFormat="1">
      <c r="A5148" s="150"/>
      <c r="B5148" s="83"/>
      <c r="C5148" s="148"/>
      <c r="D5148" s="84"/>
      <c r="E5148" s="84"/>
      <c r="F5148" s="84"/>
      <c r="G5148" s="224"/>
      <c r="H5148" s="222"/>
    </row>
    <row r="5149" spans="1:9" s="212" customFormat="1">
      <c r="A5149" s="150"/>
      <c r="B5149" s="83"/>
      <c r="C5149" s="148"/>
      <c r="D5149" s="84"/>
      <c r="E5149" s="84"/>
      <c r="F5149" s="84"/>
      <c r="G5149" s="224"/>
      <c r="H5149" s="222"/>
    </row>
    <row r="5150" spans="1:9" s="212" customFormat="1">
      <c r="A5150" s="150"/>
      <c r="B5150" s="83"/>
      <c r="C5150" s="148"/>
      <c r="D5150" s="84"/>
      <c r="E5150" s="84"/>
      <c r="F5150" s="84"/>
      <c r="G5150" s="224"/>
      <c r="H5150" s="222"/>
    </row>
    <row r="5151" spans="1:9" s="212" customFormat="1">
      <c r="A5151" s="150"/>
      <c r="B5151" s="83"/>
      <c r="C5151" s="148"/>
      <c r="D5151" s="84"/>
      <c r="E5151" s="84"/>
      <c r="F5151" s="84"/>
      <c r="G5151" s="224"/>
      <c r="H5151" s="221"/>
    </row>
    <row r="5152" spans="1:9" s="212" customFormat="1">
      <c r="A5152" s="91"/>
      <c r="B5152" s="91"/>
      <c r="C5152" s="91"/>
      <c r="D5152" s="91"/>
      <c r="E5152" s="91"/>
      <c r="G5152" s="213"/>
      <c r="H5152" s="222"/>
    </row>
    <row r="5153" spans="1:9" s="212" customFormat="1">
      <c r="A5153" s="120"/>
      <c r="B5153" s="73"/>
      <c r="C5153" s="73"/>
      <c r="D5153" s="73"/>
      <c r="E5153" s="73"/>
      <c r="G5153" s="73"/>
      <c r="H5153" s="222"/>
    </row>
    <row r="5154" spans="1:9" s="212" customFormat="1">
      <c r="A5154" s="220"/>
      <c r="B5154" s="141"/>
      <c r="C5154" s="141"/>
      <c r="D5154" s="141"/>
      <c r="E5154" s="141"/>
      <c r="F5154" s="141"/>
      <c r="G5154" s="141"/>
      <c r="H5154" s="222"/>
    </row>
    <row r="5155" spans="1:9" s="212" customFormat="1">
      <c r="A5155" s="146"/>
      <c r="B5155" s="83"/>
      <c r="C5155" s="148"/>
      <c r="D5155" s="84"/>
      <c r="E5155" s="84"/>
      <c r="F5155" s="84"/>
      <c r="G5155" s="146"/>
      <c r="H5155" s="221"/>
    </row>
    <row r="5156" spans="1:9" s="212" customFormat="1">
      <c r="A5156" s="91"/>
      <c r="B5156" s="91"/>
      <c r="C5156" s="91"/>
      <c r="D5156" s="91"/>
      <c r="E5156" s="91"/>
      <c r="G5156" s="213"/>
      <c r="H5156" s="222"/>
    </row>
    <row r="5157" spans="1:9" s="212" customFormat="1">
      <c r="A5157" s="120"/>
      <c r="B5157" s="73"/>
      <c r="C5157" s="73"/>
      <c r="D5157" s="73"/>
      <c r="E5157" s="73"/>
      <c r="G5157" s="73"/>
      <c r="H5157" s="222"/>
    </row>
    <row r="5158" spans="1:9" s="212" customFormat="1">
      <c r="A5158" s="220"/>
      <c r="B5158" s="141"/>
      <c r="C5158" s="141"/>
      <c r="D5158" s="141"/>
      <c r="E5158" s="141"/>
      <c r="F5158" s="141"/>
      <c r="G5158" s="141"/>
      <c r="H5158" s="222"/>
    </row>
    <row r="5159" spans="1:9" s="212" customFormat="1">
      <c r="A5159" s="142"/>
      <c r="B5159" s="143"/>
      <c r="C5159" s="143"/>
      <c r="D5159" s="143"/>
      <c r="E5159" s="143"/>
      <c r="F5159" s="84"/>
      <c r="G5159" s="146"/>
      <c r="H5159" s="221"/>
    </row>
    <row r="5160" spans="1:9" s="212" customFormat="1">
      <c r="A5160" s="123"/>
      <c r="B5160" s="95"/>
      <c r="C5160" s="95"/>
      <c r="D5160" s="95"/>
      <c r="E5160" s="95"/>
      <c r="G5160" s="213"/>
      <c r="H5160" s="73"/>
    </row>
    <row r="5161" spans="1:9" s="212" customFormat="1">
      <c r="A5161" s="123"/>
      <c r="B5161" s="95"/>
      <c r="C5161" s="95"/>
      <c r="D5161" s="95"/>
      <c r="E5161" s="95"/>
      <c r="G5161" s="73"/>
      <c r="H5161" s="225"/>
    </row>
    <row r="5162" spans="1:9" s="212" customFormat="1">
      <c r="B5162" s="97"/>
      <c r="C5162" s="98"/>
      <c r="D5162" s="98"/>
      <c r="E5162" s="98"/>
      <c r="G5162" s="220"/>
    </row>
    <row r="5163" spans="1:9" s="212" customFormat="1">
      <c r="B5163" s="97"/>
      <c r="C5163" s="98"/>
      <c r="D5163" s="98"/>
      <c r="E5163" s="98"/>
      <c r="F5163" s="220"/>
      <c r="G5163" s="225"/>
      <c r="H5163" s="226"/>
    </row>
    <row r="5164" spans="1:9" s="212" customFormat="1">
      <c r="A5164" s="633"/>
      <c r="B5164" s="633"/>
      <c r="C5164" s="633"/>
      <c r="D5164" s="633"/>
      <c r="E5164" s="633"/>
      <c r="F5164" s="633"/>
      <c r="G5164" s="633"/>
    </row>
    <row r="5165" spans="1:9" s="212" customFormat="1">
      <c r="H5165" s="227"/>
      <c r="I5165" s="228"/>
    </row>
    <row r="5166" spans="1:9" s="212" customFormat="1">
      <c r="A5166" s="658"/>
      <c r="B5166" s="227"/>
      <c r="C5166" s="227"/>
      <c r="D5166" s="227"/>
      <c r="E5166" s="227"/>
      <c r="F5166" s="227"/>
      <c r="G5166" s="227"/>
      <c r="H5166" s="227"/>
      <c r="I5166" s="229"/>
    </row>
    <row r="5167" spans="1:9" s="212" customFormat="1">
      <c r="A5167" s="658"/>
      <c r="B5167" s="227"/>
      <c r="C5167" s="227"/>
      <c r="D5167" s="227"/>
      <c r="E5167" s="227"/>
      <c r="F5167" s="227"/>
      <c r="G5167" s="227"/>
    </row>
    <row r="5168" spans="1:9" s="212" customFormat="1">
      <c r="A5168" s="69"/>
      <c r="B5168" s="69"/>
      <c r="C5168" s="69"/>
      <c r="D5168" s="69"/>
      <c r="E5168" s="69"/>
    </row>
    <row r="5169" spans="1:8" s="212" customFormat="1">
      <c r="A5169" s="120"/>
      <c r="B5169" s="73"/>
      <c r="C5169" s="73"/>
      <c r="D5169" s="73"/>
      <c r="E5169" s="73"/>
      <c r="F5169" s="73"/>
      <c r="G5169" s="73"/>
      <c r="H5169" s="73"/>
    </row>
    <row r="5170" spans="1:8" s="212" customFormat="1">
      <c r="A5170" s="220"/>
      <c r="B5170" s="141"/>
      <c r="C5170" s="141"/>
      <c r="D5170" s="141"/>
      <c r="E5170" s="141"/>
      <c r="F5170" s="141"/>
      <c r="G5170" s="141"/>
      <c r="H5170" s="73"/>
    </row>
    <row r="5171" spans="1:8" s="212" customFormat="1">
      <c r="A5171" s="150"/>
      <c r="B5171" s="84"/>
      <c r="C5171" s="148"/>
      <c r="D5171" s="84"/>
      <c r="E5171" s="84"/>
      <c r="F5171" s="84"/>
      <c r="G5171" s="224"/>
      <c r="H5171" s="73"/>
    </row>
    <row r="5172" spans="1:8" s="212" customFormat="1">
      <c r="A5172" s="150"/>
      <c r="B5172" s="84"/>
      <c r="C5172" s="148"/>
      <c r="D5172" s="84"/>
      <c r="E5172" s="84"/>
      <c r="F5172" s="84"/>
      <c r="G5172" s="224"/>
      <c r="H5172" s="221"/>
    </row>
    <row r="5173" spans="1:8" s="212" customFormat="1">
      <c r="A5173" s="84"/>
      <c r="B5173" s="83"/>
      <c r="C5173" s="84"/>
      <c r="D5173" s="84"/>
      <c r="E5173" s="84"/>
      <c r="G5173" s="213"/>
      <c r="H5173" s="222"/>
    </row>
    <row r="5174" spans="1:8" s="212" customFormat="1">
      <c r="A5174" s="120"/>
      <c r="B5174" s="73"/>
      <c r="C5174" s="73"/>
      <c r="D5174" s="73"/>
      <c r="E5174" s="73"/>
      <c r="G5174" s="73"/>
      <c r="H5174" s="222"/>
    </row>
    <row r="5175" spans="1:8" s="212" customFormat="1">
      <c r="A5175" s="220"/>
      <c r="B5175" s="141"/>
      <c r="C5175" s="141"/>
      <c r="D5175" s="141"/>
      <c r="E5175" s="141"/>
      <c r="F5175" s="141"/>
      <c r="G5175" s="141"/>
      <c r="H5175" s="222"/>
    </row>
    <row r="5176" spans="1:8" s="212" customFormat="1">
      <c r="A5176" s="150"/>
      <c r="B5176" s="83"/>
      <c r="C5176" s="148"/>
      <c r="D5176" s="84"/>
      <c r="E5176" s="84"/>
      <c r="F5176" s="84"/>
      <c r="G5176" s="224"/>
      <c r="H5176" s="222"/>
    </row>
    <row r="5177" spans="1:8" s="212" customFormat="1">
      <c r="A5177" s="150"/>
      <c r="B5177" s="83"/>
      <c r="C5177" s="148"/>
      <c r="D5177" s="84"/>
      <c r="E5177" s="84"/>
      <c r="F5177" s="84"/>
      <c r="G5177" s="224"/>
      <c r="H5177" s="222"/>
    </row>
    <row r="5178" spans="1:8" s="212" customFormat="1">
      <c r="A5178" s="150"/>
      <c r="B5178" s="83"/>
      <c r="C5178" s="148"/>
      <c r="D5178" s="84"/>
      <c r="E5178" s="84"/>
      <c r="F5178" s="84"/>
      <c r="G5178" s="224"/>
      <c r="H5178" s="222"/>
    </row>
    <row r="5179" spans="1:8" s="212" customFormat="1">
      <c r="A5179" s="150"/>
      <c r="B5179" s="83"/>
      <c r="C5179" s="148"/>
      <c r="D5179" s="84"/>
      <c r="E5179" s="84"/>
      <c r="F5179" s="84"/>
      <c r="G5179" s="224"/>
      <c r="H5179" s="222"/>
    </row>
    <row r="5180" spans="1:8" s="212" customFormat="1">
      <c r="A5180" s="150"/>
      <c r="B5180" s="83"/>
      <c r="C5180" s="148"/>
      <c r="D5180" s="84"/>
      <c r="E5180" s="84"/>
      <c r="F5180" s="84"/>
      <c r="G5180" s="224"/>
      <c r="H5180" s="221"/>
    </row>
    <row r="5181" spans="1:8" s="212" customFormat="1">
      <c r="A5181" s="91"/>
      <c r="B5181" s="91"/>
      <c r="C5181" s="91"/>
      <c r="D5181" s="91"/>
      <c r="E5181" s="91"/>
      <c r="G5181" s="213"/>
      <c r="H5181" s="222"/>
    </row>
    <row r="5182" spans="1:8" s="212" customFormat="1">
      <c r="A5182" s="120"/>
      <c r="B5182" s="73"/>
      <c r="C5182" s="73"/>
      <c r="D5182" s="73"/>
      <c r="E5182" s="73"/>
      <c r="G5182" s="73"/>
      <c r="H5182" s="222"/>
    </row>
    <row r="5183" spans="1:8" s="212" customFormat="1">
      <c r="A5183" s="220"/>
      <c r="B5183" s="141"/>
      <c r="C5183" s="141"/>
      <c r="D5183" s="141"/>
      <c r="E5183" s="141"/>
      <c r="F5183" s="141"/>
      <c r="G5183" s="141"/>
      <c r="H5183" s="222"/>
    </row>
    <row r="5184" spans="1:8" s="212" customFormat="1">
      <c r="A5184" s="146"/>
      <c r="B5184" s="83"/>
      <c r="C5184" s="148"/>
      <c r="D5184" s="84"/>
      <c r="E5184" s="84"/>
      <c r="F5184" s="84"/>
      <c r="G5184" s="146"/>
      <c r="H5184" s="221"/>
    </row>
    <row r="5185" spans="1:9" s="212" customFormat="1">
      <c r="A5185" s="91"/>
      <c r="B5185" s="91"/>
      <c r="C5185" s="91"/>
      <c r="D5185" s="91"/>
      <c r="E5185" s="91"/>
      <c r="G5185" s="213"/>
      <c r="H5185" s="222"/>
    </row>
    <row r="5186" spans="1:9" s="212" customFormat="1">
      <c r="A5186" s="120"/>
      <c r="B5186" s="73"/>
      <c r="C5186" s="73"/>
      <c r="D5186" s="73"/>
      <c r="E5186" s="73"/>
      <c r="G5186" s="73"/>
      <c r="H5186" s="222"/>
    </row>
    <row r="5187" spans="1:9" s="212" customFormat="1">
      <c r="A5187" s="220"/>
      <c r="B5187" s="141"/>
      <c r="C5187" s="141"/>
      <c r="D5187" s="141"/>
      <c r="E5187" s="141"/>
      <c r="F5187" s="141"/>
      <c r="G5187" s="141"/>
      <c r="H5187" s="222"/>
    </row>
    <row r="5188" spans="1:9" s="212" customFormat="1">
      <c r="A5188" s="142"/>
      <c r="B5188" s="143"/>
      <c r="C5188" s="143"/>
      <c r="D5188" s="143"/>
      <c r="E5188" s="143"/>
      <c r="F5188" s="84"/>
      <c r="G5188" s="146"/>
      <c r="H5188" s="221"/>
    </row>
    <row r="5189" spans="1:9" s="212" customFormat="1">
      <c r="A5189" s="123"/>
      <c r="B5189" s="95"/>
      <c r="C5189" s="95"/>
      <c r="D5189" s="95"/>
      <c r="E5189" s="95"/>
      <c r="G5189" s="213"/>
      <c r="H5189" s="73"/>
    </row>
    <row r="5190" spans="1:9" s="212" customFormat="1">
      <c r="A5190" s="123"/>
      <c r="B5190" s="95"/>
      <c r="C5190" s="95"/>
      <c r="D5190" s="95"/>
      <c r="E5190" s="95"/>
      <c r="G5190" s="73"/>
      <c r="H5190" s="225"/>
    </row>
    <row r="5191" spans="1:9" s="212" customFormat="1">
      <c r="B5191" s="97"/>
      <c r="C5191" s="98"/>
      <c r="D5191" s="98"/>
      <c r="E5191" s="98"/>
      <c r="G5191" s="220"/>
    </row>
    <row r="5192" spans="1:9" s="212" customFormat="1">
      <c r="B5192" s="97"/>
      <c r="C5192" s="98"/>
      <c r="D5192" s="98"/>
      <c r="E5192" s="98"/>
      <c r="F5192" s="220"/>
      <c r="G5192" s="225"/>
      <c r="H5192" s="226"/>
    </row>
    <row r="5193" spans="1:9" s="212" customFormat="1">
      <c r="A5193" s="633"/>
      <c r="B5193" s="633"/>
      <c r="C5193" s="633"/>
      <c r="D5193" s="633"/>
      <c r="E5193" s="633"/>
      <c r="F5193" s="633"/>
      <c r="G5193" s="633"/>
    </row>
    <row r="5194" spans="1:9" s="212" customFormat="1">
      <c r="H5194" s="227"/>
      <c r="I5194" s="228"/>
    </row>
    <row r="5195" spans="1:9" s="212" customFormat="1">
      <c r="A5195" s="658"/>
      <c r="B5195" s="227"/>
      <c r="C5195" s="227"/>
      <c r="D5195" s="227"/>
      <c r="E5195" s="227"/>
      <c r="F5195" s="227"/>
      <c r="G5195" s="227"/>
      <c r="H5195" s="227"/>
      <c r="I5195" s="229"/>
    </row>
    <row r="5196" spans="1:9" s="212" customFormat="1">
      <c r="A5196" s="658"/>
      <c r="B5196" s="227"/>
      <c r="C5196" s="227"/>
      <c r="D5196" s="227"/>
      <c r="E5196" s="227"/>
      <c r="F5196" s="227"/>
      <c r="G5196" s="227"/>
    </row>
    <row r="5197" spans="1:9" s="212" customFormat="1">
      <c r="A5197" s="69"/>
      <c r="B5197" s="69"/>
      <c r="C5197" s="69"/>
      <c r="D5197" s="69"/>
      <c r="E5197" s="69"/>
    </row>
    <row r="5198" spans="1:9" s="212" customFormat="1">
      <c r="A5198" s="120"/>
      <c r="B5198" s="73"/>
      <c r="C5198" s="73"/>
      <c r="D5198" s="73"/>
      <c r="E5198" s="73"/>
      <c r="F5198" s="73"/>
      <c r="G5198" s="73"/>
      <c r="H5198" s="73"/>
    </row>
    <row r="5199" spans="1:9" s="212" customFormat="1">
      <c r="A5199" s="220"/>
      <c r="B5199" s="141"/>
      <c r="C5199" s="141"/>
      <c r="D5199" s="141"/>
      <c r="E5199" s="141"/>
      <c r="F5199" s="141"/>
      <c r="G5199" s="141"/>
      <c r="H5199" s="73"/>
    </row>
    <row r="5200" spans="1:9" s="212" customFormat="1">
      <c r="A5200" s="150"/>
      <c r="B5200" s="84"/>
      <c r="C5200" s="148"/>
      <c r="D5200" s="84"/>
      <c r="E5200" s="84"/>
      <c r="F5200" s="84"/>
      <c r="G5200" s="146"/>
      <c r="H5200" s="221"/>
    </row>
    <row r="5201" spans="1:8" s="212" customFormat="1">
      <c r="A5201" s="84"/>
      <c r="B5201" s="83"/>
      <c r="C5201" s="84"/>
      <c r="D5201" s="84"/>
      <c r="E5201" s="84"/>
      <c r="G5201" s="213"/>
      <c r="H5201" s="222"/>
    </row>
    <row r="5202" spans="1:8" s="212" customFormat="1">
      <c r="A5202" s="120"/>
      <c r="B5202" s="73"/>
      <c r="C5202" s="73"/>
      <c r="D5202" s="73"/>
      <c r="E5202" s="73"/>
      <c r="G5202" s="73"/>
      <c r="H5202" s="222"/>
    </row>
    <row r="5203" spans="1:8" s="212" customFormat="1">
      <c r="A5203" s="220"/>
      <c r="B5203" s="141"/>
      <c r="C5203" s="141"/>
      <c r="D5203" s="141"/>
      <c r="E5203" s="141"/>
      <c r="F5203" s="141"/>
      <c r="G5203" s="141"/>
      <c r="H5203" s="222"/>
    </row>
    <row r="5204" spans="1:8" s="212" customFormat="1">
      <c r="A5204" s="150"/>
      <c r="B5204" s="171"/>
      <c r="C5204" s="148"/>
      <c r="D5204" s="160"/>
      <c r="E5204" s="84"/>
      <c r="F5204" s="84"/>
      <c r="G5204" s="146"/>
      <c r="H5204" s="221"/>
    </row>
    <row r="5205" spans="1:8" s="212" customFormat="1">
      <c r="A5205" s="91"/>
      <c r="B5205" s="91"/>
      <c r="C5205" s="91"/>
      <c r="D5205" s="91"/>
      <c r="E5205" s="91"/>
      <c r="G5205" s="213"/>
      <c r="H5205" s="222"/>
    </row>
    <row r="5206" spans="1:8" s="212" customFormat="1">
      <c r="A5206" s="120"/>
      <c r="B5206" s="73"/>
      <c r="C5206" s="73"/>
      <c r="D5206" s="73"/>
      <c r="E5206" s="73"/>
      <c r="G5206" s="73"/>
      <c r="H5206" s="222"/>
    </row>
    <row r="5207" spans="1:8" s="212" customFormat="1">
      <c r="A5207" s="220"/>
      <c r="B5207" s="141"/>
      <c r="C5207" s="141"/>
      <c r="D5207" s="141"/>
      <c r="E5207" s="141"/>
      <c r="F5207" s="141"/>
      <c r="G5207" s="141"/>
      <c r="H5207" s="222"/>
    </row>
    <row r="5208" spans="1:8" s="212" customFormat="1">
      <c r="A5208" s="150"/>
      <c r="B5208" s="84"/>
      <c r="C5208" s="148"/>
      <c r="D5208" s="84"/>
      <c r="E5208" s="84"/>
      <c r="F5208" s="84"/>
      <c r="G5208" s="146"/>
      <c r="H5208" s="221"/>
    </row>
    <row r="5209" spans="1:8" s="212" customFormat="1">
      <c r="A5209" s="91"/>
      <c r="B5209" s="91"/>
      <c r="C5209" s="91"/>
      <c r="D5209" s="91"/>
      <c r="E5209" s="91"/>
      <c r="G5209" s="213"/>
      <c r="H5209" s="222"/>
    </row>
    <row r="5210" spans="1:8" s="212" customFormat="1">
      <c r="A5210" s="120"/>
      <c r="B5210" s="73"/>
      <c r="C5210" s="73"/>
      <c r="D5210" s="73"/>
      <c r="E5210" s="73"/>
      <c r="G5210" s="73"/>
      <c r="H5210" s="222"/>
    </row>
    <row r="5211" spans="1:8" s="212" customFormat="1">
      <c r="A5211" s="220"/>
      <c r="B5211" s="141"/>
      <c r="C5211" s="141"/>
      <c r="D5211" s="141"/>
      <c r="E5211" s="141"/>
      <c r="F5211" s="141"/>
      <c r="G5211" s="141"/>
      <c r="H5211" s="222"/>
    </row>
    <row r="5212" spans="1:8" s="212" customFormat="1">
      <c r="A5212" s="142"/>
      <c r="B5212" s="143"/>
      <c r="C5212" s="143"/>
      <c r="D5212" s="143"/>
      <c r="E5212" s="143"/>
      <c r="F5212" s="84"/>
      <c r="G5212" s="146"/>
      <c r="H5212" s="221"/>
    </row>
    <row r="5213" spans="1:8" s="212" customFormat="1">
      <c r="A5213" s="123"/>
      <c r="B5213" s="95"/>
      <c r="C5213" s="95"/>
      <c r="D5213" s="95"/>
      <c r="E5213" s="95"/>
      <c r="G5213" s="213"/>
      <c r="H5213" s="73"/>
    </row>
    <row r="5214" spans="1:8" s="212" customFormat="1">
      <c r="A5214" s="123"/>
      <c r="B5214" s="95"/>
      <c r="C5214" s="95"/>
      <c r="D5214" s="95"/>
      <c r="E5214" s="95"/>
      <c r="G5214" s="73"/>
      <c r="H5214" s="225"/>
    </row>
    <row r="5215" spans="1:8" s="212" customFormat="1">
      <c r="B5215" s="97"/>
      <c r="C5215" s="98"/>
      <c r="D5215" s="98"/>
      <c r="E5215" s="98"/>
      <c r="G5215" s="220"/>
    </row>
    <row r="5216" spans="1:8" s="212" customFormat="1">
      <c r="B5216" s="97"/>
      <c r="C5216" s="98"/>
      <c r="D5216" s="98"/>
      <c r="E5216" s="98"/>
      <c r="F5216" s="220"/>
      <c r="G5216" s="225"/>
      <c r="H5216" s="226"/>
    </row>
    <row r="5217" spans="1:9" s="212" customFormat="1">
      <c r="A5217" s="633"/>
      <c r="B5217" s="633"/>
      <c r="C5217" s="633"/>
      <c r="D5217" s="633"/>
      <c r="E5217" s="633"/>
      <c r="F5217" s="633"/>
      <c r="G5217" s="633"/>
    </row>
    <row r="5218" spans="1:9" s="212" customFormat="1">
      <c r="H5218" s="227"/>
      <c r="I5218" s="228"/>
    </row>
    <row r="5219" spans="1:9" s="212" customFormat="1">
      <c r="A5219" s="658"/>
      <c r="B5219" s="227"/>
      <c r="C5219" s="227"/>
      <c r="D5219" s="227"/>
      <c r="E5219" s="227"/>
      <c r="F5219" s="227"/>
      <c r="G5219" s="227"/>
      <c r="H5219" s="227"/>
      <c r="I5219" s="229"/>
    </row>
    <row r="5220" spans="1:9" s="212" customFormat="1">
      <c r="A5220" s="658"/>
      <c r="B5220" s="227"/>
      <c r="C5220" s="227"/>
      <c r="D5220" s="227"/>
      <c r="E5220" s="227"/>
      <c r="F5220" s="227"/>
      <c r="G5220" s="227"/>
    </row>
    <row r="5221" spans="1:9" s="212" customFormat="1">
      <c r="A5221" s="69"/>
      <c r="B5221" s="69"/>
      <c r="C5221" s="69"/>
      <c r="D5221" s="69"/>
      <c r="E5221" s="69"/>
    </row>
    <row r="5222" spans="1:9" s="212" customFormat="1">
      <c r="A5222" s="120"/>
      <c r="B5222" s="73"/>
      <c r="C5222" s="73"/>
      <c r="D5222" s="73"/>
      <c r="E5222" s="73"/>
      <c r="F5222" s="73"/>
      <c r="G5222" s="73"/>
      <c r="H5222" s="73"/>
    </row>
    <row r="5223" spans="1:9" s="212" customFormat="1">
      <c r="A5223" s="220"/>
      <c r="B5223" s="141"/>
      <c r="C5223" s="141"/>
      <c r="D5223" s="141"/>
      <c r="E5223" s="141"/>
      <c r="F5223" s="141"/>
      <c r="G5223" s="141"/>
      <c r="H5223" s="73"/>
    </row>
    <row r="5224" spans="1:9" s="212" customFormat="1">
      <c r="A5224" s="150"/>
      <c r="B5224" s="84"/>
      <c r="C5224" s="148"/>
      <c r="D5224" s="84"/>
      <c r="E5224" s="84"/>
      <c r="F5224" s="84"/>
      <c r="G5224" s="146"/>
      <c r="H5224" s="221"/>
    </row>
    <row r="5225" spans="1:9" s="212" customFormat="1">
      <c r="A5225" s="84"/>
      <c r="B5225" s="83"/>
      <c r="C5225" s="84"/>
      <c r="D5225" s="84"/>
      <c r="E5225" s="84"/>
      <c r="G5225" s="213"/>
      <c r="H5225" s="222"/>
    </row>
    <row r="5226" spans="1:9" s="212" customFormat="1">
      <c r="A5226" s="120"/>
      <c r="B5226" s="73"/>
      <c r="C5226" s="73"/>
      <c r="D5226" s="73"/>
      <c r="E5226" s="73"/>
      <c r="G5226" s="73"/>
      <c r="H5226" s="222"/>
    </row>
    <row r="5227" spans="1:9" s="212" customFormat="1">
      <c r="A5227" s="220"/>
      <c r="B5227" s="141"/>
      <c r="C5227" s="141"/>
      <c r="D5227" s="141"/>
      <c r="E5227" s="141"/>
      <c r="F5227" s="141"/>
      <c r="G5227" s="141"/>
      <c r="H5227" s="222"/>
    </row>
    <row r="5228" spans="1:9" s="212" customFormat="1">
      <c r="A5228" s="150"/>
      <c r="B5228" s="171"/>
      <c r="C5228" s="148"/>
      <c r="D5228" s="160"/>
      <c r="E5228" s="84"/>
      <c r="F5228" s="84"/>
      <c r="G5228" s="146"/>
      <c r="H5228" s="221"/>
    </row>
    <row r="5229" spans="1:9" s="212" customFormat="1">
      <c r="A5229" s="91"/>
      <c r="B5229" s="91"/>
      <c r="C5229" s="91"/>
      <c r="D5229" s="91"/>
      <c r="E5229" s="91"/>
      <c r="G5229" s="213"/>
      <c r="H5229" s="222"/>
    </row>
    <row r="5230" spans="1:9" s="212" customFormat="1">
      <c r="A5230" s="120"/>
      <c r="B5230" s="73"/>
      <c r="C5230" s="73"/>
      <c r="D5230" s="73"/>
      <c r="E5230" s="73"/>
      <c r="G5230" s="73"/>
      <c r="H5230" s="222"/>
    </row>
    <row r="5231" spans="1:9" s="212" customFormat="1">
      <c r="A5231" s="220"/>
      <c r="B5231" s="141"/>
      <c r="C5231" s="141"/>
      <c r="D5231" s="141"/>
      <c r="E5231" s="141"/>
      <c r="F5231" s="141"/>
      <c r="G5231" s="141"/>
      <c r="H5231" s="222"/>
    </row>
    <row r="5232" spans="1:9" s="212" customFormat="1">
      <c r="A5232" s="150"/>
      <c r="B5232" s="84"/>
      <c r="C5232" s="148"/>
      <c r="D5232" s="84"/>
      <c r="E5232" s="84"/>
      <c r="F5232" s="84"/>
      <c r="G5232" s="146"/>
      <c r="H5232" s="221"/>
    </row>
    <row r="5233" spans="1:9" s="212" customFormat="1">
      <c r="A5233" s="91"/>
      <c r="B5233" s="91"/>
      <c r="C5233" s="91"/>
      <c r="D5233" s="91"/>
      <c r="E5233" s="91"/>
      <c r="G5233" s="213"/>
      <c r="H5233" s="222"/>
    </row>
    <row r="5234" spans="1:9" s="212" customFormat="1">
      <c r="A5234" s="120"/>
      <c r="B5234" s="73"/>
      <c r="C5234" s="73"/>
      <c r="D5234" s="73"/>
      <c r="E5234" s="73"/>
      <c r="G5234" s="73"/>
      <c r="H5234" s="222"/>
    </row>
    <row r="5235" spans="1:9" s="212" customFormat="1">
      <c r="A5235" s="220"/>
      <c r="B5235" s="141"/>
      <c r="C5235" s="141"/>
      <c r="D5235" s="141"/>
      <c r="E5235" s="141"/>
      <c r="F5235" s="141"/>
      <c r="G5235" s="141"/>
      <c r="H5235" s="222"/>
    </row>
    <row r="5236" spans="1:9" s="212" customFormat="1">
      <c r="A5236" s="142"/>
      <c r="B5236" s="143"/>
      <c r="C5236" s="143"/>
      <c r="D5236" s="143"/>
      <c r="E5236" s="143"/>
      <c r="F5236" s="84"/>
      <c r="G5236" s="146"/>
      <c r="H5236" s="221"/>
    </row>
    <row r="5237" spans="1:9" s="212" customFormat="1">
      <c r="A5237" s="123"/>
      <c r="B5237" s="95"/>
      <c r="C5237" s="95"/>
      <c r="D5237" s="95"/>
      <c r="E5237" s="95"/>
      <c r="G5237" s="213"/>
      <c r="H5237" s="73"/>
    </row>
    <row r="5238" spans="1:9" s="212" customFormat="1">
      <c r="A5238" s="123"/>
      <c r="B5238" s="95"/>
      <c r="C5238" s="95"/>
      <c r="D5238" s="95"/>
      <c r="E5238" s="95"/>
      <c r="G5238" s="73"/>
      <c r="H5238" s="225"/>
    </row>
    <row r="5239" spans="1:9" s="212" customFormat="1">
      <c r="B5239" s="97"/>
      <c r="C5239" s="98"/>
      <c r="D5239" s="98"/>
      <c r="E5239" s="98"/>
      <c r="G5239" s="220"/>
    </row>
    <row r="5240" spans="1:9" s="212" customFormat="1">
      <c r="B5240" s="97"/>
      <c r="C5240" s="98"/>
      <c r="D5240" s="98"/>
      <c r="E5240" s="98"/>
      <c r="F5240" s="220"/>
      <c r="G5240" s="225"/>
      <c r="H5240" s="226"/>
    </row>
    <row r="5241" spans="1:9" s="212" customFormat="1">
      <c r="A5241" s="633"/>
      <c r="B5241" s="633"/>
      <c r="C5241" s="633"/>
      <c r="D5241" s="633"/>
      <c r="E5241" s="633"/>
      <c r="F5241" s="633"/>
      <c r="G5241" s="633"/>
    </row>
    <row r="5242" spans="1:9" s="212" customFormat="1">
      <c r="H5242" s="227"/>
      <c r="I5242" s="228"/>
    </row>
    <row r="5243" spans="1:9" s="212" customFormat="1">
      <c r="A5243" s="658"/>
      <c r="B5243" s="227"/>
      <c r="C5243" s="227"/>
      <c r="D5243" s="227"/>
      <c r="E5243" s="227"/>
      <c r="F5243" s="227"/>
      <c r="G5243" s="227"/>
      <c r="H5243" s="227"/>
      <c r="I5243" s="229"/>
    </row>
    <row r="5244" spans="1:9" s="212" customFormat="1">
      <c r="A5244" s="658"/>
      <c r="B5244" s="227"/>
      <c r="C5244" s="227"/>
      <c r="D5244" s="227"/>
      <c r="E5244" s="227"/>
      <c r="F5244" s="227"/>
      <c r="G5244" s="227"/>
    </row>
    <row r="5245" spans="1:9" s="212" customFormat="1">
      <c r="A5245" s="69"/>
      <c r="B5245" s="69"/>
      <c r="C5245" s="69"/>
      <c r="D5245" s="69"/>
      <c r="E5245" s="69"/>
    </row>
    <row r="5246" spans="1:9" s="212" customFormat="1">
      <c r="A5246" s="120"/>
      <c r="B5246" s="73"/>
      <c r="C5246" s="73"/>
      <c r="D5246" s="73"/>
      <c r="E5246" s="73"/>
      <c r="F5246" s="73"/>
      <c r="G5246" s="73"/>
      <c r="H5246" s="73"/>
    </row>
    <row r="5247" spans="1:9" s="212" customFormat="1">
      <c r="A5247" s="220"/>
      <c r="B5247" s="141"/>
      <c r="C5247" s="141"/>
      <c r="D5247" s="141"/>
      <c r="E5247" s="141"/>
      <c r="F5247" s="141"/>
      <c r="G5247" s="141"/>
      <c r="H5247" s="73"/>
    </row>
    <row r="5248" spans="1:9" s="212" customFormat="1">
      <c r="A5248" s="142"/>
      <c r="B5248" s="143"/>
      <c r="C5248" s="143"/>
      <c r="D5248" s="143"/>
      <c r="E5248" s="143"/>
      <c r="F5248" s="84"/>
      <c r="G5248" s="146"/>
      <c r="H5248" s="221"/>
    </row>
    <row r="5249" spans="1:8" s="212" customFormat="1">
      <c r="A5249" s="84"/>
      <c r="B5249" s="83"/>
      <c r="C5249" s="84"/>
      <c r="D5249" s="84"/>
      <c r="E5249" s="84"/>
      <c r="G5249" s="213"/>
      <c r="H5249" s="222"/>
    </row>
    <row r="5250" spans="1:8" s="212" customFormat="1">
      <c r="A5250" s="120"/>
      <c r="B5250" s="73"/>
      <c r="C5250" s="73"/>
      <c r="D5250" s="73"/>
      <c r="E5250" s="73"/>
      <c r="G5250" s="73"/>
      <c r="H5250" s="222"/>
    </row>
    <row r="5251" spans="1:8" s="212" customFormat="1">
      <c r="A5251" s="220"/>
      <c r="B5251" s="141"/>
      <c r="C5251" s="141"/>
      <c r="D5251" s="141"/>
      <c r="E5251" s="141"/>
      <c r="F5251" s="141"/>
      <c r="G5251" s="141"/>
      <c r="H5251" s="222"/>
    </row>
    <row r="5252" spans="1:8" s="212" customFormat="1">
      <c r="A5252" s="150"/>
      <c r="B5252" s="83"/>
      <c r="C5252" s="148"/>
      <c r="D5252" s="160"/>
      <c r="E5252" s="84"/>
      <c r="F5252" s="84"/>
      <c r="G5252" s="146"/>
      <c r="H5252" s="221"/>
    </row>
    <row r="5253" spans="1:8" s="212" customFormat="1">
      <c r="A5253" s="91"/>
      <c r="B5253" s="91"/>
      <c r="C5253" s="91"/>
      <c r="D5253" s="91"/>
      <c r="E5253" s="91"/>
      <c r="G5253" s="213"/>
      <c r="H5253" s="222"/>
    </row>
    <row r="5254" spans="1:8" s="212" customFormat="1">
      <c r="A5254" s="120"/>
      <c r="B5254" s="73"/>
      <c r="C5254" s="73"/>
      <c r="D5254" s="73"/>
      <c r="E5254" s="73"/>
      <c r="G5254" s="73"/>
      <c r="H5254" s="222"/>
    </row>
    <row r="5255" spans="1:8" s="212" customFormat="1">
      <c r="A5255" s="220"/>
      <c r="B5255" s="141"/>
      <c r="C5255" s="141"/>
      <c r="D5255" s="141"/>
      <c r="E5255" s="141"/>
      <c r="F5255" s="141"/>
      <c r="G5255" s="141"/>
      <c r="H5255" s="222"/>
    </row>
    <row r="5256" spans="1:8" s="212" customFormat="1">
      <c r="A5256" s="142"/>
      <c r="B5256" s="143"/>
      <c r="C5256" s="143"/>
      <c r="D5256" s="143"/>
      <c r="E5256" s="143"/>
      <c r="F5256" s="84"/>
      <c r="G5256" s="146"/>
      <c r="H5256" s="221"/>
    </row>
    <row r="5257" spans="1:8" s="212" customFormat="1">
      <c r="A5257" s="91"/>
      <c r="B5257" s="91"/>
      <c r="C5257" s="91"/>
      <c r="D5257" s="91"/>
      <c r="E5257" s="91"/>
      <c r="G5257" s="213"/>
      <c r="H5257" s="222"/>
    </row>
    <row r="5258" spans="1:8" s="212" customFormat="1">
      <c r="A5258" s="120"/>
      <c r="B5258" s="73"/>
      <c r="C5258" s="73"/>
      <c r="D5258" s="73"/>
      <c r="E5258" s="73"/>
      <c r="G5258" s="73"/>
      <c r="H5258" s="222"/>
    </row>
    <row r="5259" spans="1:8" s="212" customFormat="1">
      <c r="A5259" s="220"/>
      <c r="B5259" s="141"/>
      <c r="C5259" s="141"/>
      <c r="D5259" s="141"/>
      <c r="E5259" s="141"/>
      <c r="F5259" s="141"/>
      <c r="G5259" s="141"/>
      <c r="H5259" s="222"/>
    </row>
    <row r="5260" spans="1:8" s="212" customFormat="1">
      <c r="A5260" s="142"/>
      <c r="B5260" s="143"/>
      <c r="C5260" s="143"/>
      <c r="D5260" s="143"/>
      <c r="E5260" s="143"/>
      <c r="F5260" s="84"/>
      <c r="G5260" s="146"/>
      <c r="H5260" s="221"/>
    </row>
    <row r="5261" spans="1:8" s="212" customFormat="1">
      <c r="A5261" s="123"/>
      <c r="B5261" s="95"/>
      <c r="C5261" s="95"/>
      <c r="D5261" s="95"/>
      <c r="E5261" s="95"/>
      <c r="G5261" s="213"/>
      <c r="H5261" s="73"/>
    </row>
    <row r="5262" spans="1:8" s="212" customFormat="1">
      <c r="A5262" s="123"/>
      <c r="B5262" s="95"/>
      <c r="C5262" s="95"/>
      <c r="D5262" s="95"/>
      <c r="E5262" s="95"/>
      <c r="G5262" s="73"/>
      <c r="H5262" s="225"/>
    </row>
    <row r="5263" spans="1:8" s="212" customFormat="1">
      <c r="B5263" s="97"/>
      <c r="C5263" s="98"/>
      <c r="D5263" s="98"/>
      <c r="E5263" s="98"/>
      <c r="G5263" s="220"/>
    </row>
    <row r="5264" spans="1:8" s="212" customFormat="1">
      <c r="B5264" s="97"/>
      <c r="C5264" s="98"/>
      <c r="D5264" s="98"/>
      <c r="E5264" s="98"/>
      <c r="F5264" s="220"/>
      <c r="G5264" s="225"/>
      <c r="H5264" s="226"/>
    </row>
    <row r="5265" spans="1:9" s="212" customFormat="1">
      <c r="A5265" s="633"/>
      <c r="B5265" s="633"/>
      <c r="C5265" s="633"/>
      <c r="D5265" s="633"/>
      <c r="E5265" s="633"/>
      <c r="F5265" s="633"/>
      <c r="G5265" s="633"/>
    </row>
    <row r="5266" spans="1:9" s="212" customFormat="1">
      <c r="H5266" s="227"/>
      <c r="I5266" s="228"/>
    </row>
    <row r="5267" spans="1:9" s="212" customFormat="1">
      <c r="A5267" s="658"/>
      <c r="B5267" s="227"/>
      <c r="C5267" s="227"/>
      <c r="D5267" s="227"/>
      <c r="E5267" s="227"/>
      <c r="F5267" s="227"/>
      <c r="G5267" s="227"/>
      <c r="H5267" s="227"/>
      <c r="I5267" s="229"/>
    </row>
    <row r="5268" spans="1:9" s="212" customFormat="1">
      <c r="A5268" s="658"/>
      <c r="B5268" s="227"/>
      <c r="C5268" s="227"/>
      <c r="D5268" s="227"/>
      <c r="E5268" s="227"/>
      <c r="F5268" s="227"/>
      <c r="G5268" s="227"/>
    </row>
    <row r="5269" spans="1:9" s="212" customFormat="1">
      <c r="A5269" s="69"/>
      <c r="B5269" s="69"/>
      <c r="C5269" s="69"/>
      <c r="D5269" s="69"/>
      <c r="E5269" s="69"/>
    </row>
    <row r="5270" spans="1:9" s="212" customFormat="1">
      <c r="A5270" s="120"/>
      <c r="B5270" s="73"/>
      <c r="C5270" s="73"/>
      <c r="D5270" s="73"/>
      <c r="E5270" s="73"/>
      <c r="F5270" s="73"/>
      <c r="G5270" s="73"/>
      <c r="H5270" s="73"/>
    </row>
    <row r="5271" spans="1:9" s="212" customFormat="1">
      <c r="A5271" s="220"/>
      <c r="B5271" s="141"/>
      <c r="C5271" s="141"/>
      <c r="D5271" s="141"/>
      <c r="E5271" s="141"/>
      <c r="F5271" s="141"/>
      <c r="G5271" s="141"/>
      <c r="H5271" s="73"/>
    </row>
    <row r="5272" spans="1:9" s="212" customFormat="1">
      <c r="A5272" s="142"/>
      <c r="B5272" s="143"/>
      <c r="C5272" s="143"/>
      <c r="D5272" s="143"/>
      <c r="E5272" s="143"/>
      <c r="F5272" s="84"/>
      <c r="G5272" s="146"/>
      <c r="H5272" s="221"/>
    </row>
    <row r="5273" spans="1:9" s="212" customFormat="1">
      <c r="A5273" s="84"/>
      <c r="B5273" s="83"/>
      <c r="C5273" s="84"/>
      <c r="D5273" s="84"/>
      <c r="E5273" s="84"/>
      <c r="G5273" s="213"/>
      <c r="H5273" s="222"/>
    </row>
    <row r="5274" spans="1:9" s="212" customFormat="1">
      <c r="A5274" s="120"/>
      <c r="B5274" s="73"/>
      <c r="C5274" s="73"/>
      <c r="D5274" s="73"/>
      <c r="E5274" s="73"/>
      <c r="G5274" s="73"/>
      <c r="H5274" s="222"/>
    </row>
    <row r="5275" spans="1:9" s="212" customFormat="1">
      <c r="A5275" s="220"/>
      <c r="B5275" s="141"/>
      <c r="C5275" s="141"/>
      <c r="D5275" s="141"/>
      <c r="E5275" s="141"/>
      <c r="F5275" s="141"/>
      <c r="G5275" s="141"/>
      <c r="H5275" s="222"/>
    </row>
    <row r="5276" spans="1:9" s="212" customFormat="1">
      <c r="A5276" s="150"/>
      <c r="B5276" s="83"/>
      <c r="C5276" s="148"/>
      <c r="D5276" s="160"/>
      <c r="E5276" s="84"/>
      <c r="F5276" s="84"/>
      <c r="G5276" s="146"/>
      <c r="H5276" s="221"/>
    </row>
    <row r="5277" spans="1:9" s="212" customFormat="1">
      <c r="A5277" s="91"/>
      <c r="B5277" s="91"/>
      <c r="C5277" s="91"/>
      <c r="D5277" s="91"/>
      <c r="E5277" s="91"/>
      <c r="G5277" s="213"/>
      <c r="H5277" s="222"/>
    </row>
    <row r="5278" spans="1:9" s="212" customFormat="1">
      <c r="A5278" s="120"/>
      <c r="B5278" s="73"/>
      <c r="C5278" s="73"/>
      <c r="D5278" s="73"/>
      <c r="E5278" s="73"/>
      <c r="G5278" s="73"/>
      <c r="H5278" s="222"/>
    </row>
    <row r="5279" spans="1:9" s="212" customFormat="1">
      <c r="A5279" s="220"/>
      <c r="B5279" s="141"/>
      <c r="C5279" s="141"/>
      <c r="D5279" s="141"/>
      <c r="E5279" s="141"/>
      <c r="F5279" s="141"/>
      <c r="G5279" s="141"/>
      <c r="H5279" s="222"/>
    </row>
    <row r="5280" spans="1:9" s="212" customFormat="1">
      <c r="A5280" s="142"/>
      <c r="B5280" s="143"/>
      <c r="C5280" s="143"/>
      <c r="D5280" s="143"/>
      <c r="E5280" s="143"/>
      <c r="F5280" s="84"/>
      <c r="G5280" s="146"/>
      <c r="H5280" s="221"/>
    </row>
    <row r="5281" spans="1:9" s="212" customFormat="1">
      <c r="A5281" s="91"/>
      <c r="B5281" s="91"/>
      <c r="C5281" s="91"/>
      <c r="D5281" s="91"/>
      <c r="E5281" s="91"/>
      <c r="G5281" s="213"/>
      <c r="H5281" s="222"/>
    </row>
    <row r="5282" spans="1:9" s="212" customFormat="1">
      <c r="A5282" s="120"/>
      <c r="B5282" s="73"/>
      <c r="C5282" s="73"/>
      <c r="D5282" s="73"/>
      <c r="E5282" s="73"/>
      <c r="G5282" s="73"/>
      <c r="H5282" s="222"/>
    </row>
    <row r="5283" spans="1:9" s="212" customFormat="1">
      <c r="A5283" s="220"/>
      <c r="B5283" s="141"/>
      <c r="C5283" s="141"/>
      <c r="D5283" s="141"/>
      <c r="E5283" s="141"/>
      <c r="F5283" s="141"/>
      <c r="G5283" s="141"/>
      <c r="H5283" s="222"/>
    </row>
    <row r="5284" spans="1:9" s="212" customFormat="1">
      <c r="A5284" s="142"/>
      <c r="B5284" s="143"/>
      <c r="C5284" s="143"/>
      <c r="D5284" s="143"/>
      <c r="E5284" s="143"/>
      <c r="F5284" s="84"/>
      <c r="G5284" s="146"/>
      <c r="H5284" s="221"/>
    </row>
    <row r="5285" spans="1:9" s="212" customFormat="1">
      <c r="A5285" s="123"/>
      <c r="B5285" s="95"/>
      <c r="C5285" s="95"/>
      <c r="D5285" s="95"/>
      <c r="E5285" s="95"/>
      <c r="G5285" s="213"/>
      <c r="H5285" s="73"/>
    </row>
    <row r="5286" spans="1:9" s="212" customFormat="1">
      <c r="A5286" s="123"/>
      <c r="B5286" s="95"/>
      <c r="C5286" s="95"/>
      <c r="D5286" s="95"/>
      <c r="E5286" s="95"/>
      <c r="G5286" s="73"/>
      <c r="H5286" s="225"/>
    </row>
    <row r="5287" spans="1:9" s="212" customFormat="1">
      <c r="B5287" s="97"/>
      <c r="C5287" s="98"/>
      <c r="D5287" s="98"/>
      <c r="E5287" s="98"/>
      <c r="G5287" s="220"/>
    </row>
    <row r="5288" spans="1:9" s="212" customFormat="1">
      <c r="B5288" s="97"/>
      <c r="C5288" s="98"/>
      <c r="D5288" s="98"/>
      <c r="E5288" s="98"/>
      <c r="F5288" s="220"/>
      <c r="G5288" s="225"/>
      <c r="H5288" s="226"/>
    </row>
    <row r="5289" spans="1:9" s="212" customFormat="1">
      <c r="A5289" s="633"/>
      <c r="B5289" s="633"/>
      <c r="C5289" s="633"/>
      <c r="D5289" s="633"/>
      <c r="E5289" s="633"/>
      <c r="F5289" s="633"/>
      <c r="G5289" s="633"/>
    </row>
    <row r="5290" spans="1:9" s="212" customFormat="1">
      <c r="H5290" s="227"/>
      <c r="I5290" s="228"/>
    </row>
    <row r="5291" spans="1:9" s="212" customFormat="1">
      <c r="A5291" s="658"/>
      <c r="B5291" s="227"/>
      <c r="C5291" s="227"/>
      <c r="D5291" s="227"/>
      <c r="E5291" s="227"/>
      <c r="F5291" s="227"/>
      <c r="G5291" s="227"/>
      <c r="H5291" s="227"/>
      <c r="I5291" s="229"/>
    </row>
    <row r="5292" spans="1:9" s="212" customFormat="1">
      <c r="A5292" s="658"/>
      <c r="B5292" s="227"/>
      <c r="C5292" s="227"/>
      <c r="D5292" s="227"/>
      <c r="E5292" s="227"/>
      <c r="F5292" s="227"/>
      <c r="G5292" s="227"/>
    </row>
    <row r="5293" spans="1:9" s="212" customFormat="1">
      <c r="A5293" s="69"/>
      <c r="B5293" s="69"/>
      <c r="C5293" s="69"/>
      <c r="D5293" s="69"/>
      <c r="E5293" s="69"/>
    </row>
    <row r="5294" spans="1:9" s="212" customFormat="1">
      <c r="A5294" s="120"/>
      <c r="B5294" s="73"/>
      <c r="C5294" s="73"/>
      <c r="D5294" s="73"/>
      <c r="E5294" s="73"/>
      <c r="F5294" s="73"/>
      <c r="G5294" s="73"/>
      <c r="H5294" s="73"/>
    </row>
    <row r="5295" spans="1:9" s="212" customFormat="1">
      <c r="A5295" s="220"/>
      <c r="B5295" s="141"/>
      <c r="C5295" s="141"/>
      <c r="D5295" s="141"/>
      <c r="E5295" s="141"/>
      <c r="F5295" s="141"/>
      <c r="G5295" s="141"/>
      <c r="H5295" s="73"/>
    </row>
    <row r="5296" spans="1:9" s="212" customFormat="1">
      <c r="A5296" s="142"/>
      <c r="B5296" s="143"/>
      <c r="C5296" s="143"/>
      <c r="D5296" s="143"/>
      <c r="E5296" s="143"/>
      <c r="F5296" s="84"/>
      <c r="G5296" s="146"/>
      <c r="H5296" s="221"/>
    </row>
    <row r="5297" spans="1:8" s="212" customFormat="1">
      <c r="A5297" s="84"/>
      <c r="B5297" s="83"/>
      <c r="C5297" s="84"/>
      <c r="D5297" s="84"/>
      <c r="E5297" s="84"/>
      <c r="G5297" s="213"/>
      <c r="H5297" s="222"/>
    </row>
    <row r="5298" spans="1:8" s="212" customFormat="1">
      <c r="A5298" s="120"/>
      <c r="B5298" s="73"/>
      <c r="C5298" s="73"/>
      <c r="D5298" s="73"/>
      <c r="E5298" s="73"/>
      <c r="G5298" s="73"/>
      <c r="H5298" s="222"/>
    </row>
    <row r="5299" spans="1:8" s="212" customFormat="1">
      <c r="A5299" s="220"/>
      <c r="B5299" s="141"/>
      <c r="C5299" s="141"/>
      <c r="D5299" s="141"/>
      <c r="E5299" s="141"/>
      <c r="F5299" s="141"/>
      <c r="G5299" s="141"/>
      <c r="H5299" s="222"/>
    </row>
    <row r="5300" spans="1:8" s="212" customFormat="1">
      <c r="A5300" s="150"/>
      <c r="B5300" s="83"/>
      <c r="C5300" s="148"/>
      <c r="D5300" s="160"/>
      <c r="E5300" s="84"/>
      <c r="F5300" s="84"/>
      <c r="G5300" s="146"/>
      <c r="H5300" s="221"/>
    </row>
    <row r="5301" spans="1:8" s="212" customFormat="1">
      <c r="A5301" s="91"/>
      <c r="B5301" s="91"/>
      <c r="C5301" s="91"/>
      <c r="D5301" s="91"/>
      <c r="E5301" s="91"/>
      <c r="G5301" s="213"/>
      <c r="H5301" s="222"/>
    </row>
    <row r="5302" spans="1:8" s="212" customFormat="1">
      <c r="A5302" s="120"/>
      <c r="B5302" s="73"/>
      <c r="C5302" s="73"/>
      <c r="D5302" s="73"/>
      <c r="E5302" s="73"/>
      <c r="G5302" s="73"/>
      <c r="H5302" s="222"/>
    </row>
    <row r="5303" spans="1:8" s="212" customFormat="1">
      <c r="A5303" s="220"/>
      <c r="B5303" s="141"/>
      <c r="C5303" s="141"/>
      <c r="D5303" s="141"/>
      <c r="E5303" s="141"/>
      <c r="F5303" s="141"/>
      <c r="G5303" s="141"/>
      <c r="H5303" s="222"/>
    </row>
    <row r="5304" spans="1:8" s="212" customFormat="1">
      <c r="A5304" s="142"/>
      <c r="B5304" s="143"/>
      <c r="C5304" s="143"/>
      <c r="D5304" s="143"/>
      <c r="E5304" s="143"/>
      <c r="F5304" s="84"/>
      <c r="G5304" s="146"/>
      <c r="H5304" s="221"/>
    </row>
    <row r="5305" spans="1:8" s="212" customFormat="1">
      <c r="A5305" s="91"/>
      <c r="B5305" s="91"/>
      <c r="C5305" s="91"/>
      <c r="D5305" s="91"/>
      <c r="E5305" s="91"/>
      <c r="G5305" s="213"/>
      <c r="H5305" s="222"/>
    </row>
    <row r="5306" spans="1:8" s="212" customFormat="1">
      <c r="A5306" s="120"/>
      <c r="B5306" s="73"/>
      <c r="C5306" s="73"/>
      <c r="D5306" s="73"/>
      <c r="E5306" s="73"/>
      <c r="G5306" s="73"/>
      <c r="H5306" s="222"/>
    </row>
    <row r="5307" spans="1:8" s="212" customFormat="1">
      <c r="A5307" s="220"/>
      <c r="B5307" s="141"/>
      <c r="C5307" s="141"/>
      <c r="D5307" s="141"/>
      <c r="E5307" s="141"/>
      <c r="F5307" s="141"/>
      <c r="G5307" s="141"/>
      <c r="H5307" s="222"/>
    </row>
    <row r="5308" spans="1:8" s="212" customFormat="1">
      <c r="A5308" s="142"/>
      <c r="B5308" s="143"/>
      <c r="C5308" s="143"/>
      <c r="D5308" s="143"/>
      <c r="E5308" s="143"/>
      <c r="F5308" s="84"/>
      <c r="G5308" s="146"/>
      <c r="H5308" s="221"/>
    </row>
    <row r="5309" spans="1:8" s="212" customFormat="1">
      <c r="A5309" s="123"/>
      <c r="B5309" s="95"/>
      <c r="C5309" s="95"/>
      <c r="D5309" s="95"/>
      <c r="E5309" s="95"/>
      <c r="G5309" s="213"/>
      <c r="H5309" s="73"/>
    </row>
    <row r="5310" spans="1:8" s="212" customFormat="1">
      <c r="A5310" s="123"/>
      <c r="B5310" s="95"/>
      <c r="C5310" s="95"/>
      <c r="D5310" s="95"/>
      <c r="E5310" s="95"/>
      <c r="G5310" s="73"/>
      <c r="H5310" s="225"/>
    </row>
    <row r="5311" spans="1:8" s="212" customFormat="1">
      <c r="B5311" s="97"/>
      <c r="C5311" s="98"/>
      <c r="D5311" s="98"/>
      <c r="E5311" s="98"/>
      <c r="G5311" s="220"/>
    </row>
    <row r="5312" spans="1:8" s="212" customFormat="1">
      <c r="B5312" s="97"/>
      <c r="C5312" s="98"/>
      <c r="D5312" s="98"/>
      <c r="E5312" s="98"/>
      <c r="F5312" s="220"/>
      <c r="G5312" s="225"/>
      <c r="H5312" s="226"/>
    </row>
    <row r="5313" spans="1:9" s="212" customFormat="1">
      <c r="A5313" s="633"/>
      <c r="B5313" s="633"/>
      <c r="C5313" s="633"/>
      <c r="D5313" s="633"/>
      <c r="E5313" s="633"/>
      <c r="F5313" s="633"/>
      <c r="G5313" s="633"/>
    </row>
    <row r="5314" spans="1:9" s="212" customFormat="1">
      <c r="H5314" s="227"/>
      <c r="I5314" s="228"/>
    </row>
    <row r="5315" spans="1:9" s="212" customFormat="1">
      <c r="A5315" s="658"/>
      <c r="B5315" s="227"/>
      <c r="C5315" s="227"/>
      <c r="D5315" s="227"/>
      <c r="E5315" s="227"/>
      <c r="F5315" s="227"/>
      <c r="G5315" s="227"/>
      <c r="H5315" s="227"/>
      <c r="I5315" s="229"/>
    </row>
    <row r="5316" spans="1:9" s="212" customFormat="1">
      <c r="A5316" s="658"/>
      <c r="B5316" s="227"/>
      <c r="C5316" s="227"/>
      <c r="D5316" s="227"/>
      <c r="E5316" s="227"/>
      <c r="F5316" s="227"/>
      <c r="G5316" s="227"/>
    </row>
    <row r="5317" spans="1:9" s="212" customFormat="1">
      <c r="A5317" s="69"/>
      <c r="B5317" s="69"/>
      <c r="C5317" s="69"/>
      <c r="D5317" s="69"/>
      <c r="E5317" s="69"/>
    </row>
    <row r="5318" spans="1:9" s="212" customFormat="1">
      <c r="A5318" s="120"/>
      <c r="B5318" s="73"/>
      <c r="C5318" s="73"/>
      <c r="D5318" s="73"/>
      <c r="E5318" s="73"/>
      <c r="F5318" s="73"/>
      <c r="G5318" s="73"/>
      <c r="H5318" s="73"/>
    </row>
    <row r="5319" spans="1:9" s="212" customFormat="1">
      <c r="A5319" s="220"/>
      <c r="B5319" s="141"/>
      <c r="C5319" s="141"/>
      <c r="D5319" s="141"/>
      <c r="E5319" s="141"/>
      <c r="F5319" s="141"/>
      <c r="G5319" s="141"/>
      <c r="H5319" s="73"/>
    </row>
    <row r="5320" spans="1:9" s="212" customFormat="1">
      <c r="A5320" s="142"/>
      <c r="B5320" s="143"/>
      <c r="C5320" s="143"/>
      <c r="D5320" s="143"/>
      <c r="E5320" s="143"/>
      <c r="F5320" s="84"/>
      <c r="G5320" s="146"/>
      <c r="H5320" s="221"/>
    </row>
    <row r="5321" spans="1:9" s="212" customFormat="1">
      <c r="A5321" s="84"/>
      <c r="B5321" s="83"/>
      <c r="C5321" s="84"/>
      <c r="D5321" s="84"/>
      <c r="E5321" s="84"/>
      <c r="G5321" s="213"/>
      <c r="H5321" s="222"/>
    </row>
    <row r="5322" spans="1:9" s="212" customFormat="1">
      <c r="A5322" s="120"/>
      <c r="B5322" s="73"/>
      <c r="C5322" s="73"/>
      <c r="D5322" s="73"/>
      <c r="E5322" s="73"/>
      <c r="G5322" s="73"/>
      <c r="H5322" s="222"/>
    </row>
    <row r="5323" spans="1:9" s="212" customFormat="1">
      <c r="A5323" s="220"/>
      <c r="B5323" s="141"/>
      <c r="C5323" s="141"/>
      <c r="D5323" s="141"/>
      <c r="E5323" s="141"/>
      <c r="F5323" s="141"/>
      <c r="G5323" s="141"/>
      <c r="H5323" s="222"/>
    </row>
    <row r="5324" spans="1:9" s="212" customFormat="1">
      <c r="A5324" s="150"/>
      <c r="B5324" s="83"/>
      <c r="C5324" s="148"/>
      <c r="D5324" s="160"/>
      <c r="E5324" s="84"/>
      <c r="F5324" s="84"/>
      <c r="G5324" s="146"/>
      <c r="H5324" s="221"/>
    </row>
    <row r="5325" spans="1:9" s="212" customFormat="1">
      <c r="A5325" s="91"/>
      <c r="B5325" s="91"/>
      <c r="C5325" s="91"/>
      <c r="D5325" s="91"/>
      <c r="E5325" s="91"/>
      <c r="G5325" s="213"/>
      <c r="H5325" s="222"/>
    </row>
    <row r="5326" spans="1:9" s="212" customFormat="1">
      <c r="A5326" s="120"/>
      <c r="B5326" s="73"/>
      <c r="C5326" s="73"/>
      <c r="D5326" s="73"/>
      <c r="E5326" s="73"/>
      <c r="G5326" s="73"/>
      <c r="H5326" s="222"/>
    </row>
    <row r="5327" spans="1:9" s="212" customFormat="1">
      <c r="A5327" s="220"/>
      <c r="B5327" s="141"/>
      <c r="C5327" s="141"/>
      <c r="D5327" s="141"/>
      <c r="E5327" s="141"/>
      <c r="F5327" s="141"/>
      <c r="G5327" s="141"/>
      <c r="H5327" s="222"/>
    </row>
    <row r="5328" spans="1:9" s="212" customFormat="1">
      <c r="A5328" s="142"/>
      <c r="B5328" s="143"/>
      <c r="C5328" s="143"/>
      <c r="D5328" s="143"/>
      <c r="E5328" s="143"/>
      <c r="F5328" s="84"/>
      <c r="G5328" s="146"/>
      <c r="H5328" s="221"/>
    </row>
    <row r="5329" spans="1:9" s="212" customFormat="1">
      <c r="A5329" s="91"/>
      <c r="B5329" s="91"/>
      <c r="C5329" s="91"/>
      <c r="D5329" s="91"/>
      <c r="E5329" s="91"/>
      <c r="G5329" s="213"/>
      <c r="H5329" s="222"/>
    </row>
    <row r="5330" spans="1:9" s="212" customFormat="1">
      <c r="A5330" s="120"/>
      <c r="B5330" s="73"/>
      <c r="C5330" s="73"/>
      <c r="D5330" s="73"/>
      <c r="E5330" s="73"/>
      <c r="G5330" s="73"/>
      <c r="H5330" s="222"/>
    </row>
    <row r="5331" spans="1:9" s="212" customFormat="1">
      <c r="A5331" s="220"/>
      <c r="B5331" s="141"/>
      <c r="C5331" s="141"/>
      <c r="D5331" s="141"/>
      <c r="E5331" s="141"/>
      <c r="F5331" s="141"/>
      <c r="G5331" s="141"/>
      <c r="H5331" s="222"/>
    </row>
    <row r="5332" spans="1:9" s="212" customFormat="1">
      <c r="A5332" s="142"/>
      <c r="B5332" s="143"/>
      <c r="C5332" s="143"/>
      <c r="D5332" s="143"/>
      <c r="E5332" s="143"/>
      <c r="F5332" s="84"/>
      <c r="G5332" s="146"/>
      <c r="H5332" s="221"/>
    </row>
    <row r="5333" spans="1:9" s="212" customFormat="1">
      <c r="A5333" s="123"/>
      <c r="B5333" s="95"/>
      <c r="C5333" s="95"/>
      <c r="D5333" s="95"/>
      <c r="E5333" s="95"/>
      <c r="G5333" s="213"/>
      <c r="H5333" s="73"/>
    </row>
    <row r="5334" spans="1:9" s="212" customFormat="1">
      <c r="A5334" s="123"/>
      <c r="B5334" s="95"/>
      <c r="C5334" s="95"/>
      <c r="D5334" s="95"/>
      <c r="E5334" s="95"/>
      <c r="G5334" s="73"/>
      <c r="H5334" s="225"/>
    </row>
    <row r="5335" spans="1:9" s="212" customFormat="1">
      <c r="B5335" s="97"/>
      <c r="C5335" s="98"/>
      <c r="D5335" s="98"/>
      <c r="E5335" s="98"/>
      <c r="G5335" s="220"/>
    </row>
    <row r="5336" spans="1:9" s="212" customFormat="1">
      <c r="B5336" s="97"/>
      <c r="C5336" s="98"/>
      <c r="D5336" s="98"/>
      <c r="E5336" s="98"/>
      <c r="F5336" s="220"/>
      <c r="G5336" s="225"/>
      <c r="H5336" s="226"/>
    </row>
    <row r="5337" spans="1:9" s="212" customFormat="1">
      <c r="A5337" s="633"/>
      <c r="B5337" s="633"/>
      <c r="C5337" s="633"/>
      <c r="D5337" s="633"/>
      <c r="E5337" s="633"/>
      <c r="F5337" s="633"/>
      <c r="G5337" s="633"/>
    </row>
    <row r="5338" spans="1:9" s="212" customFormat="1">
      <c r="H5338" s="227"/>
      <c r="I5338" s="228"/>
    </row>
    <row r="5339" spans="1:9" s="212" customFormat="1">
      <c r="A5339" s="658"/>
      <c r="B5339" s="227"/>
      <c r="C5339" s="227"/>
      <c r="D5339" s="227"/>
      <c r="E5339" s="227"/>
      <c r="F5339" s="227"/>
      <c r="G5339" s="227"/>
      <c r="H5339" s="227"/>
      <c r="I5339" s="229"/>
    </row>
    <row r="5340" spans="1:9" s="212" customFormat="1">
      <c r="A5340" s="658"/>
      <c r="B5340" s="227"/>
      <c r="C5340" s="227"/>
      <c r="D5340" s="227"/>
      <c r="E5340" s="227"/>
      <c r="F5340" s="227"/>
      <c r="G5340" s="227"/>
    </row>
    <row r="5341" spans="1:9" s="212" customFormat="1">
      <c r="A5341" s="69"/>
      <c r="B5341" s="69"/>
      <c r="C5341" s="69"/>
      <c r="D5341" s="69"/>
      <c r="E5341" s="69"/>
    </row>
    <row r="5342" spans="1:9" s="212" customFormat="1">
      <c r="A5342" s="120"/>
      <c r="B5342" s="73"/>
      <c r="C5342" s="73"/>
      <c r="D5342" s="73"/>
      <c r="E5342" s="73"/>
      <c r="F5342" s="73"/>
      <c r="G5342" s="73"/>
      <c r="H5342" s="73"/>
    </row>
    <row r="5343" spans="1:9" s="212" customFormat="1">
      <c r="A5343" s="220"/>
      <c r="B5343" s="141"/>
      <c r="C5343" s="141"/>
      <c r="D5343" s="141"/>
      <c r="E5343" s="141"/>
      <c r="F5343" s="141"/>
      <c r="G5343" s="141"/>
      <c r="H5343" s="73"/>
    </row>
    <row r="5344" spans="1:9" s="212" customFormat="1">
      <c r="A5344" s="142"/>
      <c r="B5344" s="143"/>
      <c r="C5344" s="143"/>
      <c r="D5344" s="143"/>
      <c r="E5344" s="143"/>
      <c r="F5344" s="84"/>
      <c r="G5344" s="146"/>
      <c r="H5344" s="221"/>
    </row>
    <row r="5345" spans="1:8" s="212" customFormat="1">
      <c r="A5345" s="84"/>
      <c r="B5345" s="83"/>
      <c r="C5345" s="84"/>
      <c r="D5345" s="84"/>
      <c r="E5345" s="84"/>
      <c r="G5345" s="213"/>
      <c r="H5345" s="222"/>
    </row>
    <row r="5346" spans="1:8" s="212" customFormat="1">
      <c r="A5346" s="120"/>
      <c r="B5346" s="73"/>
      <c r="C5346" s="73"/>
      <c r="D5346" s="73"/>
      <c r="E5346" s="73"/>
      <c r="G5346" s="73"/>
      <c r="H5346" s="222"/>
    </row>
    <row r="5347" spans="1:8" s="212" customFormat="1">
      <c r="A5347" s="220"/>
      <c r="B5347" s="141"/>
      <c r="C5347" s="141"/>
      <c r="D5347" s="141"/>
      <c r="E5347" s="141"/>
      <c r="F5347" s="141"/>
      <c r="G5347" s="141"/>
      <c r="H5347" s="222"/>
    </row>
    <row r="5348" spans="1:8" s="212" customFormat="1">
      <c r="A5348" s="150"/>
      <c r="B5348" s="83"/>
      <c r="C5348" s="148"/>
      <c r="D5348" s="160"/>
      <c r="E5348" s="84"/>
      <c r="F5348" s="84"/>
      <c r="G5348" s="146"/>
      <c r="H5348" s="221"/>
    </row>
    <row r="5349" spans="1:8" s="212" customFormat="1">
      <c r="A5349" s="91"/>
      <c r="B5349" s="91"/>
      <c r="C5349" s="91"/>
      <c r="D5349" s="91"/>
      <c r="E5349" s="91"/>
      <c r="G5349" s="213"/>
      <c r="H5349" s="222"/>
    </row>
    <row r="5350" spans="1:8" s="212" customFormat="1">
      <c r="A5350" s="120"/>
      <c r="B5350" s="73"/>
      <c r="C5350" s="73"/>
      <c r="D5350" s="73"/>
      <c r="E5350" s="73"/>
      <c r="G5350" s="73"/>
      <c r="H5350" s="222"/>
    </row>
    <row r="5351" spans="1:8" s="212" customFormat="1">
      <c r="A5351" s="220"/>
      <c r="B5351" s="141"/>
      <c r="C5351" s="141"/>
      <c r="D5351" s="141"/>
      <c r="E5351" s="141"/>
      <c r="F5351" s="141"/>
      <c r="G5351" s="141"/>
      <c r="H5351" s="222"/>
    </row>
    <row r="5352" spans="1:8" s="212" customFormat="1">
      <c r="A5352" s="142"/>
      <c r="B5352" s="143"/>
      <c r="C5352" s="143"/>
      <c r="D5352" s="143"/>
      <c r="E5352" s="143"/>
      <c r="F5352" s="84"/>
      <c r="G5352" s="146"/>
      <c r="H5352" s="221"/>
    </row>
    <row r="5353" spans="1:8" s="212" customFormat="1">
      <c r="A5353" s="91"/>
      <c r="B5353" s="91"/>
      <c r="C5353" s="91"/>
      <c r="D5353" s="91"/>
      <c r="E5353" s="91"/>
      <c r="G5353" s="213"/>
      <c r="H5353" s="222"/>
    </row>
    <row r="5354" spans="1:8" s="212" customFormat="1">
      <c r="A5354" s="120"/>
      <c r="B5354" s="73"/>
      <c r="C5354" s="73"/>
      <c r="D5354" s="73"/>
      <c r="E5354" s="73"/>
      <c r="G5354" s="73"/>
      <c r="H5354" s="222"/>
    </row>
    <row r="5355" spans="1:8" s="212" customFormat="1">
      <c r="A5355" s="220"/>
      <c r="B5355" s="141"/>
      <c r="C5355" s="141"/>
      <c r="D5355" s="141"/>
      <c r="E5355" s="141"/>
      <c r="F5355" s="141"/>
      <c r="G5355" s="141"/>
      <c r="H5355" s="222"/>
    </row>
    <row r="5356" spans="1:8" s="212" customFormat="1">
      <c r="A5356" s="142"/>
      <c r="B5356" s="143"/>
      <c r="C5356" s="143"/>
      <c r="D5356" s="143"/>
      <c r="E5356" s="143"/>
      <c r="F5356" s="84"/>
      <c r="G5356" s="146"/>
      <c r="H5356" s="221"/>
    </row>
    <row r="5357" spans="1:8" s="212" customFormat="1">
      <c r="A5357" s="123"/>
      <c r="B5357" s="95"/>
      <c r="C5357" s="95"/>
      <c r="D5357" s="95"/>
      <c r="E5357" s="95"/>
      <c r="G5357" s="213"/>
      <c r="H5357" s="73"/>
    </row>
    <row r="5358" spans="1:8" s="212" customFormat="1">
      <c r="A5358" s="123"/>
      <c r="B5358" s="95"/>
      <c r="C5358" s="95"/>
      <c r="D5358" s="95"/>
      <c r="E5358" s="95"/>
      <c r="G5358" s="73"/>
      <c r="H5358" s="225"/>
    </row>
    <row r="5359" spans="1:8" s="212" customFormat="1">
      <c r="B5359" s="97"/>
      <c r="C5359" s="98"/>
      <c r="D5359" s="98"/>
      <c r="E5359" s="98"/>
      <c r="G5359" s="220"/>
    </row>
    <row r="5360" spans="1:8" s="212" customFormat="1">
      <c r="B5360" s="97"/>
      <c r="C5360" s="98"/>
      <c r="D5360" s="98"/>
      <c r="E5360" s="98"/>
      <c r="F5360" s="220"/>
      <c r="G5360" s="225"/>
      <c r="H5360" s="226"/>
    </row>
    <row r="5361" spans="1:9" s="212" customFormat="1">
      <c r="A5361" s="633"/>
      <c r="B5361" s="633"/>
      <c r="C5361" s="633"/>
      <c r="D5361" s="633"/>
      <c r="E5361" s="633"/>
      <c r="F5361" s="633"/>
      <c r="G5361" s="633"/>
    </row>
    <row r="5362" spans="1:9" s="212" customFormat="1">
      <c r="H5362" s="227"/>
      <c r="I5362" s="228"/>
    </row>
    <row r="5363" spans="1:9" s="212" customFormat="1">
      <c r="A5363" s="658"/>
      <c r="B5363" s="227"/>
      <c r="C5363" s="227"/>
      <c r="D5363" s="227"/>
      <c r="E5363" s="227"/>
      <c r="F5363" s="227"/>
      <c r="G5363" s="227"/>
      <c r="H5363" s="227"/>
      <c r="I5363" s="229"/>
    </row>
    <row r="5364" spans="1:9" s="212" customFormat="1">
      <c r="A5364" s="658"/>
      <c r="B5364" s="227"/>
      <c r="C5364" s="227"/>
      <c r="D5364" s="227"/>
      <c r="E5364" s="227"/>
      <c r="F5364" s="227"/>
      <c r="G5364" s="227"/>
    </row>
    <row r="5365" spans="1:9" s="212" customFormat="1">
      <c r="A5365" s="69"/>
      <c r="B5365" s="69"/>
      <c r="C5365" s="69"/>
      <c r="D5365" s="69"/>
      <c r="E5365" s="69"/>
    </row>
    <row r="5366" spans="1:9" s="212" customFormat="1">
      <c r="A5366" s="120"/>
      <c r="B5366" s="73"/>
      <c r="C5366" s="73"/>
      <c r="D5366" s="73"/>
      <c r="E5366" s="73"/>
      <c r="F5366" s="73"/>
      <c r="G5366" s="73"/>
      <c r="H5366" s="73"/>
    </row>
    <row r="5367" spans="1:9" s="212" customFormat="1">
      <c r="A5367" s="220"/>
      <c r="B5367" s="141"/>
      <c r="C5367" s="141"/>
      <c r="D5367" s="141"/>
      <c r="E5367" s="141"/>
      <c r="F5367" s="141"/>
      <c r="G5367" s="141"/>
      <c r="H5367" s="73"/>
    </row>
    <row r="5368" spans="1:9" s="212" customFormat="1">
      <c r="A5368" s="142"/>
      <c r="B5368" s="143"/>
      <c r="C5368" s="143"/>
      <c r="D5368" s="143"/>
      <c r="E5368" s="143"/>
      <c r="F5368" s="84"/>
      <c r="G5368" s="146"/>
      <c r="H5368" s="221"/>
    </row>
    <row r="5369" spans="1:9" s="212" customFormat="1">
      <c r="A5369" s="84"/>
      <c r="B5369" s="83"/>
      <c r="C5369" s="84"/>
      <c r="D5369" s="84"/>
      <c r="E5369" s="84"/>
      <c r="G5369" s="213"/>
      <c r="H5369" s="222"/>
    </row>
    <row r="5370" spans="1:9" s="212" customFormat="1">
      <c r="A5370" s="120"/>
      <c r="B5370" s="73"/>
      <c r="C5370" s="73"/>
      <c r="D5370" s="73"/>
      <c r="E5370" s="73"/>
      <c r="G5370" s="73"/>
      <c r="H5370" s="222"/>
    </row>
    <row r="5371" spans="1:9" s="212" customFormat="1">
      <c r="A5371" s="220"/>
      <c r="B5371" s="141"/>
      <c r="C5371" s="141"/>
      <c r="D5371" s="141"/>
      <c r="E5371" s="141"/>
      <c r="F5371" s="141"/>
      <c r="G5371" s="141"/>
      <c r="H5371" s="222"/>
    </row>
    <row r="5372" spans="1:9" s="212" customFormat="1">
      <c r="A5372" s="150"/>
      <c r="B5372" s="83"/>
      <c r="C5372" s="148"/>
      <c r="D5372" s="160"/>
      <c r="E5372" s="84"/>
      <c r="F5372" s="84"/>
      <c r="G5372" s="146"/>
      <c r="H5372" s="221"/>
    </row>
    <row r="5373" spans="1:9" s="212" customFormat="1">
      <c r="A5373" s="91"/>
      <c r="B5373" s="91"/>
      <c r="C5373" s="91"/>
      <c r="D5373" s="91"/>
      <c r="E5373" s="91"/>
      <c r="G5373" s="213"/>
      <c r="H5373" s="222"/>
    </row>
    <row r="5374" spans="1:9" s="212" customFormat="1">
      <c r="A5374" s="120"/>
      <c r="B5374" s="73"/>
      <c r="C5374" s="73"/>
      <c r="D5374" s="73"/>
      <c r="E5374" s="73"/>
      <c r="G5374" s="73"/>
      <c r="H5374" s="222"/>
    </row>
    <row r="5375" spans="1:9" s="212" customFormat="1">
      <c r="A5375" s="220"/>
      <c r="B5375" s="141"/>
      <c r="C5375" s="141"/>
      <c r="D5375" s="141"/>
      <c r="E5375" s="141"/>
      <c r="F5375" s="141"/>
      <c r="G5375" s="141"/>
      <c r="H5375" s="222"/>
    </row>
    <row r="5376" spans="1:9" s="212" customFormat="1">
      <c r="A5376" s="142"/>
      <c r="B5376" s="143"/>
      <c r="C5376" s="143"/>
      <c r="D5376" s="143"/>
      <c r="E5376" s="143"/>
      <c r="F5376" s="84"/>
      <c r="G5376" s="146"/>
      <c r="H5376" s="221"/>
    </row>
    <row r="5377" spans="1:9" s="212" customFormat="1">
      <c r="A5377" s="91"/>
      <c r="B5377" s="91"/>
      <c r="C5377" s="91"/>
      <c r="D5377" s="91"/>
      <c r="E5377" s="91"/>
      <c r="G5377" s="213"/>
      <c r="H5377" s="222"/>
    </row>
    <row r="5378" spans="1:9" s="212" customFormat="1">
      <c r="A5378" s="120"/>
      <c r="B5378" s="73"/>
      <c r="C5378" s="73"/>
      <c r="D5378" s="73"/>
      <c r="E5378" s="73"/>
      <c r="G5378" s="73"/>
      <c r="H5378" s="222"/>
    </row>
    <row r="5379" spans="1:9" s="212" customFormat="1">
      <c r="A5379" s="220"/>
      <c r="B5379" s="141"/>
      <c r="C5379" s="141"/>
      <c r="D5379" s="141"/>
      <c r="E5379" s="141"/>
      <c r="F5379" s="141"/>
      <c r="G5379" s="141"/>
      <c r="H5379" s="222"/>
    </row>
    <row r="5380" spans="1:9" s="212" customFormat="1">
      <c r="A5380" s="142"/>
      <c r="B5380" s="143"/>
      <c r="C5380" s="143"/>
      <c r="D5380" s="143"/>
      <c r="E5380" s="143"/>
      <c r="F5380" s="84"/>
      <c r="G5380" s="146"/>
      <c r="H5380" s="221"/>
    </row>
    <row r="5381" spans="1:9" s="212" customFormat="1">
      <c r="A5381" s="123"/>
      <c r="B5381" s="95"/>
      <c r="C5381" s="95"/>
      <c r="D5381" s="95"/>
      <c r="E5381" s="95"/>
      <c r="G5381" s="213"/>
      <c r="H5381" s="73"/>
    </row>
    <row r="5382" spans="1:9" s="212" customFormat="1">
      <c r="A5382" s="123"/>
      <c r="B5382" s="95"/>
      <c r="C5382" s="95"/>
      <c r="D5382" s="95"/>
      <c r="E5382" s="95"/>
      <c r="G5382" s="73"/>
      <c r="H5382" s="225"/>
    </row>
    <row r="5383" spans="1:9" s="212" customFormat="1">
      <c r="B5383" s="97"/>
      <c r="C5383" s="98"/>
      <c r="D5383" s="98"/>
      <c r="E5383" s="98"/>
      <c r="G5383" s="220"/>
    </row>
    <row r="5384" spans="1:9" s="212" customFormat="1">
      <c r="B5384" s="97"/>
      <c r="C5384" s="98"/>
      <c r="D5384" s="98"/>
      <c r="E5384" s="98"/>
      <c r="F5384" s="220"/>
      <c r="G5384" s="225"/>
      <c r="H5384" s="226"/>
    </row>
    <row r="5385" spans="1:9" s="212" customFormat="1">
      <c r="A5385" s="633"/>
      <c r="B5385" s="633"/>
      <c r="C5385" s="633"/>
      <c r="D5385" s="633"/>
      <c r="E5385" s="633"/>
      <c r="F5385" s="633"/>
      <c r="G5385" s="633"/>
    </row>
    <row r="5386" spans="1:9" s="212" customFormat="1">
      <c r="H5386" s="227"/>
      <c r="I5386" s="228"/>
    </row>
    <row r="5387" spans="1:9" s="212" customFormat="1">
      <c r="A5387" s="658"/>
      <c r="B5387" s="227"/>
      <c r="C5387" s="227"/>
      <c r="D5387" s="227"/>
      <c r="E5387" s="227"/>
      <c r="F5387" s="227"/>
      <c r="G5387" s="227"/>
      <c r="H5387" s="227"/>
      <c r="I5387" s="229"/>
    </row>
    <row r="5388" spans="1:9" s="212" customFormat="1">
      <c r="A5388" s="658"/>
      <c r="B5388" s="227"/>
      <c r="C5388" s="227"/>
      <c r="D5388" s="227"/>
      <c r="E5388" s="227"/>
      <c r="F5388" s="227"/>
      <c r="G5388" s="227"/>
    </row>
    <row r="5389" spans="1:9" s="212" customFormat="1">
      <c r="A5389" s="69"/>
      <c r="B5389" s="69"/>
      <c r="C5389" s="69"/>
      <c r="D5389" s="69"/>
      <c r="E5389" s="69"/>
    </row>
    <row r="5390" spans="1:9" s="212" customFormat="1">
      <c r="A5390" s="120"/>
      <c r="B5390" s="73"/>
      <c r="C5390" s="73"/>
      <c r="D5390" s="73"/>
      <c r="E5390" s="73"/>
      <c r="F5390" s="73"/>
      <c r="G5390" s="73"/>
      <c r="H5390" s="73"/>
    </row>
    <row r="5391" spans="1:9" s="212" customFormat="1">
      <c r="A5391" s="220"/>
      <c r="B5391" s="141"/>
      <c r="C5391" s="141"/>
      <c r="D5391" s="141"/>
      <c r="E5391" s="141"/>
      <c r="F5391" s="141"/>
      <c r="G5391" s="141"/>
      <c r="H5391" s="73"/>
    </row>
    <row r="5392" spans="1:9" s="212" customFormat="1">
      <c r="A5392" s="142"/>
      <c r="B5392" s="143"/>
      <c r="C5392" s="143"/>
      <c r="D5392" s="143"/>
      <c r="E5392" s="143"/>
      <c r="F5392" s="84"/>
      <c r="G5392" s="146"/>
      <c r="H5392" s="221"/>
    </row>
    <row r="5393" spans="1:8" s="212" customFormat="1">
      <c r="A5393" s="84"/>
      <c r="B5393" s="83"/>
      <c r="C5393" s="84"/>
      <c r="D5393" s="84"/>
      <c r="E5393" s="84"/>
      <c r="G5393" s="213"/>
      <c r="H5393" s="222"/>
    </row>
    <row r="5394" spans="1:8" s="212" customFormat="1">
      <c r="A5394" s="120"/>
      <c r="B5394" s="73"/>
      <c r="C5394" s="73"/>
      <c r="D5394" s="73"/>
      <c r="E5394" s="73"/>
      <c r="G5394" s="73"/>
      <c r="H5394" s="222"/>
    </row>
    <row r="5395" spans="1:8" s="212" customFormat="1">
      <c r="A5395" s="220"/>
      <c r="B5395" s="141"/>
      <c r="C5395" s="141"/>
      <c r="D5395" s="141"/>
      <c r="E5395" s="141"/>
      <c r="F5395" s="141"/>
      <c r="G5395" s="141"/>
      <c r="H5395" s="222"/>
    </row>
    <row r="5396" spans="1:8" s="212" customFormat="1">
      <c r="A5396" s="150"/>
      <c r="B5396" s="83"/>
      <c r="C5396" s="148"/>
      <c r="D5396" s="160"/>
      <c r="E5396" s="84"/>
      <c r="F5396" s="84"/>
      <c r="G5396" s="146"/>
      <c r="H5396" s="221"/>
    </row>
    <row r="5397" spans="1:8" s="212" customFormat="1">
      <c r="A5397" s="91"/>
      <c r="B5397" s="91"/>
      <c r="C5397" s="91"/>
      <c r="D5397" s="91"/>
      <c r="E5397" s="91"/>
      <c r="G5397" s="213"/>
      <c r="H5397" s="222"/>
    </row>
    <row r="5398" spans="1:8" s="212" customFormat="1">
      <c r="A5398" s="120"/>
      <c r="B5398" s="73"/>
      <c r="C5398" s="73"/>
      <c r="D5398" s="73"/>
      <c r="E5398" s="73"/>
      <c r="G5398" s="73"/>
      <c r="H5398" s="222"/>
    </row>
    <row r="5399" spans="1:8" s="212" customFormat="1">
      <c r="A5399" s="220"/>
      <c r="B5399" s="141"/>
      <c r="C5399" s="141"/>
      <c r="D5399" s="141"/>
      <c r="E5399" s="141"/>
      <c r="F5399" s="141"/>
      <c r="G5399" s="141"/>
      <c r="H5399" s="222"/>
    </row>
    <row r="5400" spans="1:8" s="212" customFormat="1">
      <c r="A5400" s="142"/>
      <c r="B5400" s="143"/>
      <c r="C5400" s="143"/>
      <c r="D5400" s="143"/>
      <c r="E5400" s="143"/>
      <c r="F5400" s="84"/>
      <c r="G5400" s="146"/>
      <c r="H5400" s="221"/>
    </row>
    <row r="5401" spans="1:8" s="212" customFormat="1">
      <c r="A5401" s="91"/>
      <c r="B5401" s="91"/>
      <c r="C5401" s="91"/>
      <c r="D5401" s="91"/>
      <c r="E5401" s="91"/>
      <c r="G5401" s="213"/>
      <c r="H5401" s="222"/>
    </row>
    <row r="5402" spans="1:8" s="212" customFormat="1">
      <c r="A5402" s="120"/>
      <c r="B5402" s="73"/>
      <c r="C5402" s="73"/>
      <c r="D5402" s="73"/>
      <c r="E5402" s="73"/>
      <c r="G5402" s="73"/>
      <c r="H5402" s="222"/>
    </row>
    <row r="5403" spans="1:8" s="212" customFormat="1">
      <c r="A5403" s="220"/>
      <c r="B5403" s="141"/>
      <c r="C5403" s="141"/>
      <c r="D5403" s="141"/>
      <c r="E5403" s="141"/>
      <c r="F5403" s="141"/>
      <c r="G5403" s="141"/>
      <c r="H5403" s="222"/>
    </row>
    <row r="5404" spans="1:8" s="212" customFormat="1">
      <c r="A5404" s="142"/>
      <c r="B5404" s="143"/>
      <c r="C5404" s="143"/>
      <c r="D5404" s="143"/>
      <c r="E5404" s="143"/>
      <c r="F5404" s="84"/>
      <c r="G5404" s="146"/>
      <c r="H5404" s="221"/>
    </row>
    <row r="5405" spans="1:8" s="212" customFormat="1">
      <c r="A5405" s="123"/>
      <c r="B5405" s="95"/>
      <c r="C5405" s="95"/>
      <c r="D5405" s="95"/>
      <c r="E5405" s="95"/>
      <c r="G5405" s="213"/>
      <c r="H5405" s="73"/>
    </row>
    <row r="5406" spans="1:8" s="212" customFormat="1">
      <c r="A5406" s="123"/>
      <c r="B5406" s="95"/>
      <c r="C5406" s="95"/>
      <c r="D5406" s="95"/>
      <c r="E5406" s="95"/>
      <c r="G5406" s="73"/>
      <c r="H5406" s="225"/>
    </row>
    <row r="5407" spans="1:8" s="212" customFormat="1">
      <c r="B5407" s="97"/>
      <c r="C5407" s="98"/>
      <c r="D5407" s="98"/>
      <c r="E5407" s="98"/>
      <c r="G5407" s="220"/>
    </row>
    <row r="5408" spans="1:8" s="212" customFormat="1">
      <c r="B5408" s="97"/>
      <c r="C5408" s="98"/>
      <c r="D5408" s="98"/>
      <c r="E5408" s="98"/>
      <c r="F5408" s="220"/>
      <c r="G5408" s="225"/>
      <c r="H5408" s="226"/>
    </row>
    <row r="5409" spans="1:9" s="212" customFormat="1">
      <c r="A5409" s="633"/>
      <c r="B5409" s="633"/>
      <c r="C5409" s="633"/>
      <c r="D5409" s="633"/>
      <c r="E5409" s="633"/>
      <c r="F5409" s="633"/>
      <c r="G5409" s="633"/>
    </row>
    <row r="5410" spans="1:9" s="212" customFormat="1">
      <c r="H5410" s="227"/>
      <c r="I5410" s="228"/>
    </row>
    <row r="5411" spans="1:9" s="212" customFormat="1">
      <c r="A5411" s="658"/>
      <c r="B5411" s="227"/>
      <c r="C5411" s="227"/>
      <c r="D5411" s="227"/>
      <c r="E5411" s="227"/>
      <c r="F5411" s="227"/>
      <c r="G5411" s="227"/>
      <c r="H5411" s="227"/>
      <c r="I5411" s="229"/>
    </row>
    <row r="5412" spans="1:9" s="212" customFormat="1">
      <c r="A5412" s="658"/>
      <c r="B5412" s="227"/>
      <c r="C5412" s="227"/>
      <c r="D5412" s="227"/>
      <c r="E5412" s="227"/>
      <c r="F5412" s="227"/>
      <c r="G5412" s="227"/>
    </row>
    <row r="5413" spans="1:9" s="212" customFormat="1">
      <c r="A5413" s="69"/>
      <c r="B5413" s="69"/>
      <c r="C5413" s="69"/>
      <c r="D5413" s="69"/>
      <c r="E5413" s="69"/>
    </row>
    <row r="5414" spans="1:9" s="212" customFormat="1">
      <c r="A5414" s="120"/>
      <c r="B5414" s="73"/>
      <c r="C5414" s="73"/>
      <c r="D5414" s="73"/>
      <c r="E5414" s="73"/>
      <c r="F5414" s="73"/>
      <c r="G5414" s="73"/>
      <c r="H5414" s="73"/>
    </row>
    <row r="5415" spans="1:9" s="212" customFormat="1">
      <c r="A5415" s="220"/>
      <c r="B5415" s="141"/>
      <c r="C5415" s="141"/>
      <c r="D5415" s="141"/>
      <c r="E5415" s="141"/>
      <c r="F5415" s="141"/>
      <c r="G5415" s="141"/>
      <c r="H5415" s="73"/>
    </row>
    <row r="5416" spans="1:9" s="212" customFormat="1">
      <c r="A5416" s="142"/>
      <c r="B5416" s="143"/>
      <c r="C5416" s="143"/>
      <c r="D5416" s="143"/>
      <c r="E5416" s="143"/>
      <c r="F5416" s="84"/>
      <c r="G5416" s="146"/>
      <c r="H5416" s="221"/>
    </row>
    <row r="5417" spans="1:9" s="212" customFormat="1">
      <c r="A5417" s="84"/>
      <c r="B5417" s="83"/>
      <c r="C5417" s="84"/>
      <c r="D5417" s="84"/>
      <c r="E5417" s="84"/>
      <c r="G5417" s="213"/>
      <c r="H5417" s="222"/>
    </row>
    <row r="5418" spans="1:9" s="212" customFormat="1">
      <c r="A5418" s="120"/>
      <c r="B5418" s="73"/>
      <c r="C5418" s="73"/>
      <c r="D5418" s="73"/>
      <c r="E5418" s="73"/>
      <c r="G5418" s="73"/>
      <c r="H5418" s="222"/>
    </row>
    <row r="5419" spans="1:9" s="212" customFormat="1">
      <c r="A5419" s="220"/>
      <c r="B5419" s="141"/>
      <c r="C5419" s="141"/>
      <c r="D5419" s="141"/>
      <c r="E5419" s="141"/>
      <c r="F5419" s="141"/>
      <c r="G5419" s="141"/>
      <c r="H5419" s="222"/>
    </row>
    <row r="5420" spans="1:9" s="212" customFormat="1">
      <c r="A5420" s="150"/>
      <c r="B5420" s="83"/>
      <c r="C5420" s="148"/>
      <c r="D5420" s="160"/>
      <c r="E5420" s="84"/>
      <c r="F5420" s="84"/>
      <c r="G5420" s="146"/>
      <c r="H5420" s="221"/>
    </row>
    <row r="5421" spans="1:9" s="212" customFormat="1">
      <c r="A5421" s="91"/>
      <c r="B5421" s="91"/>
      <c r="C5421" s="91"/>
      <c r="D5421" s="91"/>
      <c r="E5421" s="91"/>
      <c r="G5421" s="213"/>
      <c r="H5421" s="222"/>
    </row>
    <row r="5422" spans="1:9" s="212" customFormat="1">
      <c r="A5422" s="120"/>
      <c r="B5422" s="73"/>
      <c r="C5422" s="73"/>
      <c r="D5422" s="73"/>
      <c r="E5422" s="73"/>
      <c r="G5422" s="73"/>
      <c r="H5422" s="222"/>
    </row>
    <row r="5423" spans="1:9" s="212" customFormat="1">
      <c r="A5423" s="220"/>
      <c r="B5423" s="141"/>
      <c r="C5423" s="141"/>
      <c r="D5423" s="141"/>
      <c r="E5423" s="141"/>
      <c r="F5423" s="141"/>
      <c r="G5423" s="141"/>
      <c r="H5423" s="222"/>
    </row>
    <row r="5424" spans="1:9" s="212" customFormat="1">
      <c r="A5424" s="142"/>
      <c r="B5424" s="143"/>
      <c r="C5424" s="143"/>
      <c r="D5424" s="143"/>
      <c r="E5424" s="143"/>
      <c r="F5424" s="84"/>
      <c r="G5424" s="146"/>
      <c r="H5424" s="221"/>
    </row>
    <row r="5425" spans="1:9" s="212" customFormat="1">
      <c r="A5425" s="91"/>
      <c r="B5425" s="91"/>
      <c r="C5425" s="91"/>
      <c r="D5425" s="91"/>
      <c r="E5425" s="91"/>
      <c r="G5425" s="213"/>
      <c r="H5425" s="222"/>
    </row>
    <row r="5426" spans="1:9" s="212" customFormat="1">
      <c r="A5426" s="120"/>
      <c r="B5426" s="73"/>
      <c r="C5426" s="73"/>
      <c r="D5426" s="73"/>
      <c r="E5426" s="73"/>
      <c r="G5426" s="73"/>
      <c r="H5426" s="222"/>
    </row>
    <row r="5427" spans="1:9" s="212" customFormat="1">
      <c r="A5427" s="220"/>
      <c r="B5427" s="141"/>
      <c r="C5427" s="141"/>
      <c r="D5427" s="141"/>
      <c r="E5427" s="141"/>
      <c r="F5427" s="141"/>
      <c r="G5427" s="141"/>
      <c r="H5427" s="222"/>
    </row>
    <row r="5428" spans="1:9" s="212" customFormat="1">
      <c r="A5428" s="142"/>
      <c r="B5428" s="143"/>
      <c r="C5428" s="143"/>
      <c r="D5428" s="143"/>
      <c r="E5428" s="143"/>
      <c r="F5428" s="84"/>
      <c r="G5428" s="146"/>
      <c r="H5428" s="221"/>
    </row>
    <row r="5429" spans="1:9" s="212" customFormat="1">
      <c r="A5429" s="123"/>
      <c r="B5429" s="95"/>
      <c r="C5429" s="95"/>
      <c r="D5429" s="95"/>
      <c r="E5429" s="95"/>
      <c r="G5429" s="213"/>
      <c r="H5429" s="73"/>
    </row>
    <row r="5430" spans="1:9" s="212" customFormat="1">
      <c r="A5430" s="123"/>
      <c r="B5430" s="95"/>
      <c r="C5430" s="95"/>
      <c r="D5430" s="95"/>
      <c r="E5430" s="95"/>
      <c r="G5430" s="73"/>
      <c r="H5430" s="225"/>
    </row>
    <row r="5431" spans="1:9" s="212" customFormat="1">
      <c r="B5431" s="97"/>
      <c r="C5431" s="98"/>
      <c r="D5431" s="98"/>
      <c r="E5431" s="98"/>
      <c r="G5431" s="220"/>
    </row>
    <row r="5432" spans="1:9" s="212" customFormat="1">
      <c r="B5432" s="97"/>
      <c r="C5432" s="98"/>
      <c r="D5432" s="98"/>
      <c r="E5432" s="98"/>
      <c r="F5432" s="220"/>
      <c r="G5432" s="225"/>
      <c r="H5432" s="226"/>
    </row>
    <row r="5433" spans="1:9" s="212" customFormat="1">
      <c r="A5433" s="633"/>
      <c r="B5433" s="633"/>
      <c r="C5433" s="633"/>
      <c r="D5433" s="633"/>
      <c r="E5433" s="633"/>
      <c r="F5433" s="633"/>
      <c r="G5433" s="633"/>
    </row>
    <row r="5434" spans="1:9" s="212" customFormat="1">
      <c r="H5434" s="227"/>
      <c r="I5434" s="228"/>
    </row>
    <row r="5435" spans="1:9" s="212" customFormat="1">
      <c r="A5435" s="658"/>
      <c r="B5435" s="227"/>
      <c r="C5435" s="227"/>
      <c r="D5435" s="227"/>
      <c r="E5435" s="227"/>
      <c r="F5435" s="227"/>
      <c r="G5435" s="227"/>
      <c r="H5435" s="227"/>
      <c r="I5435" s="229"/>
    </row>
    <row r="5436" spans="1:9" s="212" customFormat="1">
      <c r="A5436" s="658"/>
      <c r="B5436" s="227"/>
      <c r="C5436" s="227"/>
      <c r="D5436" s="227"/>
      <c r="E5436" s="227"/>
      <c r="F5436" s="227"/>
      <c r="G5436" s="227"/>
    </row>
    <row r="5437" spans="1:9" s="212" customFormat="1">
      <c r="A5437" s="69"/>
      <c r="B5437" s="69"/>
      <c r="C5437" s="69"/>
      <c r="D5437" s="69"/>
      <c r="E5437" s="69"/>
    </row>
    <row r="5438" spans="1:9" s="212" customFormat="1">
      <c r="A5438" s="120"/>
      <c r="B5438" s="73"/>
      <c r="C5438" s="73"/>
      <c r="D5438" s="73"/>
      <c r="E5438" s="73"/>
      <c r="F5438" s="73"/>
      <c r="G5438" s="73"/>
      <c r="H5438" s="73"/>
    </row>
    <row r="5439" spans="1:9" s="212" customFormat="1">
      <c r="A5439" s="220"/>
      <c r="B5439" s="141"/>
      <c r="C5439" s="141"/>
      <c r="D5439" s="141"/>
      <c r="E5439" s="141"/>
      <c r="F5439" s="141"/>
      <c r="G5439" s="141"/>
      <c r="H5439" s="73"/>
    </row>
    <row r="5440" spans="1:9" s="212" customFormat="1">
      <c r="A5440" s="142"/>
      <c r="B5440" s="143"/>
      <c r="C5440" s="143"/>
      <c r="D5440" s="143"/>
      <c r="E5440" s="143"/>
      <c r="F5440" s="84"/>
      <c r="G5440" s="146"/>
      <c r="H5440" s="221"/>
    </row>
    <row r="5441" spans="1:8" s="212" customFormat="1">
      <c r="A5441" s="84"/>
      <c r="B5441" s="83"/>
      <c r="C5441" s="84"/>
      <c r="D5441" s="84"/>
      <c r="E5441" s="84"/>
      <c r="G5441" s="213"/>
      <c r="H5441" s="222"/>
    </row>
    <row r="5442" spans="1:8" s="212" customFormat="1">
      <c r="A5442" s="120"/>
      <c r="B5442" s="73"/>
      <c r="C5442" s="73"/>
      <c r="D5442" s="73"/>
      <c r="E5442" s="73"/>
      <c r="G5442" s="73"/>
      <c r="H5442" s="222"/>
    </row>
    <row r="5443" spans="1:8" s="212" customFormat="1">
      <c r="A5443" s="220"/>
      <c r="B5443" s="141"/>
      <c r="C5443" s="141"/>
      <c r="D5443" s="141"/>
      <c r="E5443" s="141"/>
      <c r="F5443" s="141"/>
      <c r="G5443" s="141"/>
      <c r="H5443" s="222"/>
    </row>
    <row r="5444" spans="1:8" s="212" customFormat="1">
      <c r="A5444" s="150"/>
      <c r="B5444" s="83"/>
      <c r="C5444" s="148"/>
      <c r="D5444" s="160"/>
      <c r="E5444" s="84"/>
      <c r="F5444" s="84"/>
      <c r="G5444" s="146"/>
      <c r="H5444" s="221"/>
    </row>
    <row r="5445" spans="1:8" s="212" customFormat="1">
      <c r="A5445" s="91"/>
      <c r="B5445" s="91"/>
      <c r="C5445" s="91"/>
      <c r="D5445" s="91"/>
      <c r="E5445" s="91"/>
      <c r="G5445" s="213"/>
      <c r="H5445" s="222"/>
    </row>
    <row r="5446" spans="1:8" s="212" customFormat="1">
      <c r="A5446" s="120"/>
      <c r="B5446" s="73"/>
      <c r="C5446" s="73"/>
      <c r="D5446" s="73"/>
      <c r="E5446" s="73"/>
      <c r="G5446" s="73"/>
      <c r="H5446" s="222"/>
    </row>
    <row r="5447" spans="1:8" s="212" customFormat="1">
      <c r="A5447" s="220"/>
      <c r="B5447" s="141"/>
      <c r="C5447" s="141"/>
      <c r="D5447" s="141"/>
      <c r="E5447" s="141"/>
      <c r="F5447" s="141"/>
      <c r="G5447" s="141"/>
      <c r="H5447" s="222"/>
    </row>
    <row r="5448" spans="1:8" s="212" customFormat="1">
      <c r="A5448" s="142"/>
      <c r="B5448" s="143"/>
      <c r="C5448" s="143"/>
      <c r="D5448" s="143"/>
      <c r="E5448" s="143"/>
      <c r="F5448" s="84"/>
      <c r="G5448" s="146"/>
      <c r="H5448" s="221"/>
    </row>
    <row r="5449" spans="1:8" s="212" customFormat="1">
      <c r="A5449" s="91"/>
      <c r="B5449" s="91"/>
      <c r="C5449" s="91"/>
      <c r="D5449" s="91"/>
      <c r="E5449" s="91"/>
      <c r="G5449" s="213"/>
      <c r="H5449" s="222"/>
    </row>
    <row r="5450" spans="1:8" s="212" customFormat="1">
      <c r="A5450" s="120"/>
      <c r="B5450" s="73"/>
      <c r="C5450" s="73"/>
      <c r="D5450" s="73"/>
      <c r="E5450" s="73"/>
      <c r="G5450" s="73"/>
      <c r="H5450" s="222"/>
    </row>
    <row r="5451" spans="1:8" s="212" customFormat="1">
      <c r="A5451" s="220"/>
      <c r="B5451" s="141"/>
      <c r="C5451" s="141"/>
      <c r="D5451" s="141"/>
      <c r="E5451" s="141"/>
      <c r="F5451" s="141"/>
      <c r="G5451" s="141"/>
      <c r="H5451" s="222"/>
    </row>
    <row r="5452" spans="1:8" s="212" customFormat="1">
      <c r="A5452" s="142"/>
      <c r="B5452" s="143"/>
      <c r="C5452" s="143"/>
      <c r="D5452" s="143"/>
      <c r="E5452" s="143"/>
      <c r="F5452" s="84"/>
      <c r="G5452" s="146"/>
      <c r="H5452" s="221"/>
    </row>
    <row r="5453" spans="1:8" s="212" customFormat="1">
      <c r="A5453" s="123"/>
      <c r="B5453" s="95"/>
      <c r="C5453" s="95"/>
      <c r="D5453" s="95"/>
      <c r="E5453" s="95"/>
      <c r="G5453" s="213"/>
      <c r="H5453" s="73"/>
    </row>
    <row r="5454" spans="1:8" s="212" customFormat="1">
      <c r="A5454" s="123"/>
      <c r="B5454" s="95"/>
      <c r="C5454" s="95"/>
      <c r="D5454" s="95"/>
      <c r="E5454" s="95"/>
      <c r="G5454" s="73"/>
      <c r="H5454" s="225"/>
    </row>
    <row r="5455" spans="1:8" s="212" customFormat="1">
      <c r="B5455" s="97"/>
      <c r="C5455" s="98"/>
      <c r="D5455" s="98"/>
      <c r="E5455" s="98"/>
      <c r="G5455" s="220"/>
    </row>
    <row r="5456" spans="1:8" s="212" customFormat="1">
      <c r="B5456" s="97"/>
      <c r="C5456" s="98"/>
      <c r="D5456" s="98"/>
      <c r="E5456" s="98"/>
      <c r="F5456" s="220"/>
      <c r="G5456" s="225"/>
      <c r="H5456" s="226"/>
    </row>
    <row r="5457" spans="1:9" s="212" customFormat="1">
      <c r="A5457" s="633"/>
      <c r="B5457" s="633"/>
      <c r="C5457" s="633"/>
      <c r="D5457" s="633"/>
      <c r="E5457" s="633"/>
      <c r="F5457" s="633"/>
      <c r="G5457" s="633"/>
    </row>
    <row r="5458" spans="1:9" s="212" customFormat="1">
      <c r="H5458" s="227"/>
      <c r="I5458" s="228"/>
    </row>
    <row r="5459" spans="1:9" s="212" customFormat="1">
      <c r="A5459" s="658"/>
      <c r="B5459" s="227"/>
      <c r="C5459" s="227"/>
      <c r="D5459" s="227"/>
      <c r="E5459" s="227"/>
      <c r="F5459" s="227"/>
      <c r="G5459" s="227"/>
      <c r="H5459" s="227"/>
      <c r="I5459" s="229"/>
    </row>
    <row r="5460" spans="1:9" s="212" customFormat="1">
      <c r="A5460" s="658"/>
      <c r="B5460" s="227"/>
      <c r="C5460" s="227"/>
      <c r="D5460" s="227"/>
      <c r="E5460" s="227"/>
      <c r="F5460" s="227"/>
      <c r="G5460" s="227"/>
    </row>
    <row r="5461" spans="1:9" s="212" customFormat="1">
      <c r="A5461" s="69"/>
      <c r="B5461" s="69"/>
      <c r="C5461" s="69"/>
      <c r="D5461" s="69"/>
      <c r="E5461" s="69"/>
    </row>
    <row r="5462" spans="1:9" s="212" customFormat="1">
      <c r="A5462" s="120"/>
      <c r="B5462" s="73"/>
      <c r="C5462" s="73"/>
      <c r="D5462" s="73"/>
      <c r="E5462" s="73"/>
      <c r="F5462" s="73"/>
      <c r="G5462" s="73"/>
      <c r="H5462" s="73"/>
    </row>
    <row r="5463" spans="1:9" s="212" customFormat="1">
      <c r="A5463" s="220"/>
      <c r="B5463" s="141"/>
      <c r="C5463" s="141"/>
      <c r="D5463" s="141"/>
      <c r="E5463" s="141"/>
      <c r="F5463" s="141"/>
      <c r="G5463" s="141"/>
      <c r="H5463" s="73"/>
    </row>
    <row r="5464" spans="1:9" s="212" customFormat="1">
      <c r="A5464" s="142"/>
      <c r="B5464" s="143"/>
      <c r="C5464" s="143"/>
      <c r="D5464" s="143"/>
      <c r="E5464" s="143"/>
      <c r="F5464" s="84"/>
      <c r="G5464" s="146"/>
      <c r="H5464" s="221"/>
    </row>
    <row r="5465" spans="1:9" s="212" customFormat="1">
      <c r="A5465" s="84"/>
      <c r="B5465" s="83"/>
      <c r="C5465" s="84"/>
      <c r="D5465" s="84"/>
      <c r="E5465" s="84"/>
      <c r="G5465" s="213"/>
      <c r="H5465" s="222"/>
    </row>
    <row r="5466" spans="1:9" s="212" customFormat="1">
      <c r="A5466" s="120"/>
      <c r="B5466" s="73"/>
      <c r="C5466" s="73"/>
      <c r="D5466" s="73"/>
      <c r="E5466" s="73"/>
      <c r="G5466" s="73"/>
      <c r="H5466" s="222"/>
    </row>
    <row r="5467" spans="1:9" s="212" customFormat="1">
      <c r="A5467" s="220"/>
      <c r="B5467" s="141"/>
      <c r="C5467" s="141"/>
      <c r="D5467" s="141"/>
      <c r="E5467" s="141"/>
      <c r="F5467" s="141"/>
      <c r="G5467" s="141"/>
      <c r="H5467" s="222"/>
    </row>
    <row r="5468" spans="1:9" s="212" customFormat="1">
      <c r="A5468" s="150"/>
      <c r="B5468" s="83"/>
      <c r="C5468" s="148"/>
      <c r="D5468" s="160"/>
      <c r="E5468" s="84"/>
      <c r="F5468" s="84"/>
      <c r="G5468" s="146"/>
      <c r="H5468" s="221"/>
    </row>
    <row r="5469" spans="1:9" s="212" customFormat="1">
      <c r="A5469" s="91"/>
      <c r="B5469" s="91"/>
      <c r="C5469" s="91"/>
      <c r="D5469" s="91"/>
      <c r="E5469" s="91"/>
      <c r="G5469" s="213"/>
      <c r="H5469" s="222"/>
    </row>
    <row r="5470" spans="1:9" s="212" customFormat="1">
      <c r="A5470" s="120"/>
      <c r="B5470" s="73"/>
      <c r="C5470" s="73"/>
      <c r="D5470" s="73"/>
      <c r="E5470" s="73"/>
      <c r="G5470" s="73"/>
      <c r="H5470" s="222"/>
    </row>
    <row r="5471" spans="1:9" s="212" customFormat="1">
      <c r="A5471" s="220"/>
      <c r="B5471" s="141"/>
      <c r="C5471" s="141"/>
      <c r="D5471" s="141"/>
      <c r="E5471" s="141"/>
      <c r="F5471" s="141"/>
      <c r="G5471" s="141"/>
      <c r="H5471" s="222"/>
    </row>
    <row r="5472" spans="1:9" s="212" customFormat="1">
      <c r="A5472" s="142"/>
      <c r="B5472" s="143"/>
      <c r="C5472" s="143"/>
      <c r="D5472" s="143"/>
      <c r="E5472" s="143"/>
      <c r="F5472" s="84"/>
      <c r="G5472" s="146"/>
      <c r="H5472" s="221"/>
    </row>
    <row r="5473" spans="1:9" s="212" customFormat="1">
      <c r="A5473" s="91"/>
      <c r="B5473" s="91"/>
      <c r="C5473" s="91"/>
      <c r="D5473" s="91"/>
      <c r="E5473" s="91"/>
      <c r="G5473" s="213"/>
      <c r="H5473" s="222"/>
    </row>
    <row r="5474" spans="1:9" s="212" customFormat="1">
      <c r="A5474" s="120"/>
      <c r="B5474" s="73"/>
      <c r="C5474" s="73"/>
      <c r="D5474" s="73"/>
      <c r="E5474" s="73"/>
      <c r="G5474" s="73"/>
      <c r="H5474" s="222"/>
    </row>
    <row r="5475" spans="1:9" s="212" customFormat="1">
      <c r="A5475" s="220"/>
      <c r="B5475" s="141"/>
      <c r="C5475" s="141"/>
      <c r="D5475" s="141"/>
      <c r="E5475" s="141"/>
      <c r="F5475" s="141"/>
      <c r="G5475" s="141"/>
      <c r="H5475" s="222"/>
    </row>
    <row r="5476" spans="1:9" s="212" customFormat="1">
      <c r="A5476" s="142"/>
      <c r="B5476" s="143"/>
      <c r="C5476" s="143"/>
      <c r="D5476" s="143"/>
      <c r="E5476" s="143"/>
      <c r="F5476" s="84"/>
      <c r="G5476" s="146"/>
      <c r="H5476" s="221"/>
    </row>
    <row r="5477" spans="1:9" s="212" customFormat="1">
      <c r="A5477" s="123"/>
      <c r="B5477" s="95"/>
      <c r="C5477" s="95"/>
      <c r="D5477" s="95"/>
      <c r="E5477" s="95"/>
      <c r="G5477" s="213"/>
      <c r="H5477" s="73"/>
    </row>
    <row r="5478" spans="1:9" s="212" customFormat="1">
      <c r="A5478" s="123"/>
      <c r="B5478" s="95"/>
      <c r="C5478" s="95"/>
      <c r="D5478" s="95"/>
      <c r="E5478" s="95"/>
      <c r="G5478" s="73"/>
      <c r="H5478" s="225"/>
    </row>
    <row r="5479" spans="1:9" s="212" customFormat="1">
      <c r="B5479" s="97"/>
      <c r="C5479" s="98"/>
      <c r="D5479" s="98"/>
      <c r="E5479" s="98"/>
      <c r="G5479" s="220"/>
    </row>
    <row r="5480" spans="1:9" s="212" customFormat="1">
      <c r="B5480" s="97"/>
      <c r="C5480" s="98"/>
      <c r="D5480" s="98"/>
      <c r="E5480" s="98"/>
      <c r="F5480" s="220"/>
      <c r="G5480" s="225"/>
      <c r="H5480" s="226"/>
    </row>
    <row r="5481" spans="1:9" s="212" customFormat="1">
      <c r="A5481" s="633"/>
      <c r="B5481" s="633"/>
      <c r="C5481" s="633"/>
      <c r="D5481" s="633"/>
      <c r="E5481" s="633"/>
      <c r="F5481" s="633"/>
      <c r="G5481" s="633"/>
    </row>
    <row r="5482" spans="1:9" s="212" customFormat="1">
      <c r="H5482" s="227"/>
      <c r="I5482" s="228"/>
    </row>
    <row r="5483" spans="1:9" s="212" customFormat="1">
      <c r="A5483" s="658"/>
      <c r="B5483" s="227"/>
      <c r="C5483" s="227"/>
      <c r="D5483" s="227"/>
      <c r="E5483" s="227"/>
      <c r="F5483" s="227"/>
      <c r="G5483" s="227"/>
      <c r="H5483" s="227"/>
      <c r="I5483" s="229"/>
    </row>
    <row r="5484" spans="1:9" s="212" customFormat="1">
      <c r="A5484" s="658"/>
      <c r="B5484" s="227"/>
      <c r="C5484" s="227"/>
      <c r="D5484" s="227"/>
      <c r="E5484" s="227"/>
      <c r="F5484" s="227"/>
      <c r="G5484" s="227"/>
    </row>
    <row r="5485" spans="1:9" s="212" customFormat="1">
      <c r="A5485" s="69"/>
      <c r="B5485" s="69"/>
      <c r="C5485" s="69"/>
      <c r="D5485" s="69"/>
      <c r="E5485" s="69"/>
    </row>
    <row r="5486" spans="1:9" s="212" customFormat="1">
      <c r="A5486" s="120"/>
      <c r="B5486" s="73"/>
      <c r="C5486" s="73"/>
      <c r="D5486" s="73"/>
      <c r="E5486" s="73"/>
      <c r="F5486" s="73"/>
      <c r="G5486" s="73"/>
      <c r="H5486" s="73"/>
    </row>
    <row r="5487" spans="1:9" s="212" customFormat="1">
      <c r="A5487" s="220"/>
      <c r="B5487" s="141"/>
      <c r="C5487" s="141"/>
      <c r="D5487" s="141"/>
      <c r="E5487" s="141"/>
      <c r="F5487" s="141"/>
      <c r="G5487" s="141"/>
      <c r="H5487" s="73"/>
    </row>
    <row r="5488" spans="1:9" s="212" customFormat="1">
      <c r="A5488" s="142"/>
      <c r="B5488" s="143"/>
      <c r="C5488" s="143"/>
      <c r="D5488" s="143"/>
      <c r="E5488" s="143"/>
      <c r="F5488" s="84"/>
      <c r="G5488" s="146"/>
      <c r="H5488" s="221"/>
    </row>
    <row r="5489" spans="1:8" s="212" customFormat="1">
      <c r="A5489" s="84"/>
      <c r="B5489" s="83"/>
      <c r="C5489" s="84"/>
      <c r="D5489" s="84"/>
      <c r="E5489" s="84"/>
      <c r="G5489" s="213"/>
      <c r="H5489" s="222"/>
    </row>
    <row r="5490" spans="1:8" s="212" customFormat="1">
      <c r="A5490" s="120"/>
      <c r="B5490" s="73"/>
      <c r="C5490" s="73"/>
      <c r="D5490" s="73"/>
      <c r="E5490" s="73"/>
      <c r="G5490" s="73"/>
      <c r="H5490" s="222"/>
    </row>
    <row r="5491" spans="1:8" s="212" customFormat="1">
      <c r="A5491" s="220"/>
      <c r="B5491" s="141"/>
      <c r="C5491" s="141"/>
      <c r="D5491" s="141"/>
      <c r="E5491" s="141"/>
      <c r="F5491" s="141"/>
      <c r="G5491" s="141"/>
      <c r="H5491" s="222"/>
    </row>
    <row r="5492" spans="1:8" s="212" customFormat="1">
      <c r="A5492" s="150"/>
      <c r="B5492" s="83"/>
      <c r="C5492" s="148"/>
      <c r="D5492" s="160"/>
      <c r="E5492" s="84"/>
      <c r="F5492" s="84"/>
      <c r="G5492" s="146"/>
      <c r="H5492" s="221"/>
    </row>
    <row r="5493" spans="1:8" s="212" customFormat="1">
      <c r="A5493" s="91"/>
      <c r="B5493" s="91"/>
      <c r="C5493" s="91"/>
      <c r="D5493" s="91"/>
      <c r="E5493" s="91"/>
      <c r="G5493" s="213"/>
      <c r="H5493" s="222"/>
    </row>
    <row r="5494" spans="1:8" s="212" customFormat="1">
      <c r="A5494" s="120"/>
      <c r="B5494" s="73"/>
      <c r="C5494" s="73"/>
      <c r="D5494" s="73"/>
      <c r="E5494" s="73"/>
      <c r="G5494" s="73"/>
      <c r="H5494" s="222"/>
    </row>
    <row r="5495" spans="1:8" s="212" customFormat="1">
      <c r="A5495" s="220"/>
      <c r="B5495" s="141"/>
      <c r="C5495" s="141"/>
      <c r="D5495" s="141"/>
      <c r="E5495" s="141"/>
      <c r="F5495" s="141"/>
      <c r="G5495" s="141"/>
      <c r="H5495" s="222"/>
    </row>
    <row r="5496" spans="1:8" s="212" customFormat="1">
      <c r="A5496" s="142"/>
      <c r="B5496" s="143"/>
      <c r="C5496" s="143"/>
      <c r="D5496" s="143"/>
      <c r="E5496" s="143"/>
      <c r="F5496" s="84"/>
      <c r="G5496" s="146"/>
      <c r="H5496" s="221"/>
    </row>
    <row r="5497" spans="1:8" s="212" customFormat="1">
      <c r="A5497" s="91"/>
      <c r="B5497" s="91"/>
      <c r="C5497" s="91"/>
      <c r="D5497" s="91"/>
      <c r="E5497" s="91"/>
      <c r="G5497" s="213"/>
      <c r="H5497" s="222"/>
    </row>
    <row r="5498" spans="1:8" s="212" customFormat="1">
      <c r="A5498" s="120"/>
      <c r="B5498" s="73"/>
      <c r="C5498" s="73"/>
      <c r="D5498" s="73"/>
      <c r="E5498" s="73"/>
      <c r="G5498" s="73"/>
      <c r="H5498" s="222"/>
    </row>
    <row r="5499" spans="1:8" s="212" customFormat="1">
      <c r="A5499" s="220"/>
      <c r="B5499" s="141"/>
      <c r="C5499" s="141"/>
      <c r="D5499" s="141"/>
      <c r="E5499" s="141"/>
      <c r="F5499" s="141"/>
      <c r="G5499" s="141"/>
      <c r="H5499" s="222"/>
    </row>
    <row r="5500" spans="1:8" s="212" customFormat="1">
      <c r="A5500" s="142"/>
      <c r="B5500" s="143"/>
      <c r="C5500" s="143"/>
      <c r="D5500" s="143"/>
      <c r="E5500" s="143"/>
      <c r="F5500" s="84"/>
      <c r="G5500" s="146"/>
      <c r="H5500" s="221"/>
    </row>
    <row r="5501" spans="1:8" s="212" customFormat="1">
      <c r="A5501" s="123"/>
      <c r="B5501" s="95"/>
      <c r="C5501" s="95"/>
      <c r="D5501" s="95"/>
      <c r="E5501" s="95"/>
      <c r="G5501" s="213"/>
      <c r="H5501" s="73"/>
    </row>
    <row r="5502" spans="1:8" s="212" customFormat="1">
      <c r="A5502" s="123"/>
      <c r="B5502" s="95"/>
      <c r="C5502" s="95"/>
      <c r="D5502" s="95"/>
      <c r="E5502" s="95"/>
      <c r="G5502" s="73"/>
      <c r="H5502" s="225"/>
    </row>
    <row r="5503" spans="1:8" s="212" customFormat="1">
      <c r="B5503" s="97"/>
      <c r="C5503" s="98"/>
      <c r="D5503" s="98"/>
      <c r="E5503" s="98"/>
      <c r="G5503" s="220"/>
    </row>
    <row r="5504" spans="1:8" s="212" customFormat="1">
      <c r="B5504" s="97"/>
      <c r="C5504" s="98"/>
      <c r="D5504" s="98"/>
      <c r="E5504" s="98"/>
      <c r="F5504" s="220"/>
      <c r="G5504" s="225"/>
      <c r="H5504" s="226"/>
    </row>
    <row r="5505" spans="1:9" s="212" customFormat="1">
      <c r="A5505" s="633"/>
      <c r="B5505" s="633"/>
      <c r="C5505" s="633"/>
      <c r="D5505" s="633"/>
      <c r="E5505" s="633"/>
      <c r="F5505" s="633"/>
      <c r="G5505" s="633"/>
    </row>
    <row r="5506" spans="1:9" s="212" customFormat="1">
      <c r="H5506" s="227"/>
      <c r="I5506" s="228"/>
    </row>
    <row r="5507" spans="1:9" s="212" customFormat="1">
      <c r="A5507" s="658"/>
      <c r="B5507" s="227"/>
      <c r="C5507" s="227"/>
      <c r="D5507" s="227"/>
      <c r="E5507" s="227"/>
      <c r="F5507" s="227"/>
      <c r="G5507" s="227"/>
      <c r="H5507" s="227"/>
      <c r="I5507" s="229"/>
    </row>
    <row r="5508" spans="1:9" s="212" customFormat="1">
      <c r="A5508" s="658"/>
      <c r="B5508" s="227"/>
      <c r="C5508" s="227"/>
      <c r="D5508" s="227"/>
      <c r="E5508" s="227"/>
      <c r="F5508" s="227"/>
      <c r="G5508" s="227"/>
    </row>
    <row r="5509" spans="1:9" s="212" customFormat="1">
      <c r="A5509" s="69"/>
      <c r="B5509" s="69"/>
      <c r="C5509" s="69"/>
      <c r="D5509" s="69"/>
      <c r="E5509" s="69"/>
    </row>
    <row r="5510" spans="1:9" s="212" customFormat="1">
      <c r="A5510" s="120"/>
      <c r="B5510" s="73"/>
      <c r="C5510" s="73"/>
      <c r="D5510" s="73"/>
      <c r="E5510" s="73"/>
      <c r="F5510" s="73"/>
      <c r="G5510" s="73"/>
      <c r="H5510" s="73"/>
    </row>
    <row r="5511" spans="1:9" s="212" customFormat="1">
      <c r="A5511" s="220"/>
      <c r="B5511" s="141"/>
      <c r="C5511" s="141"/>
      <c r="D5511" s="141"/>
      <c r="E5511" s="141"/>
      <c r="F5511" s="141"/>
      <c r="G5511" s="141"/>
      <c r="H5511" s="73"/>
    </row>
    <row r="5512" spans="1:9" s="212" customFormat="1">
      <c r="A5512" s="142"/>
      <c r="B5512" s="143"/>
      <c r="C5512" s="143"/>
      <c r="D5512" s="143"/>
      <c r="E5512" s="143"/>
      <c r="F5512" s="84"/>
      <c r="G5512" s="146"/>
      <c r="H5512" s="221"/>
    </row>
    <row r="5513" spans="1:9" s="212" customFormat="1">
      <c r="A5513" s="84"/>
      <c r="B5513" s="83"/>
      <c r="C5513" s="84"/>
      <c r="D5513" s="84"/>
      <c r="E5513" s="84"/>
      <c r="G5513" s="213"/>
      <c r="H5513" s="222"/>
    </row>
    <row r="5514" spans="1:9" s="212" customFormat="1">
      <c r="A5514" s="120"/>
      <c r="B5514" s="73"/>
      <c r="C5514" s="73"/>
      <c r="D5514" s="73"/>
      <c r="E5514" s="73"/>
      <c r="G5514" s="73"/>
      <c r="H5514" s="222"/>
    </row>
    <row r="5515" spans="1:9" s="212" customFormat="1">
      <c r="A5515" s="220"/>
      <c r="B5515" s="141"/>
      <c r="C5515" s="141"/>
      <c r="D5515" s="141"/>
      <c r="E5515" s="141"/>
      <c r="F5515" s="141"/>
      <c r="G5515" s="141"/>
      <c r="H5515" s="222"/>
    </row>
    <row r="5516" spans="1:9" s="212" customFormat="1">
      <c r="A5516" s="150"/>
      <c r="B5516" s="83"/>
      <c r="C5516" s="148"/>
      <c r="D5516" s="160"/>
      <c r="E5516" s="84"/>
      <c r="F5516" s="84"/>
      <c r="G5516" s="146"/>
      <c r="H5516" s="221"/>
    </row>
    <row r="5517" spans="1:9" s="212" customFormat="1">
      <c r="A5517" s="91"/>
      <c r="B5517" s="91"/>
      <c r="C5517" s="91"/>
      <c r="D5517" s="91"/>
      <c r="E5517" s="91"/>
      <c r="G5517" s="213"/>
      <c r="H5517" s="222"/>
    </row>
    <row r="5518" spans="1:9" s="212" customFormat="1">
      <c r="A5518" s="120"/>
      <c r="B5518" s="73"/>
      <c r="C5518" s="73"/>
      <c r="D5518" s="73"/>
      <c r="E5518" s="73"/>
      <c r="G5518" s="73"/>
      <c r="H5518" s="222"/>
    </row>
    <row r="5519" spans="1:9" s="212" customFormat="1">
      <c r="A5519" s="220"/>
      <c r="B5519" s="141"/>
      <c r="C5519" s="141"/>
      <c r="D5519" s="141"/>
      <c r="E5519" s="141"/>
      <c r="F5519" s="141"/>
      <c r="G5519" s="141"/>
      <c r="H5519" s="222"/>
    </row>
    <row r="5520" spans="1:9" s="212" customFormat="1">
      <c r="A5520" s="142"/>
      <c r="B5520" s="143"/>
      <c r="C5520" s="143"/>
      <c r="D5520" s="143"/>
      <c r="E5520" s="143"/>
      <c r="F5520" s="84"/>
      <c r="G5520" s="146"/>
      <c r="H5520" s="221"/>
    </row>
    <row r="5521" spans="1:9" s="212" customFormat="1">
      <c r="A5521" s="91"/>
      <c r="B5521" s="91"/>
      <c r="C5521" s="91"/>
      <c r="D5521" s="91"/>
      <c r="E5521" s="91"/>
      <c r="G5521" s="213"/>
      <c r="H5521" s="222"/>
    </row>
    <row r="5522" spans="1:9" s="212" customFormat="1">
      <c r="A5522" s="120"/>
      <c r="B5522" s="73"/>
      <c r="C5522" s="73"/>
      <c r="D5522" s="73"/>
      <c r="E5522" s="73"/>
      <c r="G5522" s="73"/>
      <c r="H5522" s="222"/>
    </row>
    <row r="5523" spans="1:9" s="212" customFormat="1">
      <c r="A5523" s="220"/>
      <c r="B5523" s="141"/>
      <c r="C5523" s="141"/>
      <c r="D5523" s="141"/>
      <c r="E5523" s="141"/>
      <c r="F5523" s="141"/>
      <c r="G5523" s="141"/>
      <c r="H5523" s="222"/>
    </row>
    <row r="5524" spans="1:9" s="212" customFormat="1">
      <c r="A5524" s="142"/>
      <c r="B5524" s="143"/>
      <c r="C5524" s="143"/>
      <c r="D5524" s="143"/>
      <c r="E5524" s="143"/>
      <c r="F5524" s="84"/>
      <c r="G5524" s="146"/>
      <c r="H5524" s="221"/>
    </row>
    <row r="5525" spans="1:9" s="212" customFormat="1">
      <c r="A5525" s="123"/>
      <c r="B5525" s="95"/>
      <c r="C5525" s="95"/>
      <c r="D5525" s="95"/>
      <c r="E5525" s="95"/>
      <c r="G5525" s="213"/>
      <c r="H5525" s="73"/>
    </row>
    <row r="5526" spans="1:9" s="212" customFormat="1">
      <c r="A5526" s="123"/>
      <c r="B5526" s="95"/>
      <c r="C5526" s="95"/>
      <c r="D5526" s="95"/>
      <c r="E5526" s="95"/>
      <c r="G5526" s="73"/>
      <c r="H5526" s="225"/>
    </row>
    <row r="5527" spans="1:9" s="212" customFormat="1">
      <c r="B5527" s="97"/>
      <c r="C5527" s="98"/>
      <c r="D5527" s="98"/>
      <c r="E5527" s="98"/>
      <c r="G5527" s="220"/>
    </row>
    <row r="5528" spans="1:9" s="212" customFormat="1">
      <c r="B5528" s="97"/>
      <c r="C5528" s="98"/>
      <c r="D5528" s="98"/>
      <c r="E5528" s="98"/>
      <c r="F5528" s="220"/>
      <c r="G5528" s="225"/>
      <c r="H5528" s="226"/>
    </row>
    <row r="5529" spans="1:9" s="212" customFormat="1">
      <c r="A5529" s="633"/>
      <c r="B5529" s="633"/>
      <c r="C5529" s="633"/>
      <c r="D5529" s="633"/>
      <c r="E5529" s="633"/>
      <c r="F5529" s="633"/>
      <c r="G5529" s="633"/>
    </row>
    <row r="5530" spans="1:9" s="212" customFormat="1">
      <c r="H5530" s="227"/>
      <c r="I5530" s="228"/>
    </row>
    <row r="5531" spans="1:9" s="212" customFormat="1">
      <c r="A5531" s="658"/>
      <c r="B5531" s="227"/>
      <c r="C5531" s="227"/>
      <c r="D5531" s="227"/>
      <c r="E5531" s="227"/>
      <c r="F5531" s="227"/>
      <c r="G5531" s="227"/>
      <c r="H5531" s="227"/>
      <c r="I5531" s="229"/>
    </row>
    <row r="5532" spans="1:9" s="212" customFormat="1">
      <c r="A5532" s="658"/>
      <c r="B5532" s="227"/>
      <c r="C5532" s="227"/>
      <c r="D5532" s="227"/>
      <c r="E5532" s="227"/>
      <c r="F5532" s="227"/>
      <c r="G5532" s="227"/>
    </row>
    <row r="5533" spans="1:9" s="212" customFormat="1">
      <c r="A5533" s="69"/>
      <c r="B5533" s="69"/>
      <c r="C5533" s="69"/>
      <c r="D5533" s="69"/>
      <c r="E5533" s="69"/>
    </row>
    <row r="5534" spans="1:9" s="212" customFormat="1">
      <c r="A5534" s="120"/>
      <c r="B5534" s="73"/>
      <c r="C5534" s="73"/>
      <c r="D5534" s="73"/>
      <c r="E5534" s="73"/>
      <c r="F5534" s="73"/>
      <c r="G5534" s="73"/>
      <c r="H5534" s="73"/>
    </row>
    <row r="5535" spans="1:9" s="212" customFormat="1">
      <c r="A5535" s="220"/>
      <c r="B5535" s="141"/>
      <c r="C5535" s="141"/>
      <c r="D5535" s="141"/>
      <c r="E5535" s="141"/>
      <c r="F5535" s="141"/>
      <c r="G5535" s="141"/>
      <c r="H5535" s="73"/>
    </row>
    <row r="5536" spans="1:9" s="212" customFormat="1">
      <c r="A5536" s="142"/>
      <c r="B5536" s="143"/>
      <c r="C5536" s="143"/>
      <c r="D5536" s="143"/>
      <c r="E5536" s="143"/>
      <c r="F5536" s="84"/>
      <c r="G5536" s="146"/>
      <c r="H5536" s="221"/>
    </row>
    <row r="5537" spans="1:8" s="212" customFormat="1">
      <c r="A5537" s="84"/>
      <c r="B5537" s="83"/>
      <c r="C5537" s="84"/>
      <c r="D5537" s="84"/>
      <c r="E5537" s="84"/>
      <c r="G5537" s="213"/>
      <c r="H5537" s="222"/>
    </row>
    <row r="5538" spans="1:8" s="212" customFormat="1">
      <c r="A5538" s="120"/>
      <c r="B5538" s="73"/>
      <c r="C5538" s="73"/>
      <c r="D5538" s="73"/>
      <c r="E5538" s="73"/>
      <c r="G5538" s="73"/>
      <c r="H5538" s="222"/>
    </row>
    <row r="5539" spans="1:8" s="212" customFormat="1">
      <c r="A5539" s="220"/>
      <c r="B5539" s="141"/>
      <c r="C5539" s="141"/>
      <c r="D5539" s="141"/>
      <c r="E5539" s="141"/>
      <c r="F5539" s="141"/>
      <c r="G5539" s="141"/>
      <c r="H5539" s="222"/>
    </row>
    <row r="5540" spans="1:8" s="212" customFormat="1">
      <c r="A5540" s="150"/>
      <c r="B5540" s="83"/>
      <c r="C5540" s="148"/>
      <c r="D5540" s="160"/>
      <c r="E5540" s="84"/>
      <c r="F5540" s="84"/>
      <c r="G5540" s="146"/>
      <c r="H5540" s="221"/>
    </row>
    <row r="5541" spans="1:8" s="212" customFormat="1">
      <c r="A5541" s="91"/>
      <c r="B5541" s="91"/>
      <c r="C5541" s="91"/>
      <c r="D5541" s="91"/>
      <c r="E5541" s="91"/>
      <c r="G5541" s="213"/>
      <c r="H5541" s="222"/>
    </row>
    <row r="5542" spans="1:8" s="212" customFormat="1">
      <c r="A5542" s="120"/>
      <c r="B5542" s="73"/>
      <c r="C5542" s="73"/>
      <c r="D5542" s="73"/>
      <c r="E5542" s="73"/>
      <c r="G5542" s="73"/>
      <c r="H5542" s="222"/>
    </row>
    <row r="5543" spans="1:8" s="212" customFormat="1">
      <c r="A5543" s="220"/>
      <c r="B5543" s="141"/>
      <c r="C5543" s="141"/>
      <c r="D5543" s="141"/>
      <c r="E5543" s="141"/>
      <c r="F5543" s="141"/>
      <c r="G5543" s="141"/>
      <c r="H5543" s="222"/>
    </row>
    <row r="5544" spans="1:8" s="212" customFormat="1">
      <c r="A5544" s="142"/>
      <c r="B5544" s="143"/>
      <c r="C5544" s="143"/>
      <c r="D5544" s="143"/>
      <c r="E5544" s="143"/>
      <c r="F5544" s="84"/>
      <c r="G5544" s="146"/>
      <c r="H5544" s="221"/>
    </row>
    <row r="5545" spans="1:8" s="212" customFormat="1">
      <c r="A5545" s="91"/>
      <c r="B5545" s="91"/>
      <c r="C5545" s="91"/>
      <c r="D5545" s="91"/>
      <c r="E5545" s="91"/>
      <c r="G5545" s="213"/>
      <c r="H5545" s="222"/>
    </row>
    <row r="5546" spans="1:8" s="212" customFormat="1">
      <c r="A5546" s="120"/>
      <c r="B5546" s="73"/>
      <c r="C5546" s="73"/>
      <c r="D5546" s="73"/>
      <c r="E5546" s="73"/>
      <c r="G5546" s="73"/>
      <c r="H5546" s="222"/>
    </row>
    <row r="5547" spans="1:8" s="212" customFormat="1">
      <c r="A5547" s="220"/>
      <c r="B5547" s="141"/>
      <c r="C5547" s="141"/>
      <c r="D5547" s="141"/>
      <c r="E5547" s="141"/>
      <c r="F5547" s="141"/>
      <c r="G5547" s="141"/>
      <c r="H5547" s="222"/>
    </row>
    <row r="5548" spans="1:8" s="212" customFormat="1">
      <c r="A5548" s="142"/>
      <c r="B5548" s="143"/>
      <c r="C5548" s="143"/>
      <c r="D5548" s="143"/>
      <c r="E5548" s="143"/>
      <c r="F5548" s="84"/>
      <c r="G5548" s="146"/>
      <c r="H5548" s="221"/>
    </row>
    <row r="5549" spans="1:8" s="212" customFormat="1">
      <c r="A5549" s="123"/>
      <c r="B5549" s="95"/>
      <c r="C5549" s="95"/>
      <c r="D5549" s="95"/>
      <c r="E5549" s="95"/>
      <c r="G5549" s="213"/>
      <c r="H5549" s="73"/>
    </row>
    <row r="5550" spans="1:8" s="212" customFormat="1">
      <c r="A5550" s="123"/>
      <c r="B5550" s="95"/>
      <c r="C5550" s="95"/>
      <c r="D5550" s="95"/>
      <c r="E5550" s="95"/>
      <c r="G5550" s="73"/>
      <c r="H5550" s="225"/>
    </row>
    <row r="5551" spans="1:8" s="212" customFormat="1">
      <c r="B5551" s="97"/>
      <c r="C5551" s="98"/>
      <c r="D5551" s="98"/>
      <c r="E5551" s="98"/>
      <c r="G5551" s="220"/>
    </row>
    <row r="5552" spans="1:8" s="212" customFormat="1">
      <c r="B5552" s="97"/>
      <c r="C5552" s="98"/>
      <c r="D5552" s="98"/>
      <c r="E5552" s="98"/>
      <c r="F5552" s="220"/>
      <c r="G5552" s="225"/>
      <c r="H5552" s="226"/>
    </row>
    <row r="5553" spans="1:9" s="212" customFormat="1">
      <c r="A5553" s="633"/>
      <c r="B5553" s="633"/>
      <c r="C5553" s="633"/>
      <c r="D5553" s="633"/>
      <c r="E5553" s="633"/>
      <c r="F5553" s="633"/>
      <c r="G5553" s="633"/>
    </row>
    <row r="5554" spans="1:9" s="212" customFormat="1">
      <c r="H5554" s="227"/>
      <c r="I5554" s="228"/>
    </row>
    <row r="5555" spans="1:9" s="212" customFormat="1">
      <c r="A5555" s="658"/>
      <c r="B5555" s="227"/>
      <c r="C5555" s="227"/>
      <c r="D5555" s="227"/>
      <c r="E5555" s="227"/>
      <c r="F5555" s="227"/>
      <c r="G5555" s="227"/>
      <c r="H5555" s="227"/>
      <c r="I5555" s="229"/>
    </row>
    <row r="5556" spans="1:9" s="212" customFormat="1">
      <c r="A5556" s="658"/>
      <c r="B5556" s="227"/>
      <c r="C5556" s="227"/>
      <c r="D5556" s="227"/>
      <c r="E5556" s="227"/>
      <c r="F5556" s="227"/>
      <c r="G5556" s="227"/>
    </row>
    <row r="5557" spans="1:9" s="212" customFormat="1">
      <c r="A5557" s="69"/>
      <c r="B5557" s="69"/>
      <c r="C5557" s="69"/>
      <c r="D5557" s="69"/>
      <c r="E5557" s="69"/>
    </row>
    <row r="5558" spans="1:9" s="212" customFormat="1">
      <c r="A5558" s="120"/>
      <c r="B5558" s="73"/>
      <c r="C5558" s="73"/>
      <c r="D5558" s="73"/>
      <c r="E5558" s="73"/>
      <c r="F5558" s="73"/>
      <c r="G5558" s="73"/>
      <c r="H5558" s="73"/>
    </row>
    <row r="5559" spans="1:9" s="212" customFormat="1">
      <c r="A5559" s="220"/>
      <c r="B5559" s="141"/>
      <c r="C5559" s="141"/>
      <c r="D5559" s="141"/>
      <c r="E5559" s="141"/>
      <c r="F5559" s="141"/>
      <c r="G5559" s="141"/>
      <c r="H5559" s="73"/>
    </row>
    <row r="5560" spans="1:9" s="212" customFormat="1">
      <c r="A5560" s="142"/>
      <c r="B5560" s="143"/>
      <c r="C5560" s="143"/>
      <c r="D5560" s="143"/>
      <c r="E5560" s="143"/>
      <c r="F5560" s="84"/>
      <c r="G5560" s="146"/>
      <c r="H5560" s="221"/>
    </row>
    <row r="5561" spans="1:9" s="212" customFormat="1">
      <c r="A5561" s="84"/>
      <c r="B5561" s="83"/>
      <c r="C5561" s="84"/>
      <c r="D5561" s="84"/>
      <c r="E5561" s="84"/>
      <c r="G5561" s="213"/>
      <c r="H5561" s="222"/>
    </row>
    <row r="5562" spans="1:9" s="212" customFormat="1">
      <c r="A5562" s="120"/>
      <c r="B5562" s="73"/>
      <c r="C5562" s="73"/>
      <c r="D5562" s="73"/>
      <c r="E5562" s="73"/>
      <c r="G5562" s="73"/>
      <c r="H5562" s="222"/>
    </row>
    <row r="5563" spans="1:9" s="212" customFormat="1">
      <c r="A5563" s="220"/>
      <c r="B5563" s="141"/>
      <c r="C5563" s="141"/>
      <c r="D5563" s="141"/>
      <c r="E5563" s="141"/>
      <c r="F5563" s="141"/>
      <c r="G5563" s="141"/>
      <c r="H5563" s="222"/>
    </row>
    <row r="5564" spans="1:9" s="212" customFormat="1">
      <c r="A5564" s="150"/>
      <c r="B5564" s="83"/>
      <c r="C5564" s="148"/>
      <c r="D5564" s="160"/>
      <c r="E5564" s="84"/>
      <c r="F5564" s="84"/>
      <c r="G5564" s="146"/>
      <c r="H5564" s="221"/>
    </row>
    <row r="5565" spans="1:9" s="212" customFormat="1">
      <c r="A5565" s="91"/>
      <c r="B5565" s="91"/>
      <c r="C5565" s="91"/>
      <c r="D5565" s="91"/>
      <c r="E5565" s="91"/>
      <c r="G5565" s="213"/>
      <c r="H5565" s="222"/>
    </row>
    <row r="5566" spans="1:9" s="212" customFormat="1">
      <c r="A5566" s="120"/>
      <c r="B5566" s="73"/>
      <c r="C5566" s="73"/>
      <c r="D5566" s="73"/>
      <c r="E5566" s="73"/>
      <c r="G5566" s="73"/>
      <c r="H5566" s="222"/>
    </row>
    <row r="5567" spans="1:9" s="212" customFormat="1">
      <c r="A5567" s="220"/>
      <c r="B5567" s="141"/>
      <c r="C5567" s="141"/>
      <c r="D5567" s="141"/>
      <c r="E5567" s="141"/>
      <c r="F5567" s="141"/>
      <c r="G5567" s="141"/>
      <c r="H5567" s="222"/>
    </row>
    <row r="5568" spans="1:9" s="212" customFormat="1">
      <c r="A5568" s="142"/>
      <c r="B5568" s="143"/>
      <c r="C5568" s="143"/>
      <c r="D5568" s="143"/>
      <c r="E5568" s="143"/>
      <c r="F5568" s="84"/>
      <c r="G5568" s="146"/>
      <c r="H5568" s="221"/>
    </row>
    <row r="5569" spans="1:9" s="212" customFormat="1">
      <c r="A5569" s="91"/>
      <c r="B5569" s="91"/>
      <c r="C5569" s="91"/>
      <c r="D5569" s="91"/>
      <c r="E5569" s="91"/>
      <c r="G5569" s="213"/>
      <c r="H5569" s="222"/>
    </row>
    <row r="5570" spans="1:9" s="212" customFormat="1">
      <c r="A5570" s="120"/>
      <c r="B5570" s="73"/>
      <c r="C5570" s="73"/>
      <c r="D5570" s="73"/>
      <c r="E5570" s="73"/>
      <c r="G5570" s="73"/>
      <c r="H5570" s="222"/>
    </row>
    <row r="5571" spans="1:9" s="212" customFormat="1">
      <c r="A5571" s="220"/>
      <c r="B5571" s="141"/>
      <c r="C5571" s="141"/>
      <c r="D5571" s="141"/>
      <c r="E5571" s="141"/>
      <c r="F5571" s="141"/>
      <c r="G5571" s="141"/>
      <c r="H5571" s="222"/>
    </row>
    <row r="5572" spans="1:9" s="212" customFormat="1">
      <c r="A5572" s="142"/>
      <c r="B5572" s="143"/>
      <c r="C5572" s="143"/>
      <c r="D5572" s="143"/>
      <c r="E5572" s="143"/>
      <c r="F5572" s="84"/>
      <c r="G5572" s="146"/>
      <c r="H5572" s="221"/>
    </row>
    <row r="5573" spans="1:9" s="212" customFormat="1">
      <c r="A5573" s="123"/>
      <c r="B5573" s="95"/>
      <c r="C5573" s="95"/>
      <c r="D5573" s="95"/>
      <c r="E5573" s="95"/>
      <c r="G5573" s="213"/>
      <c r="H5573" s="73"/>
    </row>
    <row r="5574" spans="1:9" s="212" customFormat="1">
      <c r="A5574" s="123"/>
      <c r="B5574" s="95"/>
      <c r="C5574" s="95"/>
      <c r="D5574" s="95"/>
      <c r="E5574" s="95"/>
      <c r="G5574" s="73"/>
      <c r="H5574" s="225"/>
    </row>
    <row r="5575" spans="1:9" s="212" customFormat="1">
      <c r="B5575" s="97"/>
      <c r="C5575" s="98"/>
      <c r="D5575" s="98"/>
      <c r="E5575" s="98"/>
      <c r="G5575" s="220"/>
    </row>
    <row r="5576" spans="1:9" s="212" customFormat="1">
      <c r="B5576" s="97"/>
      <c r="C5576" s="98"/>
      <c r="D5576" s="98"/>
      <c r="E5576" s="98"/>
      <c r="F5576" s="220"/>
      <c r="G5576" s="225"/>
      <c r="H5576" s="226"/>
    </row>
    <row r="5577" spans="1:9" s="212" customFormat="1">
      <c r="A5577" s="633"/>
      <c r="B5577" s="633"/>
      <c r="C5577" s="633"/>
      <c r="D5577" s="633"/>
      <c r="E5577" s="633"/>
      <c r="F5577" s="633"/>
      <c r="G5577" s="633"/>
    </row>
    <row r="5578" spans="1:9" s="212" customFormat="1">
      <c r="H5578" s="227"/>
      <c r="I5578" s="228"/>
    </row>
    <row r="5579" spans="1:9" s="212" customFormat="1">
      <c r="A5579" s="658"/>
      <c r="B5579" s="227"/>
      <c r="C5579" s="227"/>
      <c r="D5579" s="227"/>
      <c r="E5579" s="227"/>
      <c r="F5579" s="227"/>
      <c r="G5579" s="227"/>
      <c r="H5579" s="227"/>
      <c r="I5579" s="229"/>
    </row>
    <row r="5580" spans="1:9" s="212" customFormat="1">
      <c r="A5580" s="658"/>
      <c r="B5580" s="227"/>
      <c r="C5580" s="227"/>
      <c r="D5580" s="227"/>
      <c r="E5580" s="227"/>
      <c r="F5580" s="227"/>
      <c r="G5580" s="227"/>
    </row>
    <row r="5581" spans="1:9" s="212" customFormat="1">
      <c r="A5581" s="69"/>
      <c r="B5581" s="69"/>
      <c r="C5581" s="69"/>
      <c r="D5581" s="69"/>
      <c r="E5581" s="69"/>
    </row>
    <row r="5582" spans="1:9" s="212" customFormat="1">
      <c r="A5582" s="120"/>
      <c r="B5582" s="73"/>
      <c r="C5582" s="73"/>
      <c r="D5582" s="73"/>
      <c r="E5582" s="73"/>
      <c r="F5582" s="73"/>
      <c r="G5582" s="73"/>
      <c r="H5582" s="73"/>
    </row>
    <row r="5583" spans="1:9" s="212" customFormat="1">
      <c r="A5583" s="220"/>
      <c r="B5583" s="141"/>
      <c r="C5583" s="141"/>
      <c r="D5583" s="141"/>
      <c r="E5583" s="141"/>
      <c r="F5583" s="141"/>
      <c r="G5583" s="141"/>
      <c r="H5583" s="73"/>
    </row>
    <row r="5584" spans="1:9" s="212" customFormat="1">
      <c r="A5584" s="142"/>
      <c r="B5584" s="143"/>
      <c r="C5584" s="143"/>
      <c r="D5584" s="143"/>
      <c r="E5584" s="143"/>
      <c r="F5584" s="84"/>
      <c r="G5584" s="146"/>
      <c r="H5584" s="221"/>
    </row>
    <row r="5585" spans="1:8" s="212" customFormat="1">
      <c r="A5585" s="84"/>
      <c r="B5585" s="83"/>
      <c r="C5585" s="84"/>
      <c r="D5585" s="84"/>
      <c r="E5585" s="84"/>
      <c r="G5585" s="213"/>
      <c r="H5585" s="222"/>
    </row>
    <row r="5586" spans="1:8" s="212" customFormat="1">
      <c r="A5586" s="120"/>
      <c r="B5586" s="73"/>
      <c r="C5586" s="73"/>
      <c r="D5586" s="73"/>
      <c r="E5586" s="73"/>
      <c r="G5586" s="73"/>
      <c r="H5586" s="222"/>
    </row>
    <row r="5587" spans="1:8" s="212" customFormat="1">
      <c r="A5587" s="220"/>
      <c r="B5587" s="141"/>
      <c r="C5587" s="141"/>
      <c r="D5587" s="141"/>
      <c r="E5587" s="141"/>
      <c r="F5587" s="141"/>
      <c r="G5587" s="141"/>
      <c r="H5587" s="222"/>
    </row>
    <row r="5588" spans="1:8" s="212" customFormat="1">
      <c r="A5588" s="150"/>
      <c r="B5588" s="83"/>
      <c r="C5588" s="148"/>
      <c r="D5588" s="160"/>
      <c r="E5588" s="84"/>
      <c r="F5588" s="84"/>
      <c r="G5588" s="146"/>
      <c r="H5588" s="221"/>
    </row>
    <row r="5589" spans="1:8" s="212" customFormat="1">
      <c r="A5589" s="91"/>
      <c r="B5589" s="91"/>
      <c r="C5589" s="91"/>
      <c r="D5589" s="91"/>
      <c r="E5589" s="91"/>
      <c r="G5589" s="213"/>
      <c r="H5589" s="222"/>
    </row>
    <row r="5590" spans="1:8" s="212" customFormat="1">
      <c r="A5590" s="120"/>
      <c r="B5590" s="73"/>
      <c r="C5590" s="73"/>
      <c r="D5590" s="73"/>
      <c r="E5590" s="73"/>
      <c r="G5590" s="73"/>
      <c r="H5590" s="222"/>
    </row>
    <row r="5591" spans="1:8" s="212" customFormat="1">
      <c r="A5591" s="220"/>
      <c r="B5591" s="141"/>
      <c r="C5591" s="141"/>
      <c r="D5591" s="141"/>
      <c r="E5591" s="141"/>
      <c r="F5591" s="141"/>
      <c r="G5591" s="141"/>
      <c r="H5591" s="222"/>
    </row>
    <row r="5592" spans="1:8" s="212" customFormat="1">
      <c r="A5592" s="142"/>
      <c r="B5592" s="143"/>
      <c r="C5592" s="143"/>
      <c r="D5592" s="143"/>
      <c r="E5592" s="143"/>
      <c r="F5592" s="84"/>
      <c r="G5592" s="146"/>
      <c r="H5592" s="221"/>
    </row>
    <row r="5593" spans="1:8" s="212" customFormat="1">
      <c r="A5593" s="91"/>
      <c r="B5593" s="91"/>
      <c r="C5593" s="91"/>
      <c r="D5593" s="91"/>
      <c r="E5593" s="91"/>
      <c r="G5593" s="213"/>
      <c r="H5593" s="222"/>
    </row>
    <row r="5594" spans="1:8" s="212" customFormat="1">
      <c r="A5594" s="120"/>
      <c r="B5594" s="73"/>
      <c r="C5594" s="73"/>
      <c r="D5594" s="73"/>
      <c r="E5594" s="73"/>
      <c r="G5594" s="73"/>
      <c r="H5594" s="222"/>
    </row>
    <row r="5595" spans="1:8" s="212" customFormat="1">
      <c r="A5595" s="220"/>
      <c r="B5595" s="141"/>
      <c r="C5595" s="141"/>
      <c r="D5595" s="141"/>
      <c r="E5595" s="141"/>
      <c r="F5595" s="141"/>
      <c r="G5595" s="141"/>
      <c r="H5595" s="222"/>
    </row>
    <row r="5596" spans="1:8" s="212" customFormat="1">
      <c r="A5596" s="142"/>
      <c r="B5596" s="143"/>
      <c r="C5596" s="143"/>
      <c r="D5596" s="143"/>
      <c r="E5596" s="143"/>
      <c r="F5596" s="84"/>
      <c r="G5596" s="146"/>
      <c r="H5596" s="221"/>
    </row>
    <row r="5597" spans="1:8" s="212" customFormat="1">
      <c r="A5597" s="123"/>
      <c r="B5597" s="95"/>
      <c r="C5597" s="95"/>
      <c r="D5597" s="95"/>
      <c r="E5597" s="95"/>
      <c r="G5597" s="213"/>
      <c r="H5597" s="73"/>
    </row>
    <row r="5598" spans="1:8" s="212" customFormat="1">
      <c r="A5598" s="123"/>
      <c r="B5598" s="95"/>
      <c r="C5598" s="95"/>
      <c r="D5598" s="95"/>
      <c r="E5598" s="95"/>
      <c r="G5598" s="73"/>
      <c r="H5598" s="225"/>
    </row>
    <row r="5599" spans="1:8" s="212" customFormat="1">
      <c r="B5599" s="97"/>
      <c r="C5599" s="98"/>
      <c r="D5599" s="98"/>
      <c r="E5599" s="98"/>
      <c r="G5599" s="220"/>
    </row>
    <row r="5600" spans="1:8" s="212" customFormat="1">
      <c r="B5600" s="97"/>
      <c r="C5600" s="98"/>
      <c r="D5600" s="98"/>
      <c r="E5600" s="98"/>
      <c r="F5600" s="220"/>
      <c r="G5600" s="225"/>
      <c r="H5600" s="226"/>
    </row>
    <row r="5601" spans="1:9" s="212" customFormat="1">
      <c r="A5601" s="633"/>
      <c r="B5601" s="633"/>
      <c r="C5601" s="633"/>
      <c r="D5601" s="633"/>
      <c r="E5601" s="633"/>
      <c r="F5601" s="633"/>
      <c r="G5601" s="633"/>
    </row>
    <row r="5602" spans="1:9" s="212" customFormat="1">
      <c r="H5602" s="227"/>
      <c r="I5602" s="228"/>
    </row>
    <row r="5603" spans="1:9" s="212" customFormat="1">
      <c r="A5603" s="658"/>
      <c r="B5603" s="227"/>
      <c r="C5603" s="227"/>
      <c r="D5603" s="227"/>
      <c r="E5603" s="227"/>
      <c r="F5603" s="227"/>
      <c r="G5603" s="227"/>
      <c r="H5603" s="227"/>
      <c r="I5603" s="229"/>
    </row>
    <row r="5604" spans="1:9" s="212" customFormat="1">
      <c r="A5604" s="658"/>
      <c r="B5604" s="227"/>
      <c r="C5604" s="227"/>
      <c r="D5604" s="227"/>
      <c r="E5604" s="227"/>
      <c r="F5604" s="227"/>
      <c r="G5604" s="227"/>
    </row>
    <row r="5605" spans="1:9" s="212" customFormat="1">
      <c r="A5605" s="69"/>
      <c r="B5605" s="69"/>
      <c r="C5605" s="69"/>
      <c r="D5605" s="69"/>
      <c r="E5605" s="69"/>
    </row>
    <row r="5606" spans="1:9" s="212" customFormat="1">
      <c r="A5606" s="120"/>
      <c r="B5606" s="73"/>
      <c r="C5606" s="73"/>
      <c r="D5606" s="73"/>
      <c r="E5606" s="73"/>
      <c r="F5606" s="73"/>
      <c r="G5606" s="73"/>
      <c r="H5606" s="73"/>
    </row>
    <row r="5607" spans="1:9" s="212" customFormat="1">
      <c r="A5607" s="220"/>
      <c r="B5607" s="141"/>
      <c r="C5607" s="141"/>
      <c r="D5607" s="141"/>
      <c r="E5607" s="141"/>
      <c r="F5607" s="141"/>
      <c r="G5607" s="141"/>
      <c r="H5607" s="73"/>
    </row>
    <row r="5608" spans="1:9" s="212" customFormat="1">
      <c r="A5608" s="142"/>
      <c r="B5608" s="143"/>
      <c r="C5608" s="143"/>
      <c r="D5608" s="143"/>
      <c r="E5608" s="143"/>
      <c r="F5608" s="84"/>
      <c r="G5608" s="146"/>
      <c r="H5608" s="221"/>
    </row>
    <row r="5609" spans="1:9" s="212" customFormat="1">
      <c r="A5609" s="84"/>
      <c r="B5609" s="83"/>
      <c r="C5609" s="84"/>
      <c r="D5609" s="84"/>
      <c r="E5609" s="84"/>
      <c r="G5609" s="213"/>
      <c r="H5609" s="222"/>
    </row>
    <row r="5610" spans="1:9" s="212" customFormat="1">
      <c r="A5610" s="120"/>
      <c r="B5610" s="73"/>
      <c r="C5610" s="73"/>
      <c r="D5610" s="73"/>
      <c r="E5610" s="73"/>
      <c r="G5610" s="73"/>
      <c r="H5610" s="222"/>
    </row>
    <row r="5611" spans="1:9" s="212" customFormat="1">
      <c r="A5611" s="220"/>
      <c r="B5611" s="141"/>
      <c r="C5611" s="141"/>
      <c r="D5611" s="141"/>
      <c r="E5611" s="141"/>
      <c r="F5611" s="141"/>
      <c r="G5611" s="141"/>
      <c r="H5611" s="222"/>
    </row>
    <row r="5612" spans="1:9" s="212" customFormat="1">
      <c r="A5612" s="150"/>
      <c r="B5612" s="83"/>
      <c r="C5612" s="148"/>
      <c r="D5612" s="160"/>
      <c r="E5612" s="84"/>
      <c r="F5612" s="84"/>
      <c r="G5612" s="146"/>
      <c r="H5612" s="221"/>
    </row>
    <row r="5613" spans="1:9" s="212" customFormat="1">
      <c r="A5613" s="91"/>
      <c r="B5613" s="91"/>
      <c r="C5613" s="91"/>
      <c r="D5613" s="91"/>
      <c r="E5613" s="91"/>
      <c r="G5613" s="213"/>
      <c r="H5613" s="222"/>
    </row>
    <row r="5614" spans="1:9" s="212" customFormat="1">
      <c r="A5614" s="120"/>
      <c r="B5614" s="73"/>
      <c r="C5614" s="73"/>
      <c r="D5614" s="73"/>
      <c r="E5614" s="73"/>
      <c r="G5614" s="73"/>
      <c r="H5614" s="222"/>
    </row>
    <row r="5615" spans="1:9" s="212" customFormat="1">
      <c r="A5615" s="220"/>
      <c r="B5615" s="141"/>
      <c r="C5615" s="141"/>
      <c r="D5615" s="141"/>
      <c r="E5615" s="141"/>
      <c r="F5615" s="141"/>
      <c r="G5615" s="141"/>
      <c r="H5615" s="222"/>
    </row>
    <row r="5616" spans="1:9" s="212" customFormat="1">
      <c r="A5616" s="142"/>
      <c r="B5616" s="143"/>
      <c r="C5616" s="143"/>
      <c r="D5616" s="143"/>
      <c r="E5616" s="143"/>
      <c r="F5616" s="84"/>
      <c r="G5616" s="146"/>
      <c r="H5616" s="221"/>
    </row>
    <row r="5617" spans="1:9" s="212" customFormat="1">
      <c r="A5617" s="91"/>
      <c r="B5617" s="91"/>
      <c r="C5617" s="91"/>
      <c r="D5617" s="91"/>
      <c r="E5617" s="91"/>
      <c r="G5617" s="213"/>
      <c r="H5617" s="222"/>
    </row>
    <row r="5618" spans="1:9" s="212" customFormat="1">
      <c r="A5618" s="120"/>
      <c r="B5618" s="73"/>
      <c r="C5618" s="73"/>
      <c r="D5618" s="73"/>
      <c r="E5618" s="73"/>
      <c r="G5618" s="73"/>
      <c r="H5618" s="222"/>
    </row>
    <row r="5619" spans="1:9" s="212" customFormat="1">
      <c r="A5619" s="220"/>
      <c r="B5619" s="141"/>
      <c r="C5619" s="141"/>
      <c r="D5619" s="141"/>
      <c r="E5619" s="141"/>
      <c r="F5619" s="141"/>
      <c r="G5619" s="141"/>
      <c r="H5619" s="222"/>
    </row>
    <row r="5620" spans="1:9" s="212" customFormat="1">
      <c r="A5620" s="142"/>
      <c r="B5620" s="143"/>
      <c r="C5620" s="143"/>
      <c r="D5620" s="143"/>
      <c r="E5620" s="143"/>
      <c r="F5620" s="84"/>
      <c r="G5620" s="146"/>
      <c r="H5620" s="221"/>
    </row>
    <row r="5621" spans="1:9" s="212" customFormat="1">
      <c r="A5621" s="123"/>
      <c r="B5621" s="95"/>
      <c r="C5621" s="95"/>
      <c r="D5621" s="95"/>
      <c r="E5621" s="95"/>
      <c r="G5621" s="213"/>
      <c r="H5621" s="73"/>
    </row>
    <row r="5622" spans="1:9" s="212" customFormat="1">
      <c r="A5622" s="123"/>
      <c r="B5622" s="95"/>
      <c r="C5622" s="95"/>
      <c r="D5622" s="95"/>
      <c r="E5622" s="95"/>
      <c r="G5622" s="73"/>
      <c r="H5622" s="225"/>
    </row>
    <row r="5623" spans="1:9" s="212" customFormat="1">
      <c r="B5623" s="97"/>
      <c r="C5623" s="98"/>
      <c r="D5623" s="98"/>
      <c r="E5623" s="98"/>
      <c r="G5623" s="220"/>
    </row>
    <row r="5624" spans="1:9" s="212" customFormat="1">
      <c r="B5624" s="97"/>
      <c r="C5624" s="98"/>
      <c r="D5624" s="98"/>
      <c r="E5624" s="98"/>
      <c r="F5624" s="220"/>
      <c r="G5624" s="225"/>
      <c r="H5624" s="226"/>
    </row>
    <row r="5625" spans="1:9" s="212" customFormat="1">
      <c r="A5625" s="633"/>
      <c r="B5625" s="633"/>
      <c r="C5625" s="633"/>
      <c r="D5625" s="633"/>
      <c r="E5625" s="633"/>
      <c r="F5625" s="633"/>
      <c r="G5625" s="633"/>
    </row>
    <row r="5626" spans="1:9" s="212" customFormat="1">
      <c r="H5626" s="227"/>
      <c r="I5626" s="228"/>
    </row>
    <row r="5627" spans="1:9" s="212" customFormat="1">
      <c r="A5627" s="658"/>
      <c r="B5627" s="227"/>
      <c r="C5627" s="227"/>
      <c r="D5627" s="227"/>
      <c r="E5627" s="227"/>
      <c r="F5627" s="227"/>
      <c r="G5627" s="227"/>
      <c r="H5627" s="227"/>
      <c r="I5627" s="229"/>
    </row>
    <row r="5628" spans="1:9" s="212" customFormat="1">
      <c r="A5628" s="658"/>
      <c r="B5628" s="227"/>
      <c r="C5628" s="227"/>
      <c r="D5628" s="227"/>
      <c r="E5628" s="227"/>
      <c r="F5628" s="227"/>
      <c r="G5628" s="227"/>
    </row>
    <row r="5629" spans="1:9" s="212" customFormat="1">
      <c r="A5629" s="69"/>
      <c r="B5629" s="69"/>
      <c r="C5629" s="69"/>
      <c r="D5629" s="69"/>
      <c r="E5629" s="69"/>
    </row>
    <row r="5630" spans="1:9" s="212" customFormat="1">
      <c r="A5630" s="120"/>
      <c r="B5630" s="73"/>
      <c r="C5630" s="73"/>
      <c r="D5630" s="73"/>
      <c r="E5630" s="73"/>
      <c r="F5630" s="73"/>
      <c r="G5630" s="73"/>
      <c r="H5630" s="73"/>
    </row>
    <row r="5631" spans="1:9" s="212" customFormat="1">
      <c r="A5631" s="220"/>
      <c r="B5631" s="141"/>
      <c r="C5631" s="141"/>
      <c r="D5631" s="141"/>
      <c r="E5631" s="141"/>
      <c r="F5631" s="141"/>
      <c r="G5631" s="141"/>
      <c r="H5631" s="73"/>
    </row>
    <row r="5632" spans="1:9" s="212" customFormat="1">
      <c r="A5632" s="142"/>
      <c r="B5632" s="143"/>
      <c r="C5632" s="143"/>
      <c r="D5632" s="143"/>
      <c r="E5632" s="143"/>
      <c r="F5632" s="84"/>
      <c r="G5632" s="146"/>
      <c r="H5632" s="221"/>
    </row>
    <row r="5633" spans="1:8" s="212" customFormat="1">
      <c r="A5633" s="84"/>
      <c r="B5633" s="83"/>
      <c r="C5633" s="84"/>
      <c r="D5633" s="84"/>
      <c r="E5633" s="84"/>
      <c r="G5633" s="213"/>
      <c r="H5633" s="222"/>
    </row>
    <row r="5634" spans="1:8" s="212" customFormat="1">
      <c r="A5634" s="120"/>
      <c r="B5634" s="73"/>
      <c r="C5634" s="73"/>
      <c r="D5634" s="73"/>
      <c r="E5634" s="73"/>
      <c r="G5634" s="73"/>
      <c r="H5634" s="222"/>
    </row>
    <row r="5635" spans="1:8" s="212" customFormat="1">
      <c r="A5635" s="220"/>
      <c r="B5635" s="141"/>
      <c r="C5635" s="141"/>
      <c r="D5635" s="141"/>
      <c r="E5635" s="141"/>
      <c r="F5635" s="141"/>
      <c r="G5635" s="141"/>
      <c r="H5635" s="222"/>
    </row>
    <row r="5636" spans="1:8" s="212" customFormat="1">
      <c r="A5636" s="150"/>
      <c r="B5636" s="83"/>
      <c r="C5636" s="148"/>
      <c r="D5636" s="160"/>
      <c r="E5636" s="84"/>
      <c r="F5636" s="84"/>
      <c r="G5636" s="146"/>
      <c r="H5636" s="221"/>
    </row>
    <row r="5637" spans="1:8" s="212" customFormat="1">
      <c r="A5637" s="91"/>
      <c r="B5637" s="91"/>
      <c r="C5637" s="91"/>
      <c r="D5637" s="91"/>
      <c r="E5637" s="91"/>
      <c r="G5637" s="213"/>
      <c r="H5637" s="222"/>
    </row>
    <row r="5638" spans="1:8" s="212" customFormat="1">
      <c r="A5638" s="120"/>
      <c r="B5638" s="73"/>
      <c r="C5638" s="73"/>
      <c r="D5638" s="73"/>
      <c r="E5638" s="73"/>
      <c r="G5638" s="73"/>
      <c r="H5638" s="222"/>
    </row>
    <row r="5639" spans="1:8" s="212" customFormat="1">
      <c r="A5639" s="220"/>
      <c r="B5639" s="141"/>
      <c r="C5639" s="141"/>
      <c r="D5639" s="141"/>
      <c r="E5639" s="141"/>
      <c r="F5639" s="141"/>
      <c r="G5639" s="141"/>
      <c r="H5639" s="222"/>
    </row>
    <row r="5640" spans="1:8" s="212" customFormat="1">
      <c r="A5640" s="142"/>
      <c r="B5640" s="143"/>
      <c r="C5640" s="143"/>
      <c r="D5640" s="143"/>
      <c r="E5640" s="143"/>
      <c r="F5640" s="84"/>
      <c r="G5640" s="146"/>
      <c r="H5640" s="221"/>
    </row>
    <row r="5641" spans="1:8" s="212" customFormat="1">
      <c r="A5641" s="91"/>
      <c r="B5641" s="91"/>
      <c r="C5641" s="91"/>
      <c r="D5641" s="91"/>
      <c r="E5641" s="91"/>
      <c r="G5641" s="213"/>
      <c r="H5641" s="222"/>
    </row>
    <row r="5642" spans="1:8" s="212" customFormat="1">
      <c r="A5642" s="120"/>
      <c r="B5642" s="73"/>
      <c r="C5642" s="73"/>
      <c r="D5642" s="73"/>
      <c r="E5642" s="73"/>
      <c r="G5642" s="73"/>
      <c r="H5642" s="222"/>
    </row>
    <row r="5643" spans="1:8" s="212" customFormat="1">
      <c r="A5643" s="220"/>
      <c r="B5643" s="141"/>
      <c r="C5643" s="141"/>
      <c r="D5643" s="141"/>
      <c r="E5643" s="141"/>
      <c r="F5643" s="141"/>
      <c r="G5643" s="141"/>
      <c r="H5643" s="222"/>
    </row>
    <row r="5644" spans="1:8" s="212" customFormat="1">
      <c r="A5644" s="142"/>
      <c r="B5644" s="143"/>
      <c r="C5644" s="143"/>
      <c r="D5644" s="143"/>
      <c r="E5644" s="143"/>
      <c r="F5644" s="84"/>
      <c r="G5644" s="146"/>
      <c r="H5644" s="221"/>
    </row>
    <row r="5645" spans="1:8" s="212" customFormat="1">
      <c r="A5645" s="123"/>
      <c r="B5645" s="95"/>
      <c r="C5645" s="95"/>
      <c r="D5645" s="95"/>
      <c r="E5645" s="95"/>
      <c r="G5645" s="213"/>
      <c r="H5645" s="73"/>
    </row>
    <row r="5646" spans="1:8" s="212" customFormat="1">
      <c r="A5646" s="123"/>
      <c r="B5646" s="95"/>
      <c r="C5646" s="95"/>
      <c r="D5646" s="95"/>
      <c r="E5646" s="95"/>
      <c r="G5646" s="73"/>
      <c r="H5646" s="225"/>
    </row>
    <row r="5647" spans="1:8" s="212" customFormat="1">
      <c r="B5647" s="97"/>
      <c r="C5647" s="98"/>
      <c r="D5647" s="98"/>
      <c r="E5647" s="98"/>
      <c r="G5647" s="220"/>
    </row>
    <row r="5648" spans="1:8" s="212" customFormat="1">
      <c r="B5648" s="97"/>
      <c r="C5648" s="98"/>
      <c r="D5648" s="98"/>
      <c r="E5648" s="98"/>
      <c r="F5648" s="220"/>
      <c r="G5648" s="225"/>
      <c r="H5648" s="226"/>
    </row>
    <row r="5649" spans="1:9" s="212" customFormat="1">
      <c r="A5649" s="633"/>
      <c r="B5649" s="633"/>
      <c r="C5649" s="633"/>
      <c r="D5649" s="633"/>
      <c r="E5649" s="633"/>
      <c r="F5649" s="633"/>
      <c r="G5649" s="633"/>
    </row>
    <row r="5650" spans="1:9" s="212" customFormat="1">
      <c r="H5650" s="227"/>
      <c r="I5650" s="228"/>
    </row>
    <row r="5651" spans="1:9" s="212" customFormat="1">
      <c r="A5651" s="658"/>
      <c r="B5651" s="227"/>
      <c r="C5651" s="227"/>
      <c r="D5651" s="227"/>
      <c r="E5651" s="227"/>
      <c r="F5651" s="227"/>
      <c r="G5651" s="227"/>
      <c r="H5651" s="227"/>
      <c r="I5651" s="229"/>
    </row>
    <row r="5652" spans="1:9" s="212" customFormat="1">
      <c r="A5652" s="658"/>
      <c r="B5652" s="227"/>
      <c r="C5652" s="227"/>
      <c r="D5652" s="227"/>
      <c r="E5652" s="227"/>
      <c r="F5652" s="227"/>
      <c r="G5652" s="227"/>
    </row>
    <row r="5653" spans="1:9" s="212" customFormat="1">
      <c r="A5653" s="69"/>
      <c r="B5653" s="69"/>
      <c r="C5653" s="69"/>
      <c r="D5653" s="69"/>
      <c r="E5653" s="69"/>
    </row>
    <row r="5654" spans="1:9" s="212" customFormat="1">
      <c r="A5654" s="120"/>
      <c r="B5654" s="73"/>
      <c r="C5654" s="73"/>
      <c r="D5654" s="73"/>
      <c r="E5654" s="73"/>
      <c r="F5654" s="73"/>
      <c r="G5654" s="73"/>
      <c r="H5654" s="73"/>
    </row>
    <row r="5655" spans="1:9" s="212" customFormat="1">
      <c r="A5655" s="220"/>
      <c r="B5655" s="141"/>
      <c r="C5655" s="141"/>
      <c r="D5655" s="141"/>
      <c r="E5655" s="141"/>
      <c r="F5655" s="141"/>
      <c r="G5655" s="141"/>
      <c r="H5655" s="73"/>
    </row>
    <row r="5656" spans="1:9" s="212" customFormat="1">
      <c r="A5656" s="142"/>
      <c r="B5656" s="143"/>
      <c r="C5656" s="143"/>
      <c r="D5656" s="143"/>
      <c r="E5656" s="143"/>
      <c r="F5656" s="84"/>
      <c r="G5656" s="146"/>
      <c r="H5656" s="221"/>
    </row>
    <row r="5657" spans="1:9" s="212" customFormat="1">
      <c r="A5657" s="84"/>
      <c r="B5657" s="83"/>
      <c r="C5657" s="84"/>
      <c r="D5657" s="84"/>
      <c r="E5657" s="84"/>
      <c r="G5657" s="213"/>
      <c r="H5657" s="222"/>
    </row>
    <row r="5658" spans="1:9" s="212" customFormat="1">
      <c r="A5658" s="120"/>
      <c r="B5658" s="73"/>
      <c r="C5658" s="73"/>
      <c r="D5658" s="73"/>
      <c r="E5658" s="73"/>
      <c r="G5658" s="73"/>
      <c r="H5658" s="222"/>
    </row>
    <row r="5659" spans="1:9" s="212" customFormat="1">
      <c r="A5659" s="220"/>
      <c r="B5659" s="141"/>
      <c r="C5659" s="141"/>
      <c r="D5659" s="141"/>
      <c r="E5659" s="141"/>
      <c r="F5659" s="141"/>
      <c r="G5659" s="141"/>
      <c r="H5659" s="222"/>
    </row>
    <row r="5660" spans="1:9" s="212" customFormat="1">
      <c r="A5660" s="150"/>
      <c r="B5660" s="83"/>
      <c r="C5660" s="148"/>
      <c r="D5660" s="160"/>
      <c r="E5660" s="84"/>
      <c r="F5660" s="84"/>
      <c r="G5660" s="146"/>
      <c r="H5660" s="221"/>
    </row>
    <row r="5661" spans="1:9" s="212" customFormat="1">
      <c r="A5661" s="91"/>
      <c r="B5661" s="91"/>
      <c r="C5661" s="91"/>
      <c r="D5661" s="91"/>
      <c r="E5661" s="91"/>
      <c r="G5661" s="213"/>
      <c r="H5661" s="222"/>
    </row>
    <row r="5662" spans="1:9" s="212" customFormat="1">
      <c r="A5662" s="120"/>
      <c r="B5662" s="73"/>
      <c r="C5662" s="73"/>
      <c r="D5662" s="73"/>
      <c r="E5662" s="73"/>
      <c r="G5662" s="73"/>
      <c r="H5662" s="222"/>
    </row>
    <row r="5663" spans="1:9" s="212" customFormat="1">
      <c r="A5663" s="220"/>
      <c r="B5663" s="141"/>
      <c r="C5663" s="141"/>
      <c r="D5663" s="141"/>
      <c r="E5663" s="141"/>
      <c r="F5663" s="141"/>
      <c r="G5663" s="141"/>
      <c r="H5663" s="222"/>
    </row>
    <row r="5664" spans="1:9" s="212" customFormat="1">
      <c r="A5664" s="142"/>
      <c r="B5664" s="143"/>
      <c r="C5664" s="143"/>
      <c r="D5664" s="143"/>
      <c r="E5664" s="143"/>
      <c r="F5664" s="84"/>
      <c r="G5664" s="146"/>
      <c r="H5664" s="221"/>
    </row>
    <row r="5665" spans="1:9" s="212" customFormat="1">
      <c r="A5665" s="91"/>
      <c r="B5665" s="91"/>
      <c r="C5665" s="91"/>
      <c r="D5665" s="91"/>
      <c r="E5665" s="91"/>
      <c r="G5665" s="213"/>
      <c r="H5665" s="222"/>
    </row>
    <row r="5666" spans="1:9" s="212" customFormat="1">
      <c r="A5666" s="120"/>
      <c r="B5666" s="73"/>
      <c r="C5666" s="73"/>
      <c r="D5666" s="73"/>
      <c r="E5666" s="73"/>
      <c r="G5666" s="73"/>
      <c r="H5666" s="222"/>
    </row>
    <row r="5667" spans="1:9" s="212" customFormat="1">
      <c r="A5667" s="220"/>
      <c r="B5667" s="141"/>
      <c r="C5667" s="141"/>
      <c r="D5667" s="141"/>
      <c r="E5667" s="141"/>
      <c r="F5667" s="141"/>
      <c r="G5667" s="141"/>
      <c r="H5667" s="222"/>
    </row>
    <row r="5668" spans="1:9" s="212" customFormat="1">
      <c r="A5668" s="142"/>
      <c r="B5668" s="143"/>
      <c r="C5668" s="143"/>
      <c r="D5668" s="143"/>
      <c r="E5668" s="143"/>
      <c r="F5668" s="84"/>
      <c r="G5668" s="146"/>
      <c r="H5668" s="221"/>
    </row>
    <row r="5669" spans="1:9" s="212" customFormat="1">
      <c r="A5669" s="123"/>
      <c r="B5669" s="95"/>
      <c r="C5669" s="95"/>
      <c r="D5669" s="95"/>
      <c r="E5669" s="95"/>
      <c r="G5669" s="213"/>
      <c r="H5669" s="73"/>
    </row>
    <row r="5670" spans="1:9" s="212" customFormat="1">
      <c r="A5670" s="123"/>
      <c r="B5670" s="95"/>
      <c r="C5670" s="95"/>
      <c r="D5670" s="95"/>
      <c r="E5670" s="95"/>
      <c r="G5670" s="73"/>
      <c r="H5670" s="225"/>
    </row>
    <row r="5671" spans="1:9" s="212" customFormat="1">
      <c r="B5671" s="97"/>
      <c r="C5671" s="98"/>
      <c r="D5671" s="98"/>
      <c r="E5671" s="98"/>
      <c r="G5671" s="220"/>
    </row>
    <row r="5672" spans="1:9" s="212" customFormat="1">
      <c r="B5672" s="97"/>
      <c r="C5672" s="98"/>
      <c r="D5672" s="98"/>
      <c r="E5672" s="98"/>
      <c r="F5672" s="220"/>
      <c r="G5672" s="225"/>
      <c r="H5672" s="226"/>
    </row>
    <row r="5673" spans="1:9" s="212" customFormat="1">
      <c r="A5673" s="633"/>
      <c r="B5673" s="633"/>
      <c r="C5673" s="633"/>
      <c r="D5673" s="633"/>
      <c r="E5673" s="633"/>
      <c r="F5673" s="633"/>
      <c r="G5673" s="633"/>
    </row>
    <row r="5674" spans="1:9" s="212" customFormat="1">
      <c r="H5674" s="227"/>
      <c r="I5674" s="228"/>
    </row>
    <row r="5675" spans="1:9" s="212" customFormat="1">
      <c r="A5675" s="658"/>
      <c r="B5675" s="227"/>
      <c r="C5675" s="227"/>
      <c r="D5675" s="227"/>
      <c r="E5675" s="227"/>
      <c r="F5675" s="227"/>
      <c r="G5675" s="227"/>
      <c r="H5675" s="227"/>
      <c r="I5675" s="229"/>
    </row>
    <row r="5676" spans="1:9" s="212" customFormat="1">
      <c r="A5676" s="658"/>
      <c r="B5676" s="227"/>
      <c r="C5676" s="227"/>
      <c r="D5676" s="227"/>
      <c r="E5676" s="227"/>
      <c r="F5676" s="227"/>
      <c r="G5676" s="227"/>
    </row>
    <row r="5677" spans="1:9" s="212" customFormat="1">
      <c r="A5677" s="69"/>
      <c r="B5677" s="69"/>
      <c r="C5677" s="69"/>
      <c r="D5677" s="69"/>
      <c r="E5677" s="69"/>
    </row>
    <row r="5678" spans="1:9" s="212" customFormat="1">
      <c r="A5678" s="120"/>
      <c r="B5678" s="73"/>
      <c r="C5678" s="73"/>
      <c r="D5678" s="73"/>
      <c r="E5678" s="73"/>
      <c r="F5678" s="73"/>
      <c r="G5678" s="73"/>
      <c r="H5678" s="73"/>
    </row>
    <row r="5679" spans="1:9" s="212" customFormat="1">
      <c r="A5679" s="220"/>
      <c r="B5679" s="141"/>
      <c r="C5679" s="141"/>
      <c r="D5679" s="141"/>
      <c r="E5679" s="141"/>
      <c r="F5679" s="141"/>
      <c r="G5679" s="141"/>
      <c r="H5679" s="73"/>
    </row>
    <row r="5680" spans="1:9" s="212" customFormat="1">
      <c r="A5680" s="142"/>
      <c r="B5680" s="143"/>
      <c r="C5680" s="143"/>
      <c r="D5680" s="143"/>
      <c r="E5680" s="143"/>
      <c r="F5680" s="84"/>
      <c r="G5680" s="146"/>
      <c r="H5680" s="221"/>
    </row>
    <row r="5681" spans="1:8" s="212" customFormat="1">
      <c r="A5681" s="84"/>
      <c r="B5681" s="83"/>
      <c r="C5681" s="84"/>
      <c r="D5681" s="84"/>
      <c r="E5681" s="84"/>
      <c r="G5681" s="213"/>
      <c r="H5681" s="222"/>
    </row>
    <row r="5682" spans="1:8" s="212" customFormat="1">
      <c r="A5682" s="120"/>
      <c r="B5682" s="73"/>
      <c r="C5682" s="73"/>
      <c r="D5682" s="73"/>
      <c r="E5682" s="73"/>
      <c r="G5682" s="73"/>
      <c r="H5682" s="222"/>
    </row>
    <row r="5683" spans="1:8" s="212" customFormat="1">
      <c r="A5683" s="220"/>
      <c r="B5683" s="141"/>
      <c r="C5683" s="141"/>
      <c r="D5683" s="141"/>
      <c r="E5683" s="141"/>
      <c r="F5683" s="141"/>
      <c r="G5683" s="141"/>
      <c r="H5683" s="222"/>
    </row>
    <row r="5684" spans="1:8" s="212" customFormat="1">
      <c r="A5684" s="150"/>
      <c r="B5684" s="83"/>
      <c r="C5684" s="148"/>
      <c r="D5684" s="160"/>
      <c r="E5684" s="84"/>
      <c r="F5684" s="84"/>
      <c r="G5684" s="146"/>
      <c r="H5684" s="221"/>
    </row>
    <row r="5685" spans="1:8" s="212" customFormat="1">
      <c r="A5685" s="91"/>
      <c r="B5685" s="91"/>
      <c r="C5685" s="91"/>
      <c r="D5685" s="91"/>
      <c r="E5685" s="91"/>
      <c r="G5685" s="213"/>
      <c r="H5685" s="222"/>
    </row>
    <row r="5686" spans="1:8" s="212" customFormat="1">
      <c r="A5686" s="120"/>
      <c r="B5686" s="73"/>
      <c r="C5686" s="73"/>
      <c r="D5686" s="73"/>
      <c r="E5686" s="73"/>
      <c r="G5686" s="73"/>
      <c r="H5686" s="222"/>
    </row>
    <row r="5687" spans="1:8" s="212" customFormat="1">
      <c r="A5687" s="220"/>
      <c r="B5687" s="141"/>
      <c r="C5687" s="141"/>
      <c r="D5687" s="141"/>
      <c r="E5687" s="141"/>
      <c r="F5687" s="141"/>
      <c r="G5687" s="141"/>
      <c r="H5687" s="222"/>
    </row>
    <row r="5688" spans="1:8" s="212" customFormat="1">
      <c r="A5688" s="142"/>
      <c r="B5688" s="143"/>
      <c r="C5688" s="143"/>
      <c r="D5688" s="143"/>
      <c r="E5688" s="143"/>
      <c r="F5688" s="84"/>
      <c r="G5688" s="146"/>
      <c r="H5688" s="221"/>
    </row>
    <row r="5689" spans="1:8" s="212" customFormat="1">
      <c r="A5689" s="91"/>
      <c r="B5689" s="91"/>
      <c r="C5689" s="91"/>
      <c r="D5689" s="91"/>
      <c r="E5689" s="91"/>
      <c r="G5689" s="213"/>
      <c r="H5689" s="222"/>
    </row>
    <row r="5690" spans="1:8" s="212" customFormat="1">
      <c r="A5690" s="120"/>
      <c r="B5690" s="73"/>
      <c r="C5690" s="73"/>
      <c r="D5690" s="73"/>
      <c r="E5690" s="73"/>
      <c r="G5690" s="73"/>
      <c r="H5690" s="222"/>
    </row>
    <row r="5691" spans="1:8" s="212" customFormat="1">
      <c r="A5691" s="220"/>
      <c r="B5691" s="141"/>
      <c r="C5691" s="141"/>
      <c r="D5691" s="141"/>
      <c r="E5691" s="141"/>
      <c r="F5691" s="141"/>
      <c r="G5691" s="141"/>
      <c r="H5691" s="222"/>
    </row>
    <row r="5692" spans="1:8" s="212" customFormat="1">
      <c r="A5692" s="142"/>
      <c r="B5692" s="143"/>
      <c r="C5692" s="143"/>
      <c r="D5692" s="143"/>
      <c r="E5692" s="143"/>
      <c r="F5692" s="84"/>
      <c r="G5692" s="146"/>
      <c r="H5692" s="221"/>
    </row>
    <row r="5693" spans="1:8" s="212" customFormat="1">
      <c r="A5693" s="123"/>
      <c r="B5693" s="95"/>
      <c r="C5693" s="95"/>
      <c r="D5693" s="95"/>
      <c r="E5693" s="95"/>
      <c r="G5693" s="213"/>
      <c r="H5693" s="73"/>
    </row>
    <row r="5694" spans="1:8" s="212" customFormat="1">
      <c r="A5694" s="123"/>
      <c r="B5694" s="95"/>
      <c r="C5694" s="95"/>
      <c r="D5694" s="95"/>
      <c r="E5694" s="95"/>
      <c r="G5694" s="73"/>
      <c r="H5694" s="225"/>
    </row>
    <row r="5695" spans="1:8" s="212" customFormat="1">
      <c r="B5695" s="97"/>
      <c r="C5695" s="98"/>
      <c r="D5695" s="98"/>
      <c r="E5695" s="98"/>
      <c r="G5695" s="220"/>
    </row>
    <row r="5696" spans="1:8" s="212" customFormat="1">
      <c r="B5696" s="97"/>
      <c r="C5696" s="98"/>
      <c r="D5696" s="98"/>
      <c r="E5696" s="98"/>
      <c r="F5696" s="220"/>
      <c r="G5696" s="225"/>
      <c r="H5696" s="226"/>
    </row>
    <row r="5697" spans="1:9" s="212" customFormat="1">
      <c r="A5697" s="633"/>
      <c r="B5697" s="633"/>
      <c r="C5697" s="633"/>
      <c r="D5697" s="633"/>
      <c r="E5697" s="633"/>
      <c r="F5697" s="633"/>
      <c r="G5697" s="633"/>
    </row>
    <row r="5698" spans="1:9" s="212" customFormat="1">
      <c r="H5698" s="227"/>
      <c r="I5698" s="228"/>
    </row>
    <row r="5699" spans="1:9" s="212" customFormat="1">
      <c r="A5699" s="658"/>
      <c r="B5699" s="227"/>
      <c r="C5699" s="227"/>
      <c r="D5699" s="227"/>
      <c r="E5699" s="227"/>
      <c r="F5699" s="227"/>
      <c r="G5699" s="227"/>
      <c r="H5699" s="227"/>
      <c r="I5699" s="229"/>
    </row>
    <row r="5700" spans="1:9" s="212" customFormat="1">
      <c r="A5700" s="658"/>
      <c r="B5700" s="227"/>
      <c r="C5700" s="227"/>
      <c r="D5700" s="227"/>
      <c r="E5700" s="227"/>
      <c r="F5700" s="227"/>
      <c r="G5700" s="227"/>
    </row>
    <row r="5701" spans="1:9" s="212" customFormat="1">
      <c r="A5701" s="69"/>
      <c r="B5701" s="69"/>
      <c r="C5701" s="69"/>
      <c r="D5701" s="69"/>
      <c r="E5701" s="69"/>
    </row>
    <row r="5702" spans="1:9" s="212" customFormat="1">
      <c r="A5702" s="120"/>
      <c r="B5702" s="73"/>
      <c r="C5702" s="73"/>
      <c r="D5702" s="73"/>
      <c r="E5702" s="73"/>
      <c r="F5702" s="73"/>
      <c r="G5702" s="73"/>
      <c r="H5702" s="73"/>
    </row>
    <row r="5703" spans="1:9" s="212" customFormat="1">
      <c r="A5703" s="220"/>
      <c r="B5703" s="141"/>
      <c r="C5703" s="141"/>
      <c r="D5703" s="141"/>
      <c r="E5703" s="141"/>
      <c r="F5703" s="141"/>
      <c r="G5703" s="141"/>
      <c r="H5703" s="73"/>
    </row>
    <row r="5704" spans="1:9" s="212" customFormat="1">
      <c r="A5704" s="142"/>
      <c r="B5704" s="143"/>
      <c r="C5704" s="143"/>
      <c r="D5704" s="143"/>
      <c r="E5704" s="143"/>
      <c r="F5704" s="84"/>
      <c r="G5704" s="146"/>
      <c r="H5704" s="221"/>
    </row>
    <row r="5705" spans="1:9" s="212" customFormat="1">
      <c r="A5705" s="84"/>
      <c r="B5705" s="83"/>
      <c r="C5705" s="84"/>
      <c r="D5705" s="84"/>
      <c r="E5705" s="84"/>
      <c r="G5705" s="213"/>
      <c r="H5705" s="222"/>
    </row>
    <row r="5706" spans="1:9" s="212" customFormat="1">
      <c r="A5706" s="120"/>
      <c r="B5706" s="73"/>
      <c r="C5706" s="73"/>
      <c r="D5706" s="73"/>
      <c r="E5706" s="73"/>
      <c r="G5706" s="73"/>
      <c r="H5706" s="222"/>
    </row>
    <row r="5707" spans="1:9" s="212" customFormat="1">
      <c r="A5707" s="220"/>
      <c r="B5707" s="141"/>
      <c r="C5707" s="141"/>
      <c r="D5707" s="141"/>
      <c r="E5707" s="141"/>
      <c r="F5707" s="141"/>
      <c r="G5707" s="141"/>
      <c r="H5707" s="222"/>
    </row>
    <row r="5708" spans="1:9" s="212" customFormat="1">
      <c r="A5708" s="150"/>
      <c r="B5708" s="83"/>
      <c r="C5708" s="148"/>
      <c r="D5708" s="160"/>
      <c r="E5708" s="84"/>
      <c r="F5708" s="84"/>
      <c r="G5708" s="146"/>
      <c r="H5708" s="221"/>
    </row>
    <row r="5709" spans="1:9" s="212" customFormat="1">
      <c r="A5709" s="91"/>
      <c r="B5709" s="91"/>
      <c r="C5709" s="91"/>
      <c r="D5709" s="91"/>
      <c r="E5709" s="91"/>
      <c r="G5709" s="213"/>
      <c r="H5709" s="222"/>
    </row>
    <row r="5710" spans="1:9" s="212" customFormat="1">
      <c r="A5710" s="120"/>
      <c r="B5710" s="73"/>
      <c r="C5710" s="73"/>
      <c r="D5710" s="73"/>
      <c r="E5710" s="73"/>
      <c r="G5710" s="73"/>
      <c r="H5710" s="222"/>
    </row>
    <row r="5711" spans="1:9" s="212" customFormat="1">
      <c r="A5711" s="220"/>
      <c r="B5711" s="141"/>
      <c r="C5711" s="141"/>
      <c r="D5711" s="141"/>
      <c r="E5711" s="141"/>
      <c r="F5711" s="141"/>
      <c r="G5711" s="141"/>
      <c r="H5711" s="222"/>
    </row>
    <row r="5712" spans="1:9" s="212" customFormat="1">
      <c r="A5712" s="142"/>
      <c r="B5712" s="143"/>
      <c r="C5712" s="143"/>
      <c r="D5712" s="143"/>
      <c r="E5712" s="143"/>
      <c r="F5712" s="84"/>
      <c r="G5712" s="146"/>
      <c r="H5712" s="221"/>
    </row>
    <row r="5713" spans="1:9" s="212" customFormat="1">
      <c r="A5713" s="91"/>
      <c r="B5713" s="91"/>
      <c r="C5713" s="91"/>
      <c r="D5713" s="91"/>
      <c r="E5713" s="91"/>
      <c r="G5713" s="213"/>
      <c r="H5713" s="222"/>
    </row>
    <row r="5714" spans="1:9" s="212" customFormat="1">
      <c r="A5714" s="120"/>
      <c r="B5714" s="73"/>
      <c r="C5714" s="73"/>
      <c r="D5714" s="73"/>
      <c r="E5714" s="73"/>
      <c r="G5714" s="73"/>
      <c r="H5714" s="222"/>
    </row>
    <row r="5715" spans="1:9" s="212" customFormat="1">
      <c r="A5715" s="220"/>
      <c r="B5715" s="141"/>
      <c r="C5715" s="141"/>
      <c r="D5715" s="141"/>
      <c r="E5715" s="141"/>
      <c r="F5715" s="141"/>
      <c r="G5715" s="141"/>
      <c r="H5715" s="222"/>
    </row>
    <row r="5716" spans="1:9" s="212" customFormat="1">
      <c r="A5716" s="142"/>
      <c r="B5716" s="143"/>
      <c r="C5716" s="143"/>
      <c r="D5716" s="143"/>
      <c r="E5716" s="143"/>
      <c r="F5716" s="84"/>
      <c r="G5716" s="146"/>
      <c r="H5716" s="221"/>
    </row>
    <row r="5717" spans="1:9" s="212" customFormat="1">
      <c r="A5717" s="123"/>
      <c r="B5717" s="95"/>
      <c r="C5717" s="95"/>
      <c r="D5717" s="95"/>
      <c r="E5717" s="95"/>
      <c r="G5717" s="213"/>
      <c r="H5717" s="73"/>
    </row>
    <row r="5718" spans="1:9" s="212" customFormat="1">
      <c r="A5718" s="123"/>
      <c r="B5718" s="95"/>
      <c r="C5718" s="95"/>
      <c r="D5718" s="95"/>
      <c r="E5718" s="95"/>
      <c r="G5718" s="73"/>
      <c r="H5718" s="225"/>
    </row>
    <row r="5719" spans="1:9" s="212" customFormat="1">
      <c r="B5719" s="97"/>
      <c r="C5719" s="98"/>
      <c r="D5719" s="98"/>
      <c r="E5719" s="98"/>
      <c r="G5719" s="220"/>
    </row>
    <row r="5720" spans="1:9" s="212" customFormat="1">
      <c r="B5720" s="97"/>
      <c r="C5720" s="98"/>
      <c r="D5720" s="98"/>
      <c r="E5720" s="98"/>
      <c r="F5720" s="220"/>
      <c r="G5720" s="225"/>
      <c r="H5720" s="226"/>
    </row>
    <row r="5721" spans="1:9" s="212" customFormat="1">
      <c r="A5721" s="633"/>
      <c r="B5721" s="633"/>
      <c r="C5721" s="633"/>
      <c r="D5721" s="633"/>
      <c r="E5721" s="633"/>
      <c r="F5721" s="633"/>
      <c r="G5721" s="633"/>
    </row>
    <row r="5722" spans="1:9" s="212" customFormat="1">
      <c r="H5722" s="227"/>
      <c r="I5722" s="228"/>
    </row>
    <row r="5723" spans="1:9" s="212" customFormat="1">
      <c r="A5723" s="658"/>
      <c r="B5723" s="227"/>
      <c r="C5723" s="227"/>
      <c r="D5723" s="227"/>
      <c r="E5723" s="227"/>
      <c r="F5723" s="227"/>
      <c r="G5723" s="227"/>
      <c r="H5723" s="227"/>
      <c r="I5723" s="229"/>
    </row>
    <row r="5724" spans="1:9" s="212" customFormat="1">
      <c r="A5724" s="658"/>
      <c r="B5724" s="227"/>
      <c r="C5724" s="227"/>
      <c r="D5724" s="227"/>
      <c r="E5724" s="227"/>
      <c r="F5724" s="227"/>
      <c r="G5724" s="227"/>
    </row>
    <row r="5725" spans="1:9" s="212" customFormat="1">
      <c r="A5725" s="69"/>
      <c r="B5725" s="69"/>
      <c r="C5725" s="69"/>
      <c r="D5725" s="69"/>
      <c r="E5725" s="69"/>
    </row>
    <row r="5726" spans="1:9" s="212" customFormat="1">
      <c r="A5726" s="120"/>
      <c r="B5726" s="73"/>
      <c r="C5726" s="73"/>
      <c r="D5726" s="73"/>
      <c r="E5726" s="73"/>
      <c r="F5726" s="73"/>
      <c r="G5726" s="73"/>
      <c r="H5726" s="73"/>
    </row>
    <row r="5727" spans="1:9" s="212" customFormat="1">
      <c r="A5727" s="220"/>
      <c r="B5727" s="141"/>
      <c r="C5727" s="141"/>
      <c r="D5727" s="141"/>
      <c r="E5727" s="141"/>
      <c r="F5727" s="141"/>
      <c r="G5727" s="141"/>
      <c r="H5727" s="73"/>
    </row>
    <row r="5728" spans="1:9" s="212" customFormat="1">
      <c r="A5728" s="142"/>
      <c r="B5728" s="143"/>
      <c r="C5728" s="143"/>
      <c r="D5728" s="143"/>
      <c r="E5728" s="143"/>
      <c r="F5728" s="84"/>
      <c r="G5728" s="146"/>
      <c r="H5728" s="221"/>
    </row>
    <row r="5729" spans="1:8" s="212" customFormat="1">
      <c r="A5729" s="84"/>
      <c r="B5729" s="83"/>
      <c r="C5729" s="84"/>
      <c r="D5729" s="84"/>
      <c r="E5729" s="84"/>
      <c r="G5729" s="213"/>
      <c r="H5729" s="222"/>
    </row>
    <row r="5730" spans="1:8" s="212" customFormat="1">
      <c r="A5730" s="120"/>
      <c r="B5730" s="73"/>
      <c r="C5730" s="73"/>
      <c r="D5730" s="73"/>
      <c r="E5730" s="73"/>
      <c r="G5730" s="73"/>
      <c r="H5730" s="222"/>
    </row>
    <row r="5731" spans="1:8" s="212" customFormat="1">
      <c r="A5731" s="220"/>
      <c r="B5731" s="141"/>
      <c r="C5731" s="141"/>
      <c r="D5731" s="141"/>
      <c r="E5731" s="141"/>
      <c r="F5731" s="141"/>
      <c r="G5731" s="141"/>
      <c r="H5731" s="222"/>
    </row>
    <row r="5732" spans="1:8" s="212" customFormat="1">
      <c r="A5732" s="150"/>
      <c r="B5732" s="83"/>
      <c r="C5732" s="148"/>
      <c r="D5732" s="160"/>
      <c r="E5732" s="84"/>
      <c r="F5732" s="84"/>
      <c r="G5732" s="146"/>
      <c r="H5732" s="221"/>
    </row>
    <row r="5733" spans="1:8" s="212" customFormat="1">
      <c r="A5733" s="91"/>
      <c r="B5733" s="91"/>
      <c r="C5733" s="91"/>
      <c r="D5733" s="91"/>
      <c r="E5733" s="91"/>
      <c r="G5733" s="213"/>
      <c r="H5733" s="222"/>
    </row>
    <row r="5734" spans="1:8" s="212" customFormat="1">
      <c r="A5734" s="120"/>
      <c r="B5734" s="73"/>
      <c r="C5734" s="73"/>
      <c r="D5734" s="73"/>
      <c r="E5734" s="73"/>
      <c r="G5734" s="73"/>
      <c r="H5734" s="222"/>
    </row>
    <row r="5735" spans="1:8" s="212" customFormat="1">
      <c r="A5735" s="220"/>
      <c r="B5735" s="141"/>
      <c r="C5735" s="141"/>
      <c r="D5735" s="141"/>
      <c r="E5735" s="141"/>
      <c r="F5735" s="141"/>
      <c r="G5735" s="141"/>
      <c r="H5735" s="222"/>
    </row>
    <row r="5736" spans="1:8" s="212" customFormat="1">
      <c r="A5736" s="142"/>
      <c r="B5736" s="143"/>
      <c r="C5736" s="143"/>
      <c r="D5736" s="143"/>
      <c r="E5736" s="143"/>
      <c r="F5736" s="84"/>
      <c r="G5736" s="146"/>
      <c r="H5736" s="221"/>
    </row>
    <row r="5737" spans="1:8" s="212" customFormat="1">
      <c r="A5737" s="91"/>
      <c r="B5737" s="91"/>
      <c r="C5737" s="91"/>
      <c r="D5737" s="91"/>
      <c r="E5737" s="91"/>
      <c r="G5737" s="213"/>
      <c r="H5737" s="222"/>
    </row>
    <row r="5738" spans="1:8" s="212" customFormat="1">
      <c r="A5738" s="120"/>
      <c r="B5738" s="73"/>
      <c r="C5738" s="73"/>
      <c r="D5738" s="73"/>
      <c r="E5738" s="73"/>
      <c r="G5738" s="73"/>
      <c r="H5738" s="222"/>
    </row>
    <row r="5739" spans="1:8" s="212" customFormat="1">
      <c r="A5739" s="220"/>
      <c r="B5739" s="141"/>
      <c r="C5739" s="141"/>
      <c r="D5739" s="141"/>
      <c r="E5739" s="141"/>
      <c r="F5739" s="141"/>
      <c r="G5739" s="141"/>
      <c r="H5739" s="222"/>
    </row>
    <row r="5740" spans="1:8" s="212" customFormat="1">
      <c r="A5740" s="142"/>
      <c r="B5740" s="143"/>
      <c r="C5740" s="143"/>
      <c r="D5740" s="143"/>
      <c r="E5740" s="143"/>
      <c r="F5740" s="84"/>
      <c r="G5740" s="146"/>
      <c r="H5740" s="221"/>
    </row>
    <row r="5741" spans="1:8" s="212" customFormat="1">
      <c r="A5741" s="123"/>
      <c r="B5741" s="95"/>
      <c r="C5741" s="95"/>
      <c r="D5741" s="95"/>
      <c r="E5741" s="95"/>
      <c r="G5741" s="213"/>
      <c r="H5741" s="73"/>
    </row>
    <row r="5742" spans="1:8" s="212" customFormat="1">
      <c r="A5742" s="123"/>
      <c r="B5742" s="95"/>
      <c r="C5742" s="95"/>
      <c r="D5742" s="95"/>
      <c r="E5742" s="95"/>
      <c r="G5742" s="73"/>
      <c r="H5742" s="225"/>
    </row>
    <row r="5743" spans="1:8" s="212" customFormat="1">
      <c r="B5743" s="97"/>
      <c r="C5743" s="98"/>
      <c r="D5743" s="98"/>
      <c r="E5743" s="98"/>
      <c r="G5743" s="220"/>
    </row>
    <row r="5744" spans="1:8" s="212" customFormat="1">
      <c r="B5744" s="97"/>
      <c r="C5744" s="98"/>
      <c r="D5744" s="98"/>
      <c r="E5744" s="98"/>
      <c r="F5744" s="220"/>
      <c r="G5744" s="225"/>
      <c r="H5744" s="226"/>
    </row>
    <row r="5745" spans="1:9" s="212" customFormat="1">
      <c r="A5745" s="633"/>
      <c r="B5745" s="633"/>
      <c r="C5745" s="633"/>
      <c r="D5745" s="633"/>
      <c r="E5745" s="633"/>
      <c r="F5745" s="633"/>
      <c r="G5745" s="633"/>
    </row>
    <row r="5746" spans="1:9" s="212" customFormat="1">
      <c r="H5746" s="227"/>
      <c r="I5746" s="228"/>
    </row>
    <row r="5747" spans="1:9" s="212" customFormat="1">
      <c r="A5747" s="658"/>
      <c r="B5747" s="227"/>
      <c r="C5747" s="227"/>
      <c r="D5747" s="227"/>
      <c r="E5747" s="227"/>
      <c r="F5747" s="227"/>
      <c r="G5747" s="227"/>
      <c r="H5747" s="227"/>
      <c r="I5747" s="229"/>
    </row>
    <row r="5748" spans="1:9" s="212" customFormat="1">
      <c r="A5748" s="658"/>
      <c r="B5748" s="227"/>
      <c r="C5748" s="227"/>
      <c r="D5748" s="227"/>
      <c r="E5748" s="227"/>
      <c r="F5748" s="227"/>
      <c r="G5748" s="227"/>
    </row>
    <row r="5749" spans="1:9" s="212" customFormat="1">
      <c r="A5749" s="69"/>
      <c r="B5749" s="69"/>
      <c r="C5749" s="69"/>
      <c r="D5749" s="69"/>
      <c r="E5749" s="69"/>
    </row>
    <row r="5750" spans="1:9" s="212" customFormat="1">
      <c r="A5750" s="120"/>
      <c r="B5750" s="73"/>
      <c r="C5750" s="73"/>
      <c r="D5750" s="73"/>
      <c r="E5750" s="73"/>
      <c r="F5750" s="73"/>
      <c r="G5750" s="73"/>
      <c r="H5750" s="73"/>
    </row>
    <row r="5751" spans="1:9" s="212" customFormat="1">
      <c r="A5751" s="220"/>
      <c r="B5751" s="141"/>
      <c r="C5751" s="141"/>
      <c r="D5751" s="141"/>
      <c r="E5751" s="141"/>
      <c r="F5751" s="141"/>
      <c r="G5751" s="141"/>
      <c r="H5751" s="73"/>
    </row>
    <row r="5752" spans="1:9" s="212" customFormat="1">
      <c r="A5752" s="142"/>
      <c r="B5752" s="143"/>
      <c r="C5752" s="143"/>
      <c r="D5752" s="143"/>
      <c r="E5752" s="143"/>
      <c r="F5752" s="84"/>
      <c r="G5752" s="146"/>
      <c r="H5752" s="221"/>
    </row>
    <row r="5753" spans="1:9" s="212" customFormat="1">
      <c r="A5753" s="84"/>
      <c r="B5753" s="83"/>
      <c r="C5753" s="84"/>
      <c r="D5753" s="84"/>
      <c r="E5753" s="84"/>
      <c r="G5753" s="213"/>
      <c r="H5753" s="222"/>
    </row>
    <row r="5754" spans="1:9" s="212" customFormat="1">
      <c r="A5754" s="120"/>
      <c r="B5754" s="73"/>
      <c r="C5754" s="73"/>
      <c r="D5754" s="73"/>
      <c r="E5754" s="73"/>
      <c r="G5754" s="73"/>
      <c r="H5754" s="222"/>
    </row>
    <row r="5755" spans="1:9" s="212" customFormat="1">
      <c r="A5755" s="220"/>
      <c r="B5755" s="141"/>
      <c r="C5755" s="141"/>
      <c r="D5755" s="141"/>
      <c r="E5755" s="141"/>
      <c r="F5755" s="141"/>
      <c r="G5755" s="141"/>
      <c r="H5755" s="222"/>
    </row>
    <row r="5756" spans="1:9" s="212" customFormat="1">
      <c r="A5756" s="150"/>
      <c r="B5756" s="83"/>
      <c r="C5756" s="148"/>
      <c r="D5756" s="160"/>
      <c r="E5756" s="84"/>
      <c r="F5756" s="84"/>
      <c r="G5756" s="146"/>
      <c r="H5756" s="221"/>
    </row>
    <row r="5757" spans="1:9" s="212" customFormat="1">
      <c r="A5757" s="91"/>
      <c r="B5757" s="91"/>
      <c r="C5757" s="91"/>
      <c r="D5757" s="91"/>
      <c r="E5757" s="91"/>
      <c r="G5757" s="213"/>
      <c r="H5757" s="222"/>
    </row>
    <row r="5758" spans="1:9" s="212" customFormat="1">
      <c r="A5758" s="120"/>
      <c r="B5758" s="73"/>
      <c r="C5758" s="73"/>
      <c r="D5758" s="73"/>
      <c r="E5758" s="73"/>
      <c r="G5758" s="73"/>
      <c r="H5758" s="222"/>
    </row>
    <row r="5759" spans="1:9" s="212" customFormat="1">
      <c r="A5759" s="220"/>
      <c r="B5759" s="141"/>
      <c r="C5759" s="141"/>
      <c r="D5759" s="141"/>
      <c r="E5759" s="141"/>
      <c r="F5759" s="141"/>
      <c r="G5759" s="141"/>
      <c r="H5759" s="222"/>
    </row>
    <row r="5760" spans="1:9" s="212" customFormat="1">
      <c r="A5760" s="142"/>
      <c r="B5760" s="143"/>
      <c r="C5760" s="143"/>
      <c r="D5760" s="143"/>
      <c r="E5760" s="143"/>
      <c r="F5760" s="84"/>
      <c r="G5760" s="146"/>
      <c r="H5760" s="221"/>
    </row>
    <row r="5761" spans="1:9" s="212" customFormat="1">
      <c r="A5761" s="91"/>
      <c r="B5761" s="91"/>
      <c r="C5761" s="91"/>
      <c r="D5761" s="91"/>
      <c r="E5761" s="91"/>
      <c r="G5761" s="213"/>
      <c r="H5761" s="222"/>
    </row>
    <row r="5762" spans="1:9" s="212" customFormat="1">
      <c r="A5762" s="120"/>
      <c r="B5762" s="73"/>
      <c r="C5762" s="73"/>
      <c r="D5762" s="73"/>
      <c r="E5762" s="73"/>
      <c r="G5762" s="73"/>
      <c r="H5762" s="222"/>
    </row>
    <row r="5763" spans="1:9" s="212" customFormat="1">
      <c r="A5763" s="220"/>
      <c r="B5763" s="141"/>
      <c r="C5763" s="141"/>
      <c r="D5763" s="141"/>
      <c r="E5763" s="141"/>
      <c r="F5763" s="141"/>
      <c r="G5763" s="141"/>
      <c r="H5763" s="222"/>
    </row>
    <row r="5764" spans="1:9" s="212" customFormat="1">
      <c r="A5764" s="142"/>
      <c r="B5764" s="143"/>
      <c r="C5764" s="143"/>
      <c r="D5764" s="143"/>
      <c r="E5764" s="143"/>
      <c r="F5764" s="84"/>
      <c r="G5764" s="146"/>
      <c r="H5764" s="221"/>
    </row>
    <row r="5765" spans="1:9" s="212" customFormat="1">
      <c r="A5765" s="123"/>
      <c r="B5765" s="95"/>
      <c r="C5765" s="95"/>
      <c r="D5765" s="95"/>
      <c r="E5765" s="95"/>
      <c r="G5765" s="213"/>
      <c r="H5765" s="73"/>
    </row>
    <row r="5766" spans="1:9" s="212" customFormat="1">
      <c r="A5766" s="123"/>
      <c r="B5766" s="95"/>
      <c r="C5766" s="95"/>
      <c r="D5766" s="95"/>
      <c r="E5766" s="95"/>
      <c r="G5766" s="73"/>
      <c r="H5766" s="225"/>
    </row>
    <row r="5767" spans="1:9" s="212" customFormat="1">
      <c r="B5767" s="97"/>
      <c r="C5767" s="98"/>
      <c r="D5767" s="98"/>
      <c r="E5767" s="98"/>
      <c r="G5767" s="220"/>
    </row>
    <row r="5768" spans="1:9" s="212" customFormat="1">
      <c r="B5768" s="97"/>
      <c r="C5768" s="98"/>
      <c r="D5768" s="98"/>
      <c r="E5768" s="98"/>
      <c r="F5768" s="220"/>
      <c r="G5768" s="225"/>
      <c r="H5768" s="226"/>
    </row>
    <row r="5769" spans="1:9" s="212" customFormat="1">
      <c r="A5769" s="633"/>
      <c r="B5769" s="633"/>
      <c r="C5769" s="633"/>
      <c r="D5769" s="633"/>
      <c r="E5769" s="633"/>
      <c r="F5769" s="633"/>
      <c r="G5769" s="633"/>
    </row>
    <row r="5770" spans="1:9" s="212" customFormat="1">
      <c r="H5770" s="227"/>
      <c r="I5770" s="228"/>
    </row>
    <row r="5771" spans="1:9" s="212" customFormat="1">
      <c r="A5771" s="658"/>
      <c r="B5771" s="227"/>
      <c r="C5771" s="227"/>
      <c r="D5771" s="227"/>
      <c r="E5771" s="227"/>
      <c r="F5771" s="227"/>
      <c r="G5771" s="227"/>
      <c r="H5771" s="227"/>
      <c r="I5771" s="229"/>
    </row>
    <row r="5772" spans="1:9" s="212" customFormat="1">
      <c r="A5772" s="658"/>
      <c r="B5772" s="227"/>
      <c r="C5772" s="227"/>
      <c r="D5772" s="227"/>
      <c r="E5772" s="227"/>
      <c r="F5772" s="227"/>
      <c r="G5772" s="227"/>
    </row>
    <row r="5773" spans="1:9" s="212" customFormat="1">
      <c r="A5773" s="69"/>
      <c r="B5773" s="69"/>
      <c r="C5773" s="69"/>
      <c r="D5773" s="69"/>
      <c r="E5773" s="69"/>
    </row>
    <row r="5774" spans="1:9" s="212" customFormat="1">
      <c r="A5774" s="120"/>
      <c r="B5774" s="73"/>
      <c r="C5774" s="73"/>
      <c r="D5774" s="73"/>
      <c r="E5774" s="73"/>
      <c r="F5774" s="73"/>
      <c r="G5774" s="73"/>
      <c r="H5774" s="73"/>
    </row>
    <row r="5775" spans="1:9" s="212" customFormat="1">
      <c r="A5775" s="220"/>
      <c r="B5775" s="141"/>
      <c r="C5775" s="141"/>
      <c r="D5775" s="141"/>
      <c r="E5775" s="141"/>
      <c r="F5775" s="141"/>
      <c r="G5775" s="141"/>
      <c r="H5775" s="73"/>
    </row>
    <row r="5776" spans="1:9" s="212" customFormat="1">
      <c r="A5776" s="142"/>
      <c r="B5776" s="143"/>
      <c r="C5776" s="143"/>
      <c r="D5776" s="143"/>
      <c r="E5776" s="143"/>
      <c r="F5776" s="84"/>
      <c r="G5776" s="146"/>
      <c r="H5776" s="221"/>
    </row>
    <row r="5777" spans="1:8" s="212" customFormat="1">
      <c r="A5777" s="84"/>
      <c r="B5777" s="83"/>
      <c r="C5777" s="84"/>
      <c r="D5777" s="84"/>
      <c r="E5777" s="84"/>
      <c r="G5777" s="213"/>
      <c r="H5777" s="222"/>
    </row>
    <row r="5778" spans="1:8" s="212" customFormat="1">
      <c r="A5778" s="120"/>
      <c r="B5778" s="73"/>
      <c r="C5778" s="73"/>
      <c r="D5778" s="73"/>
      <c r="E5778" s="73"/>
      <c r="G5778" s="73"/>
      <c r="H5778" s="222"/>
    </row>
    <row r="5779" spans="1:8" s="212" customFormat="1">
      <c r="A5779" s="220"/>
      <c r="B5779" s="141"/>
      <c r="C5779" s="141"/>
      <c r="D5779" s="141"/>
      <c r="E5779" s="141"/>
      <c r="F5779" s="141"/>
      <c r="G5779" s="141"/>
      <c r="H5779" s="222"/>
    </row>
    <row r="5780" spans="1:8" s="212" customFormat="1">
      <c r="A5780" s="150"/>
      <c r="B5780" s="83"/>
      <c r="C5780" s="148"/>
      <c r="D5780" s="160"/>
      <c r="E5780" s="84"/>
      <c r="F5780" s="84"/>
      <c r="G5780" s="146"/>
      <c r="H5780" s="221"/>
    </row>
    <row r="5781" spans="1:8" s="212" customFormat="1">
      <c r="A5781" s="91"/>
      <c r="B5781" s="91"/>
      <c r="C5781" s="91"/>
      <c r="D5781" s="91"/>
      <c r="E5781" s="91"/>
      <c r="G5781" s="213"/>
      <c r="H5781" s="222"/>
    </row>
    <row r="5782" spans="1:8" s="212" customFormat="1">
      <c r="A5782" s="120"/>
      <c r="B5782" s="73"/>
      <c r="C5782" s="73"/>
      <c r="D5782" s="73"/>
      <c r="E5782" s="73"/>
      <c r="G5782" s="73"/>
      <c r="H5782" s="222"/>
    </row>
    <row r="5783" spans="1:8" s="212" customFormat="1">
      <c r="A5783" s="220"/>
      <c r="B5783" s="141"/>
      <c r="C5783" s="141"/>
      <c r="D5783" s="141"/>
      <c r="E5783" s="141"/>
      <c r="F5783" s="141"/>
      <c r="G5783" s="141"/>
      <c r="H5783" s="222"/>
    </row>
    <row r="5784" spans="1:8" s="212" customFormat="1">
      <c r="A5784" s="142"/>
      <c r="B5784" s="143"/>
      <c r="C5784" s="143"/>
      <c r="D5784" s="143"/>
      <c r="E5784" s="143"/>
      <c r="F5784" s="84"/>
      <c r="G5784" s="146"/>
      <c r="H5784" s="221"/>
    </row>
    <row r="5785" spans="1:8" s="212" customFormat="1">
      <c r="A5785" s="91"/>
      <c r="B5785" s="91"/>
      <c r="C5785" s="91"/>
      <c r="D5785" s="91"/>
      <c r="E5785" s="91"/>
      <c r="G5785" s="213"/>
      <c r="H5785" s="222"/>
    </row>
    <row r="5786" spans="1:8" s="212" customFormat="1">
      <c r="A5786" s="120"/>
      <c r="B5786" s="73"/>
      <c r="C5786" s="73"/>
      <c r="D5786" s="73"/>
      <c r="E5786" s="73"/>
      <c r="G5786" s="73"/>
      <c r="H5786" s="222"/>
    </row>
    <row r="5787" spans="1:8" s="212" customFormat="1">
      <c r="A5787" s="220"/>
      <c r="B5787" s="141"/>
      <c r="C5787" s="141"/>
      <c r="D5787" s="141"/>
      <c r="E5787" s="141"/>
      <c r="F5787" s="141"/>
      <c r="G5787" s="141"/>
      <c r="H5787" s="222"/>
    </row>
    <row r="5788" spans="1:8" s="212" customFormat="1">
      <c r="A5788" s="142"/>
      <c r="B5788" s="143"/>
      <c r="C5788" s="143"/>
      <c r="D5788" s="143"/>
      <c r="E5788" s="143"/>
      <c r="F5788" s="84"/>
      <c r="G5788" s="146"/>
      <c r="H5788" s="221"/>
    </row>
    <row r="5789" spans="1:8" s="212" customFormat="1">
      <c r="A5789" s="123"/>
      <c r="B5789" s="95"/>
      <c r="C5789" s="95"/>
      <c r="D5789" s="95"/>
      <c r="E5789" s="95"/>
      <c r="G5789" s="213"/>
      <c r="H5789" s="73"/>
    </row>
    <row r="5790" spans="1:8" s="212" customFormat="1">
      <c r="A5790" s="123"/>
      <c r="B5790" s="95"/>
      <c r="C5790" s="95"/>
      <c r="D5790" s="95"/>
      <c r="E5790" s="95"/>
      <c r="G5790" s="73"/>
      <c r="H5790" s="225"/>
    </row>
    <row r="5791" spans="1:8" s="212" customFormat="1">
      <c r="B5791" s="97"/>
      <c r="C5791" s="98"/>
      <c r="D5791" s="98"/>
      <c r="E5791" s="98"/>
      <c r="G5791" s="220"/>
    </row>
    <row r="5792" spans="1:8" s="212" customFormat="1">
      <c r="B5792" s="97"/>
      <c r="C5792" s="98"/>
      <c r="D5792" s="98"/>
      <c r="E5792" s="98"/>
      <c r="F5792" s="220"/>
      <c r="G5792" s="225"/>
      <c r="H5792" s="226"/>
    </row>
    <row r="5793" spans="1:9" s="212" customFormat="1">
      <c r="A5793" s="633"/>
      <c r="B5793" s="633"/>
      <c r="C5793" s="633"/>
      <c r="D5793" s="633"/>
      <c r="E5793" s="633"/>
      <c r="F5793" s="633"/>
      <c r="G5793" s="633"/>
    </row>
    <row r="5794" spans="1:9" s="212" customFormat="1">
      <c r="H5794" s="227"/>
      <c r="I5794" s="228"/>
    </row>
    <row r="5795" spans="1:9" s="212" customFormat="1">
      <c r="A5795" s="658"/>
      <c r="B5795" s="227"/>
      <c r="C5795" s="227"/>
      <c r="D5795" s="227"/>
      <c r="E5795" s="227"/>
      <c r="F5795" s="227"/>
      <c r="G5795" s="227"/>
      <c r="H5795" s="227"/>
      <c r="I5795" s="229"/>
    </row>
    <row r="5796" spans="1:9" s="212" customFormat="1">
      <c r="A5796" s="658"/>
      <c r="B5796" s="227"/>
      <c r="C5796" s="227"/>
      <c r="D5796" s="227"/>
      <c r="E5796" s="227"/>
      <c r="F5796" s="227"/>
      <c r="G5796" s="227"/>
    </row>
    <row r="5797" spans="1:9" s="212" customFormat="1">
      <c r="A5797" s="69"/>
      <c r="B5797" s="69"/>
      <c r="C5797" s="69"/>
      <c r="D5797" s="69"/>
      <c r="E5797" s="69"/>
    </row>
    <row r="5798" spans="1:9" s="212" customFormat="1">
      <c r="A5798" s="120"/>
      <c r="B5798" s="73"/>
      <c r="C5798" s="73"/>
      <c r="D5798" s="73"/>
      <c r="E5798" s="73"/>
      <c r="F5798" s="73"/>
      <c r="G5798" s="73"/>
      <c r="H5798" s="73"/>
    </row>
    <row r="5799" spans="1:9" s="212" customFormat="1">
      <c r="A5799" s="220"/>
      <c r="B5799" s="141"/>
      <c r="C5799" s="141"/>
      <c r="D5799" s="141"/>
      <c r="E5799" s="141"/>
      <c r="F5799" s="141"/>
      <c r="G5799" s="141"/>
      <c r="H5799" s="73"/>
    </row>
    <row r="5800" spans="1:9" s="212" customFormat="1">
      <c r="A5800" s="142"/>
      <c r="B5800" s="143"/>
      <c r="C5800" s="143"/>
      <c r="D5800" s="143"/>
      <c r="E5800" s="143"/>
      <c r="F5800" s="84"/>
      <c r="G5800" s="146"/>
      <c r="H5800" s="221"/>
    </row>
    <row r="5801" spans="1:9" s="212" customFormat="1">
      <c r="A5801" s="84"/>
      <c r="B5801" s="83"/>
      <c r="C5801" s="84"/>
      <c r="D5801" s="84"/>
      <c r="E5801" s="84"/>
      <c r="G5801" s="213"/>
      <c r="H5801" s="222"/>
    </row>
    <row r="5802" spans="1:9" s="212" customFormat="1">
      <c r="A5802" s="120"/>
      <c r="B5802" s="73"/>
      <c r="C5802" s="73"/>
      <c r="D5802" s="73"/>
      <c r="E5802" s="73"/>
      <c r="G5802" s="73"/>
      <c r="H5802" s="222"/>
    </row>
    <row r="5803" spans="1:9" s="212" customFormat="1">
      <c r="A5803" s="220"/>
      <c r="B5803" s="141"/>
      <c r="C5803" s="141"/>
      <c r="D5803" s="141"/>
      <c r="E5803" s="141"/>
      <c r="F5803" s="141"/>
      <c r="G5803" s="141"/>
      <c r="H5803" s="222"/>
    </row>
    <row r="5804" spans="1:9" s="212" customFormat="1">
      <c r="A5804" s="150"/>
      <c r="B5804" s="83"/>
      <c r="C5804" s="148"/>
      <c r="D5804" s="160"/>
      <c r="E5804" s="84"/>
      <c r="F5804" s="84"/>
      <c r="G5804" s="146"/>
      <c r="H5804" s="221"/>
    </row>
    <row r="5805" spans="1:9" s="212" customFormat="1">
      <c r="A5805" s="91"/>
      <c r="B5805" s="91"/>
      <c r="C5805" s="91"/>
      <c r="D5805" s="91"/>
      <c r="E5805" s="91"/>
      <c r="G5805" s="213"/>
      <c r="H5805" s="222"/>
    </row>
    <row r="5806" spans="1:9" s="212" customFormat="1">
      <c r="A5806" s="120"/>
      <c r="B5806" s="73"/>
      <c r="C5806" s="73"/>
      <c r="D5806" s="73"/>
      <c r="E5806" s="73"/>
      <c r="G5806" s="73"/>
      <c r="H5806" s="222"/>
    </row>
    <row r="5807" spans="1:9" s="212" customFormat="1">
      <c r="A5807" s="220"/>
      <c r="B5807" s="141"/>
      <c r="C5807" s="141"/>
      <c r="D5807" s="141"/>
      <c r="E5807" s="141"/>
      <c r="F5807" s="141"/>
      <c r="G5807" s="141"/>
      <c r="H5807" s="222"/>
    </row>
    <row r="5808" spans="1:9" s="212" customFormat="1">
      <c r="A5808" s="142"/>
      <c r="B5808" s="143"/>
      <c r="C5808" s="143"/>
      <c r="D5808" s="143"/>
      <c r="E5808" s="143"/>
      <c r="F5808" s="84"/>
      <c r="G5808" s="146"/>
      <c r="H5808" s="221"/>
    </row>
    <row r="5809" spans="1:9" s="212" customFormat="1">
      <c r="A5809" s="91"/>
      <c r="B5809" s="91"/>
      <c r="C5809" s="91"/>
      <c r="D5809" s="91"/>
      <c r="E5809" s="91"/>
      <c r="G5809" s="213"/>
      <c r="H5809" s="222"/>
    </row>
    <row r="5810" spans="1:9" s="212" customFormat="1">
      <c r="A5810" s="120"/>
      <c r="B5810" s="73"/>
      <c r="C5810" s="73"/>
      <c r="D5810" s="73"/>
      <c r="E5810" s="73"/>
      <c r="G5810" s="73"/>
      <c r="H5810" s="222"/>
    </row>
    <row r="5811" spans="1:9" s="212" customFormat="1">
      <c r="A5811" s="220"/>
      <c r="B5811" s="141"/>
      <c r="C5811" s="141"/>
      <c r="D5811" s="141"/>
      <c r="E5811" s="141"/>
      <c r="F5811" s="141"/>
      <c r="G5811" s="141"/>
      <c r="H5811" s="222"/>
    </row>
    <row r="5812" spans="1:9" s="212" customFormat="1">
      <c r="A5812" s="142"/>
      <c r="B5812" s="143"/>
      <c r="C5812" s="143"/>
      <c r="D5812" s="143"/>
      <c r="E5812" s="143"/>
      <c r="F5812" s="84"/>
      <c r="G5812" s="146"/>
      <c r="H5812" s="221"/>
    </row>
    <row r="5813" spans="1:9" s="212" customFormat="1">
      <c r="A5813" s="123"/>
      <c r="B5813" s="95"/>
      <c r="C5813" s="95"/>
      <c r="D5813" s="95"/>
      <c r="E5813" s="95"/>
      <c r="G5813" s="213"/>
      <c r="H5813" s="73"/>
    </row>
    <row r="5814" spans="1:9" s="212" customFormat="1">
      <c r="A5814" s="123"/>
      <c r="B5814" s="95"/>
      <c r="C5814" s="95"/>
      <c r="D5814" s="95"/>
      <c r="E5814" s="95"/>
      <c r="G5814" s="73"/>
      <c r="H5814" s="225"/>
    </row>
    <row r="5815" spans="1:9" s="212" customFormat="1">
      <c r="B5815" s="97"/>
      <c r="C5815" s="98"/>
      <c r="D5815" s="98"/>
      <c r="E5815" s="98"/>
      <c r="G5815" s="220"/>
    </row>
    <row r="5816" spans="1:9" s="212" customFormat="1">
      <c r="B5816" s="97"/>
      <c r="C5816" s="98"/>
      <c r="D5816" s="98"/>
      <c r="E5816" s="98"/>
      <c r="F5816" s="220"/>
      <c r="G5816" s="225"/>
      <c r="H5816" s="226"/>
    </row>
    <row r="5817" spans="1:9" s="212" customFormat="1">
      <c r="A5817" s="633"/>
      <c r="B5817" s="633"/>
      <c r="C5817" s="633"/>
      <c r="D5817" s="633"/>
      <c r="E5817" s="633"/>
      <c r="F5817" s="633"/>
      <c r="G5817" s="633"/>
    </row>
    <row r="5818" spans="1:9" s="212" customFormat="1">
      <c r="H5818" s="227"/>
      <c r="I5818" s="228"/>
    </row>
    <row r="5819" spans="1:9" s="212" customFormat="1">
      <c r="A5819" s="658"/>
      <c r="B5819" s="227"/>
      <c r="C5819" s="227"/>
      <c r="D5819" s="227"/>
      <c r="E5819" s="227"/>
      <c r="F5819" s="227"/>
      <c r="G5819" s="227"/>
      <c r="H5819" s="227"/>
      <c r="I5819" s="229"/>
    </row>
    <row r="5820" spans="1:9" s="212" customFormat="1">
      <c r="A5820" s="658"/>
      <c r="B5820" s="227"/>
      <c r="C5820" s="227"/>
      <c r="D5820" s="227"/>
      <c r="E5820" s="227"/>
      <c r="F5820" s="227"/>
      <c r="G5820" s="227"/>
    </row>
    <row r="5821" spans="1:9" s="212" customFormat="1">
      <c r="A5821" s="69"/>
      <c r="B5821" s="69"/>
      <c r="C5821" s="69"/>
      <c r="D5821" s="69"/>
      <c r="E5821" s="69"/>
    </row>
    <row r="5822" spans="1:9" s="212" customFormat="1">
      <c r="A5822" s="120"/>
      <c r="B5822" s="73"/>
      <c r="C5822" s="73"/>
      <c r="D5822" s="73"/>
      <c r="E5822" s="73"/>
      <c r="F5822" s="73"/>
      <c r="G5822" s="73"/>
      <c r="H5822" s="73"/>
    </row>
    <row r="5823" spans="1:9" s="212" customFormat="1">
      <c r="A5823" s="220"/>
      <c r="B5823" s="141"/>
      <c r="C5823" s="141"/>
      <c r="D5823" s="141"/>
      <c r="E5823" s="141"/>
      <c r="F5823" s="141"/>
      <c r="G5823" s="141"/>
      <c r="H5823" s="73"/>
    </row>
    <row r="5824" spans="1:9" s="212" customFormat="1">
      <c r="A5824" s="142"/>
      <c r="B5824" s="143"/>
      <c r="C5824" s="143"/>
      <c r="D5824" s="143"/>
      <c r="E5824" s="143"/>
      <c r="F5824" s="84"/>
      <c r="G5824" s="146"/>
      <c r="H5824" s="221"/>
    </row>
    <row r="5825" spans="1:8" s="212" customFormat="1">
      <c r="A5825" s="84"/>
      <c r="B5825" s="83"/>
      <c r="C5825" s="84"/>
      <c r="D5825" s="84"/>
      <c r="E5825" s="84"/>
      <c r="G5825" s="213"/>
      <c r="H5825" s="222"/>
    </row>
    <row r="5826" spans="1:8" s="212" customFormat="1">
      <c r="A5826" s="120"/>
      <c r="B5826" s="73"/>
      <c r="C5826" s="73"/>
      <c r="D5826" s="73"/>
      <c r="E5826" s="73"/>
      <c r="G5826" s="73"/>
      <c r="H5826" s="222"/>
    </row>
    <row r="5827" spans="1:8" s="212" customFormat="1">
      <c r="A5827" s="220"/>
      <c r="B5827" s="141"/>
      <c r="C5827" s="141"/>
      <c r="D5827" s="141"/>
      <c r="E5827" s="141"/>
      <c r="F5827" s="141"/>
      <c r="G5827" s="141"/>
      <c r="H5827" s="222"/>
    </row>
    <row r="5828" spans="1:8" s="212" customFormat="1">
      <c r="A5828" s="150"/>
      <c r="B5828" s="83"/>
      <c r="C5828" s="148"/>
      <c r="D5828" s="160"/>
      <c r="E5828" s="84"/>
      <c r="F5828" s="84"/>
      <c r="G5828" s="146"/>
      <c r="H5828" s="221"/>
    </row>
    <row r="5829" spans="1:8" s="212" customFormat="1">
      <c r="A5829" s="91"/>
      <c r="B5829" s="91"/>
      <c r="C5829" s="91"/>
      <c r="D5829" s="91"/>
      <c r="E5829" s="91"/>
      <c r="G5829" s="213"/>
      <c r="H5829" s="222"/>
    </row>
    <row r="5830" spans="1:8" s="212" customFormat="1">
      <c r="A5830" s="120"/>
      <c r="B5830" s="73"/>
      <c r="C5830" s="73"/>
      <c r="D5830" s="73"/>
      <c r="E5830" s="73"/>
      <c r="G5830" s="73"/>
      <c r="H5830" s="222"/>
    </row>
    <row r="5831" spans="1:8" s="212" customFormat="1">
      <c r="A5831" s="220"/>
      <c r="B5831" s="141"/>
      <c r="C5831" s="141"/>
      <c r="D5831" s="141"/>
      <c r="E5831" s="141"/>
      <c r="F5831" s="141"/>
      <c r="G5831" s="141"/>
      <c r="H5831" s="222"/>
    </row>
    <row r="5832" spans="1:8" s="212" customFormat="1">
      <c r="A5832" s="142"/>
      <c r="B5832" s="143"/>
      <c r="C5832" s="143"/>
      <c r="D5832" s="143"/>
      <c r="E5832" s="143"/>
      <c r="F5832" s="84"/>
      <c r="G5832" s="146"/>
      <c r="H5832" s="221"/>
    </row>
    <row r="5833" spans="1:8" s="212" customFormat="1">
      <c r="A5833" s="91"/>
      <c r="B5833" s="91"/>
      <c r="C5833" s="91"/>
      <c r="D5833" s="91"/>
      <c r="E5833" s="91"/>
      <c r="G5833" s="213"/>
      <c r="H5833" s="222"/>
    </row>
    <row r="5834" spans="1:8" s="212" customFormat="1">
      <c r="A5834" s="120"/>
      <c r="B5834" s="73"/>
      <c r="C5834" s="73"/>
      <c r="D5834" s="73"/>
      <c r="E5834" s="73"/>
      <c r="G5834" s="73"/>
      <c r="H5834" s="222"/>
    </row>
    <row r="5835" spans="1:8" s="212" customFormat="1">
      <c r="A5835" s="220"/>
      <c r="B5835" s="141"/>
      <c r="C5835" s="141"/>
      <c r="D5835" s="141"/>
      <c r="E5835" s="141"/>
      <c r="F5835" s="141"/>
      <c r="G5835" s="141"/>
      <c r="H5835" s="222"/>
    </row>
    <row r="5836" spans="1:8" s="212" customFormat="1">
      <c r="A5836" s="142"/>
      <c r="B5836" s="143"/>
      <c r="C5836" s="143"/>
      <c r="D5836" s="143"/>
      <c r="E5836" s="143"/>
      <c r="F5836" s="84"/>
      <c r="G5836" s="146"/>
      <c r="H5836" s="221"/>
    </row>
    <row r="5837" spans="1:8" s="212" customFormat="1">
      <c r="A5837" s="123"/>
      <c r="B5837" s="95"/>
      <c r="C5837" s="95"/>
      <c r="D5837" s="95"/>
      <c r="E5837" s="95"/>
      <c r="G5837" s="213"/>
      <c r="H5837" s="73"/>
    </row>
    <row r="5838" spans="1:8" s="212" customFormat="1">
      <c r="A5838" s="123"/>
      <c r="B5838" s="95"/>
      <c r="C5838" s="95"/>
      <c r="D5838" s="95"/>
      <c r="E5838" s="95"/>
      <c r="G5838" s="73"/>
      <c r="H5838" s="225"/>
    </row>
    <row r="5839" spans="1:8" s="212" customFormat="1">
      <c r="B5839" s="97"/>
      <c r="C5839" s="98"/>
      <c r="D5839" s="98"/>
      <c r="E5839" s="98"/>
      <c r="G5839" s="220"/>
    </row>
    <row r="5840" spans="1:8" s="212" customFormat="1">
      <c r="B5840" s="97"/>
      <c r="C5840" s="98"/>
      <c r="D5840" s="98"/>
      <c r="E5840" s="98"/>
      <c r="F5840" s="220"/>
      <c r="G5840" s="225"/>
      <c r="H5840" s="226"/>
    </row>
    <row r="5841" spans="1:9" s="212" customFormat="1">
      <c r="A5841" s="633"/>
      <c r="B5841" s="633"/>
      <c r="C5841" s="633"/>
      <c r="D5841" s="633"/>
      <c r="E5841" s="633"/>
      <c r="F5841" s="633"/>
      <c r="G5841" s="633"/>
    </row>
    <row r="5842" spans="1:9" s="212" customFormat="1">
      <c r="H5842" s="227"/>
      <c r="I5842" s="228"/>
    </row>
    <row r="5843" spans="1:9" s="212" customFormat="1">
      <c r="A5843" s="658"/>
      <c r="B5843" s="227"/>
      <c r="C5843" s="227"/>
      <c r="D5843" s="227"/>
      <c r="E5843" s="227"/>
      <c r="F5843" s="227"/>
      <c r="G5843" s="227"/>
      <c r="H5843" s="227"/>
      <c r="I5843" s="229"/>
    </row>
    <row r="5844" spans="1:9" s="212" customFormat="1">
      <c r="A5844" s="658"/>
      <c r="B5844" s="227"/>
      <c r="C5844" s="227"/>
      <c r="D5844" s="227"/>
      <c r="E5844" s="227"/>
      <c r="F5844" s="227"/>
      <c r="G5844" s="227"/>
    </row>
    <row r="5845" spans="1:9" s="212" customFormat="1">
      <c r="A5845" s="69"/>
      <c r="B5845" s="69"/>
      <c r="C5845" s="69"/>
      <c r="D5845" s="69"/>
      <c r="E5845" s="69"/>
    </row>
    <row r="5846" spans="1:9" s="212" customFormat="1">
      <c r="A5846" s="120"/>
      <c r="B5846" s="73"/>
      <c r="C5846" s="73"/>
      <c r="D5846" s="73"/>
      <c r="E5846" s="73"/>
      <c r="F5846" s="73"/>
      <c r="G5846" s="73"/>
      <c r="H5846" s="73"/>
    </row>
    <row r="5847" spans="1:9" s="212" customFormat="1">
      <c r="A5847" s="220"/>
      <c r="B5847" s="141"/>
      <c r="C5847" s="141"/>
      <c r="D5847" s="141"/>
      <c r="E5847" s="141"/>
      <c r="F5847" s="141"/>
      <c r="G5847" s="141"/>
      <c r="H5847" s="73"/>
    </row>
    <row r="5848" spans="1:9" s="212" customFormat="1">
      <c r="A5848" s="142"/>
      <c r="B5848" s="143"/>
      <c r="C5848" s="143"/>
      <c r="D5848" s="143"/>
      <c r="E5848" s="143"/>
      <c r="F5848" s="84"/>
      <c r="G5848" s="146"/>
      <c r="H5848" s="221"/>
    </row>
    <row r="5849" spans="1:9" s="212" customFormat="1">
      <c r="A5849" s="84"/>
      <c r="B5849" s="83"/>
      <c r="C5849" s="84"/>
      <c r="D5849" s="84"/>
      <c r="E5849" s="84"/>
      <c r="G5849" s="213"/>
      <c r="H5849" s="222"/>
    </row>
    <row r="5850" spans="1:9" s="212" customFormat="1">
      <c r="A5850" s="120"/>
      <c r="B5850" s="73"/>
      <c r="C5850" s="73"/>
      <c r="D5850" s="73"/>
      <c r="E5850" s="73"/>
      <c r="G5850" s="73"/>
      <c r="H5850" s="222"/>
    </row>
    <row r="5851" spans="1:9" s="212" customFormat="1">
      <c r="A5851" s="220"/>
      <c r="B5851" s="141"/>
      <c r="C5851" s="141"/>
      <c r="D5851" s="141"/>
      <c r="E5851" s="141"/>
      <c r="F5851" s="141"/>
      <c r="G5851" s="141"/>
      <c r="H5851" s="222"/>
    </row>
    <row r="5852" spans="1:9" s="212" customFormat="1">
      <c r="A5852" s="150"/>
      <c r="B5852" s="83"/>
      <c r="C5852" s="148"/>
      <c r="D5852" s="160"/>
      <c r="E5852" s="84"/>
      <c r="F5852" s="84"/>
      <c r="G5852" s="146"/>
      <c r="H5852" s="221"/>
    </row>
    <row r="5853" spans="1:9" s="212" customFormat="1">
      <c r="A5853" s="91"/>
      <c r="B5853" s="91"/>
      <c r="C5853" s="91"/>
      <c r="D5853" s="91"/>
      <c r="E5853" s="91"/>
      <c r="G5853" s="213"/>
      <c r="H5853" s="222"/>
    </row>
    <row r="5854" spans="1:9" s="212" customFormat="1">
      <c r="A5854" s="120"/>
      <c r="B5854" s="73"/>
      <c r="C5854" s="73"/>
      <c r="D5854" s="73"/>
      <c r="E5854" s="73"/>
      <c r="G5854" s="73"/>
      <c r="H5854" s="222"/>
    </row>
    <row r="5855" spans="1:9" s="212" customFormat="1">
      <c r="A5855" s="220"/>
      <c r="B5855" s="141"/>
      <c r="C5855" s="141"/>
      <c r="D5855" s="141"/>
      <c r="E5855" s="141"/>
      <c r="F5855" s="141"/>
      <c r="G5855" s="141"/>
      <c r="H5855" s="222"/>
    </row>
    <row r="5856" spans="1:9" s="212" customFormat="1">
      <c r="A5856" s="142"/>
      <c r="B5856" s="143"/>
      <c r="C5856" s="143"/>
      <c r="D5856" s="143"/>
      <c r="E5856" s="143"/>
      <c r="F5856" s="84"/>
      <c r="G5856" s="146"/>
      <c r="H5856" s="221"/>
    </row>
    <row r="5857" spans="1:9" s="212" customFormat="1">
      <c r="A5857" s="91"/>
      <c r="B5857" s="91"/>
      <c r="C5857" s="91"/>
      <c r="D5857" s="91"/>
      <c r="E5857" s="91"/>
      <c r="G5857" s="213"/>
      <c r="H5857" s="222"/>
    </row>
    <row r="5858" spans="1:9" s="212" customFormat="1">
      <c r="A5858" s="120"/>
      <c r="B5858" s="73"/>
      <c r="C5858" s="73"/>
      <c r="D5858" s="73"/>
      <c r="E5858" s="73"/>
      <c r="G5858" s="73"/>
      <c r="H5858" s="222"/>
    </row>
    <row r="5859" spans="1:9" s="212" customFormat="1">
      <c r="A5859" s="220"/>
      <c r="B5859" s="141"/>
      <c r="C5859" s="141"/>
      <c r="D5859" s="141"/>
      <c r="E5859" s="141"/>
      <c r="F5859" s="141"/>
      <c r="G5859" s="141"/>
      <c r="H5859" s="222"/>
    </row>
    <row r="5860" spans="1:9" s="212" customFormat="1">
      <c r="A5860" s="142"/>
      <c r="B5860" s="143"/>
      <c r="C5860" s="143"/>
      <c r="D5860" s="143"/>
      <c r="E5860" s="143"/>
      <c r="F5860" s="84"/>
      <c r="G5860" s="146"/>
      <c r="H5860" s="221"/>
    </row>
    <row r="5861" spans="1:9" s="212" customFormat="1">
      <c r="A5861" s="123"/>
      <c r="B5861" s="95"/>
      <c r="C5861" s="95"/>
      <c r="D5861" s="95"/>
      <c r="E5861" s="95"/>
      <c r="G5861" s="213"/>
      <c r="H5861" s="73"/>
    </row>
    <row r="5862" spans="1:9" s="212" customFormat="1">
      <c r="A5862" s="123"/>
      <c r="B5862" s="95"/>
      <c r="C5862" s="95"/>
      <c r="D5862" s="95"/>
      <c r="E5862" s="95"/>
      <c r="G5862" s="73"/>
      <c r="H5862" s="225"/>
    </row>
    <row r="5863" spans="1:9" s="212" customFormat="1">
      <c r="B5863" s="97"/>
      <c r="C5863" s="98"/>
      <c r="D5863" s="98"/>
      <c r="E5863" s="98"/>
      <c r="G5863" s="220"/>
    </row>
    <row r="5864" spans="1:9" s="212" customFormat="1">
      <c r="B5864" s="97"/>
      <c r="C5864" s="98"/>
      <c r="D5864" s="98"/>
      <c r="E5864" s="98"/>
      <c r="F5864" s="220"/>
      <c r="G5864" s="225"/>
      <c r="H5864" s="226"/>
    </row>
    <row r="5865" spans="1:9" s="212" customFormat="1">
      <c r="A5865" s="633"/>
      <c r="B5865" s="633"/>
      <c r="C5865" s="633"/>
      <c r="D5865" s="633"/>
      <c r="E5865" s="633"/>
      <c r="F5865" s="633"/>
      <c r="G5865" s="633"/>
    </row>
    <row r="5866" spans="1:9" s="212" customFormat="1">
      <c r="H5866" s="227"/>
      <c r="I5866" s="228"/>
    </row>
    <row r="5867" spans="1:9" s="212" customFormat="1">
      <c r="A5867" s="658"/>
      <c r="B5867" s="227"/>
      <c r="C5867" s="227"/>
      <c r="D5867" s="227"/>
      <c r="E5867" s="227"/>
      <c r="F5867" s="227"/>
      <c r="G5867" s="227"/>
      <c r="H5867" s="227"/>
      <c r="I5867" s="229"/>
    </row>
    <row r="5868" spans="1:9" s="212" customFormat="1">
      <c r="A5868" s="658"/>
      <c r="B5868" s="227"/>
      <c r="C5868" s="227"/>
      <c r="D5868" s="227"/>
      <c r="E5868" s="227"/>
      <c r="F5868" s="227"/>
      <c r="G5868" s="227"/>
    </row>
    <row r="5869" spans="1:9" s="212" customFormat="1">
      <c r="A5869" s="69"/>
      <c r="B5869" s="69"/>
      <c r="C5869" s="69"/>
      <c r="D5869" s="69"/>
      <c r="E5869" s="69"/>
    </row>
    <row r="5870" spans="1:9" s="212" customFormat="1">
      <c r="A5870" s="120"/>
      <c r="B5870" s="73"/>
      <c r="C5870" s="73"/>
      <c r="D5870" s="73"/>
      <c r="E5870" s="73"/>
      <c r="F5870" s="73"/>
      <c r="G5870" s="73"/>
      <c r="H5870" s="73"/>
    </row>
    <row r="5871" spans="1:9" s="212" customFormat="1">
      <c r="A5871" s="220"/>
      <c r="B5871" s="141"/>
      <c r="C5871" s="141"/>
      <c r="D5871" s="141"/>
      <c r="E5871" s="141"/>
      <c r="F5871" s="141"/>
      <c r="G5871" s="141"/>
      <c r="H5871" s="73"/>
    </row>
    <row r="5872" spans="1:9" s="212" customFormat="1">
      <c r="A5872" s="142"/>
      <c r="B5872" s="143"/>
      <c r="C5872" s="143"/>
      <c r="D5872" s="143"/>
      <c r="E5872" s="143"/>
      <c r="F5872" s="84"/>
      <c r="G5872" s="146"/>
      <c r="H5872" s="221"/>
    </row>
    <row r="5873" spans="1:8" s="212" customFormat="1">
      <c r="A5873" s="84"/>
      <c r="B5873" s="83"/>
      <c r="C5873" s="84"/>
      <c r="D5873" s="84"/>
      <c r="E5873" s="84"/>
      <c r="G5873" s="213"/>
      <c r="H5873" s="222"/>
    </row>
    <row r="5874" spans="1:8" s="212" customFormat="1">
      <c r="A5874" s="120"/>
      <c r="B5874" s="73"/>
      <c r="C5874" s="73"/>
      <c r="D5874" s="73"/>
      <c r="E5874" s="73"/>
      <c r="G5874" s="73"/>
      <c r="H5874" s="222"/>
    </row>
    <row r="5875" spans="1:8" s="212" customFormat="1">
      <c r="A5875" s="220"/>
      <c r="B5875" s="141"/>
      <c r="C5875" s="141"/>
      <c r="D5875" s="141"/>
      <c r="E5875" s="141"/>
      <c r="F5875" s="141"/>
      <c r="G5875" s="141"/>
      <c r="H5875" s="222"/>
    </row>
    <row r="5876" spans="1:8" s="212" customFormat="1">
      <c r="A5876" s="150"/>
      <c r="B5876" s="83"/>
      <c r="C5876" s="148"/>
      <c r="D5876" s="160"/>
      <c r="E5876" s="84"/>
      <c r="F5876" s="84"/>
      <c r="G5876" s="146"/>
      <c r="H5876" s="221"/>
    </row>
    <row r="5877" spans="1:8" s="212" customFormat="1">
      <c r="A5877" s="91"/>
      <c r="B5877" s="91"/>
      <c r="C5877" s="91"/>
      <c r="D5877" s="91"/>
      <c r="E5877" s="91"/>
      <c r="G5877" s="213"/>
      <c r="H5877" s="222"/>
    </row>
    <row r="5878" spans="1:8" s="212" customFormat="1">
      <c r="A5878" s="120"/>
      <c r="B5878" s="73"/>
      <c r="C5878" s="73"/>
      <c r="D5878" s="73"/>
      <c r="E5878" s="73"/>
      <c r="G5878" s="73"/>
      <c r="H5878" s="222"/>
    </row>
    <row r="5879" spans="1:8" s="212" customFormat="1">
      <c r="A5879" s="220"/>
      <c r="B5879" s="141"/>
      <c r="C5879" s="141"/>
      <c r="D5879" s="141"/>
      <c r="E5879" s="141"/>
      <c r="F5879" s="141"/>
      <c r="G5879" s="141"/>
      <c r="H5879" s="222"/>
    </row>
    <row r="5880" spans="1:8" s="212" customFormat="1">
      <c r="A5880" s="142"/>
      <c r="B5880" s="143"/>
      <c r="C5880" s="143"/>
      <c r="D5880" s="143"/>
      <c r="E5880" s="143"/>
      <c r="F5880" s="84"/>
      <c r="G5880" s="146"/>
      <c r="H5880" s="221"/>
    </row>
    <row r="5881" spans="1:8" s="212" customFormat="1">
      <c r="A5881" s="91"/>
      <c r="B5881" s="91"/>
      <c r="C5881" s="91"/>
      <c r="D5881" s="91"/>
      <c r="E5881" s="91"/>
      <c r="G5881" s="213"/>
      <c r="H5881" s="222"/>
    </row>
    <row r="5882" spans="1:8" s="212" customFormat="1">
      <c r="A5882" s="120"/>
      <c r="B5882" s="73"/>
      <c r="C5882" s="73"/>
      <c r="D5882" s="73"/>
      <c r="E5882" s="73"/>
      <c r="G5882" s="73"/>
      <c r="H5882" s="222"/>
    </row>
    <row r="5883" spans="1:8" s="212" customFormat="1">
      <c r="A5883" s="220"/>
      <c r="B5883" s="141"/>
      <c r="C5883" s="141"/>
      <c r="D5883" s="141"/>
      <c r="E5883" s="141"/>
      <c r="F5883" s="141"/>
      <c r="G5883" s="141"/>
      <c r="H5883" s="222"/>
    </row>
    <row r="5884" spans="1:8" s="212" customFormat="1">
      <c r="A5884" s="142"/>
      <c r="B5884" s="143"/>
      <c r="C5884" s="143"/>
      <c r="D5884" s="143"/>
      <c r="E5884" s="143"/>
      <c r="F5884" s="84"/>
      <c r="G5884" s="146"/>
      <c r="H5884" s="221"/>
    </row>
    <row r="5885" spans="1:8" s="212" customFormat="1">
      <c r="A5885" s="123"/>
      <c r="B5885" s="95"/>
      <c r="C5885" s="95"/>
      <c r="D5885" s="95"/>
      <c r="E5885" s="95"/>
      <c r="G5885" s="213"/>
      <c r="H5885" s="73"/>
    </row>
    <row r="5886" spans="1:8" s="212" customFormat="1">
      <c r="A5886" s="123"/>
      <c r="B5886" s="95"/>
      <c r="C5886" s="95"/>
      <c r="D5886" s="95"/>
      <c r="E5886" s="95"/>
      <c r="G5886" s="73"/>
      <c r="H5886" s="225"/>
    </row>
    <row r="5887" spans="1:8" s="212" customFormat="1">
      <c r="B5887" s="97"/>
      <c r="C5887" s="98"/>
      <c r="D5887" s="98"/>
      <c r="E5887" s="98"/>
      <c r="G5887" s="220"/>
    </row>
    <row r="5888" spans="1:8" s="212" customFormat="1">
      <c r="B5888" s="97"/>
      <c r="C5888" s="98"/>
      <c r="D5888" s="98"/>
      <c r="E5888" s="98"/>
      <c r="F5888" s="220"/>
      <c r="G5888" s="225"/>
      <c r="H5888" s="226"/>
    </row>
    <row r="5889" spans="1:9" s="212" customFormat="1">
      <c r="A5889" s="633"/>
      <c r="B5889" s="633"/>
      <c r="C5889" s="633"/>
      <c r="D5889" s="633"/>
      <c r="E5889" s="633"/>
      <c r="F5889" s="633"/>
      <c r="G5889" s="633"/>
    </row>
    <row r="5890" spans="1:9" s="212" customFormat="1">
      <c r="H5890" s="227"/>
      <c r="I5890" s="228"/>
    </row>
    <row r="5891" spans="1:9" s="212" customFormat="1">
      <c r="A5891" s="658"/>
      <c r="B5891" s="227"/>
      <c r="C5891" s="227"/>
      <c r="D5891" s="227"/>
      <c r="E5891" s="227"/>
      <c r="F5891" s="227"/>
      <c r="G5891" s="227"/>
      <c r="H5891" s="227"/>
      <c r="I5891" s="229"/>
    </row>
    <row r="5892" spans="1:9" s="212" customFormat="1">
      <c r="A5892" s="658"/>
      <c r="B5892" s="227"/>
      <c r="C5892" s="227"/>
      <c r="D5892" s="227"/>
      <c r="E5892" s="227"/>
      <c r="F5892" s="227"/>
      <c r="G5892" s="227"/>
    </row>
    <row r="5893" spans="1:9" s="212" customFormat="1">
      <c r="A5893" s="69"/>
      <c r="B5893" s="69"/>
      <c r="C5893" s="69"/>
      <c r="D5893" s="69"/>
      <c r="E5893" s="69"/>
    </row>
    <row r="5894" spans="1:9" s="212" customFormat="1">
      <c r="A5894" s="120"/>
      <c r="B5894" s="73"/>
      <c r="C5894" s="73"/>
      <c r="D5894" s="73"/>
      <c r="E5894" s="73"/>
      <c r="F5894" s="73"/>
      <c r="G5894" s="73"/>
      <c r="H5894" s="73"/>
    </row>
    <row r="5895" spans="1:9" s="212" customFormat="1">
      <c r="A5895" s="220"/>
      <c r="B5895" s="141"/>
      <c r="C5895" s="141"/>
      <c r="D5895" s="141"/>
      <c r="E5895" s="141"/>
      <c r="F5895" s="141"/>
      <c r="G5895" s="141"/>
      <c r="H5895" s="73"/>
    </row>
    <row r="5896" spans="1:9" s="212" customFormat="1">
      <c r="A5896" s="142"/>
      <c r="B5896" s="143"/>
      <c r="C5896" s="143"/>
      <c r="D5896" s="143"/>
      <c r="E5896" s="143"/>
      <c r="F5896" s="84"/>
      <c r="G5896" s="146"/>
      <c r="H5896" s="221"/>
    </row>
    <row r="5897" spans="1:9" s="212" customFormat="1">
      <c r="A5897" s="84"/>
      <c r="B5897" s="83"/>
      <c r="C5897" s="84"/>
      <c r="D5897" s="84"/>
      <c r="E5897" s="84"/>
      <c r="G5897" s="213"/>
      <c r="H5897" s="222"/>
    </row>
    <row r="5898" spans="1:9" s="212" customFormat="1">
      <c r="A5898" s="120"/>
      <c r="B5898" s="73"/>
      <c r="C5898" s="73"/>
      <c r="D5898" s="73"/>
      <c r="E5898" s="73"/>
      <c r="G5898" s="73"/>
      <c r="H5898" s="222"/>
    </row>
    <row r="5899" spans="1:9" s="212" customFormat="1">
      <c r="A5899" s="220"/>
      <c r="B5899" s="141"/>
      <c r="C5899" s="141"/>
      <c r="D5899" s="141"/>
      <c r="E5899" s="141"/>
      <c r="F5899" s="141"/>
      <c r="G5899" s="141"/>
      <c r="H5899" s="222"/>
    </row>
    <row r="5900" spans="1:9" s="212" customFormat="1">
      <c r="A5900" s="150"/>
      <c r="B5900" s="83"/>
      <c r="C5900" s="148"/>
      <c r="D5900" s="160"/>
      <c r="E5900" s="84"/>
      <c r="F5900" s="84"/>
      <c r="G5900" s="146"/>
      <c r="H5900" s="221"/>
    </row>
    <row r="5901" spans="1:9" s="212" customFormat="1">
      <c r="A5901" s="91"/>
      <c r="B5901" s="91"/>
      <c r="C5901" s="91"/>
      <c r="D5901" s="91"/>
      <c r="E5901" s="91"/>
      <c r="G5901" s="213"/>
      <c r="H5901" s="222"/>
    </row>
    <row r="5902" spans="1:9" s="212" customFormat="1">
      <c r="A5902" s="120"/>
      <c r="B5902" s="73"/>
      <c r="C5902" s="73"/>
      <c r="D5902" s="73"/>
      <c r="E5902" s="73"/>
      <c r="G5902" s="73"/>
      <c r="H5902" s="222"/>
    </row>
    <row r="5903" spans="1:9" s="212" customFormat="1">
      <c r="A5903" s="220"/>
      <c r="B5903" s="141"/>
      <c r="C5903" s="141"/>
      <c r="D5903" s="141"/>
      <c r="E5903" s="141"/>
      <c r="F5903" s="141"/>
      <c r="G5903" s="141"/>
      <c r="H5903" s="222"/>
    </row>
    <row r="5904" spans="1:9" s="212" customFormat="1">
      <c r="A5904" s="142"/>
      <c r="B5904" s="143"/>
      <c r="C5904" s="143"/>
      <c r="D5904" s="143"/>
      <c r="E5904" s="143"/>
      <c r="F5904" s="84"/>
      <c r="G5904" s="146"/>
      <c r="H5904" s="221"/>
    </row>
    <row r="5905" spans="1:9" s="212" customFormat="1">
      <c r="A5905" s="91"/>
      <c r="B5905" s="91"/>
      <c r="C5905" s="91"/>
      <c r="D5905" s="91"/>
      <c r="E5905" s="91"/>
      <c r="G5905" s="213"/>
      <c r="H5905" s="222"/>
    </row>
    <row r="5906" spans="1:9" s="212" customFormat="1">
      <c r="A5906" s="120"/>
      <c r="B5906" s="73"/>
      <c r="C5906" s="73"/>
      <c r="D5906" s="73"/>
      <c r="E5906" s="73"/>
      <c r="G5906" s="73"/>
      <c r="H5906" s="222"/>
    </row>
    <row r="5907" spans="1:9" s="212" customFormat="1">
      <c r="A5907" s="220"/>
      <c r="B5907" s="141"/>
      <c r="C5907" s="141"/>
      <c r="D5907" s="141"/>
      <c r="E5907" s="141"/>
      <c r="F5907" s="141"/>
      <c r="G5907" s="141"/>
      <c r="H5907" s="222"/>
    </row>
    <row r="5908" spans="1:9" s="212" customFormat="1">
      <c r="A5908" s="142"/>
      <c r="B5908" s="143"/>
      <c r="C5908" s="143"/>
      <c r="D5908" s="143"/>
      <c r="E5908" s="143"/>
      <c r="F5908" s="84"/>
      <c r="G5908" s="146"/>
      <c r="H5908" s="221"/>
    </row>
    <row r="5909" spans="1:9" s="212" customFormat="1">
      <c r="A5909" s="123"/>
      <c r="B5909" s="95"/>
      <c r="C5909" s="95"/>
      <c r="D5909" s="95"/>
      <c r="E5909" s="95"/>
      <c r="G5909" s="213"/>
      <c r="H5909" s="73"/>
    </row>
    <row r="5910" spans="1:9" s="212" customFormat="1">
      <c r="A5910" s="123"/>
      <c r="B5910" s="95"/>
      <c r="C5910" s="95"/>
      <c r="D5910" s="95"/>
      <c r="E5910" s="95"/>
      <c r="G5910" s="73"/>
      <c r="H5910" s="225"/>
    </row>
    <row r="5911" spans="1:9" s="212" customFormat="1">
      <c r="B5911" s="97"/>
      <c r="C5911" s="98"/>
      <c r="D5911" s="98"/>
      <c r="E5911" s="98"/>
      <c r="G5911" s="220"/>
    </row>
    <row r="5912" spans="1:9" s="212" customFormat="1">
      <c r="B5912" s="97"/>
      <c r="C5912" s="98"/>
      <c r="D5912" s="98"/>
      <c r="E5912" s="98"/>
      <c r="F5912" s="220"/>
      <c r="G5912" s="225"/>
      <c r="H5912" s="226"/>
    </row>
    <row r="5913" spans="1:9" s="212" customFormat="1">
      <c r="A5913" s="633"/>
      <c r="B5913" s="633"/>
      <c r="C5913" s="633"/>
      <c r="D5913" s="633"/>
      <c r="E5913" s="633"/>
      <c r="F5913" s="633"/>
      <c r="G5913" s="633"/>
    </row>
    <row r="5914" spans="1:9" s="212" customFormat="1">
      <c r="H5914" s="227"/>
      <c r="I5914" s="228"/>
    </row>
    <row r="5915" spans="1:9" s="212" customFormat="1">
      <c r="A5915" s="658"/>
      <c r="B5915" s="227"/>
      <c r="C5915" s="227"/>
      <c r="D5915" s="227"/>
      <c r="E5915" s="227"/>
      <c r="F5915" s="227"/>
      <c r="G5915" s="227"/>
      <c r="H5915" s="227"/>
      <c r="I5915" s="229"/>
    </row>
    <row r="5916" spans="1:9" s="212" customFormat="1">
      <c r="A5916" s="658"/>
      <c r="B5916" s="227"/>
      <c r="C5916" s="227"/>
      <c r="D5916" s="227"/>
      <c r="E5916" s="227"/>
      <c r="F5916" s="227"/>
      <c r="G5916" s="227"/>
    </row>
    <row r="5917" spans="1:9" s="212" customFormat="1">
      <c r="A5917" s="69"/>
      <c r="B5917" s="69"/>
      <c r="C5917" s="69"/>
      <c r="D5917" s="69"/>
      <c r="E5917" s="69"/>
    </row>
    <row r="5918" spans="1:9" s="212" customFormat="1">
      <c r="A5918" s="120"/>
      <c r="B5918" s="73"/>
      <c r="C5918" s="73"/>
      <c r="D5918" s="73"/>
      <c r="E5918" s="73"/>
      <c r="F5918" s="73"/>
      <c r="G5918" s="73"/>
      <c r="H5918" s="73"/>
    </row>
    <row r="5919" spans="1:9" s="212" customFormat="1">
      <c r="A5919" s="220"/>
      <c r="B5919" s="141"/>
      <c r="C5919" s="141"/>
      <c r="D5919" s="141"/>
      <c r="E5919" s="141"/>
      <c r="F5919" s="141"/>
      <c r="G5919" s="141"/>
      <c r="H5919" s="73"/>
    </row>
    <row r="5920" spans="1:9" s="212" customFormat="1">
      <c r="A5920" s="142"/>
      <c r="B5920" s="143"/>
      <c r="C5920" s="143"/>
      <c r="D5920" s="143"/>
      <c r="E5920" s="143"/>
      <c r="F5920" s="84"/>
      <c r="G5920" s="146"/>
      <c r="H5920" s="221"/>
    </row>
    <row r="5921" spans="1:8" s="212" customFormat="1">
      <c r="A5921" s="84"/>
      <c r="B5921" s="83"/>
      <c r="C5921" s="84"/>
      <c r="D5921" s="84"/>
      <c r="E5921" s="84"/>
      <c r="G5921" s="213"/>
      <c r="H5921" s="222"/>
    </row>
    <row r="5922" spans="1:8" s="212" customFormat="1">
      <c r="A5922" s="120"/>
      <c r="B5922" s="73"/>
      <c r="C5922" s="73"/>
      <c r="D5922" s="73"/>
      <c r="E5922" s="73"/>
      <c r="G5922" s="73"/>
      <c r="H5922" s="222"/>
    </row>
    <row r="5923" spans="1:8" s="212" customFormat="1">
      <c r="A5923" s="220"/>
      <c r="B5923" s="141"/>
      <c r="C5923" s="141"/>
      <c r="D5923" s="141"/>
      <c r="E5923" s="141"/>
      <c r="F5923" s="141"/>
      <c r="G5923" s="141"/>
      <c r="H5923" s="222"/>
    </row>
    <row r="5924" spans="1:8" s="212" customFormat="1">
      <c r="A5924" s="150"/>
      <c r="B5924" s="83"/>
      <c r="C5924" s="148"/>
      <c r="D5924" s="160"/>
      <c r="E5924" s="84"/>
      <c r="F5924" s="84"/>
      <c r="G5924" s="146"/>
      <c r="H5924" s="221"/>
    </row>
    <row r="5925" spans="1:8" s="212" customFormat="1">
      <c r="A5925" s="91"/>
      <c r="B5925" s="91"/>
      <c r="C5925" s="91"/>
      <c r="D5925" s="91"/>
      <c r="E5925" s="91"/>
      <c r="G5925" s="213"/>
      <c r="H5925" s="222"/>
    </row>
    <row r="5926" spans="1:8" s="212" customFormat="1">
      <c r="A5926" s="120"/>
      <c r="B5926" s="73"/>
      <c r="C5926" s="73"/>
      <c r="D5926" s="73"/>
      <c r="E5926" s="73"/>
      <c r="G5926" s="73"/>
      <c r="H5926" s="222"/>
    </row>
    <row r="5927" spans="1:8" s="212" customFormat="1">
      <c r="A5927" s="220"/>
      <c r="B5927" s="141"/>
      <c r="C5927" s="141"/>
      <c r="D5927" s="141"/>
      <c r="E5927" s="141"/>
      <c r="F5927" s="141"/>
      <c r="G5927" s="141"/>
      <c r="H5927" s="222"/>
    </row>
    <row r="5928" spans="1:8" s="212" customFormat="1">
      <c r="A5928" s="142"/>
      <c r="B5928" s="143"/>
      <c r="C5928" s="143"/>
      <c r="D5928" s="143"/>
      <c r="E5928" s="143"/>
      <c r="F5928" s="84"/>
      <c r="G5928" s="146"/>
      <c r="H5928" s="221"/>
    </row>
    <row r="5929" spans="1:8" s="212" customFormat="1">
      <c r="A5929" s="91"/>
      <c r="B5929" s="91"/>
      <c r="C5929" s="91"/>
      <c r="D5929" s="91"/>
      <c r="E5929" s="91"/>
      <c r="G5929" s="213"/>
      <c r="H5929" s="222"/>
    </row>
    <row r="5930" spans="1:8" s="212" customFormat="1">
      <c r="A5930" s="120"/>
      <c r="B5930" s="73"/>
      <c r="C5930" s="73"/>
      <c r="D5930" s="73"/>
      <c r="E5930" s="73"/>
      <c r="G5930" s="73"/>
      <c r="H5930" s="222"/>
    </row>
    <row r="5931" spans="1:8" s="212" customFormat="1">
      <c r="A5931" s="220"/>
      <c r="B5931" s="141"/>
      <c r="C5931" s="141"/>
      <c r="D5931" s="141"/>
      <c r="E5931" s="141"/>
      <c r="F5931" s="141"/>
      <c r="G5931" s="141"/>
      <c r="H5931" s="222"/>
    </row>
    <row r="5932" spans="1:8" s="212" customFormat="1">
      <c r="A5932" s="142"/>
      <c r="B5932" s="143"/>
      <c r="C5932" s="143"/>
      <c r="D5932" s="143"/>
      <c r="E5932" s="143"/>
      <c r="F5932" s="84"/>
      <c r="G5932" s="146"/>
      <c r="H5932" s="221"/>
    </row>
    <row r="5933" spans="1:8" s="212" customFormat="1">
      <c r="A5933" s="123"/>
      <c r="B5933" s="95"/>
      <c r="C5933" s="95"/>
      <c r="D5933" s="95"/>
      <c r="E5933" s="95"/>
      <c r="G5933" s="213"/>
      <c r="H5933" s="73"/>
    </row>
    <row r="5934" spans="1:8" s="212" customFormat="1">
      <c r="A5934" s="123"/>
      <c r="B5934" s="95"/>
      <c r="C5934" s="95"/>
      <c r="D5934" s="95"/>
      <c r="E5934" s="95"/>
      <c r="G5934" s="73"/>
      <c r="H5934" s="225"/>
    </row>
    <row r="5935" spans="1:8" s="212" customFormat="1">
      <c r="B5935" s="97"/>
      <c r="C5935" s="98"/>
      <c r="D5935" s="98"/>
      <c r="E5935" s="98"/>
      <c r="G5935" s="220"/>
    </row>
    <row r="5936" spans="1:8" s="212" customFormat="1">
      <c r="B5936" s="97"/>
      <c r="C5936" s="98"/>
      <c r="D5936" s="98"/>
      <c r="E5936" s="98"/>
      <c r="F5936" s="220"/>
      <c r="G5936" s="225"/>
      <c r="H5936" s="226"/>
    </row>
    <row r="5937" spans="1:9" s="212" customFormat="1">
      <c r="A5937" s="633"/>
      <c r="B5937" s="633"/>
      <c r="C5937" s="633"/>
      <c r="D5937" s="633"/>
      <c r="E5937" s="633"/>
      <c r="F5937" s="633"/>
      <c r="G5937" s="633"/>
    </row>
    <row r="5938" spans="1:9" s="212" customFormat="1">
      <c r="H5938" s="227"/>
      <c r="I5938" s="228"/>
    </row>
    <row r="5939" spans="1:9" s="212" customFormat="1">
      <c r="A5939" s="658"/>
      <c r="B5939" s="227"/>
      <c r="C5939" s="227"/>
      <c r="D5939" s="227"/>
      <c r="E5939" s="227"/>
      <c r="F5939" s="227"/>
      <c r="G5939" s="227"/>
      <c r="H5939" s="227"/>
      <c r="I5939" s="229"/>
    </row>
    <row r="5940" spans="1:9" s="212" customFormat="1">
      <c r="A5940" s="658"/>
      <c r="B5940" s="227"/>
      <c r="C5940" s="227"/>
      <c r="D5940" s="227"/>
      <c r="E5940" s="227"/>
      <c r="F5940" s="227"/>
      <c r="G5940" s="227"/>
    </row>
    <row r="5941" spans="1:9" s="212" customFormat="1">
      <c r="A5941" s="69"/>
      <c r="B5941" s="69"/>
      <c r="C5941" s="69"/>
      <c r="D5941" s="69"/>
      <c r="E5941" s="69"/>
    </row>
    <row r="5942" spans="1:9" s="212" customFormat="1">
      <c r="A5942" s="120"/>
      <c r="B5942" s="73"/>
      <c r="C5942" s="73"/>
      <c r="D5942" s="73"/>
      <c r="E5942" s="73"/>
      <c r="F5942" s="73"/>
      <c r="G5942" s="73"/>
      <c r="H5942" s="73"/>
    </row>
    <row r="5943" spans="1:9" s="212" customFormat="1">
      <c r="A5943" s="220"/>
      <c r="B5943" s="141"/>
      <c r="C5943" s="141"/>
      <c r="D5943" s="141"/>
      <c r="E5943" s="141"/>
      <c r="F5943" s="141"/>
      <c r="G5943" s="141"/>
      <c r="H5943" s="73"/>
    </row>
    <row r="5944" spans="1:9" s="212" customFormat="1">
      <c r="A5944" s="142"/>
      <c r="B5944" s="143"/>
      <c r="C5944" s="143"/>
      <c r="D5944" s="143"/>
      <c r="E5944" s="143"/>
      <c r="F5944" s="84"/>
      <c r="G5944" s="146"/>
      <c r="H5944" s="221"/>
    </row>
    <row r="5945" spans="1:9" s="212" customFormat="1">
      <c r="A5945" s="84"/>
      <c r="B5945" s="83"/>
      <c r="C5945" s="84"/>
      <c r="D5945" s="84"/>
      <c r="E5945" s="84"/>
      <c r="G5945" s="213"/>
      <c r="H5945" s="222"/>
    </row>
    <row r="5946" spans="1:9" s="212" customFormat="1">
      <c r="A5946" s="120"/>
      <c r="B5946" s="73"/>
      <c r="C5946" s="73"/>
      <c r="D5946" s="73"/>
      <c r="E5946" s="73"/>
      <c r="G5946" s="73"/>
      <c r="H5946" s="222"/>
    </row>
    <row r="5947" spans="1:9" s="212" customFormat="1">
      <c r="A5947" s="220"/>
      <c r="B5947" s="141"/>
      <c r="C5947" s="141"/>
      <c r="D5947" s="141"/>
      <c r="E5947" s="141"/>
      <c r="F5947" s="141"/>
      <c r="G5947" s="141"/>
      <c r="H5947" s="222"/>
    </row>
    <row r="5948" spans="1:9" s="212" customFormat="1">
      <c r="A5948" s="150"/>
      <c r="B5948" s="83"/>
      <c r="C5948" s="148"/>
      <c r="D5948" s="160"/>
      <c r="E5948" s="84"/>
      <c r="F5948" s="84"/>
      <c r="G5948" s="146"/>
      <c r="H5948" s="221"/>
    </row>
    <row r="5949" spans="1:9" s="212" customFormat="1">
      <c r="A5949" s="91"/>
      <c r="B5949" s="91"/>
      <c r="C5949" s="91"/>
      <c r="D5949" s="91"/>
      <c r="E5949" s="91"/>
      <c r="G5949" s="213"/>
      <c r="H5949" s="222"/>
    </row>
    <row r="5950" spans="1:9" s="212" customFormat="1">
      <c r="A5950" s="120"/>
      <c r="B5950" s="73"/>
      <c r="C5950" s="73"/>
      <c r="D5950" s="73"/>
      <c r="E5950" s="73"/>
      <c r="G5950" s="73"/>
      <c r="H5950" s="222"/>
    </row>
    <row r="5951" spans="1:9" s="212" customFormat="1">
      <c r="A5951" s="220"/>
      <c r="B5951" s="141"/>
      <c r="C5951" s="141"/>
      <c r="D5951" s="141"/>
      <c r="E5951" s="141"/>
      <c r="F5951" s="141"/>
      <c r="G5951" s="141"/>
      <c r="H5951" s="222"/>
    </row>
    <row r="5952" spans="1:9" s="212" customFormat="1">
      <c r="A5952" s="142"/>
      <c r="B5952" s="143"/>
      <c r="C5952" s="143"/>
      <c r="D5952" s="143"/>
      <c r="E5952" s="143"/>
      <c r="F5952" s="84"/>
      <c r="G5952" s="146"/>
      <c r="H5952" s="221"/>
    </row>
    <row r="5953" spans="1:9" s="212" customFormat="1">
      <c r="A5953" s="91"/>
      <c r="B5953" s="91"/>
      <c r="C5953" s="91"/>
      <c r="D5953" s="91"/>
      <c r="E5953" s="91"/>
      <c r="G5953" s="213"/>
      <c r="H5953" s="222"/>
    </row>
    <row r="5954" spans="1:9" s="212" customFormat="1">
      <c r="A5954" s="120"/>
      <c r="B5954" s="73"/>
      <c r="C5954" s="73"/>
      <c r="D5954" s="73"/>
      <c r="E5954" s="73"/>
      <c r="G5954" s="73"/>
      <c r="H5954" s="222"/>
    </row>
    <row r="5955" spans="1:9" s="212" customFormat="1">
      <c r="A5955" s="220"/>
      <c r="B5955" s="141"/>
      <c r="C5955" s="141"/>
      <c r="D5955" s="141"/>
      <c r="E5955" s="141"/>
      <c r="F5955" s="141"/>
      <c r="G5955" s="141"/>
      <c r="H5955" s="222"/>
    </row>
    <row r="5956" spans="1:9" s="212" customFormat="1">
      <c r="A5956" s="142"/>
      <c r="B5956" s="143"/>
      <c r="C5956" s="143"/>
      <c r="D5956" s="143"/>
      <c r="E5956" s="143"/>
      <c r="F5956" s="84"/>
      <c r="G5956" s="146"/>
      <c r="H5956" s="221"/>
    </row>
    <row r="5957" spans="1:9" s="212" customFormat="1">
      <c r="A5957" s="123"/>
      <c r="B5957" s="95"/>
      <c r="C5957" s="95"/>
      <c r="D5957" s="95"/>
      <c r="E5957" s="95"/>
      <c r="G5957" s="213"/>
      <c r="H5957" s="73"/>
    </row>
    <row r="5958" spans="1:9" s="212" customFormat="1">
      <c r="A5958" s="123"/>
      <c r="B5958" s="95"/>
      <c r="C5958" s="95"/>
      <c r="D5958" s="95"/>
      <c r="E5958" s="95"/>
      <c r="G5958" s="73"/>
      <c r="H5958" s="225"/>
    </row>
    <row r="5959" spans="1:9" s="212" customFormat="1">
      <c r="B5959" s="97"/>
      <c r="C5959" s="98"/>
      <c r="D5959" s="98"/>
      <c r="E5959" s="98"/>
      <c r="G5959" s="220"/>
    </row>
    <row r="5960" spans="1:9" s="212" customFormat="1">
      <c r="B5960" s="97"/>
      <c r="C5960" s="98"/>
      <c r="D5960" s="98"/>
      <c r="E5960" s="98"/>
      <c r="F5960" s="220"/>
      <c r="G5960" s="225"/>
      <c r="H5960" s="226"/>
    </row>
    <row r="5961" spans="1:9" s="212" customFormat="1">
      <c r="A5961" s="633"/>
      <c r="B5961" s="633"/>
      <c r="C5961" s="633"/>
      <c r="D5961" s="633"/>
      <c r="E5961" s="633"/>
      <c r="F5961" s="633"/>
      <c r="G5961" s="633"/>
    </row>
    <row r="5962" spans="1:9" s="212" customFormat="1">
      <c r="H5962" s="227"/>
      <c r="I5962" s="228"/>
    </row>
    <row r="5963" spans="1:9" s="212" customFormat="1">
      <c r="A5963" s="658"/>
      <c r="B5963" s="227"/>
      <c r="C5963" s="227"/>
      <c r="D5963" s="227"/>
      <c r="E5963" s="227"/>
      <c r="F5963" s="227"/>
      <c r="G5963" s="227"/>
      <c r="H5963" s="227"/>
      <c r="I5963" s="229"/>
    </row>
    <row r="5964" spans="1:9" s="212" customFormat="1">
      <c r="A5964" s="658"/>
      <c r="B5964" s="227"/>
      <c r="C5964" s="227"/>
      <c r="D5964" s="227"/>
      <c r="E5964" s="227"/>
      <c r="F5964" s="227"/>
      <c r="G5964" s="227"/>
    </row>
    <row r="5965" spans="1:9" s="212" customFormat="1">
      <c r="A5965" s="69"/>
      <c r="B5965" s="69"/>
      <c r="C5965" s="69"/>
      <c r="D5965" s="69"/>
      <c r="E5965" s="69"/>
    </row>
    <row r="5966" spans="1:9" s="212" customFormat="1">
      <c r="A5966" s="120"/>
      <c r="B5966" s="73"/>
      <c r="C5966" s="73"/>
      <c r="D5966" s="73"/>
      <c r="E5966" s="73"/>
      <c r="F5966" s="73"/>
      <c r="G5966" s="73"/>
      <c r="H5966" s="73"/>
    </row>
    <row r="5967" spans="1:9" s="212" customFormat="1">
      <c r="A5967" s="220"/>
      <c r="B5967" s="141"/>
      <c r="C5967" s="141"/>
      <c r="D5967" s="141"/>
      <c r="E5967" s="141"/>
      <c r="F5967" s="141"/>
      <c r="G5967" s="141"/>
      <c r="H5967" s="73"/>
    </row>
    <row r="5968" spans="1:9" s="212" customFormat="1">
      <c r="A5968" s="142"/>
      <c r="B5968" s="143"/>
      <c r="C5968" s="143"/>
      <c r="D5968" s="143"/>
      <c r="E5968" s="143"/>
      <c r="F5968" s="84"/>
      <c r="G5968" s="146"/>
      <c r="H5968" s="221"/>
    </row>
    <row r="5969" spans="1:8" s="212" customFormat="1">
      <c r="A5969" s="84"/>
      <c r="B5969" s="83"/>
      <c r="C5969" s="84"/>
      <c r="D5969" s="84"/>
      <c r="E5969" s="84"/>
      <c r="G5969" s="213"/>
      <c r="H5969" s="222"/>
    </row>
    <row r="5970" spans="1:8" s="212" customFormat="1">
      <c r="A5970" s="120"/>
      <c r="B5970" s="73"/>
      <c r="C5970" s="73"/>
      <c r="D5970" s="73"/>
      <c r="E5970" s="73"/>
      <c r="G5970" s="73"/>
      <c r="H5970" s="222"/>
    </row>
    <row r="5971" spans="1:8" s="212" customFormat="1">
      <c r="A5971" s="220"/>
      <c r="B5971" s="141"/>
      <c r="C5971" s="141"/>
      <c r="D5971" s="141"/>
      <c r="E5971" s="141"/>
      <c r="F5971" s="141"/>
      <c r="G5971" s="141"/>
      <c r="H5971" s="222"/>
    </row>
    <row r="5972" spans="1:8" s="212" customFormat="1">
      <c r="A5972" s="150"/>
      <c r="B5972" s="83"/>
      <c r="C5972" s="148"/>
      <c r="D5972" s="160"/>
      <c r="E5972" s="84"/>
      <c r="F5972" s="84"/>
      <c r="G5972" s="146"/>
      <c r="H5972" s="221"/>
    </row>
    <row r="5973" spans="1:8" s="212" customFormat="1">
      <c r="A5973" s="91"/>
      <c r="B5973" s="91"/>
      <c r="C5973" s="91"/>
      <c r="D5973" s="91"/>
      <c r="E5973" s="91"/>
      <c r="G5973" s="213"/>
      <c r="H5973" s="222"/>
    </row>
    <row r="5974" spans="1:8" s="212" customFormat="1">
      <c r="A5974" s="120"/>
      <c r="B5974" s="73"/>
      <c r="C5974" s="73"/>
      <c r="D5974" s="73"/>
      <c r="E5974" s="73"/>
      <c r="G5974" s="73"/>
      <c r="H5974" s="222"/>
    </row>
    <row r="5975" spans="1:8" s="212" customFormat="1">
      <c r="A5975" s="220"/>
      <c r="B5975" s="141"/>
      <c r="C5975" s="141"/>
      <c r="D5975" s="141"/>
      <c r="E5975" s="141"/>
      <c r="F5975" s="141"/>
      <c r="G5975" s="141"/>
      <c r="H5975" s="222"/>
    </row>
    <row r="5976" spans="1:8" s="212" customFormat="1">
      <c r="A5976" s="142"/>
      <c r="B5976" s="143"/>
      <c r="C5976" s="143"/>
      <c r="D5976" s="143"/>
      <c r="E5976" s="143"/>
      <c r="F5976" s="84"/>
      <c r="G5976" s="146"/>
      <c r="H5976" s="221"/>
    </row>
    <row r="5977" spans="1:8" s="212" customFormat="1">
      <c r="A5977" s="91"/>
      <c r="B5977" s="91"/>
      <c r="C5977" s="91"/>
      <c r="D5977" s="91"/>
      <c r="E5977" s="91"/>
      <c r="G5977" s="213"/>
      <c r="H5977" s="222"/>
    </row>
    <row r="5978" spans="1:8" s="212" customFormat="1">
      <c r="A5978" s="120"/>
      <c r="B5978" s="73"/>
      <c r="C5978" s="73"/>
      <c r="D5978" s="73"/>
      <c r="E5978" s="73"/>
      <c r="G5978" s="73"/>
      <c r="H5978" s="222"/>
    </row>
    <row r="5979" spans="1:8" s="212" customFormat="1">
      <c r="A5979" s="220"/>
      <c r="B5979" s="141"/>
      <c r="C5979" s="141"/>
      <c r="D5979" s="141"/>
      <c r="E5979" s="141"/>
      <c r="F5979" s="141"/>
      <c r="G5979" s="141"/>
      <c r="H5979" s="222"/>
    </row>
    <row r="5980" spans="1:8" s="212" customFormat="1">
      <c r="A5980" s="142"/>
      <c r="B5980" s="143"/>
      <c r="C5980" s="143"/>
      <c r="D5980" s="143"/>
      <c r="E5980" s="143"/>
      <c r="F5980" s="84"/>
      <c r="G5980" s="146"/>
      <c r="H5980" s="221"/>
    </row>
    <row r="5981" spans="1:8" s="212" customFormat="1">
      <c r="A5981" s="123"/>
      <c r="B5981" s="95"/>
      <c r="C5981" s="95"/>
      <c r="D5981" s="95"/>
      <c r="E5981" s="95"/>
      <c r="G5981" s="213"/>
      <c r="H5981" s="73"/>
    </row>
    <row r="5982" spans="1:8" s="212" customFormat="1">
      <c r="A5982" s="123"/>
      <c r="B5982" s="95"/>
      <c r="C5982" s="95"/>
      <c r="D5982" s="95"/>
      <c r="E5982" s="95"/>
      <c r="G5982" s="73"/>
      <c r="H5982" s="225"/>
    </row>
    <row r="5983" spans="1:8" s="212" customFormat="1">
      <c r="B5983" s="97"/>
      <c r="C5983" s="98"/>
      <c r="D5983" s="98"/>
      <c r="E5983" s="98"/>
      <c r="G5983" s="220"/>
    </row>
    <row r="5984" spans="1:8" s="212" customFormat="1">
      <c r="B5984" s="97"/>
      <c r="C5984" s="98"/>
      <c r="D5984" s="98"/>
      <c r="E5984" s="98"/>
      <c r="F5984" s="220"/>
      <c r="G5984" s="225"/>
      <c r="H5984" s="226"/>
    </row>
    <row r="5985" spans="1:9" s="212" customFormat="1">
      <c r="A5985" s="633"/>
      <c r="B5985" s="633"/>
      <c r="C5985" s="633"/>
      <c r="D5985" s="633"/>
      <c r="E5985" s="633"/>
      <c r="F5985" s="633"/>
      <c r="G5985" s="633"/>
    </row>
    <row r="5986" spans="1:9" s="212" customFormat="1">
      <c r="H5986" s="227"/>
      <c r="I5986" s="228"/>
    </row>
    <row r="5987" spans="1:9" s="212" customFormat="1">
      <c r="A5987" s="658"/>
      <c r="B5987" s="227"/>
      <c r="C5987" s="227"/>
      <c r="D5987" s="227"/>
      <c r="E5987" s="227"/>
      <c r="F5987" s="227"/>
      <c r="G5987" s="227"/>
      <c r="H5987" s="227"/>
      <c r="I5987" s="229"/>
    </row>
    <row r="5988" spans="1:9" s="212" customFormat="1">
      <c r="A5988" s="658"/>
      <c r="B5988" s="227"/>
      <c r="C5988" s="227"/>
      <c r="D5988" s="227"/>
      <c r="E5988" s="227"/>
      <c r="F5988" s="227"/>
      <c r="G5988" s="227"/>
    </row>
    <row r="5989" spans="1:9" s="212" customFormat="1">
      <c r="A5989" s="69"/>
      <c r="B5989" s="69"/>
      <c r="C5989" s="69"/>
      <c r="D5989" s="69"/>
      <c r="E5989" s="69"/>
    </row>
    <row r="5990" spans="1:9" s="212" customFormat="1">
      <c r="A5990" s="120"/>
      <c r="B5990" s="73"/>
      <c r="C5990" s="73"/>
      <c r="D5990" s="73"/>
      <c r="E5990" s="73"/>
      <c r="F5990" s="73"/>
      <c r="G5990" s="73"/>
      <c r="H5990" s="73"/>
    </row>
    <row r="5991" spans="1:9" s="212" customFormat="1">
      <c r="A5991" s="220"/>
      <c r="B5991" s="141"/>
      <c r="C5991" s="141"/>
      <c r="D5991" s="141"/>
      <c r="E5991" s="141"/>
      <c r="F5991" s="141"/>
      <c r="G5991" s="141"/>
      <c r="H5991" s="73"/>
    </row>
    <row r="5992" spans="1:9" s="212" customFormat="1">
      <c r="A5992" s="142"/>
      <c r="B5992" s="143"/>
      <c r="C5992" s="143"/>
      <c r="D5992" s="143"/>
      <c r="E5992" s="143"/>
      <c r="F5992" s="84"/>
      <c r="G5992" s="146"/>
      <c r="H5992" s="221"/>
    </row>
    <row r="5993" spans="1:9" s="212" customFormat="1">
      <c r="A5993" s="84"/>
      <c r="B5993" s="83"/>
      <c r="C5993" s="84"/>
      <c r="D5993" s="84"/>
      <c r="E5993" s="84"/>
      <c r="G5993" s="213"/>
      <c r="H5993" s="222"/>
    </row>
    <row r="5994" spans="1:9" s="212" customFormat="1">
      <c r="A5994" s="120"/>
      <c r="B5994" s="73"/>
      <c r="C5994" s="73"/>
      <c r="D5994" s="73"/>
      <c r="E5994" s="73"/>
      <c r="G5994" s="73"/>
      <c r="H5994" s="222"/>
    </row>
    <row r="5995" spans="1:9" s="212" customFormat="1">
      <c r="A5995" s="220"/>
      <c r="B5995" s="141"/>
      <c r="C5995" s="141"/>
      <c r="D5995" s="141"/>
      <c r="E5995" s="141"/>
      <c r="F5995" s="141"/>
      <c r="G5995" s="141"/>
      <c r="H5995" s="222"/>
    </row>
    <row r="5996" spans="1:9" s="212" customFormat="1">
      <c r="A5996" s="150"/>
      <c r="B5996" s="83"/>
      <c r="C5996" s="148"/>
      <c r="D5996" s="160"/>
      <c r="E5996" s="84"/>
      <c r="F5996" s="84"/>
      <c r="G5996" s="146"/>
      <c r="H5996" s="221"/>
    </row>
    <row r="5997" spans="1:9" s="212" customFormat="1">
      <c r="A5997" s="91"/>
      <c r="B5997" s="91"/>
      <c r="C5997" s="91"/>
      <c r="D5997" s="91"/>
      <c r="E5997" s="91"/>
      <c r="G5997" s="213"/>
      <c r="H5997" s="222"/>
    </row>
    <row r="5998" spans="1:9" s="212" customFormat="1">
      <c r="A5998" s="120"/>
      <c r="B5998" s="73"/>
      <c r="C5998" s="73"/>
      <c r="D5998" s="73"/>
      <c r="E5998" s="73"/>
      <c r="G5998" s="73"/>
      <c r="H5998" s="222"/>
    </row>
    <row r="5999" spans="1:9" s="212" customFormat="1">
      <c r="A5999" s="220"/>
      <c r="B5999" s="141"/>
      <c r="C5999" s="141"/>
      <c r="D5999" s="141"/>
      <c r="E5999" s="141"/>
      <c r="F5999" s="141"/>
      <c r="G5999" s="141"/>
      <c r="H5999" s="222"/>
    </row>
    <row r="6000" spans="1:9" s="212" customFormat="1">
      <c r="A6000" s="142"/>
      <c r="B6000" s="143"/>
      <c r="C6000" s="143"/>
      <c r="D6000" s="143"/>
      <c r="E6000" s="143"/>
      <c r="F6000" s="84"/>
      <c r="G6000" s="146"/>
      <c r="H6000" s="221"/>
    </row>
    <row r="6001" spans="1:9" s="212" customFormat="1">
      <c r="A6001" s="91"/>
      <c r="B6001" s="91"/>
      <c r="C6001" s="91"/>
      <c r="D6001" s="91"/>
      <c r="E6001" s="91"/>
      <c r="G6001" s="213"/>
      <c r="H6001" s="222"/>
    </row>
    <row r="6002" spans="1:9" s="212" customFormat="1">
      <c r="A6002" s="120"/>
      <c r="B6002" s="73"/>
      <c r="C6002" s="73"/>
      <c r="D6002" s="73"/>
      <c r="E6002" s="73"/>
      <c r="G6002" s="73"/>
      <c r="H6002" s="222"/>
    </row>
    <row r="6003" spans="1:9" s="212" customFormat="1">
      <c r="A6003" s="220"/>
      <c r="B6003" s="141"/>
      <c r="C6003" s="141"/>
      <c r="D6003" s="141"/>
      <c r="E6003" s="141"/>
      <c r="F6003" s="141"/>
      <c r="G6003" s="141"/>
      <c r="H6003" s="222"/>
    </row>
    <row r="6004" spans="1:9" s="212" customFormat="1">
      <c r="A6004" s="142"/>
      <c r="B6004" s="143"/>
      <c r="C6004" s="143"/>
      <c r="D6004" s="143"/>
      <c r="E6004" s="143"/>
      <c r="F6004" s="84"/>
      <c r="G6004" s="146"/>
      <c r="H6004" s="221"/>
    </row>
    <row r="6005" spans="1:9" s="212" customFormat="1">
      <c r="A6005" s="123"/>
      <c r="B6005" s="95"/>
      <c r="C6005" s="95"/>
      <c r="D6005" s="95"/>
      <c r="E6005" s="95"/>
      <c r="G6005" s="213"/>
      <c r="H6005" s="73"/>
    </row>
    <row r="6006" spans="1:9" s="212" customFormat="1">
      <c r="A6006" s="123"/>
      <c r="B6006" s="95"/>
      <c r="C6006" s="95"/>
      <c r="D6006" s="95"/>
      <c r="E6006" s="95"/>
      <c r="G6006" s="73"/>
      <c r="H6006" s="225"/>
    </row>
    <row r="6007" spans="1:9" s="212" customFormat="1">
      <c r="B6007" s="97"/>
      <c r="C6007" s="98"/>
      <c r="D6007" s="98"/>
      <c r="E6007" s="98"/>
      <c r="G6007" s="220"/>
    </row>
    <row r="6008" spans="1:9" s="212" customFormat="1">
      <c r="B6008" s="97"/>
      <c r="C6008" s="98"/>
      <c r="D6008" s="98"/>
      <c r="E6008" s="98"/>
      <c r="F6008" s="220"/>
      <c r="G6008" s="225"/>
      <c r="H6008" s="226"/>
    </row>
    <row r="6009" spans="1:9" s="212" customFormat="1">
      <c r="A6009" s="633"/>
      <c r="B6009" s="633"/>
      <c r="C6009" s="633"/>
      <c r="D6009" s="633"/>
      <c r="E6009" s="633"/>
      <c r="F6009" s="633"/>
      <c r="G6009" s="633"/>
    </row>
    <row r="6010" spans="1:9" s="212" customFormat="1">
      <c r="H6010" s="227"/>
      <c r="I6010" s="228"/>
    </row>
    <row r="6011" spans="1:9" s="212" customFormat="1">
      <c r="A6011" s="658"/>
      <c r="B6011" s="227"/>
      <c r="C6011" s="227"/>
      <c r="D6011" s="227"/>
      <c r="E6011" s="227"/>
      <c r="F6011" s="227"/>
      <c r="G6011" s="227"/>
      <c r="H6011" s="227"/>
      <c r="I6011" s="229"/>
    </row>
    <row r="6012" spans="1:9" s="212" customFormat="1">
      <c r="A6012" s="658"/>
      <c r="B6012" s="227"/>
      <c r="C6012" s="227"/>
      <c r="D6012" s="227"/>
      <c r="E6012" s="227"/>
      <c r="F6012" s="227"/>
      <c r="G6012" s="227"/>
    </row>
    <row r="6013" spans="1:9" s="212" customFormat="1">
      <c r="A6013" s="69"/>
      <c r="B6013" s="69"/>
      <c r="C6013" s="69"/>
      <c r="D6013" s="69"/>
      <c r="E6013" s="69"/>
    </row>
    <row r="6014" spans="1:9" s="212" customFormat="1">
      <c r="A6014" s="120"/>
      <c r="B6014" s="73"/>
      <c r="C6014" s="73"/>
      <c r="D6014" s="73"/>
      <c r="E6014" s="73"/>
      <c r="F6014" s="73"/>
      <c r="G6014" s="73"/>
      <c r="H6014" s="73"/>
    </row>
    <row r="6015" spans="1:9" s="212" customFormat="1">
      <c r="A6015" s="220"/>
      <c r="B6015" s="141"/>
      <c r="C6015" s="141"/>
      <c r="D6015" s="141"/>
      <c r="E6015" s="141"/>
      <c r="F6015" s="141"/>
      <c r="G6015" s="141"/>
      <c r="H6015" s="73"/>
    </row>
    <row r="6016" spans="1:9" s="212" customFormat="1">
      <c r="A6016" s="142"/>
      <c r="B6016" s="143"/>
      <c r="C6016" s="143"/>
      <c r="D6016" s="143"/>
      <c r="E6016" s="143"/>
      <c r="F6016" s="84"/>
      <c r="G6016" s="146"/>
      <c r="H6016" s="221"/>
    </row>
    <row r="6017" spans="1:8" s="212" customFormat="1">
      <c r="A6017" s="84"/>
      <c r="B6017" s="83"/>
      <c r="C6017" s="84"/>
      <c r="D6017" s="84"/>
      <c r="E6017" s="84"/>
      <c r="G6017" s="213"/>
      <c r="H6017" s="222"/>
    </row>
    <row r="6018" spans="1:8" s="212" customFormat="1">
      <c r="A6018" s="120"/>
      <c r="B6018" s="73"/>
      <c r="C6018" s="73"/>
      <c r="D6018" s="73"/>
      <c r="E6018" s="73"/>
      <c r="G6018" s="73"/>
      <c r="H6018" s="222"/>
    </row>
    <row r="6019" spans="1:8" s="212" customFormat="1">
      <c r="A6019" s="220"/>
      <c r="B6019" s="141"/>
      <c r="C6019" s="141"/>
      <c r="D6019" s="141"/>
      <c r="E6019" s="141"/>
      <c r="F6019" s="141"/>
      <c r="G6019" s="141"/>
      <c r="H6019" s="222"/>
    </row>
    <row r="6020" spans="1:8" s="212" customFormat="1">
      <c r="A6020" s="150"/>
      <c r="B6020" s="83"/>
      <c r="C6020" s="148"/>
      <c r="D6020" s="160"/>
      <c r="E6020" s="84"/>
      <c r="F6020" s="84"/>
      <c r="G6020" s="146"/>
      <c r="H6020" s="221"/>
    </row>
    <row r="6021" spans="1:8" s="212" customFormat="1">
      <c r="A6021" s="91"/>
      <c r="B6021" s="91"/>
      <c r="C6021" s="91"/>
      <c r="D6021" s="91"/>
      <c r="E6021" s="91"/>
      <c r="G6021" s="213"/>
      <c r="H6021" s="222"/>
    </row>
    <row r="6022" spans="1:8" s="212" customFormat="1">
      <c r="A6022" s="120"/>
      <c r="B6022" s="73"/>
      <c r="C6022" s="73"/>
      <c r="D6022" s="73"/>
      <c r="E6022" s="73"/>
      <c r="G6022" s="73"/>
      <c r="H6022" s="222"/>
    </row>
    <row r="6023" spans="1:8" s="212" customFormat="1">
      <c r="A6023" s="220"/>
      <c r="B6023" s="141"/>
      <c r="C6023" s="141"/>
      <c r="D6023" s="141"/>
      <c r="E6023" s="141"/>
      <c r="F6023" s="141"/>
      <c r="G6023" s="141"/>
      <c r="H6023" s="222"/>
    </row>
    <row r="6024" spans="1:8" s="212" customFormat="1">
      <c r="A6024" s="142"/>
      <c r="B6024" s="143"/>
      <c r="C6024" s="143"/>
      <c r="D6024" s="143"/>
      <c r="E6024" s="143"/>
      <c r="F6024" s="84"/>
      <c r="G6024" s="146"/>
      <c r="H6024" s="221"/>
    </row>
    <row r="6025" spans="1:8" s="212" customFormat="1">
      <c r="A6025" s="91"/>
      <c r="B6025" s="91"/>
      <c r="C6025" s="91"/>
      <c r="D6025" s="91"/>
      <c r="E6025" s="91"/>
      <c r="G6025" s="213"/>
      <c r="H6025" s="222"/>
    </row>
    <row r="6026" spans="1:8" s="212" customFormat="1">
      <c r="A6026" s="120"/>
      <c r="B6026" s="73"/>
      <c r="C6026" s="73"/>
      <c r="D6026" s="73"/>
      <c r="E6026" s="73"/>
      <c r="G6026" s="73"/>
      <c r="H6026" s="222"/>
    </row>
    <row r="6027" spans="1:8" s="212" customFormat="1">
      <c r="A6027" s="220"/>
      <c r="B6027" s="141"/>
      <c r="C6027" s="141"/>
      <c r="D6027" s="141"/>
      <c r="E6027" s="141"/>
      <c r="F6027" s="141"/>
      <c r="G6027" s="141"/>
      <c r="H6027" s="222"/>
    </row>
    <row r="6028" spans="1:8" s="212" customFormat="1">
      <c r="A6028" s="142"/>
      <c r="B6028" s="143"/>
      <c r="C6028" s="143"/>
      <c r="D6028" s="143"/>
      <c r="E6028" s="143"/>
      <c r="F6028" s="84"/>
      <c r="G6028" s="146"/>
      <c r="H6028" s="221"/>
    </row>
    <row r="6029" spans="1:8" s="212" customFormat="1">
      <c r="A6029" s="123"/>
      <c r="B6029" s="95"/>
      <c r="C6029" s="95"/>
      <c r="D6029" s="95"/>
      <c r="E6029" s="95"/>
      <c r="G6029" s="213"/>
      <c r="H6029" s="73"/>
    </row>
    <row r="6030" spans="1:8" s="212" customFormat="1">
      <c r="A6030" s="123"/>
      <c r="B6030" s="95"/>
      <c r="C6030" s="95"/>
      <c r="D6030" s="95"/>
      <c r="E6030" s="95"/>
      <c r="G6030" s="73"/>
      <c r="H6030" s="225"/>
    </row>
    <row r="6031" spans="1:8" s="212" customFormat="1">
      <c r="B6031" s="97"/>
      <c r="C6031" s="98"/>
      <c r="D6031" s="98"/>
      <c r="E6031" s="98"/>
      <c r="G6031" s="220"/>
    </row>
    <row r="6032" spans="1:8" s="212" customFormat="1">
      <c r="B6032" s="97"/>
      <c r="C6032" s="98"/>
      <c r="D6032" s="98"/>
      <c r="E6032" s="98"/>
      <c r="F6032" s="220"/>
      <c r="G6032" s="225"/>
      <c r="H6032" s="226"/>
    </row>
    <row r="6033" spans="1:9" s="212" customFormat="1">
      <c r="A6033" s="633"/>
      <c r="B6033" s="633"/>
      <c r="C6033" s="633"/>
      <c r="D6033" s="633"/>
      <c r="E6033" s="633"/>
      <c r="F6033" s="633"/>
      <c r="G6033" s="633"/>
    </row>
    <row r="6034" spans="1:9" s="212" customFormat="1">
      <c r="H6034" s="227"/>
      <c r="I6034" s="228"/>
    </row>
    <row r="6035" spans="1:9" s="212" customFormat="1">
      <c r="A6035" s="658"/>
      <c r="B6035" s="227"/>
      <c r="C6035" s="227"/>
      <c r="D6035" s="227"/>
      <c r="E6035" s="227"/>
      <c r="F6035" s="227"/>
      <c r="G6035" s="227"/>
      <c r="H6035" s="227"/>
      <c r="I6035" s="229"/>
    </row>
    <row r="6036" spans="1:9" s="212" customFormat="1">
      <c r="A6036" s="658"/>
      <c r="B6036" s="227"/>
      <c r="C6036" s="227"/>
      <c r="D6036" s="227"/>
      <c r="E6036" s="227"/>
      <c r="F6036" s="227"/>
      <c r="G6036" s="227"/>
    </row>
    <row r="6037" spans="1:9" s="212" customFormat="1">
      <c r="A6037" s="69"/>
      <c r="B6037" s="69"/>
      <c r="C6037" s="69"/>
      <c r="D6037" s="69"/>
      <c r="E6037" s="69"/>
    </row>
    <row r="6038" spans="1:9" s="212" customFormat="1">
      <c r="A6038" s="120"/>
      <c r="B6038" s="73"/>
      <c r="C6038" s="73"/>
      <c r="D6038" s="73"/>
      <c r="E6038" s="73"/>
      <c r="F6038" s="73"/>
      <c r="G6038" s="73"/>
      <c r="H6038" s="73"/>
    </row>
    <row r="6039" spans="1:9" s="212" customFormat="1">
      <c r="A6039" s="220"/>
      <c r="B6039" s="141"/>
      <c r="C6039" s="141"/>
      <c r="D6039" s="141"/>
      <c r="E6039" s="141"/>
      <c r="F6039" s="141"/>
      <c r="G6039" s="141"/>
      <c r="H6039" s="73"/>
    </row>
    <row r="6040" spans="1:9" s="212" customFormat="1">
      <c r="A6040" s="142"/>
      <c r="B6040" s="143"/>
      <c r="C6040" s="143"/>
      <c r="D6040" s="143"/>
      <c r="E6040" s="143"/>
      <c r="F6040" s="84"/>
      <c r="G6040" s="146"/>
      <c r="H6040" s="221"/>
    </row>
    <row r="6041" spans="1:9" s="212" customFormat="1">
      <c r="A6041" s="84"/>
      <c r="B6041" s="83"/>
      <c r="C6041" s="84"/>
      <c r="D6041" s="84"/>
      <c r="E6041" s="84"/>
      <c r="G6041" s="213"/>
      <c r="H6041" s="222"/>
    </row>
    <row r="6042" spans="1:9" s="212" customFormat="1">
      <c r="A6042" s="120"/>
      <c r="B6042" s="73"/>
      <c r="C6042" s="73"/>
      <c r="D6042" s="73"/>
      <c r="E6042" s="73"/>
      <c r="G6042" s="73"/>
      <c r="H6042" s="222"/>
    </row>
    <row r="6043" spans="1:9" s="212" customFormat="1">
      <c r="A6043" s="220"/>
      <c r="B6043" s="141"/>
      <c r="C6043" s="141"/>
      <c r="D6043" s="141"/>
      <c r="E6043" s="141"/>
      <c r="F6043" s="141"/>
      <c r="G6043" s="141"/>
      <c r="H6043" s="222"/>
    </row>
    <row r="6044" spans="1:9" s="212" customFormat="1">
      <c r="A6044" s="150"/>
      <c r="B6044" s="83"/>
      <c r="C6044" s="148"/>
      <c r="D6044" s="160"/>
      <c r="E6044" s="84"/>
      <c r="F6044" s="84"/>
      <c r="G6044" s="146"/>
      <c r="H6044" s="221"/>
    </row>
    <row r="6045" spans="1:9" s="212" customFormat="1">
      <c r="A6045" s="91"/>
      <c r="B6045" s="91"/>
      <c r="C6045" s="91"/>
      <c r="D6045" s="91"/>
      <c r="E6045" s="91"/>
      <c r="G6045" s="213"/>
      <c r="H6045" s="222"/>
    </row>
    <row r="6046" spans="1:9" s="212" customFormat="1">
      <c r="A6046" s="120"/>
      <c r="B6046" s="73"/>
      <c r="C6046" s="73"/>
      <c r="D6046" s="73"/>
      <c r="E6046" s="73"/>
      <c r="G6046" s="73"/>
      <c r="H6046" s="222"/>
    </row>
    <row r="6047" spans="1:9" s="212" customFormat="1">
      <c r="A6047" s="220"/>
      <c r="B6047" s="141"/>
      <c r="C6047" s="141"/>
      <c r="D6047" s="141"/>
      <c r="E6047" s="141"/>
      <c r="F6047" s="141"/>
      <c r="G6047" s="141"/>
      <c r="H6047" s="222"/>
    </row>
    <row r="6048" spans="1:9" s="212" customFormat="1">
      <c r="A6048" s="142"/>
      <c r="B6048" s="143"/>
      <c r="C6048" s="143"/>
      <c r="D6048" s="143"/>
      <c r="E6048" s="143"/>
      <c r="F6048" s="84"/>
      <c r="G6048" s="146"/>
      <c r="H6048" s="221"/>
    </row>
    <row r="6049" spans="1:9" s="212" customFormat="1">
      <c r="A6049" s="91"/>
      <c r="B6049" s="91"/>
      <c r="C6049" s="91"/>
      <c r="D6049" s="91"/>
      <c r="E6049" s="91"/>
      <c r="G6049" s="213"/>
      <c r="H6049" s="222"/>
    </row>
    <row r="6050" spans="1:9" s="212" customFormat="1">
      <c r="A6050" s="120"/>
      <c r="B6050" s="73"/>
      <c r="C6050" s="73"/>
      <c r="D6050" s="73"/>
      <c r="E6050" s="73"/>
      <c r="G6050" s="73"/>
      <c r="H6050" s="222"/>
    </row>
    <row r="6051" spans="1:9" s="212" customFormat="1">
      <c r="A6051" s="220"/>
      <c r="B6051" s="141"/>
      <c r="C6051" s="141"/>
      <c r="D6051" s="141"/>
      <c r="E6051" s="141"/>
      <c r="F6051" s="141"/>
      <c r="G6051" s="141"/>
      <c r="H6051" s="222"/>
    </row>
    <row r="6052" spans="1:9" s="212" customFormat="1">
      <c r="A6052" s="142"/>
      <c r="B6052" s="143"/>
      <c r="C6052" s="143"/>
      <c r="D6052" s="143"/>
      <c r="E6052" s="143"/>
      <c r="F6052" s="84"/>
      <c r="G6052" s="146"/>
      <c r="H6052" s="221"/>
    </row>
    <row r="6053" spans="1:9" s="212" customFormat="1">
      <c r="A6053" s="123"/>
      <c r="B6053" s="95"/>
      <c r="C6053" s="95"/>
      <c r="D6053" s="95"/>
      <c r="E6053" s="95"/>
      <c r="G6053" s="213"/>
      <c r="H6053" s="73"/>
    </row>
    <row r="6054" spans="1:9" s="212" customFormat="1">
      <c r="A6054" s="123"/>
      <c r="B6054" s="95"/>
      <c r="C6054" s="95"/>
      <c r="D6054" s="95"/>
      <c r="E6054" s="95"/>
      <c r="G6054" s="73"/>
      <c r="H6054" s="225"/>
    </row>
    <row r="6055" spans="1:9" s="212" customFormat="1">
      <c r="B6055" s="97"/>
      <c r="C6055" s="98"/>
      <c r="D6055" s="98"/>
      <c r="E6055" s="98"/>
      <c r="G6055" s="220"/>
    </row>
    <row r="6056" spans="1:9" s="212" customFormat="1">
      <c r="B6056" s="97"/>
      <c r="C6056" s="98"/>
      <c r="D6056" s="98"/>
      <c r="E6056" s="98"/>
      <c r="F6056" s="220"/>
      <c r="G6056" s="225"/>
      <c r="H6056" s="226"/>
    </row>
    <row r="6057" spans="1:9" s="212" customFormat="1">
      <c r="A6057" s="633"/>
      <c r="B6057" s="633"/>
      <c r="C6057" s="633"/>
      <c r="D6057" s="633"/>
      <c r="E6057" s="633"/>
      <c r="F6057" s="633"/>
      <c r="G6057" s="633"/>
    </row>
    <row r="6058" spans="1:9" s="212" customFormat="1">
      <c r="H6058" s="227"/>
      <c r="I6058" s="228"/>
    </row>
    <row r="6059" spans="1:9" s="212" customFormat="1">
      <c r="A6059" s="658"/>
      <c r="B6059" s="227"/>
      <c r="C6059" s="227"/>
      <c r="D6059" s="227"/>
      <c r="E6059" s="227"/>
      <c r="F6059" s="227"/>
      <c r="G6059" s="227"/>
      <c r="H6059" s="227"/>
      <c r="I6059" s="229"/>
    </row>
    <row r="6060" spans="1:9" s="212" customFormat="1">
      <c r="A6060" s="658"/>
      <c r="B6060" s="227"/>
      <c r="C6060" s="227"/>
      <c r="D6060" s="227"/>
      <c r="E6060" s="227"/>
      <c r="F6060" s="227"/>
      <c r="G6060" s="227"/>
    </row>
    <row r="6061" spans="1:9" s="212" customFormat="1">
      <c r="A6061" s="69"/>
      <c r="B6061" s="69"/>
      <c r="C6061" s="69"/>
      <c r="D6061" s="69"/>
      <c r="E6061" s="69"/>
    </row>
    <row r="6062" spans="1:9" s="212" customFormat="1">
      <c r="A6062" s="120"/>
      <c r="B6062" s="73"/>
      <c r="C6062" s="73"/>
      <c r="D6062" s="73"/>
      <c r="E6062" s="73"/>
      <c r="F6062" s="73"/>
      <c r="G6062" s="73"/>
      <c r="H6062" s="73"/>
    </row>
    <row r="6063" spans="1:9" s="212" customFormat="1">
      <c r="A6063" s="220"/>
      <c r="B6063" s="141"/>
      <c r="C6063" s="141"/>
      <c r="D6063" s="141"/>
      <c r="E6063" s="141"/>
      <c r="F6063" s="141"/>
      <c r="G6063" s="141"/>
      <c r="H6063" s="73"/>
    </row>
    <row r="6064" spans="1:9" s="212" customFormat="1">
      <c r="A6064" s="142"/>
      <c r="B6064" s="143"/>
      <c r="C6064" s="143"/>
      <c r="D6064" s="143"/>
      <c r="E6064" s="143"/>
      <c r="F6064" s="84"/>
      <c r="G6064" s="146"/>
      <c r="H6064" s="221"/>
    </row>
    <row r="6065" spans="1:8" s="212" customFormat="1">
      <c r="A6065" s="84"/>
      <c r="B6065" s="83"/>
      <c r="C6065" s="84"/>
      <c r="D6065" s="84"/>
      <c r="E6065" s="84"/>
      <c r="G6065" s="213"/>
      <c r="H6065" s="222"/>
    </row>
    <row r="6066" spans="1:8" s="212" customFormat="1">
      <c r="A6066" s="120"/>
      <c r="B6066" s="73"/>
      <c r="C6066" s="73"/>
      <c r="D6066" s="73"/>
      <c r="E6066" s="73"/>
      <c r="G6066" s="73"/>
      <c r="H6066" s="222"/>
    </row>
    <row r="6067" spans="1:8" s="212" customFormat="1">
      <c r="A6067" s="220"/>
      <c r="B6067" s="141"/>
      <c r="C6067" s="141"/>
      <c r="D6067" s="141"/>
      <c r="E6067" s="141"/>
      <c r="F6067" s="141"/>
      <c r="G6067" s="141"/>
      <c r="H6067" s="222"/>
    </row>
    <row r="6068" spans="1:8" s="212" customFormat="1">
      <c r="A6068" s="150"/>
      <c r="B6068" s="83"/>
      <c r="C6068" s="148"/>
      <c r="D6068" s="160"/>
      <c r="E6068" s="84"/>
      <c r="F6068" s="84"/>
      <c r="G6068" s="146"/>
      <c r="H6068" s="221"/>
    </row>
    <row r="6069" spans="1:8" s="212" customFormat="1">
      <c r="A6069" s="91"/>
      <c r="B6069" s="91"/>
      <c r="C6069" s="91"/>
      <c r="D6069" s="91"/>
      <c r="E6069" s="91"/>
      <c r="G6069" s="213"/>
      <c r="H6069" s="222"/>
    </row>
    <row r="6070" spans="1:8" s="212" customFormat="1">
      <c r="A6070" s="120"/>
      <c r="B6070" s="73"/>
      <c r="C6070" s="73"/>
      <c r="D6070" s="73"/>
      <c r="E6070" s="73"/>
      <c r="G6070" s="73"/>
      <c r="H6070" s="222"/>
    </row>
    <row r="6071" spans="1:8" s="212" customFormat="1">
      <c r="A6071" s="220"/>
      <c r="B6071" s="141"/>
      <c r="C6071" s="141"/>
      <c r="D6071" s="141"/>
      <c r="E6071" s="141"/>
      <c r="F6071" s="141"/>
      <c r="G6071" s="141"/>
      <c r="H6071" s="222"/>
    </row>
    <row r="6072" spans="1:8" s="212" customFormat="1">
      <c r="A6072" s="142"/>
      <c r="B6072" s="143"/>
      <c r="C6072" s="143"/>
      <c r="D6072" s="143"/>
      <c r="E6072" s="143"/>
      <c r="F6072" s="84"/>
      <c r="G6072" s="146"/>
      <c r="H6072" s="221"/>
    </row>
    <row r="6073" spans="1:8" s="212" customFormat="1">
      <c r="A6073" s="91"/>
      <c r="B6073" s="91"/>
      <c r="C6073" s="91"/>
      <c r="D6073" s="91"/>
      <c r="E6073" s="91"/>
      <c r="G6073" s="213"/>
      <c r="H6073" s="222"/>
    </row>
    <row r="6074" spans="1:8" s="212" customFormat="1">
      <c r="A6074" s="120"/>
      <c r="B6074" s="73"/>
      <c r="C6074" s="73"/>
      <c r="D6074" s="73"/>
      <c r="E6074" s="73"/>
      <c r="G6074" s="73"/>
      <c r="H6074" s="222"/>
    </row>
    <row r="6075" spans="1:8" s="212" customFormat="1">
      <c r="A6075" s="220"/>
      <c r="B6075" s="141"/>
      <c r="C6075" s="141"/>
      <c r="D6075" s="141"/>
      <c r="E6075" s="141"/>
      <c r="F6075" s="141"/>
      <c r="G6075" s="141"/>
      <c r="H6075" s="222"/>
    </row>
    <row r="6076" spans="1:8" s="212" customFormat="1">
      <c r="A6076" s="142"/>
      <c r="B6076" s="143"/>
      <c r="C6076" s="143"/>
      <c r="D6076" s="143"/>
      <c r="E6076" s="143"/>
      <c r="F6076" s="84"/>
      <c r="G6076" s="146"/>
      <c r="H6076" s="221"/>
    </row>
    <row r="6077" spans="1:8" s="212" customFormat="1">
      <c r="A6077" s="123"/>
      <c r="B6077" s="95"/>
      <c r="C6077" s="95"/>
      <c r="D6077" s="95"/>
      <c r="E6077" s="95"/>
      <c r="G6077" s="213"/>
      <c r="H6077" s="73"/>
    </row>
    <row r="6078" spans="1:8" s="212" customFormat="1">
      <c r="A6078" s="123"/>
      <c r="B6078" s="95"/>
      <c r="C6078" s="95"/>
      <c r="D6078" s="95"/>
      <c r="E6078" s="95"/>
      <c r="G6078" s="73"/>
      <c r="H6078" s="225"/>
    </row>
    <row r="6079" spans="1:8" s="212" customFormat="1">
      <c r="B6079" s="97"/>
      <c r="C6079" s="98"/>
      <c r="D6079" s="98"/>
      <c r="E6079" s="98"/>
      <c r="G6079" s="220"/>
    </row>
    <row r="6080" spans="1:8" s="212" customFormat="1">
      <c r="B6080" s="97"/>
      <c r="C6080" s="98"/>
      <c r="D6080" s="98"/>
      <c r="E6080" s="98"/>
      <c r="F6080" s="220"/>
      <c r="G6080" s="225"/>
      <c r="H6080" s="226"/>
    </row>
    <row r="6081" spans="1:9" s="212" customFormat="1">
      <c r="A6081" s="633"/>
      <c r="B6081" s="633"/>
      <c r="C6081" s="633"/>
      <c r="D6081" s="633"/>
      <c r="E6081" s="633"/>
      <c r="F6081" s="633"/>
      <c r="G6081" s="633"/>
    </row>
    <row r="6082" spans="1:9" s="212" customFormat="1">
      <c r="H6082" s="227"/>
      <c r="I6082" s="228"/>
    </row>
    <row r="6083" spans="1:9" s="212" customFormat="1">
      <c r="A6083" s="658"/>
      <c r="B6083" s="227"/>
      <c r="C6083" s="227"/>
      <c r="D6083" s="227"/>
      <c r="E6083" s="227"/>
      <c r="F6083" s="227"/>
      <c r="G6083" s="227"/>
      <c r="H6083" s="227"/>
      <c r="I6083" s="229"/>
    </row>
    <row r="6084" spans="1:9" s="212" customFormat="1">
      <c r="A6084" s="658"/>
      <c r="B6084" s="227"/>
      <c r="C6084" s="227"/>
      <c r="D6084" s="227"/>
      <c r="E6084" s="227"/>
      <c r="F6084" s="227"/>
      <c r="G6084" s="227"/>
    </row>
    <row r="6085" spans="1:9" s="212" customFormat="1">
      <c r="A6085" s="69"/>
      <c r="B6085" s="69"/>
      <c r="C6085" s="69"/>
      <c r="D6085" s="69"/>
      <c r="E6085" s="69"/>
    </row>
    <row r="6086" spans="1:9" s="212" customFormat="1">
      <c r="A6086" s="120"/>
      <c r="B6086" s="73"/>
      <c r="C6086" s="73"/>
      <c r="D6086" s="73"/>
      <c r="E6086" s="73"/>
      <c r="F6086" s="73"/>
      <c r="G6086" s="73"/>
      <c r="H6086" s="73"/>
    </row>
    <row r="6087" spans="1:9" s="212" customFormat="1">
      <c r="A6087" s="220"/>
      <c r="B6087" s="141"/>
      <c r="C6087" s="141"/>
      <c r="D6087" s="141"/>
      <c r="E6087" s="141"/>
      <c r="F6087" s="141"/>
      <c r="G6087" s="141"/>
      <c r="H6087" s="73"/>
    </row>
    <row r="6088" spans="1:9" s="212" customFormat="1">
      <c r="A6088" s="142"/>
      <c r="B6088" s="143"/>
      <c r="C6088" s="143"/>
      <c r="D6088" s="143"/>
      <c r="E6088" s="143"/>
      <c r="F6088" s="84"/>
      <c r="G6088" s="146"/>
      <c r="H6088" s="221"/>
    </row>
    <row r="6089" spans="1:9" s="212" customFormat="1">
      <c r="A6089" s="84"/>
      <c r="B6089" s="83"/>
      <c r="C6089" s="84"/>
      <c r="D6089" s="84"/>
      <c r="E6089" s="84"/>
      <c r="G6089" s="213"/>
      <c r="H6089" s="222"/>
    </row>
    <row r="6090" spans="1:9" s="212" customFormat="1">
      <c r="A6090" s="120"/>
      <c r="B6090" s="73"/>
      <c r="C6090" s="73"/>
      <c r="D6090" s="73"/>
      <c r="E6090" s="73"/>
      <c r="G6090" s="73"/>
      <c r="H6090" s="222"/>
    </row>
    <row r="6091" spans="1:9" s="212" customFormat="1">
      <c r="A6091" s="220"/>
      <c r="B6091" s="141"/>
      <c r="C6091" s="141"/>
      <c r="D6091" s="141"/>
      <c r="E6091" s="141"/>
      <c r="F6091" s="141"/>
      <c r="G6091" s="141"/>
      <c r="H6091" s="222"/>
    </row>
    <row r="6092" spans="1:9" s="212" customFormat="1">
      <c r="A6092" s="150"/>
      <c r="B6092" s="83"/>
      <c r="C6092" s="148"/>
      <c r="D6092" s="160"/>
      <c r="E6092" s="84"/>
      <c r="F6092" s="84"/>
      <c r="G6092" s="146"/>
      <c r="H6092" s="221"/>
    </row>
    <row r="6093" spans="1:9" s="212" customFormat="1">
      <c r="A6093" s="91"/>
      <c r="B6093" s="91"/>
      <c r="C6093" s="91"/>
      <c r="D6093" s="91"/>
      <c r="E6093" s="91"/>
      <c r="G6093" s="213"/>
      <c r="H6093" s="222"/>
    </row>
    <row r="6094" spans="1:9" s="212" customFormat="1">
      <c r="A6094" s="120"/>
      <c r="B6094" s="73"/>
      <c r="C6094" s="73"/>
      <c r="D6094" s="73"/>
      <c r="E6094" s="73"/>
      <c r="G6094" s="73"/>
      <c r="H6094" s="222"/>
    </row>
    <row r="6095" spans="1:9" s="212" customFormat="1">
      <c r="A6095" s="220"/>
      <c r="B6095" s="141"/>
      <c r="C6095" s="141"/>
      <c r="D6095" s="141"/>
      <c r="E6095" s="141"/>
      <c r="F6095" s="141"/>
      <c r="G6095" s="141"/>
      <c r="H6095" s="222"/>
    </row>
    <row r="6096" spans="1:9" s="212" customFormat="1">
      <c r="A6096" s="142"/>
      <c r="B6096" s="143"/>
      <c r="C6096" s="143"/>
      <c r="D6096" s="143"/>
      <c r="E6096" s="143"/>
      <c r="F6096" s="84"/>
      <c r="G6096" s="146"/>
      <c r="H6096" s="221"/>
    </row>
    <row r="6097" spans="1:9" s="212" customFormat="1">
      <c r="A6097" s="91"/>
      <c r="B6097" s="91"/>
      <c r="C6097" s="91"/>
      <c r="D6097" s="91"/>
      <c r="E6097" s="91"/>
      <c r="G6097" s="213"/>
      <c r="H6097" s="222"/>
    </row>
    <row r="6098" spans="1:9" s="212" customFormat="1">
      <c r="A6098" s="120"/>
      <c r="B6098" s="73"/>
      <c r="C6098" s="73"/>
      <c r="D6098" s="73"/>
      <c r="E6098" s="73"/>
      <c r="G6098" s="73"/>
      <c r="H6098" s="222"/>
    </row>
    <row r="6099" spans="1:9" s="212" customFormat="1">
      <c r="A6099" s="220"/>
      <c r="B6099" s="141"/>
      <c r="C6099" s="141"/>
      <c r="D6099" s="141"/>
      <c r="E6099" s="141"/>
      <c r="F6099" s="141"/>
      <c r="G6099" s="141"/>
      <c r="H6099" s="222"/>
    </row>
    <row r="6100" spans="1:9" s="212" customFormat="1">
      <c r="A6100" s="142"/>
      <c r="B6100" s="143"/>
      <c r="C6100" s="143"/>
      <c r="D6100" s="143"/>
      <c r="E6100" s="143"/>
      <c r="F6100" s="84"/>
      <c r="G6100" s="146"/>
      <c r="H6100" s="221"/>
    </row>
    <row r="6101" spans="1:9" s="212" customFormat="1">
      <c r="A6101" s="123"/>
      <c r="B6101" s="95"/>
      <c r="C6101" s="95"/>
      <c r="D6101" s="95"/>
      <c r="E6101" s="95"/>
      <c r="G6101" s="213"/>
      <c r="H6101" s="73"/>
    </row>
    <row r="6102" spans="1:9" s="212" customFormat="1">
      <c r="A6102" s="123"/>
      <c r="B6102" s="95"/>
      <c r="C6102" s="95"/>
      <c r="D6102" s="95"/>
      <c r="E6102" s="95"/>
      <c r="G6102" s="73"/>
      <c r="H6102" s="225"/>
    </row>
    <row r="6103" spans="1:9" s="212" customFormat="1">
      <c r="B6103" s="97"/>
      <c r="C6103" s="98"/>
      <c r="D6103" s="98"/>
      <c r="E6103" s="98"/>
      <c r="G6103" s="220"/>
    </row>
    <row r="6104" spans="1:9" s="212" customFormat="1">
      <c r="B6104" s="97"/>
      <c r="C6104" s="98"/>
      <c r="D6104" s="98"/>
      <c r="E6104" s="98"/>
      <c r="F6104" s="220"/>
      <c r="G6104" s="225"/>
      <c r="H6104" s="226"/>
    </row>
    <row r="6105" spans="1:9" s="212" customFormat="1">
      <c r="A6105" s="633"/>
      <c r="B6105" s="633"/>
      <c r="C6105" s="633"/>
      <c r="D6105" s="633"/>
      <c r="E6105" s="633"/>
      <c r="F6105" s="633"/>
      <c r="G6105" s="633"/>
    </row>
    <row r="6106" spans="1:9" s="212" customFormat="1">
      <c r="H6106" s="227"/>
      <c r="I6106" s="228"/>
    </row>
    <row r="6107" spans="1:9" s="212" customFormat="1">
      <c r="A6107" s="658"/>
      <c r="B6107" s="227"/>
      <c r="C6107" s="227"/>
      <c r="D6107" s="227"/>
      <c r="E6107" s="227"/>
      <c r="F6107" s="227"/>
      <c r="G6107" s="227"/>
      <c r="H6107" s="227"/>
      <c r="I6107" s="229"/>
    </row>
    <row r="6108" spans="1:9" s="212" customFormat="1">
      <c r="A6108" s="658"/>
      <c r="B6108" s="227"/>
      <c r="C6108" s="227"/>
      <c r="D6108" s="227"/>
      <c r="E6108" s="227"/>
      <c r="F6108" s="227"/>
      <c r="G6108" s="227"/>
    </row>
    <row r="6109" spans="1:9" s="212" customFormat="1">
      <c r="A6109" s="69"/>
      <c r="B6109" s="69"/>
      <c r="C6109" s="69"/>
      <c r="D6109" s="69"/>
      <c r="E6109" s="69"/>
    </row>
    <row r="6110" spans="1:9" s="212" customFormat="1">
      <c r="A6110" s="120"/>
      <c r="B6110" s="73"/>
      <c r="C6110" s="73"/>
      <c r="D6110" s="73"/>
      <c r="E6110" s="73"/>
      <c r="F6110" s="73"/>
      <c r="G6110" s="73"/>
      <c r="H6110" s="73"/>
    </row>
    <row r="6111" spans="1:9" s="212" customFormat="1">
      <c r="A6111" s="220"/>
      <c r="B6111" s="141"/>
      <c r="C6111" s="141"/>
      <c r="D6111" s="141"/>
      <c r="E6111" s="141"/>
      <c r="F6111" s="141"/>
      <c r="G6111" s="141"/>
      <c r="H6111" s="73"/>
    </row>
    <row r="6112" spans="1:9" s="212" customFormat="1">
      <c r="A6112" s="142"/>
      <c r="B6112" s="143"/>
      <c r="C6112" s="143"/>
      <c r="D6112" s="143"/>
      <c r="E6112" s="143"/>
      <c r="F6112" s="84"/>
      <c r="G6112" s="146"/>
      <c r="H6112" s="221"/>
    </row>
    <row r="6113" spans="1:8" s="212" customFormat="1">
      <c r="A6113" s="84"/>
      <c r="B6113" s="83"/>
      <c r="C6113" s="84"/>
      <c r="D6113" s="84"/>
      <c r="E6113" s="84"/>
      <c r="G6113" s="213"/>
      <c r="H6113" s="222"/>
    </row>
    <row r="6114" spans="1:8" s="212" customFormat="1">
      <c r="A6114" s="120"/>
      <c r="B6114" s="73"/>
      <c r="C6114" s="73"/>
      <c r="D6114" s="73"/>
      <c r="E6114" s="73"/>
      <c r="G6114" s="73"/>
      <c r="H6114" s="222"/>
    </row>
    <row r="6115" spans="1:8" s="212" customFormat="1">
      <c r="A6115" s="220"/>
      <c r="B6115" s="141"/>
      <c r="C6115" s="141"/>
      <c r="D6115" s="141"/>
      <c r="E6115" s="141"/>
      <c r="F6115" s="141"/>
      <c r="G6115" s="141"/>
      <c r="H6115" s="222"/>
    </row>
    <row r="6116" spans="1:8" s="212" customFormat="1">
      <c r="A6116" s="150"/>
      <c r="B6116" s="83"/>
      <c r="C6116" s="148"/>
      <c r="D6116" s="160"/>
      <c r="E6116" s="84"/>
      <c r="F6116" s="84"/>
      <c r="G6116" s="146"/>
      <c r="H6116" s="221"/>
    </row>
    <row r="6117" spans="1:8" s="212" customFormat="1">
      <c r="A6117" s="91"/>
      <c r="B6117" s="91"/>
      <c r="C6117" s="91"/>
      <c r="D6117" s="91"/>
      <c r="E6117" s="91"/>
      <c r="G6117" s="213"/>
      <c r="H6117" s="222"/>
    </row>
    <row r="6118" spans="1:8" s="212" customFormat="1">
      <c r="A6118" s="120"/>
      <c r="B6118" s="73"/>
      <c r="C6118" s="73"/>
      <c r="D6118" s="73"/>
      <c r="E6118" s="73"/>
      <c r="G6118" s="73"/>
      <c r="H6118" s="222"/>
    </row>
    <row r="6119" spans="1:8" s="212" customFormat="1">
      <c r="A6119" s="220"/>
      <c r="B6119" s="141"/>
      <c r="C6119" s="141"/>
      <c r="D6119" s="141"/>
      <c r="E6119" s="141"/>
      <c r="F6119" s="141"/>
      <c r="G6119" s="141"/>
      <c r="H6119" s="222"/>
    </row>
    <row r="6120" spans="1:8" s="212" customFormat="1">
      <c r="A6120" s="142"/>
      <c r="B6120" s="143"/>
      <c r="C6120" s="143"/>
      <c r="D6120" s="143"/>
      <c r="E6120" s="143"/>
      <c r="F6120" s="84"/>
      <c r="G6120" s="146"/>
      <c r="H6120" s="221"/>
    </row>
    <row r="6121" spans="1:8" s="212" customFormat="1">
      <c r="A6121" s="91"/>
      <c r="B6121" s="91"/>
      <c r="C6121" s="91"/>
      <c r="D6121" s="91"/>
      <c r="E6121" s="91"/>
      <c r="G6121" s="213"/>
      <c r="H6121" s="222"/>
    </row>
    <row r="6122" spans="1:8" s="212" customFormat="1">
      <c r="A6122" s="120"/>
      <c r="B6122" s="73"/>
      <c r="C6122" s="73"/>
      <c r="D6122" s="73"/>
      <c r="E6122" s="73"/>
      <c r="G6122" s="73"/>
      <c r="H6122" s="222"/>
    </row>
    <row r="6123" spans="1:8" s="212" customFormat="1">
      <c r="A6123" s="220"/>
      <c r="B6123" s="141"/>
      <c r="C6123" s="141"/>
      <c r="D6123" s="141"/>
      <c r="E6123" s="141"/>
      <c r="F6123" s="141"/>
      <c r="G6123" s="141"/>
      <c r="H6123" s="222"/>
    </row>
    <row r="6124" spans="1:8" s="212" customFormat="1">
      <c r="A6124" s="142"/>
      <c r="B6124" s="143"/>
      <c r="C6124" s="143"/>
      <c r="D6124" s="143"/>
      <c r="E6124" s="143"/>
      <c r="F6124" s="84"/>
      <c r="G6124" s="146"/>
      <c r="H6124" s="221"/>
    </row>
    <row r="6125" spans="1:8" s="212" customFormat="1">
      <c r="A6125" s="123"/>
      <c r="B6125" s="95"/>
      <c r="C6125" s="95"/>
      <c r="D6125" s="95"/>
      <c r="E6125" s="95"/>
      <c r="G6125" s="213"/>
      <c r="H6125" s="73"/>
    </row>
    <row r="6126" spans="1:8" s="212" customFormat="1">
      <c r="A6126" s="123"/>
      <c r="B6126" s="95"/>
      <c r="C6126" s="95"/>
      <c r="D6126" s="95"/>
      <c r="E6126" s="95"/>
      <c r="G6126" s="73"/>
      <c r="H6126" s="225"/>
    </row>
    <row r="6127" spans="1:8" s="212" customFormat="1">
      <c r="B6127" s="97"/>
      <c r="C6127" s="98"/>
      <c r="D6127" s="98"/>
      <c r="E6127" s="98"/>
      <c r="G6127" s="220"/>
    </row>
    <row r="6128" spans="1:8" s="212" customFormat="1">
      <c r="B6128" s="97"/>
      <c r="C6128" s="98"/>
      <c r="D6128" s="98"/>
      <c r="E6128" s="98"/>
      <c r="F6128" s="220"/>
      <c r="G6128" s="225"/>
      <c r="H6128" s="226"/>
    </row>
    <row r="6129" spans="1:9" s="212" customFormat="1">
      <c r="A6129" s="633"/>
      <c r="B6129" s="633"/>
      <c r="C6129" s="633"/>
      <c r="D6129" s="633"/>
      <c r="E6129" s="633"/>
      <c r="F6129" s="633"/>
      <c r="G6129" s="633"/>
    </row>
    <row r="6130" spans="1:9" s="212" customFormat="1">
      <c r="H6130" s="227"/>
      <c r="I6130" s="228"/>
    </row>
    <row r="6131" spans="1:9" s="212" customFormat="1">
      <c r="A6131" s="658"/>
      <c r="B6131" s="227"/>
      <c r="C6131" s="227"/>
      <c r="D6131" s="227"/>
      <c r="E6131" s="227"/>
      <c r="F6131" s="227"/>
      <c r="G6131" s="227"/>
      <c r="H6131" s="227"/>
      <c r="I6131" s="229"/>
    </row>
    <row r="6132" spans="1:9" s="212" customFormat="1">
      <c r="A6132" s="658"/>
      <c r="B6132" s="227"/>
      <c r="C6132" s="227"/>
      <c r="D6132" s="227"/>
      <c r="E6132" s="227"/>
      <c r="F6132" s="227"/>
      <c r="G6132" s="227"/>
    </row>
    <row r="6133" spans="1:9" s="212" customFormat="1">
      <c r="A6133" s="69"/>
      <c r="B6133" s="69"/>
      <c r="C6133" s="69"/>
      <c r="D6133" s="69"/>
      <c r="E6133" s="69"/>
    </row>
    <row r="6134" spans="1:9" s="212" customFormat="1">
      <c r="A6134" s="120"/>
      <c r="B6134" s="73"/>
      <c r="C6134" s="73"/>
      <c r="D6134" s="73"/>
      <c r="E6134" s="73"/>
      <c r="F6134" s="73"/>
      <c r="G6134" s="73"/>
      <c r="H6134" s="73"/>
    </row>
    <row r="6135" spans="1:9" s="212" customFormat="1">
      <c r="A6135" s="220"/>
      <c r="B6135" s="141"/>
      <c r="C6135" s="141"/>
      <c r="D6135" s="141"/>
      <c r="E6135" s="141"/>
      <c r="F6135" s="141"/>
      <c r="G6135" s="141"/>
      <c r="H6135" s="73"/>
    </row>
    <row r="6136" spans="1:9" s="212" customFormat="1">
      <c r="A6136" s="142"/>
      <c r="B6136" s="143"/>
      <c r="C6136" s="143"/>
      <c r="D6136" s="143"/>
      <c r="E6136" s="143"/>
      <c r="F6136" s="84"/>
      <c r="G6136" s="146"/>
      <c r="H6136" s="221"/>
    </row>
    <row r="6137" spans="1:9" s="212" customFormat="1">
      <c r="A6137" s="84"/>
      <c r="B6137" s="83"/>
      <c r="C6137" s="84"/>
      <c r="D6137" s="84"/>
      <c r="E6137" s="84"/>
      <c r="G6137" s="213"/>
      <c r="H6137" s="222"/>
    </row>
    <row r="6138" spans="1:9" s="212" customFormat="1">
      <c r="A6138" s="120"/>
      <c r="B6138" s="73"/>
      <c r="C6138" s="73"/>
      <c r="D6138" s="73"/>
      <c r="E6138" s="73"/>
      <c r="G6138" s="73"/>
      <c r="H6138" s="222"/>
    </row>
    <row r="6139" spans="1:9" s="212" customFormat="1">
      <c r="A6139" s="220"/>
      <c r="B6139" s="141"/>
      <c r="C6139" s="141"/>
      <c r="D6139" s="141"/>
      <c r="E6139" s="141"/>
      <c r="F6139" s="141"/>
      <c r="G6139" s="141"/>
      <c r="H6139" s="222"/>
    </row>
    <row r="6140" spans="1:9" s="212" customFormat="1">
      <c r="A6140" s="150"/>
      <c r="B6140" s="83"/>
      <c r="C6140" s="148"/>
      <c r="D6140" s="160"/>
      <c r="E6140" s="84"/>
      <c r="F6140" s="84"/>
      <c r="G6140" s="146"/>
      <c r="H6140" s="221"/>
    </row>
    <row r="6141" spans="1:9" s="212" customFormat="1">
      <c r="A6141" s="91"/>
      <c r="B6141" s="91"/>
      <c r="C6141" s="91"/>
      <c r="D6141" s="91"/>
      <c r="E6141" s="91"/>
      <c r="G6141" s="213"/>
      <c r="H6141" s="222"/>
    </row>
    <row r="6142" spans="1:9" s="212" customFormat="1">
      <c r="A6142" s="120"/>
      <c r="B6142" s="73"/>
      <c r="C6142" s="73"/>
      <c r="D6142" s="73"/>
      <c r="E6142" s="73"/>
      <c r="G6142" s="73"/>
      <c r="H6142" s="222"/>
    </row>
    <row r="6143" spans="1:9" s="212" customFormat="1">
      <c r="A6143" s="220"/>
      <c r="B6143" s="141"/>
      <c r="C6143" s="141"/>
      <c r="D6143" s="141"/>
      <c r="E6143" s="141"/>
      <c r="F6143" s="141"/>
      <c r="G6143" s="141"/>
      <c r="H6143" s="222"/>
    </row>
    <row r="6144" spans="1:9" s="212" customFormat="1">
      <c r="A6144" s="142"/>
      <c r="B6144" s="143"/>
      <c r="C6144" s="143"/>
      <c r="D6144" s="143"/>
      <c r="E6144" s="143"/>
      <c r="F6144" s="84"/>
      <c r="G6144" s="146"/>
      <c r="H6144" s="221"/>
    </row>
    <row r="6145" spans="1:9" s="212" customFormat="1">
      <c r="A6145" s="91"/>
      <c r="B6145" s="91"/>
      <c r="C6145" s="91"/>
      <c r="D6145" s="91"/>
      <c r="E6145" s="91"/>
      <c r="G6145" s="213"/>
      <c r="H6145" s="222"/>
    </row>
    <row r="6146" spans="1:9" s="212" customFormat="1">
      <c r="A6146" s="120"/>
      <c r="B6146" s="73"/>
      <c r="C6146" s="73"/>
      <c r="D6146" s="73"/>
      <c r="E6146" s="73"/>
      <c r="G6146" s="73"/>
      <c r="H6146" s="222"/>
    </row>
    <row r="6147" spans="1:9" s="212" customFormat="1">
      <c r="A6147" s="220"/>
      <c r="B6147" s="141"/>
      <c r="C6147" s="141"/>
      <c r="D6147" s="141"/>
      <c r="E6147" s="141"/>
      <c r="F6147" s="141"/>
      <c r="G6147" s="141"/>
      <c r="H6147" s="222"/>
    </row>
    <row r="6148" spans="1:9" s="212" customFormat="1">
      <c r="A6148" s="142"/>
      <c r="B6148" s="143"/>
      <c r="C6148" s="143"/>
      <c r="D6148" s="143"/>
      <c r="E6148" s="143"/>
      <c r="F6148" s="84"/>
      <c r="G6148" s="146"/>
      <c r="H6148" s="221"/>
    </row>
    <row r="6149" spans="1:9" s="212" customFormat="1">
      <c r="A6149" s="123"/>
      <c r="B6149" s="95"/>
      <c r="C6149" s="95"/>
      <c r="D6149" s="95"/>
      <c r="E6149" s="95"/>
      <c r="G6149" s="213"/>
      <c r="H6149" s="73"/>
    </row>
    <row r="6150" spans="1:9" s="212" customFormat="1">
      <c r="A6150" s="123"/>
      <c r="B6150" s="95"/>
      <c r="C6150" s="95"/>
      <c r="D6150" s="95"/>
      <c r="E6150" s="95"/>
      <c r="G6150" s="73"/>
      <c r="H6150" s="225"/>
    </row>
    <row r="6151" spans="1:9" s="212" customFormat="1">
      <c r="B6151" s="97"/>
      <c r="C6151" s="98"/>
      <c r="D6151" s="98"/>
      <c r="E6151" s="98"/>
      <c r="G6151" s="220"/>
    </row>
    <row r="6152" spans="1:9" s="212" customFormat="1">
      <c r="B6152" s="97"/>
      <c r="C6152" s="98"/>
      <c r="D6152" s="98"/>
      <c r="E6152" s="98"/>
      <c r="F6152" s="220"/>
      <c r="G6152" s="225"/>
      <c r="H6152" s="226"/>
    </row>
    <row r="6153" spans="1:9" s="212" customFormat="1">
      <c r="A6153" s="633"/>
      <c r="B6153" s="633"/>
      <c r="C6153" s="633"/>
      <c r="D6153" s="633"/>
      <c r="E6153" s="633"/>
      <c r="F6153" s="633"/>
      <c r="G6153" s="633"/>
    </row>
    <row r="6154" spans="1:9" s="212" customFormat="1">
      <c r="H6154" s="227"/>
      <c r="I6154" s="228"/>
    </row>
    <row r="6155" spans="1:9" s="212" customFormat="1">
      <c r="A6155" s="658"/>
      <c r="B6155" s="227"/>
      <c r="C6155" s="227"/>
      <c r="D6155" s="227"/>
      <c r="E6155" s="227"/>
      <c r="F6155" s="227"/>
      <c r="G6155" s="227"/>
      <c r="H6155" s="227"/>
      <c r="I6155" s="229"/>
    </row>
    <row r="6156" spans="1:9" s="212" customFormat="1">
      <c r="A6156" s="658"/>
      <c r="B6156" s="227"/>
      <c r="C6156" s="227"/>
      <c r="D6156" s="227"/>
      <c r="E6156" s="227"/>
      <c r="F6156" s="227"/>
      <c r="G6156" s="227"/>
    </row>
    <row r="6157" spans="1:9" s="212" customFormat="1">
      <c r="A6157" s="69"/>
      <c r="B6157" s="69"/>
      <c r="C6157" s="69"/>
      <c r="D6157" s="69"/>
      <c r="E6157" s="69"/>
    </row>
    <row r="6158" spans="1:9" s="212" customFormat="1">
      <c r="A6158" s="120"/>
      <c r="B6158" s="73"/>
      <c r="C6158" s="73"/>
      <c r="D6158" s="73"/>
      <c r="E6158" s="73"/>
      <c r="F6158" s="73"/>
      <c r="G6158" s="73"/>
      <c r="H6158" s="73"/>
    </row>
    <row r="6159" spans="1:9" s="212" customFormat="1">
      <c r="A6159" s="220"/>
      <c r="B6159" s="141"/>
      <c r="C6159" s="141"/>
      <c r="D6159" s="141"/>
      <c r="E6159" s="141"/>
      <c r="F6159" s="141"/>
      <c r="G6159" s="141"/>
      <c r="H6159" s="73"/>
    </row>
    <row r="6160" spans="1:9" s="212" customFormat="1">
      <c r="A6160" s="142"/>
      <c r="B6160" s="143"/>
      <c r="C6160" s="143"/>
      <c r="D6160" s="143"/>
      <c r="E6160" s="143"/>
      <c r="F6160" s="84"/>
      <c r="G6160" s="146"/>
      <c r="H6160" s="221"/>
    </row>
    <row r="6161" spans="1:8" s="212" customFormat="1">
      <c r="A6161" s="84"/>
      <c r="B6161" s="83"/>
      <c r="C6161" s="84"/>
      <c r="D6161" s="84"/>
      <c r="E6161" s="84"/>
      <c r="G6161" s="213"/>
      <c r="H6161" s="222"/>
    </row>
    <row r="6162" spans="1:8" s="212" customFormat="1">
      <c r="A6162" s="120"/>
      <c r="B6162" s="73"/>
      <c r="C6162" s="73"/>
      <c r="D6162" s="73"/>
      <c r="E6162" s="73"/>
      <c r="G6162" s="73"/>
      <c r="H6162" s="222"/>
    </row>
    <row r="6163" spans="1:8" s="212" customFormat="1">
      <c r="A6163" s="220"/>
      <c r="B6163" s="141"/>
      <c r="C6163" s="141"/>
      <c r="D6163" s="141"/>
      <c r="E6163" s="141"/>
      <c r="F6163" s="141"/>
      <c r="G6163" s="141"/>
      <c r="H6163" s="222"/>
    </row>
    <row r="6164" spans="1:8" s="212" customFormat="1">
      <c r="A6164" s="150"/>
      <c r="B6164" s="83"/>
      <c r="C6164" s="148"/>
      <c r="D6164" s="160"/>
      <c r="E6164" s="84"/>
      <c r="F6164" s="84"/>
      <c r="G6164" s="146"/>
      <c r="H6164" s="221"/>
    </row>
    <row r="6165" spans="1:8" s="212" customFormat="1">
      <c r="A6165" s="91"/>
      <c r="B6165" s="91"/>
      <c r="C6165" s="91"/>
      <c r="D6165" s="91"/>
      <c r="E6165" s="91"/>
      <c r="G6165" s="213"/>
      <c r="H6165" s="222"/>
    </row>
    <row r="6166" spans="1:8" s="212" customFormat="1">
      <c r="A6166" s="120"/>
      <c r="B6166" s="73"/>
      <c r="C6166" s="73"/>
      <c r="D6166" s="73"/>
      <c r="E6166" s="73"/>
      <c r="G6166" s="73"/>
      <c r="H6166" s="222"/>
    </row>
    <row r="6167" spans="1:8" s="212" customFormat="1">
      <c r="A6167" s="220"/>
      <c r="B6167" s="141"/>
      <c r="C6167" s="141"/>
      <c r="D6167" s="141"/>
      <c r="E6167" s="141"/>
      <c r="F6167" s="141"/>
      <c r="G6167" s="141"/>
      <c r="H6167" s="222"/>
    </row>
    <row r="6168" spans="1:8" s="212" customFormat="1">
      <c r="A6168" s="142"/>
      <c r="B6168" s="143"/>
      <c r="C6168" s="143"/>
      <c r="D6168" s="143"/>
      <c r="E6168" s="143"/>
      <c r="F6168" s="84"/>
      <c r="G6168" s="146"/>
      <c r="H6168" s="221"/>
    </row>
    <row r="6169" spans="1:8" s="212" customFormat="1">
      <c r="A6169" s="91"/>
      <c r="B6169" s="91"/>
      <c r="C6169" s="91"/>
      <c r="D6169" s="91"/>
      <c r="E6169" s="91"/>
      <c r="G6169" s="213"/>
      <c r="H6169" s="222"/>
    </row>
    <row r="6170" spans="1:8" s="212" customFormat="1">
      <c r="A6170" s="120"/>
      <c r="B6170" s="73"/>
      <c r="C6170" s="73"/>
      <c r="D6170" s="73"/>
      <c r="E6170" s="73"/>
      <c r="G6170" s="73"/>
      <c r="H6170" s="222"/>
    </row>
    <row r="6171" spans="1:8" s="212" customFormat="1">
      <c r="A6171" s="220"/>
      <c r="B6171" s="141"/>
      <c r="C6171" s="141"/>
      <c r="D6171" s="141"/>
      <c r="E6171" s="141"/>
      <c r="F6171" s="141"/>
      <c r="G6171" s="141"/>
      <c r="H6171" s="222"/>
    </row>
    <row r="6172" spans="1:8" s="212" customFormat="1">
      <c r="A6172" s="142"/>
      <c r="B6172" s="143"/>
      <c r="C6172" s="143"/>
      <c r="D6172" s="143"/>
      <c r="E6172" s="143"/>
      <c r="F6172" s="84"/>
      <c r="G6172" s="146"/>
      <c r="H6172" s="221"/>
    </row>
    <row r="6173" spans="1:8" s="212" customFormat="1">
      <c r="A6173" s="123"/>
      <c r="B6173" s="95"/>
      <c r="C6173" s="95"/>
      <c r="D6173" s="95"/>
      <c r="E6173" s="95"/>
      <c r="G6173" s="213"/>
      <c r="H6173" s="73"/>
    </row>
    <row r="6174" spans="1:8" s="212" customFormat="1">
      <c r="A6174" s="123"/>
      <c r="B6174" s="95"/>
      <c r="C6174" s="95"/>
      <c r="D6174" s="95"/>
      <c r="E6174" s="95"/>
      <c r="G6174" s="73"/>
      <c r="H6174" s="225"/>
    </row>
    <row r="6175" spans="1:8" s="212" customFormat="1">
      <c r="B6175" s="97"/>
      <c r="C6175" s="98"/>
      <c r="D6175" s="98"/>
      <c r="E6175" s="98"/>
      <c r="G6175" s="220"/>
    </row>
    <row r="6176" spans="1:8" s="212" customFormat="1">
      <c r="B6176" s="97"/>
      <c r="C6176" s="98"/>
      <c r="D6176" s="98"/>
      <c r="E6176" s="98"/>
      <c r="F6176" s="220"/>
      <c r="G6176" s="225"/>
      <c r="H6176" s="226"/>
    </row>
    <row r="6177" spans="1:9" s="212" customFormat="1">
      <c r="A6177" s="633"/>
      <c r="B6177" s="633"/>
      <c r="C6177" s="633"/>
      <c r="D6177" s="633"/>
      <c r="E6177" s="633"/>
      <c r="F6177" s="633"/>
      <c r="G6177" s="633"/>
    </row>
    <row r="6178" spans="1:9" s="212" customFormat="1">
      <c r="H6178" s="227"/>
      <c r="I6178" s="228"/>
    </row>
    <row r="6179" spans="1:9" s="212" customFormat="1">
      <c r="A6179" s="658"/>
      <c r="B6179" s="227"/>
      <c r="C6179" s="227"/>
      <c r="D6179" s="227"/>
      <c r="E6179" s="227"/>
      <c r="F6179" s="227"/>
      <c r="G6179" s="227"/>
      <c r="H6179" s="227"/>
      <c r="I6179" s="229"/>
    </row>
    <row r="6180" spans="1:9" s="212" customFormat="1">
      <c r="A6180" s="658"/>
      <c r="B6180" s="227"/>
      <c r="C6180" s="227"/>
      <c r="D6180" s="227"/>
      <c r="E6180" s="227"/>
      <c r="F6180" s="227"/>
      <c r="G6180" s="227"/>
    </row>
    <row r="6181" spans="1:9" s="212" customFormat="1">
      <c r="A6181" s="69"/>
      <c r="B6181" s="69"/>
      <c r="C6181" s="69"/>
      <c r="D6181" s="69"/>
      <c r="E6181" s="69"/>
    </row>
    <row r="6182" spans="1:9" s="212" customFormat="1">
      <c r="A6182" s="120"/>
      <c r="B6182" s="73"/>
      <c r="C6182" s="73"/>
      <c r="D6182" s="73"/>
      <c r="E6182" s="73"/>
      <c r="F6182" s="73"/>
      <c r="G6182" s="73"/>
      <c r="H6182" s="73"/>
    </row>
    <row r="6183" spans="1:9" s="212" customFormat="1">
      <c r="A6183" s="220"/>
      <c r="B6183" s="141"/>
      <c r="C6183" s="141"/>
      <c r="D6183" s="141"/>
      <c r="E6183" s="141"/>
      <c r="F6183" s="141"/>
      <c r="G6183" s="141"/>
      <c r="H6183" s="73"/>
    </row>
    <row r="6184" spans="1:9" s="212" customFormat="1">
      <c r="A6184" s="142"/>
      <c r="B6184" s="143"/>
      <c r="C6184" s="143"/>
      <c r="D6184" s="143"/>
      <c r="E6184" s="143"/>
      <c r="F6184" s="84"/>
      <c r="G6184" s="146"/>
      <c r="H6184" s="221"/>
    </row>
    <row r="6185" spans="1:9" s="212" customFormat="1">
      <c r="A6185" s="84"/>
      <c r="B6185" s="83"/>
      <c r="C6185" s="84"/>
      <c r="D6185" s="84"/>
      <c r="E6185" s="84"/>
      <c r="G6185" s="213"/>
      <c r="H6185" s="222"/>
    </row>
    <row r="6186" spans="1:9" s="212" customFormat="1">
      <c r="A6186" s="120"/>
      <c r="B6186" s="73"/>
      <c r="C6186" s="73"/>
      <c r="D6186" s="73"/>
      <c r="E6186" s="73"/>
      <c r="G6186" s="73"/>
      <c r="H6186" s="222"/>
    </row>
    <row r="6187" spans="1:9" s="212" customFormat="1">
      <c r="A6187" s="220"/>
      <c r="B6187" s="141"/>
      <c r="C6187" s="141"/>
      <c r="D6187" s="141"/>
      <c r="E6187" s="141"/>
      <c r="F6187" s="141"/>
      <c r="G6187" s="141"/>
      <c r="H6187" s="222"/>
    </row>
    <row r="6188" spans="1:9" s="212" customFormat="1">
      <c r="A6188" s="150"/>
      <c r="B6188" s="83"/>
      <c r="C6188" s="148"/>
      <c r="D6188" s="160"/>
      <c r="E6188" s="84"/>
      <c r="F6188" s="84"/>
      <c r="G6188" s="146"/>
      <c r="H6188" s="221"/>
    </row>
    <row r="6189" spans="1:9" s="212" customFormat="1">
      <c r="A6189" s="91"/>
      <c r="B6189" s="91"/>
      <c r="C6189" s="91"/>
      <c r="D6189" s="91"/>
      <c r="E6189" s="91"/>
      <c r="G6189" s="213"/>
      <c r="H6189" s="222"/>
    </row>
    <row r="6190" spans="1:9" s="212" customFormat="1">
      <c r="A6190" s="120"/>
      <c r="B6190" s="73"/>
      <c r="C6190" s="73"/>
      <c r="D6190" s="73"/>
      <c r="E6190" s="73"/>
      <c r="G6190" s="73"/>
      <c r="H6190" s="222"/>
    </row>
    <row r="6191" spans="1:9" s="212" customFormat="1">
      <c r="A6191" s="220"/>
      <c r="B6191" s="141"/>
      <c r="C6191" s="141"/>
      <c r="D6191" s="141"/>
      <c r="E6191" s="141"/>
      <c r="F6191" s="141"/>
      <c r="G6191" s="141"/>
      <c r="H6191" s="222"/>
    </row>
    <row r="6192" spans="1:9" s="212" customFormat="1">
      <c r="A6192" s="142"/>
      <c r="B6192" s="143"/>
      <c r="C6192" s="143"/>
      <c r="D6192" s="143"/>
      <c r="E6192" s="143"/>
      <c r="F6192" s="84"/>
      <c r="G6192" s="146"/>
      <c r="H6192" s="221"/>
    </row>
    <row r="6193" spans="1:9" s="212" customFormat="1">
      <c r="A6193" s="91"/>
      <c r="B6193" s="91"/>
      <c r="C6193" s="91"/>
      <c r="D6193" s="91"/>
      <c r="E6193" s="91"/>
      <c r="G6193" s="213"/>
      <c r="H6193" s="222"/>
    </row>
    <row r="6194" spans="1:9" s="212" customFormat="1">
      <c r="A6194" s="120"/>
      <c r="B6194" s="73"/>
      <c r="C6194" s="73"/>
      <c r="D6194" s="73"/>
      <c r="E6194" s="73"/>
      <c r="G6194" s="73"/>
      <c r="H6194" s="222"/>
    </row>
    <row r="6195" spans="1:9" s="212" customFormat="1">
      <c r="A6195" s="220"/>
      <c r="B6195" s="141"/>
      <c r="C6195" s="141"/>
      <c r="D6195" s="141"/>
      <c r="E6195" s="141"/>
      <c r="F6195" s="141"/>
      <c r="G6195" s="141"/>
      <c r="H6195" s="222"/>
    </row>
    <row r="6196" spans="1:9" s="212" customFormat="1">
      <c r="A6196" s="142"/>
      <c r="B6196" s="143"/>
      <c r="C6196" s="143"/>
      <c r="D6196" s="143"/>
      <c r="E6196" s="143"/>
      <c r="F6196" s="84"/>
      <c r="G6196" s="146"/>
      <c r="H6196" s="221"/>
    </row>
    <row r="6197" spans="1:9" s="212" customFormat="1">
      <c r="A6197" s="123"/>
      <c r="B6197" s="95"/>
      <c r="C6197" s="95"/>
      <c r="D6197" s="95"/>
      <c r="E6197" s="95"/>
      <c r="G6197" s="213"/>
      <c r="H6197" s="73"/>
    </row>
    <row r="6198" spans="1:9" s="212" customFormat="1">
      <c r="A6198" s="123"/>
      <c r="B6198" s="95"/>
      <c r="C6198" s="95"/>
      <c r="D6198" s="95"/>
      <c r="E6198" s="95"/>
      <c r="G6198" s="73"/>
      <c r="H6198" s="225"/>
    </row>
    <row r="6199" spans="1:9" s="212" customFormat="1">
      <c r="B6199" s="97"/>
      <c r="C6199" s="98"/>
      <c r="D6199" s="98"/>
      <c r="E6199" s="98"/>
      <c r="G6199" s="220"/>
    </row>
    <row r="6200" spans="1:9" s="212" customFormat="1">
      <c r="B6200" s="97"/>
      <c r="C6200" s="98"/>
      <c r="D6200" s="98"/>
      <c r="E6200" s="98"/>
      <c r="F6200" s="220"/>
      <c r="G6200" s="225"/>
      <c r="H6200" s="226"/>
    </row>
    <row r="6201" spans="1:9" s="212" customFormat="1">
      <c r="A6201" s="633"/>
      <c r="B6201" s="633"/>
      <c r="C6201" s="633"/>
      <c r="D6201" s="633"/>
      <c r="E6201" s="633"/>
      <c r="F6201" s="633"/>
      <c r="G6201" s="633"/>
    </row>
    <row r="6202" spans="1:9" s="212" customFormat="1">
      <c r="H6202" s="227"/>
      <c r="I6202" s="228"/>
    </row>
    <row r="6203" spans="1:9" s="212" customFormat="1">
      <c r="A6203" s="658"/>
      <c r="B6203" s="227"/>
      <c r="C6203" s="227"/>
      <c r="D6203" s="227"/>
      <c r="E6203" s="227"/>
      <c r="F6203" s="227"/>
      <c r="G6203" s="227"/>
      <c r="H6203" s="227"/>
      <c r="I6203" s="229"/>
    </row>
    <row r="6204" spans="1:9" s="212" customFormat="1">
      <c r="A6204" s="658"/>
      <c r="B6204" s="227"/>
      <c r="C6204" s="227"/>
      <c r="D6204" s="227"/>
      <c r="E6204" s="227"/>
      <c r="F6204" s="227"/>
      <c r="G6204" s="227"/>
    </row>
    <row r="6205" spans="1:9" s="212" customFormat="1">
      <c r="A6205" s="69"/>
      <c r="B6205" s="69"/>
      <c r="C6205" s="69"/>
      <c r="D6205" s="69"/>
      <c r="E6205" s="69"/>
    </row>
    <row r="6206" spans="1:9" s="212" customFormat="1">
      <c r="A6206" s="120"/>
      <c r="B6206" s="73"/>
      <c r="C6206" s="73"/>
      <c r="D6206" s="73"/>
      <c r="E6206" s="73"/>
      <c r="F6206" s="73"/>
      <c r="G6206" s="73"/>
      <c r="H6206" s="73"/>
    </row>
    <row r="6207" spans="1:9" s="212" customFormat="1">
      <c r="A6207" s="220"/>
      <c r="B6207" s="141"/>
      <c r="C6207" s="141"/>
      <c r="D6207" s="141"/>
      <c r="E6207" s="141"/>
      <c r="F6207" s="141"/>
      <c r="G6207" s="141"/>
      <c r="H6207" s="73"/>
    </row>
    <row r="6208" spans="1:9" s="212" customFormat="1">
      <c r="A6208" s="142"/>
      <c r="B6208" s="143"/>
      <c r="C6208" s="143"/>
      <c r="D6208" s="143"/>
      <c r="E6208" s="143"/>
      <c r="F6208" s="84"/>
      <c r="G6208" s="146"/>
      <c r="H6208" s="221"/>
    </row>
    <row r="6209" spans="1:8" s="212" customFormat="1">
      <c r="A6209" s="84"/>
      <c r="B6209" s="83"/>
      <c r="C6209" s="84"/>
      <c r="D6209" s="84"/>
      <c r="E6209" s="84"/>
      <c r="G6209" s="213"/>
      <c r="H6209" s="222"/>
    </row>
    <row r="6210" spans="1:8" s="212" customFormat="1">
      <c r="A6210" s="120"/>
      <c r="B6210" s="73"/>
      <c r="C6210" s="73"/>
      <c r="D6210" s="73"/>
      <c r="E6210" s="73"/>
      <c r="G6210" s="73"/>
      <c r="H6210" s="222"/>
    </row>
    <row r="6211" spans="1:8" s="212" customFormat="1">
      <c r="A6211" s="220"/>
      <c r="B6211" s="141"/>
      <c r="C6211" s="141"/>
      <c r="D6211" s="141"/>
      <c r="E6211" s="141"/>
      <c r="F6211" s="141"/>
      <c r="G6211" s="141"/>
      <c r="H6211" s="222"/>
    </row>
    <row r="6212" spans="1:8" s="212" customFormat="1">
      <c r="A6212" s="150"/>
      <c r="B6212" s="83"/>
      <c r="C6212" s="148"/>
      <c r="D6212" s="160"/>
      <c r="E6212" s="84"/>
      <c r="F6212" s="84"/>
      <c r="G6212" s="146"/>
      <c r="H6212" s="221"/>
    </row>
    <row r="6213" spans="1:8" s="212" customFormat="1">
      <c r="A6213" s="91"/>
      <c r="B6213" s="91"/>
      <c r="C6213" s="91"/>
      <c r="D6213" s="91"/>
      <c r="E6213" s="91"/>
      <c r="G6213" s="213"/>
      <c r="H6213" s="222"/>
    </row>
    <row r="6214" spans="1:8" s="212" customFormat="1">
      <c r="A6214" s="120"/>
      <c r="B6214" s="73"/>
      <c r="C6214" s="73"/>
      <c r="D6214" s="73"/>
      <c r="E6214" s="73"/>
      <c r="G6214" s="73"/>
      <c r="H6214" s="222"/>
    </row>
    <row r="6215" spans="1:8" s="212" customFormat="1">
      <c r="A6215" s="220"/>
      <c r="B6215" s="141"/>
      <c r="C6215" s="141"/>
      <c r="D6215" s="141"/>
      <c r="E6215" s="141"/>
      <c r="F6215" s="141"/>
      <c r="G6215" s="141"/>
      <c r="H6215" s="222"/>
    </row>
    <row r="6216" spans="1:8" s="212" customFormat="1">
      <c r="A6216" s="142"/>
      <c r="B6216" s="143"/>
      <c r="C6216" s="143"/>
      <c r="D6216" s="143"/>
      <c r="E6216" s="143"/>
      <c r="F6216" s="84"/>
      <c r="G6216" s="146"/>
      <c r="H6216" s="221"/>
    </row>
    <row r="6217" spans="1:8" s="212" customFormat="1">
      <c r="A6217" s="91"/>
      <c r="B6217" s="91"/>
      <c r="C6217" s="91"/>
      <c r="D6217" s="91"/>
      <c r="E6217" s="91"/>
      <c r="G6217" s="213"/>
      <c r="H6217" s="222"/>
    </row>
    <row r="6218" spans="1:8" s="212" customFormat="1">
      <c r="A6218" s="120"/>
      <c r="B6218" s="73"/>
      <c r="C6218" s="73"/>
      <c r="D6218" s="73"/>
      <c r="E6218" s="73"/>
      <c r="G6218" s="73"/>
      <c r="H6218" s="222"/>
    </row>
    <row r="6219" spans="1:8" s="212" customFormat="1">
      <c r="A6219" s="220"/>
      <c r="B6219" s="141"/>
      <c r="C6219" s="141"/>
      <c r="D6219" s="141"/>
      <c r="E6219" s="141"/>
      <c r="F6219" s="141"/>
      <c r="G6219" s="141"/>
      <c r="H6219" s="222"/>
    </row>
    <row r="6220" spans="1:8" s="212" customFormat="1">
      <c r="A6220" s="142"/>
      <c r="B6220" s="143"/>
      <c r="C6220" s="143"/>
      <c r="D6220" s="143"/>
      <c r="E6220" s="143"/>
      <c r="F6220" s="84"/>
      <c r="G6220" s="146"/>
      <c r="H6220" s="221"/>
    </row>
    <row r="6221" spans="1:8" s="212" customFormat="1">
      <c r="A6221" s="123"/>
      <c r="B6221" s="95"/>
      <c r="C6221" s="95"/>
      <c r="D6221" s="95"/>
      <c r="E6221" s="95"/>
      <c r="G6221" s="213"/>
      <c r="H6221" s="73"/>
    </row>
    <row r="6222" spans="1:8" s="212" customFormat="1">
      <c r="A6222" s="123"/>
      <c r="B6222" s="95"/>
      <c r="C6222" s="95"/>
      <c r="D6222" s="95"/>
      <c r="E6222" s="95"/>
      <c r="G6222" s="73"/>
      <c r="H6222" s="225"/>
    </row>
    <row r="6223" spans="1:8" s="212" customFormat="1">
      <c r="B6223" s="97"/>
      <c r="C6223" s="98"/>
      <c r="D6223" s="98"/>
      <c r="E6223" s="98"/>
      <c r="G6223" s="220"/>
    </row>
    <row r="6224" spans="1:8" s="212" customFormat="1">
      <c r="B6224" s="97"/>
      <c r="C6224" s="98"/>
      <c r="D6224" s="98"/>
      <c r="E6224" s="98"/>
      <c r="F6224" s="220"/>
      <c r="G6224" s="225"/>
      <c r="H6224" s="226"/>
    </row>
    <row r="6225" spans="1:9" s="212" customFormat="1">
      <c r="A6225" s="633"/>
      <c r="B6225" s="633"/>
      <c r="C6225" s="633"/>
      <c r="D6225" s="633"/>
      <c r="E6225" s="633"/>
      <c r="F6225" s="633"/>
      <c r="G6225" s="633"/>
    </row>
    <row r="6226" spans="1:9" s="212" customFormat="1">
      <c r="H6226" s="227"/>
      <c r="I6226" s="228"/>
    </row>
    <row r="6227" spans="1:9" s="212" customFormat="1">
      <c r="A6227" s="658"/>
      <c r="B6227" s="227"/>
      <c r="C6227" s="227"/>
      <c r="D6227" s="227"/>
      <c r="E6227" s="227"/>
      <c r="F6227" s="227"/>
      <c r="G6227" s="227"/>
      <c r="H6227" s="227"/>
      <c r="I6227" s="229"/>
    </row>
    <row r="6228" spans="1:9" s="212" customFormat="1">
      <c r="A6228" s="658"/>
      <c r="B6228" s="227"/>
      <c r="C6228" s="227"/>
      <c r="D6228" s="227"/>
      <c r="E6228" s="227"/>
      <c r="F6228" s="227"/>
      <c r="G6228" s="227"/>
    </row>
    <row r="6229" spans="1:9" s="212" customFormat="1">
      <c r="A6229" s="69"/>
      <c r="B6229" s="69"/>
      <c r="C6229" s="69"/>
      <c r="D6229" s="69"/>
      <c r="E6229" s="69"/>
    </row>
    <row r="6230" spans="1:9" s="212" customFormat="1">
      <c r="A6230" s="120"/>
      <c r="B6230" s="73"/>
      <c r="C6230" s="73"/>
      <c r="D6230" s="73"/>
      <c r="E6230" s="73"/>
      <c r="F6230" s="73"/>
      <c r="G6230" s="73"/>
      <c r="H6230" s="73"/>
    </row>
    <row r="6231" spans="1:9" s="212" customFormat="1">
      <c r="A6231" s="220"/>
      <c r="B6231" s="141"/>
      <c r="C6231" s="141"/>
      <c r="D6231" s="141"/>
      <c r="E6231" s="141"/>
      <c r="F6231" s="141"/>
      <c r="G6231" s="141"/>
      <c r="H6231" s="73"/>
    </row>
    <row r="6232" spans="1:9" s="212" customFormat="1">
      <c r="A6232" s="142"/>
      <c r="B6232" s="143"/>
      <c r="C6232" s="143"/>
      <c r="D6232" s="143"/>
      <c r="E6232" s="143"/>
      <c r="F6232" s="84"/>
      <c r="G6232" s="146"/>
      <c r="H6232" s="221"/>
    </row>
    <row r="6233" spans="1:9" s="212" customFormat="1">
      <c r="A6233" s="84"/>
      <c r="B6233" s="83"/>
      <c r="C6233" s="84"/>
      <c r="D6233" s="84"/>
      <c r="E6233" s="84"/>
      <c r="G6233" s="213"/>
      <c r="H6233" s="222"/>
    </row>
    <row r="6234" spans="1:9" s="212" customFormat="1">
      <c r="A6234" s="120"/>
      <c r="B6234" s="73"/>
      <c r="C6234" s="73"/>
      <c r="D6234" s="73"/>
      <c r="E6234" s="73"/>
      <c r="G6234" s="73"/>
      <c r="H6234" s="222"/>
    </row>
    <row r="6235" spans="1:9" s="212" customFormat="1">
      <c r="A6235" s="220"/>
      <c r="B6235" s="141"/>
      <c r="C6235" s="141"/>
      <c r="D6235" s="141"/>
      <c r="E6235" s="141"/>
      <c r="F6235" s="141"/>
      <c r="G6235" s="141"/>
      <c r="H6235" s="222"/>
    </row>
    <row r="6236" spans="1:9" s="212" customFormat="1">
      <c r="A6236" s="150"/>
      <c r="B6236" s="83"/>
      <c r="C6236" s="148"/>
      <c r="D6236" s="160"/>
      <c r="E6236" s="84"/>
      <c r="F6236" s="84"/>
      <c r="G6236" s="146"/>
      <c r="H6236" s="221"/>
    </row>
    <row r="6237" spans="1:9" s="212" customFormat="1">
      <c r="A6237" s="91"/>
      <c r="B6237" s="91"/>
      <c r="C6237" s="91"/>
      <c r="D6237" s="91"/>
      <c r="E6237" s="91"/>
      <c r="G6237" s="213"/>
      <c r="H6237" s="222"/>
    </row>
    <row r="6238" spans="1:9" s="212" customFormat="1">
      <c r="A6238" s="120"/>
      <c r="B6238" s="73"/>
      <c r="C6238" s="73"/>
      <c r="D6238" s="73"/>
      <c r="E6238" s="73"/>
      <c r="G6238" s="73"/>
      <c r="H6238" s="222"/>
    </row>
    <row r="6239" spans="1:9" s="212" customFormat="1">
      <c r="A6239" s="220"/>
      <c r="B6239" s="141"/>
      <c r="C6239" s="141"/>
      <c r="D6239" s="141"/>
      <c r="E6239" s="141"/>
      <c r="F6239" s="141"/>
      <c r="G6239" s="141"/>
      <c r="H6239" s="222"/>
    </row>
    <row r="6240" spans="1:9" s="212" customFormat="1">
      <c r="A6240" s="142"/>
      <c r="B6240" s="143"/>
      <c r="C6240" s="143"/>
      <c r="D6240" s="143"/>
      <c r="E6240" s="143"/>
      <c r="F6240" s="84"/>
      <c r="G6240" s="146"/>
      <c r="H6240" s="221"/>
    </row>
    <row r="6241" spans="1:9" s="212" customFormat="1">
      <c r="A6241" s="91"/>
      <c r="B6241" s="91"/>
      <c r="C6241" s="91"/>
      <c r="D6241" s="91"/>
      <c r="E6241" s="91"/>
      <c r="G6241" s="213"/>
      <c r="H6241" s="222"/>
    </row>
    <row r="6242" spans="1:9" s="212" customFormat="1">
      <c r="A6242" s="120"/>
      <c r="B6242" s="73"/>
      <c r="C6242" s="73"/>
      <c r="D6242" s="73"/>
      <c r="E6242" s="73"/>
      <c r="G6242" s="73"/>
      <c r="H6242" s="222"/>
    </row>
    <row r="6243" spans="1:9" s="212" customFormat="1">
      <c r="A6243" s="220"/>
      <c r="B6243" s="141"/>
      <c r="C6243" s="141"/>
      <c r="D6243" s="141"/>
      <c r="E6243" s="141"/>
      <c r="F6243" s="141"/>
      <c r="G6243" s="141"/>
      <c r="H6243" s="222"/>
    </row>
    <row r="6244" spans="1:9" s="212" customFormat="1">
      <c r="A6244" s="142"/>
      <c r="B6244" s="143"/>
      <c r="C6244" s="143"/>
      <c r="D6244" s="143"/>
      <c r="E6244" s="143"/>
      <c r="F6244" s="84"/>
      <c r="G6244" s="146"/>
      <c r="H6244" s="221"/>
    </row>
    <row r="6245" spans="1:9" s="212" customFormat="1">
      <c r="A6245" s="123"/>
      <c r="B6245" s="95"/>
      <c r="C6245" s="95"/>
      <c r="D6245" s="95"/>
      <c r="E6245" s="95"/>
      <c r="G6245" s="213"/>
      <c r="H6245" s="73"/>
    </row>
    <row r="6246" spans="1:9" s="212" customFormat="1">
      <c r="A6246" s="123"/>
      <c r="B6246" s="95"/>
      <c r="C6246" s="95"/>
      <c r="D6246" s="95"/>
      <c r="E6246" s="95"/>
      <c r="G6246" s="73"/>
      <c r="H6246" s="225"/>
    </row>
    <row r="6247" spans="1:9" s="212" customFormat="1">
      <c r="B6247" s="97"/>
      <c r="C6247" s="98"/>
      <c r="D6247" s="98"/>
      <c r="E6247" s="98"/>
      <c r="G6247" s="220"/>
    </row>
    <row r="6248" spans="1:9" s="212" customFormat="1">
      <c r="B6248" s="97"/>
      <c r="C6248" s="98"/>
      <c r="D6248" s="98"/>
      <c r="E6248" s="98"/>
      <c r="F6248" s="220"/>
      <c r="G6248" s="225"/>
      <c r="H6248" s="226"/>
    </row>
    <row r="6249" spans="1:9" s="212" customFormat="1">
      <c r="A6249" s="633"/>
      <c r="B6249" s="633"/>
      <c r="C6249" s="633"/>
      <c r="D6249" s="633"/>
      <c r="E6249" s="633"/>
      <c r="F6249" s="633"/>
      <c r="G6249" s="633"/>
    </row>
    <row r="6250" spans="1:9" s="212" customFormat="1">
      <c r="H6250" s="227"/>
      <c r="I6250" s="228"/>
    </row>
    <row r="6251" spans="1:9" s="212" customFormat="1">
      <c r="A6251" s="658"/>
      <c r="B6251" s="227"/>
      <c r="C6251" s="227"/>
      <c r="D6251" s="227"/>
      <c r="E6251" s="227"/>
      <c r="F6251" s="227"/>
      <c r="G6251" s="227"/>
      <c r="H6251" s="227"/>
      <c r="I6251" s="229"/>
    </row>
    <row r="6252" spans="1:9" s="212" customFormat="1">
      <c r="A6252" s="658"/>
      <c r="B6252" s="227"/>
      <c r="C6252" s="227"/>
      <c r="D6252" s="227"/>
      <c r="E6252" s="227"/>
      <c r="F6252" s="227"/>
      <c r="G6252" s="227"/>
    </row>
    <row r="6253" spans="1:9" s="212" customFormat="1">
      <c r="A6253" s="69"/>
      <c r="B6253" s="69"/>
      <c r="C6253" s="69"/>
      <c r="D6253" s="69"/>
      <c r="E6253" s="69"/>
    </row>
    <row r="6254" spans="1:9" s="212" customFormat="1">
      <c r="A6254" s="120"/>
      <c r="B6254" s="73"/>
      <c r="C6254" s="73"/>
      <c r="D6254" s="73"/>
      <c r="E6254" s="73"/>
      <c r="F6254" s="73"/>
      <c r="G6254" s="73"/>
      <c r="H6254" s="73"/>
    </row>
    <row r="6255" spans="1:9" s="212" customFormat="1">
      <c r="A6255" s="220"/>
      <c r="B6255" s="141"/>
      <c r="C6255" s="141"/>
      <c r="D6255" s="141"/>
      <c r="E6255" s="141"/>
      <c r="F6255" s="141"/>
      <c r="G6255" s="141"/>
      <c r="H6255" s="73"/>
    </row>
    <row r="6256" spans="1:9" s="212" customFormat="1">
      <c r="A6256" s="142"/>
      <c r="B6256" s="143"/>
      <c r="C6256" s="143"/>
      <c r="D6256" s="143"/>
      <c r="E6256" s="143"/>
      <c r="F6256" s="84"/>
      <c r="G6256" s="146"/>
      <c r="H6256" s="221"/>
    </row>
    <row r="6257" spans="1:8" s="212" customFormat="1">
      <c r="A6257" s="84"/>
      <c r="B6257" s="83"/>
      <c r="C6257" s="84"/>
      <c r="D6257" s="84"/>
      <c r="E6257" s="84"/>
      <c r="G6257" s="213"/>
      <c r="H6257" s="222"/>
    </row>
    <row r="6258" spans="1:8" s="212" customFormat="1">
      <c r="A6258" s="120"/>
      <c r="B6258" s="73"/>
      <c r="C6258" s="73"/>
      <c r="D6258" s="73"/>
      <c r="E6258" s="73"/>
      <c r="G6258" s="73"/>
      <c r="H6258" s="222"/>
    </row>
    <row r="6259" spans="1:8" s="212" customFormat="1">
      <c r="A6259" s="220"/>
      <c r="B6259" s="141"/>
      <c r="C6259" s="141"/>
      <c r="D6259" s="141"/>
      <c r="E6259" s="141"/>
      <c r="F6259" s="141"/>
      <c r="G6259" s="141"/>
      <c r="H6259" s="222"/>
    </row>
    <row r="6260" spans="1:8" s="212" customFormat="1">
      <c r="A6260" s="150"/>
      <c r="B6260" s="83"/>
      <c r="C6260" s="148"/>
      <c r="D6260" s="160"/>
      <c r="E6260" s="84"/>
      <c r="F6260" s="84"/>
      <c r="G6260" s="146"/>
      <c r="H6260" s="221"/>
    </row>
    <row r="6261" spans="1:8" s="212" customFormat="1">
      <c r="A6261" s="91"/>
      <c r="B6261" s="91"/>
      <c r="C6261" s="91"/>
      <c r="D6261" s="91"/>
      <c r="E6261" s="91"/>
      <c r="G6261" s="213"/>
      <c r="H6261" s="222"/>
    </row>
    <row r="6262" spans="1:8" s="212" customFormat="1">
      <c r="A6262" s="120"/>
      <c r="B6262" s="73"/>
      <c r="C6262" s="73"/>
      <c r="D6262" s="73"/>
      <c r="E6262" s="73"/>
      <c r="G6262" s="73"/>
      <c r="H6262" s="222"/>
    </row>
    <row r="6263" spans="1:8" s="212" customFormat="1">
      <c r="A6263" s="220"/>
      <c r="B6263" s="141"/>
      <c r="C6263" s="141"/>
      <c r="D6263" s="141"/>
      <c r="E6263" s="141"/>
      <c r="F6263" s="141"/>
      <c r="G6263" s="141"/>
      <c r="H6263" s="222"/>
    </row>
    <row r="6264" spans="1:8" s="212" customFormat="1">
      <c r="A6264" s="142"/>
      <c r="B6264" s="143"/>
      <c r="C6264" s="143"/>
      <c r="D6264" s="143"/>
      <c r="E6264" s="143"/>
      <c r="F6264" s="84"/>
      <c r="G6264" s="146"/>
      <c r="H6264" s="221"/>
    </row>
    <row r="6265" spans="1:8" s="212" customFormat="1">
      <c r="A6265" s="91"/>
      <c r="B6265" s="91"/>
      <c r="C6265" s="91"/>
      <c r="D6265" s="91"/>
      <c r="E6265" s="91"/>
      <c r="G6265" s="213"/>
      <c r="H6265" s="222"/>
    </row>
    <row r="6266" spans="1:8" s="212" customFormat="1">
      <c r="A6266" s="120"/>
      <c r="B6266" s="73"/>
      <c r="C6266" s="73"/>
      <c r="D6266" s="73"/>
      <c r="E6266" s="73"/>
      <c r="G6266" s="73"/>
      <c r="H6266" s="222"/>
    </row>
    <row r="6267" spans="1:8" s="212" customFormat="1">
      <c r="A6267" s="220"/>
      <c r="B6267" s="141"/>
      <c r="C6267" s="141"/>
      <c r="D6267" s="141"/>
      <c r="E6267" s="141"/>
      <c r="F6267" s="141"/>
      <c r="G6267" s="141"/>
      <c r="H6267" s="222"/>
    </row>
    <row r="6268" spans="1:8" s="212" customFormat="1">
      <c r="A6268" s="142"/>
      <c r="B6268" s="143"/>
      <c r="C6268" s="143"/>
      <c r="D6268" s="143"/>
      <c r="E6268" s="143"/>
      <c r="F6268" s="84"/>
      <c r="G6268" s="146"/>
      <c r="H6268" s="221"/>
    </row>
    <row r="6269" spans="1:8" s="212" customFormat="1">
      <c r="A6269" s="123"/>
      <c r="B6269" s="95"/>
      <c r="C6269" s="95"/>
      <c r="D6269" s="95"/>
      <c r="E6269" s="95"/>
      <c r="G6269" s="213"/>
      <c r="H6269" s="73"/>
    </row>
    <row r="6270" spans="1:8" s="212" customFormat="1">
      <c r="A6270" s="123"/>
      <c r="B6270" s="95"/>
      <c r="C6270" s="95"/>
      <c r="D6270" s="95"/>
      <c r="E6270" s="95"/>
      <c r="G6270" s="73"/>
      <c r="H6270" s="225"/>
    </row>
    <row r="6271" spans="1:8" s="212" customFormat="1">
      <c r="B6271" s="97"/>
      <c r="C6271" s="98"/>
      <c r="D6271" s="98"/>
      <c r="E6271" s="98"/>
      <c r="G6271" s="220"/>
    </row>
    <row r="6272" spans="1:8" s="212" customFormat="1">
      <c r="B6272" s="97"/>
      <c r="C6272" s="98"/>
      <c r="D6272" s="98"/>
      <c r="E6272" s="98"/>
      <c r="F6272" s="220"/>
      <c r="G6272" s="225"/>
      <c r="H6272" s="226"/>
    </row>
    <row r="6273" spans="1:9" s="212" customFormat="1">
      <c r="A6273" s="633"/>
      <c r="B6273" s="633"/>
      <c r="C6273" s="633"/>
      <c r="D6273" s="633"/>
      <c r="E6273" s="633"/>
      <c r="F6273" s="633"/>
      <c r="G6273" s="633"/>
    </row>
    <row r="6274" spans="1:9" s="212" customFormat="1">
      <c r="H6274" s="227"/>
      <c r="I6274" s="228"/>
    </row>
    <row r="6275" spans="1:9" s="212" customFormat="1">
      <c r="A6275" s="658"/>
      <c r="B6275" s="227"/>
      <c r="C6275" s="227"/>
      <c r="D6275" s="227"/>
      <c r="E6275" s="227"/>
      <c r="F6275" s="227"/>
      <c r="G6275" s="227"/>
      <c r="H6275" s="227"/>
      <c r="I6275" s="229"/>
    </row>
    <row r="6276" spans="1:9" s="212" customFormat="1">
      <c r="A6276" s="658"/>
      <c r="B6276" s="227"/>
      <c r="C6276" s="227"/>
      <c r="D6276" s="227"/>
      <c r="E6276" s="227"/>
      <c r="F6276" s="227"/>
      <c r="G6276" s="227"/>
    </row>
    <row r="6277" spans="1:9" s="212" customFormat="1">
      <c r="A6277" s="69"/>
      <c r="B6277" s="69"/>
      <c r="C6277" s="69"/>
      <c r="D6277" s="69"/>
      <c r="E6277" s="69"/>
    </row>
    <row r="6278" spans="1:9" s="212" customFormat="1">
      <c r="A6278" s="120"/>
      <c r="B6278" s="73"/>
      <c r="C6278" s="73"/>
      <c r="D6278" s="73"/>
      <c r="E6278" s="73"/>
      <c r="F6278" s="73"/>
      <c r="G6278" s="73"/>
      <c r="H6278" s="73"/>
    </row>
    <row r="6279" spans="1:9" s="212" customFormat="1">
      <c r="A6279" s="220"/>
      <c r="B6279" s="141"/>
      <c r="C6279" s="141"/>
      <c r="D6279" s="141"/>
      <c r="E6279" s="141"/>
      <c r="F6279" s="141"/>
      <c r="G6279" s="141"/>
      <c r="H6279" s="73"/>
    </row>
    <row r="6280" spans="1:9" s="212" customFormat="1">
      <c r="A6280" s="142"/>
      <c r="B6280" s="143"/>
      <c r="C6280" s="143"/>
      <c r="D6280" s="143"/>
      <c r="E6280" s="143"/>
      <c r="F6280" s="84"/>
      <c r="G6280" s="146"/>
      <c r="H6280" s="221"/>
    </row>
    <row r="6281" spans="1:9" s="212" customFormat="1">
      <c r="A6281" s="84"/>
      <c r="B6281" s="83"/>
      <c r="C6281" s="84"/>
      <c r="D6281" s="84"/>
      <c r="E6281" s="84"/>
      <c r="G6281" s="213"/>
      <c r="H6281" s="222"/>
    </row>
    <row r="6282" spans="1:9" s="212" customFormat="1">
      <c r="A6282" s="120"/>
      <c r="B6282" s="73"/>
      <c r="C6282" s="73"/>
      <c r="D6282" s="73"/>
      <c r="E6282" s="73"/>
      <c r="G6282" s="73"/>
      <c r="H6282" s="222"/>
    </row>
    <row r="6283" spans="1:9" s="212" customFormat="1">
      <c r="A6283" s="220"/>
      <c r="B6283" s="141"/>
      <c r="C6283" s="141"/>
      <c r="D6283" s="141"/>
      <c r="E6283" s="141"/>
      <c r="F6283" s="141"/>
      <c r="G6283" s="141"/>
      <c r="H6283" s="222"/>
    </row>
    <row r="6284" spans="1:9" s="212" customFormat="1">
      <c r="A6284" s="150"/>
      <c r="B6284" s="83"/>
      <c r="C6284" s="148"/>
      <c r="D6284" s="160"/>
      <c r="E6284" s="84"/>
      <c r="F6284" s="84"/>
      <c r="G6284" s="146"/>
      <c r="H6284" s="221"/>
    </row>
    <row r="6285" spans="1:9" s="212" customFormat="1">
      <c r="A6285" s="91"/>
      <c r="B6285" s="91"/>
      <c r="C6285" s="91"/>
      <c r="D6285" s="91"/>
      <c r="E6285" s="91"/>
      <c r="G6285" s="213"/>
      <c r="H6285" s="222"/>
    </row>
    <row r="6286" spans="1:9" s="212" customFormat="1">
      <c r="A6286" s="120"/>
      <c r="B6286" s="73"/>
      <c r="C6286" s="73"/>
      <c r="D6286" s="73"/>
      <c r="E6286" s="73"/>
      <c r="G6286" s="73"/>
      <c r="H6286" s="222"/>
    </row>
    <row r="6287" spans="1:9" s="212" customFormat="1">
      <c r="A6287" s="220"/>
      <c r="B6287" s="141"/>
      <c r="C6287" s="141"/>
      <c r="D6287" s="141"/>
      <c r="E6287" s="141"/>
      <c r="F6287" s="141"/>
      <c r="G6287" s="141"/>
      <c r="H6287" s="222"/>
    </row>
    <row r="6288" spans="1:9" s="212" customFormat="1">
      <c r="A6288" s="142"/>
      <c r="B6288" s="143"/>
      <c r="C6288" s="143"/>
      <c r="D6288" s="143"/>
      <c r="E6288" s="143"/>
      <c r="F6288" s="84"/>
      <c r="G6288" s="146"/>
      <c r="H6288" s="221"/>
    </row>
    <row r="6289" spans="1:9" s="212" customFormat="1">
      <c r="A6289" s="91"/>
      <c r="B6289" s="91"/>
      <c r="C6289" s="91"/>
      <c r="D6289" s="91"/>
      <c r="E6289" s="91"/>
      <c r="G6289" s="213"/>
      <c r="H6289" s="222"/>
    </row>
    <row r="6290" spans="1:9" s="212" customFormat="1">
      <c r="A6290" s="120"/>
      <c r="B6290" s="73"/>
      <c r="C6290" s="73"/>
      <c r="D6290" s="73"/>
      <c r="E6290" s="73"/>
      <c r="G6290" s="73"/>
      <c r="H6290" s="222"/>
    </row>
    <row r="6291" spans="1:9" s="212" customFormat="1">
      <c r="A6291" s="220"/>
      <c r="B6291" s="141"/>
      <c r="C6291" s="141"/>
      <c r="D6291" s="141"/>
      <c r="E6291" s="141"/>
      <c r="F6291" s="141"/>
      <c r="G6291" s="141"/>
      <c r="H6291" s="222"/>
    </row>
    <row r="6292" spans="1:9" s="212" customFormat="1">
      <c r="A6292" s="142"/>
      <c r="B6292" s="143"/>
      <c r="C6292" s="143"/>
      <c r="D6292" s="143"/>
      <c r="E6292" s="143"/>
      <c r="F6292" s="84"/>
      <c r="G6292" s="146"/>
      <c r="H6292" s="221"/>
    </row>
    <row r="6293" spans="1:9" s="212" customFormat="1">
      <c r="A6293" s="123"/>
      <c r="B6293" s="95"/>
      <c r="C6293" s="95"/>
      <c r="D6293" s="95"/>
      <c r="E6293" s="95"/>
      <c r="G6293" s="213"/>
      <c r="H6293" s="73"/>
    </row>
    <row r="6294" spans="1:9" s="212" customFormat="1">
      <c r="A6294" s="123"/>
      <c r="B6294" s="95"/>
      <c r="C6294" s="95"/>
      <c r="D6294" s="95"/>
      <c r="E6294" s="95"/>
      <c r="G6294" s="73"/>
      <c r="H6294" s="225"/>
    </row>
    <row r="6295" spans="1:9" s="212" customFormat="1">
      <c r="B6295" s="97"/>
      <c r="C6295" s="98"/>
      <c r="D6295" s="98"/>
      <c r="E6295" s="98"/>
      <c r="G6295" s="220"/>
    </row>
    <row r="6296" spans="1:9" s="212" customFormat="1">
      <c r="B6296" s="97"/>
      <c r="C6296" s="98"/>
      <c r="D6296" s="98"/>
      <c r="E6296" s="98"/>
      <c r="F6296" s="220"/>
      <c r="G6296" s="225"/>
      <c r="H6296" s="226"/>
    </row>
    <row r="6297" spans="1:9" s="212" customFormat="1">
      <c r="A6297" s="633"/>
      <c r="B6297" s="633"/>
      <c r="C6297" s="633"/>
      <c r="D6297" s="633"/>
      <c r="E6297" s="633"/>
      <c r="F6297" s="633"/>
      <c r="G6297" s="633"/>
    </row>
    <row r="6298" spans="1:9" s="212" customFormat="1">
      <c r="H6298" s="227"/>
      <c r="I6298" s="228"/>
    </row>
    <row r="6299" spans="1:9" s="212" customFormat="1">
      <c r="A6299" s="658"/>
      <c r="B6299" s="227"/>
      <c r="C6299" s="227"/>
      <c r="D6299" s="227"/>
      <c r="E6299" s="227"/>
      <c r="F6299" s="227"/>
      <c r="G6299" s="227"/>
      <c r="H6299" s="227"/>
      <c r="I6299" s="229"/>
    </row>
    <row r="6300" spans="1:9" s="212" customFormat="1">
      <c r="A6300" s="658"/>
      <c r="B6300" s="227"/>
      <c r="C6300" s="227"/>
      <c r="D6300" s="227"/>
      <c r="E6300" s="227"/>
      <c r="F6300" s="227"/>
      <c r="G6300" s="227"/>
    </row>
    <row r="6301" spans="1:9" s="212" customFormat="1">
      <c r="A6301" s="69"/>
      <c r="B6301" s="69"/>
      <c r="C6301" s="69"/>
      <c r="D6301" s="69"/>
      <c r="E6301" s="69"/>
    </row>
    <row r="6302" spans="1:9" s="212" customFormat="1">
      <c r="A6302" s="120"/>
      <c r="B6302" s="73"/>
      <c r="C6302" s="73"/>
      <c r="D6302" s="73"/>
      <c r="E6302" s="73"/>
      <c r="F6302" s="73"/>
      <c r="G6302" s="73"/>
      <c r="H6302" s="73"/>
    </row>
    <row r="6303" spans="1:9" s="212" customFormat="1">
      <c r="A6303" s="220"/>
      <c r="B6303" s="141"/>
      <c r="C6303" s="141"/>
      <c r="D6303" s="141"/>
      <c r="E6303" s="141"/>
      <c r="F6303" s="141"/>
      <c r="G6303" s="141"/>
      <c r="H6303" s="73"/>
    </row>
    <row r="6304" spans="1:9" s="212" customFormat="1">
      <c r="A6304" s="142"/>
      <c r="B6304" s="143"/>
      <c r="C6304" s="143"/>
      <c r="D6304" s="143"/>
      <c r="E6304" s="143"/>
      <c r="F6304" s="84"/>
      <c r="G6304" s="146"/>
      <c r="H6304" s="221"/>
    </row>
    <row r="6305" spans="1:8" s="212" customFormat="1">
      <c r="A6305" s="84"/>
      <c r="B6305" s="83"/>
      <c r="C6305" s="84"/>
      <c r="D6305" s="84"/>
      <c r="E6305" s="84"/>
      <c r="G6305" s="213"/>
      <c r="H6305" s="222"/>
    </row>
    <row r="6306" spans="1:8" s="212" customFormat="1">
      <c r="A6306" s="120"/>
      <c r="B6306" s="73"/>
      <c r="C6306" s="73"/>
      <c r="D6306" s="73"/>
      <c r="E6306" s="73"/>
      <c r="G6306" s="73"/>
      <c r="H6306" s="222"/>
    </row>
    <row r="6307" spans="1:8" s="212" customFormat="1">
      <c r="A6307" s="220"/>
      <c r="B6307" s="141"/>
      <c r="C6307" s="141"/>
      <c r="D6307" s="141"/>
      <c r="E6307" s="141"/>
      <c r="F6307" s="141"/>
      <c r="G6307" s="141"/>
      <c r="H6307" s="222"/>
    </row>
    <row r="6308" spans="1:8" s="212" customFormat="1">
      <c r="A6308" s="150"/>
      <c r="B6308" s="83"/>
      <c r="C6308" s="148"/>
      <c r="D6308" s="160"/>
      <c r="E6308" s="84"/>
      <c r="F6308" s="84"/>
      <c r="G6308" s="146"/>
      <c r="H6308" s="221"/>
    </row>
    <row r="6309" spans="1:8" s="212" customFormat="1">
      <c r="A6309" s="91"/>
      <c r="B6309" s="91"/>
      <c r="C6309" s="91"/>
      <c r="D6309" s="91"/>
      <c r="E6309" s="91"/>
      <c r="G6309" s="213"/>
      <c r="H6309" s="222"/>
    </row>
    <row r="6310" spans="1:8" s="212" customFormat="1">
      <c r="A6310" s="120"/>
      <c r="B6310" s="73"/>
      <c r="C6310" s="73"/>
      <c r="D6310" s="73"/>
      <c r="E6310" s="73"/>
      <c r="G6310" s="73"/>
      <c r="H6310" s="222"/>
    </row>
    <row r="6311" spans="1:8" s="212" customFormat="1">
      <c r="A6311" s="220"/>
      <c r="B6311" s="141"/>
      <c r="C6311" s="141"/>
      <c r="D6311" s="141"/>
      <c r="E6311" s="141"/>
      <c r="F6311" s="141"/>
      <c r="G6311" s="141"/>
      <c r="H6311" s="222"/>
    </row>
    <row r="6312" spans="1:8" s="212" customFormat="1">
      <c r="A6312" s="142"/>
      <c r="B6312" s="143"/>
      <c r="C6312" s="143"/>
      <c r="D6312" s="143"/>
      <c r="E6312" s="143"/>
      <c r="F6312" s="84"/>
      <c r="G6312" s="146"/>
      <c r="H6312" s="221"/>
    </row>
    <row r="6313" spans="1:8" s="212" customFormat="1">
      <c r="A6313" s="91"/>
      <c r="B6313" s="91"/>
      <c r="C6313" s="91"/>
      <c r="D6313" s="91"/>
      <c r="E6313" s="91"/>
      <c r="G6313" s="213"/>
      <c r="H6313" s="222"/>
    </row>
    <row r="6314" spans="1:8" s="212" customFormat="1">
      <c r="A6314" s="120"/>
      <c r="B6314" s="73"/>
      <c r="C6314" s="73"/>
      <c r="D6314" s="73"/>
      <c r="E6314" s="73"/>
      <c r="G6314" s="73"/>
      <c r="H6314" s="222"/>
    </row>
    <row r="6315" spans="1:8" s="212" customFormat="1">
      <c r="A6315" s="220"/>
      <c r="B6315" s="141"/>
      <c r="C6315" s="141"/>
      <c r="D6315" s="141"/>
      <c r="E6315" s="141"/>
      <c r="F6315" s="141"/>
      <c r="G6315" s="141"/>
      <c r="H6315" s="222"/>
    </row>
    <row r="6316" spans="1:8" s="212" customFormat="1">
      <c r="A6316" s="142"/>
      <c r="B6316" s="143"/>
      <c r="C6316" s="143"/>
      <c r="D6316" s="143"/>
      <c r="E6316" s="143"/>
      <c r="F6316" s="84"/>
      <c r="G6316" s="146"/>
      <c r="H6316" s="221"/>
    </row>
    <row r="6317" spans="1:8" s="212" customFormat="1">
      <c r="A6317" s="123"/>
      <c r="B6317" s="95"/>
      <c r="C6317" s="95"/>
      <c r="D6317" s="95"/>
      <c r="E6317" s="95"/>
      <c r="G6317" s="213"/>
      <c r="H6317" s="73"/>
    </row>
    <row r="6318" spans="1:8" s="212" customFormat="1">
      <c r="A6318" s="123"/>
      <c r="B6318" s="95"/>
      <c r="C6318" s="95"/>
      <c r="D6318" s="95"/>
      <c r="E6318" s="95"/>
      <c r="G6318" s="73"/>
      <c r="H6318" s="225"/>
    </row>
    <row r="6319" spans="1:8" s="212" customFormat="1">
      <c r="B6319" s="97"/>
      <c r="C6319" s="98"/>
      <c r="D6319" s="98"/>
      <c r="E6319" s="98"/>
      <c r="G6319" s="220"/>
    </row>
    <row r="6320" spans="1:8" s="212" customFormat="1">
      <c r="B6320" s="97"/>
      <c r="C6320" s="98"/>
      <c r="D6320" s="98"/>
      <c r="E6320" s="98"/>
      <c r="F6320" s="220"/>
      <c r="G6320" s="225"/>
      <c r="H6320" s="226"/>
    </row>
    <row r="6321" spans="1:9" s="212" customFormat="1">
      <c r="A6321" s="633"/>
      <c r="B6321" s="633"/>
      <c r="C6321" s="633"/>
      <c r="D6321" s="633"/>
      <c r="E6321" s="633"/>
      <c r="F6321" s="633"/>
      <c r="G6321" s="633"/>
    </row>
    <row r="6322" spans="1:9" s="212" customFormat="1">
      <c r="H6322" s="227"/>
      <c r="I6322" s="228"/>
    </row>
    <row r="6323" spans="1:9" s="212" customFormat="1">
      <c r="A6323" s="658"/>
      <c r="B6323" s="227"/>
      <c r="C6323" s="227"/>
      <c r="D6323" s="227"/>
      <c r="E6323" s="227"/>
      <c r="F6323" s="227"/>
      <c r="G6323" s="227"/>
      <c r="H6323" s="227"/>
      <c r="I6323" s="229"/>
    </row>
    <row r="6324" spans="1:9" s="212" customFormat="1">
      <c r="A6324" s="658"/>
      <c r="B6324" s="227"/>
      <c r="C6324" s="227"/>
      <c r="D6324" s="227"/>
      <c r="E6324" s="227"/>
      <c r="F6324" s="227"/>
      <c r="G6324" s="227"/>
    </row>
    <row r="6325" spans="1:9" s="212" customFormat="1">
      <c r="A6325" s="69"/>
      <c r="B6325" s="69"/>
      <c r="C6325" s="69"/>
      <c r="D6325" s="69"/>
      <c r="E6325" s="69"/>
    </row>
    <row r="6326" spans="1:9" s="212" customFormat="1">
      <c r="A6326" s="120"/>
      <c r="B6326" s="73"/>
      <c r="C6326" s="73"/>
      <c r="D6326" s="73"/>
      <c r="E6326" s="73"/>
      <c r="F6326" s="73"/>
      <c r="G6326" s="73"/>
      <c r="H6326" s="73"/>
    </row>
    <row r="6327" spans="1:9" s="212" customFormat="1">
      <c r="A6327" s="220"/>
      <c r="B6327" s="141"/>
      <c r="C6327" s="141"/>
      <c r="D6327" s="141"/>
      <c r="E6327" s="141"/>
      <c r="F6327" s="141"/>
      <c r="G6327" s="141"/>
      <c r="H6327" s="73"/>
    </row>
    <row r="6328" spans="1:9" s="212" customFormat="1">
      <c r="A6328" s="142"/>
      <c r="B6328" s="143"/>
      <c r="C6328" s="143"/>
      <c r="D6328" s="143"/>
      <c r="E6328" s="143"/>
      <c r="F6328" s="84"/>
      <c r="G6328" s="146"/>
      <c r="H6328" s="221"/>
    </row>
    <row r="6329" spans="1:9" s="212" customFormat="1">
      <c r="A6329" s="84"/>
      <c r="B6329" s="83"/>
      <c r="C6329" s="84"/>
      <c r="D6329" s="84"/>
      <c r="E6329" s="84"/>
      <c r="G6329" s="213"/>
      <c r="H6329" s="222"/>
    </row>
    <row r="6330" spans="1:9" s="212" customFormat="1">
      <c r="A6330" s="120"/>
      <c r="B6330" s="73"/>
      <c r="C6330" s="73"/>
      <c r="D6330" s="73"/>
      <c r="E6330" s="73"/>
      <c r="G6330" s="73"/>
      <c r="H6330" s="222"/>
    </row>
    <row r="6331" spans="1:9" s="212" customFormat="1">
      <c r="A6331" s="220"/>
      <c r="B6331" s="141"/>
      <c r="C6331" s="141"/>
      <c r="D6331" s="141"/>
      <c r="E6331" s="141"/>
      <c r="F6331" s="141"/>
      <c r="G6331" s="141"/>
      <c r="H6331" s="222"/>
    </row>
    <row r="6332" spans="1:9" s="212" customFormat="1">
      <c r="A6332" s="150"/>
      <c r="B6332" s="83"/>
      <c r="C6332" s="148"/>
      <c r="D6332" s="160"/>
      <c r="E6332" s="84"/>
      <c r="F6332" s="84"/>
      <c r="G6332" s="146"/>
      <c r="H6332" s="221"/>
    </row>
    <row r="6333" spans="1:9" s="212" customFormat="1">
      <c r="A6333" s="91"/>
      <c r="B6333" s="91"/>
      <c r="C6333" s="91"/>
      <c r="D6333" s="91"/>
      <c r="E6333" s="91"/>
      <c r="G6333" s="213"/>
      <c r="H6333" s="222"/>
    </row>
    <row r="6334" spans="1:9" s="212" customFormat="1">
      <c r="A6334" s="120"/>
      <c r="B6334" s="73"/>
      <c r="C6334" s="73"/>
      <c r="D6334" s="73"/>
      <c r="E6334" s="73"/>
      <c r="G6334" s="73"/>
      <c r="H6334" s="222"/>
    </row>
    <row r="6335" spans="1:9" s="212" customFormat="1">
      <c r="A6335" s="220"/>
      <c r="B6335" s="141"/>
      <c r="C6335" s="141"/>
      <c r="D6335" s="141"/>
      <c r="E6335" s="141"/>
      <c r="F6335" s="141"/>
      <c r="G6335" s="141"/>
      <c r="H6335" s="222"/>
    </row>
    <row r="6336" spans="1:9" s="212" customFormat="1">
      <c r="A6336" s="142"/>
      <c r="B6336" s="143"/>
      <c r="C6336" s="143"/>
      <c r="D6336" s="143"/>
      <c r="E6336" s="143"/>
      <c r="F6336" s="84"/>
      <c r="G6336" s="146"/>
      <c r="H6336" s="221"/>
    </row>
    <row r="6337" spans="1:9" s="212" customFormat="1">
      <c r="A6337" s="91"/>
      <c r="B6337" s="91"/>
      <c r="C6337" s="91"/>
      <c r="D6337" s="91"/>
      <c r="E6337" s="91"/>
      <c r="G6337" s="213"/>
      <c r="H6337" s="222"/>
    </row>
    <row r="6338" spans="1:9" s="212" customFormat="1">
      <c r="A6338" s="120"/>
      <c r="B6338" s="73"/>
      <c r="C6338" s="73"/>
      <c r="D6338" s="73"/>
      <c r="E6338" s="73"/>
      <c r="G6338" s="73"/>
      <c r="H6338" s="222"/>
    </row>
    <row r="6339" spans="1:9" s="212" customFormat="1">
      <c r="A6339" s="220"/>
      <c r="B6339" s="141"/>
      <c r="C6339" s="141"/>
      <c r="D6339" s="141"/>
      <c r="E6339" s="141"/>
      <c r="F6339" s="141"/>
      <c r="G6339" s="141"/>
      <c r="H6339" s="222"/>
    </row>
    <row r="6340" spans="1:9" s="212" customFormat="1">
      <c r="A6340" s="142"/>
      <c r="B6340" s="143"/>
      <c r="C6340" s="143"/>
      <c r="D6340" s="143"/>
      <c r="E6340" s="143"/>
      <c r="F6340" s="84"/>
      <c r="G6340" s="146"/>
      <c r="H6340" s="221"/>
    </row>
    <row r="6341" spans="1:9" s="212" customFormat="1">
      <c r="A6341" s="123"/>
      <c r="B6341" s="95"/>
      <c r="C6341" s="95"/>
      <c r="D6341" s="95"/>
      <c r="E6341" s="95"/>
      <c r="G6341" s="213"/>
      <c r="H6341" s="73"/>
    </row>
    <row r="6342" spans="1:9" s="212" customFormat="1">
      <c r="A6342" s="123"/>
      <c r="B6342" s="95"/>
      <c r="C6342" s="95"/>
      <c r="D6342" s="95"/>
      <c r="E6342" s="95"/>
      <c r="G6342" s="73"/>
      <c r="H6342" s="225"/>
    </row>
    <row r="6343" spans="1:9" s="212" customFormat="1">
      <c r="B6343" s="97"/>
      <c r="C6343" s="98"/>
      <c r="D6343" s="98"/>
      <c r="E6343" s="98"/>
      <c r="G6343" s="220"/>
    </row>
    <row r="6344" spans="1:9" s="212" customFormat="1">
      <c r="B6344" s="97"/>
      <c r="C6344" s="98"/>
      <c r="D6344" s="98"/>
      <c r="E6344" s="98"/>
      <c r="F6344" s="220"/>
      <c r="G6344" s="225"/>
      <c r="H6344" s="226"/>
    </row>
    <row r="6345" spans="1:9" s="212" customFormat="1">
      <c r="A6345" s="633"/>
      <c r="B6345" s="633"/>
      <c r="C6345" s="633"/>
      <c r="D6345" s="633"/>
      <c r="E6345" s="633"/>
      <c r="F6345" s="633"/>
      <c r="G6345" s="633"/>
    </row>
    <row r="6346" spans="1:9" s="212" customFormat="1">
      <c r="H6346" s="227"/>
      <c r="I6346" s="228"/>
    </row>
    <row r="6347" spans="1:9" s="212" customFormat="1">
      <c r="A6347" s="658"/>
      <c r="B6347" s="227"/>
      <c r="C6347" s="227"/>
      <c r="D6347" s="227"/>
      <c r="E6347" s="227"/>
      <c r="F6347" s="227"/>
      <c r="G6347" s="227"/>
      <c r="H6347" s="227"/>
      <c r="I6347" s="229"/>
    </row>
    <row r="6348" spans="1:9" s="212" customFormat="1">
      <c r="A6348" s="658"/>
      <c r="B6348" s="227"/>
      <c r="C6348" s="227"/>
      <c r="D6348" s="227"/>
      <c r="E6348" s="227"/>
      <c r="F6348" s="227"/>
      <c r="G6348" s="227"/>
    </row>
    <row r="6349" spans="1:9" s="212" customFormat="1">
      <c r="A6349" s="69"/>
      <c r="B6349" s="69"/>
      <c r="C6349" s="69"/>
      <c r="D6349" s="69"/>
      <c r="E6349" s="69"/>
    </row>
    <row r="6350" spans="1:9" s="212" customFormat="1">
      <c r="A6350" s="120"/>
      <c r="B6350" s="73"/>
      <c r="C6350" s="73"/>
      <c r="D6350" s="73"/>
      <c r="E6350" s="73"/>
      <c r="F6350" s="73"/>
      <c r="G6350" s="73"/>
      <c r="H6350" s="73"/>
    </row>
    <row r="6351" spans="1:9" s="212" customFormat="1">
      <c r="A6351" s="220"/>
      <c r="B6351" s="141"/>
      <c r="C6351" s="141"/>
      <c r="D6351" s="141"/>
      <c r="E6351" s="141"/>
      <c r="F6351" s="141"/>
      <c r="G6351" s="141"/>
      <c r="H6351" s="73"/>
    </row>
    <row r="6352" spans="1:9" s="212" customFormat="1">
      <c r="A6352" s="142"/>
      <c r="B6352" s="143"/>
      <c r="C6352" s="143"/>
      <c r="D6352" s="143"/>
      <c r="E6352" s="143"/>
      <c r="F6352" s="84"/>
      <c r="G6352" s="146"/>
      <c r="H6352" s="221"/>
    </row>
    <row r="6353" spans="1:8" s="212" customFormat="1">
      <c r="A6353" s="84"/>
      <c r="B6353" s="83"/>
      <c r="C6353" s="84"/>
      <c r="D6353" s="84"/>
      <c r="E6353" s="84"/>
      <c r="G6353" s="213"/>
      <c r="H6353" s="222"/>
    </row>
    <row r="6354" spans="1:8" s="212" customFormat="1">
      <c r="A6354" s="120"/>
      <c r="B6354" s="73"/>
      <c r="C6354" s="73"/>
      <c r="D6354" s="73"/>
      <c r="E6354" s="73"/>
      <c r="G6354" s="73"/>
      <c r="H6354" s="222"/>
    </row>
    <row r="6355" spans="1:8" s="212" customFormat="1">
      <c r="A6355" s="220"/>
      <c r="B6355" s="141"/>
      <c r="C6355" s="141"/>
      <c r="D6355" s="141"/>
      <c r="E6355" s="141"/>
      <c r="F6355" s="141"/>
      <c r="G6355" s="141"/>
      <c r="H6355" s="222"/>
    </row>
    <row r="6356" spans="1:8" s="212" customFormat="1">
      <c r="A6356" s="150"/>
      <c r="B6356" s="83"/>
      <c r="C6356" s="148"/>
      <c r="D6356" s="160"/>
      <c r="E6356" s="84"/>
      <c r="F6356" s="84"/>
      <c r="G6356" s="146"/>
      <c r="H6356" s="221"/>
    </row>
    <row r="6357" spans="1:8" s="212" customFormat="1">
      <c r="A6357" s="91"/>
      <c r="B6357" s="91"/>
      <c r="C6357" s="91"/>
      <c r="D6357" s="91"/>
      <c r="E6357" s="91"/>
      <c r="G6357" s="213"/>
      <c r="H6357" s="222"/>
    </row>
    <row r="6358" spans="1:8" s="212" customFormat="1">
      <c r="A6358" s="120"/>
      <c r="B6358" s="73"/>
      <c r="C6358" s="73"/>
      <c r="D6358" s="73"/>
      <c r="E6358" s="73"/>
      <c r="G6358" s="73"/>
      <c r="H6358" s="222"/>
    </row>
    <row r="6359" spans="1:8" s="212" customFormat="1">
      <c r="A6359" s="220"/>
      <c r="B6359" s="141"/>
      <c r="C6359" s="141"/>
      <c r="D6359" s="141"/>
      <c r="E6359" s="141"/>
      <c r="F6359" s="141"/>
      <c r="G6359" s="141"/>
      <c r="H6359" s="222"/>
    </row>
    <row r="6360" spans="1:8" s="212" customFormat="1">
      <c r="A6360" s="142"/>
      <c r="B6360" s="143"/>
      <c r="C6360" s="143"/>
      <c r="D6360" s="143"/>
      <c r="E6360" s="143"/>
      <c r="F6360" s="84"/>
      <c r="G6360" s="146"/>
      <c r="H6360" s="221"/>
    </row>
    <row r="6361" spans="1:8" s="212" customFormat="1">
      <c r="A6361" s="91"/>
      <c r="B6361" s="91"/>
      <c r="C6361" s="91"/>
      <c r="D6361" s="91"/>
      <c r="E6361" s="91"/>
      <c r="G6361" s="213"/>
      <c r="H6361" s="222"/>
    </row>
    <row r="6362" spans="1:8" s="212" customFormat="1">
      <c r="A6362" s="120"/>
      <c r="B6362" s="73"/>
      <c r="C6362" s="73"/>
      <c r="D6362" s="73"/>
      <c r="E6362" s="73"/>
      <c r="G6362" s="73"/>
      <c r="H6362" s="222"/>
    </row>
    <row r="6363" spans="1:8" s="212" customFormat="1">
      <c r="A6363" s="220"/>
      <c r="B6363" s="141"/>
      <c r="C6363" s="141"/>
      <c r="D6363" s="141"/>
      <c r="E6363" s="141"/>
      <c r="F6363" s="141"/>
      <c r="G6363" s="141"/>
      <c r="H6363" s="222"/>
    </row>
    <row r="6364" spans="1:8" s="212" customFormat="1">
      <c r="A6364" s="142"/>
      <c r="B6364" s="143"/>
      <c r="C6364" s="143"/>
      <c r="D6364" s="143"/>
      <c r="E6364" s="143"/>
      <c r="F6364" s="84"/>
      <c r="G6364" s="146"/>
      <c r="H6364" s="221"/>
    </row>
    <row r="6365" spans="1:8" s="212" customFormat="1">
      <c r="A6365" s="123"/>
      <c r="B6365" s="95"/>
      <c r="C6365" s="95"/>
      <c r="D6365" s="95"/>
      <c r="E6365" s="95"/>
      <c r="G6365" s="213"/>
      <c r="H6365" s="73"/>
    </row>
    <row r="6366" spans="1:8" s="212" customFormat="1">
      <c r="A6366" s="123"/>
      <c r="B6366" s="95"/>
      <c r="C6366" s="95"/>
      <c r="D6366" s="95"/>
      <c r="E6366" s="95"/>
      <c r="G6366" s="73"/>
      <c r="H6366" s="225"/>
    </row>
    <row r="6367" spans="1:8" s="212" customFormat="1">
      <c r="B6367" s="97"/>
      <c r="C6367" s="98"/>
      <c r="D6367" s="98"/>
      <c r="E6367" s="98"/>
      <c r="G6367" s="220"/>
    </row>
    <row r="6368" spans="1:8" s="212" customFormat="1">
      <c r="B6368" s="97"/>
      <c r="C6368" s="98"/>
      <c r="D6368" s="98"/>
      <c r="E6368" s="98"/>
      <c r="F6368" s="220"/>
      <c r="G6368" s="225"/>
      <c r="H6368" s="226"/>
    </row>
    <row r="6369" spans="1:9" s="212" customFormat="1">
      <c r="A6369" s="633"/>
      <c r="B6369" s="633"/>
      <c r="C6369" s="633"/>
      <c r="D6369" s="633"/>
      <c r="E6369" s="633"/>
      <c r="F6369" s="633"/>
      <c r="G6369" s="633"/>
    </row>
    <row r="6370" spans="1:9" s="212" customFormat="1">
      <c r="H6370" s="227"/>
      <c r="I6370" s="228"/>
    </row>
    <row r="6371" spans="1:9" s="212" customFormat="1">
      <c r="A6371" s="658"/>
      <c r="B6371" s="227"/>
      <c r="C6371" s="227"/>
      <c r="D6371" s="227"/>
      <c r="E6371" s="227"/>
      <c r="F6371" s="227"/>
      <c r="G6371" s="227"/>
      <c r="H6371" s="227"/>
      <c r="I6371" s="229"/>
    </row>
    <row r="6372" spans="1:9" s="212" customFormat="1">
      <c r="A6372" s="658"/>
      <c r="B6372" s="227"/>
      <c r="C6372" s="227"/>
      <c r="D6372" s="227"/>
      <c r="E6372" s="227"/>
      <c r="F6372" s="227"/>
      <c r="G6372" s="227"/>
    </row>
    <row r="6373" spans="1:9" s="212" customFormat="1">
      <c r="A6373" s="69"/>
      <c r="B6373" s="69"/>
      <c r="C6373" s="69"/>
      <c r="D6373" s="69"/>
      <c r="E6373" s="69"/>
    </row>
    <row r="6374" spans="1:9" s="212" customFormat="1">
      <c r="A6374" s="120"/>
      <c r="B6374" s="73"/>
      <c r="C6374" s="73"/>
      <c r="D6374" s="73"/>
      <c r="E6374" s="73"/>
      <c r="F6374" s="73"/>
      <c r="G6374" s="73"/>
      <c r="H6374" s="73"/>
    </row>
    <row r="6375" spans="1:9" s="212" customFormat="1">
      <c r="A6375" s="220"/>
      <c r="B6375" s="141"/>
      <c r="C6375" s="141"/>
      <c r="D6375" s="141"/>
      <c r="E6375" s="141"/>
      <c r="F6375" s="141"/>
      <c r="G6375" s="141"/>
      <c r="H6375" s="73"/>
    </row>
    <row r="6376" spans="1:9" s="212" customFormat="1">
      <c r="A6376" s="142"/>
      <c r="B6376" s="143"/>
      <c r="C6376" s="143"/>
      <c r="D6376" s="143"/>
      <c r="E6376" s="143"/>
      <c r="F6376" s="84"/>
      <c r="G6376" s="146"/>
      <c r="H6376" s="221"/>
    </row>
    <row r="6377" spans="1:9" s="212" customFormat="1">
      <c r="A6377" s="84"/>
      <c r="B6377" s="83"/>
      <c r="C6377" s="84"/>
      <c r="D6377" s="84"/>
      <c r="E6377" s="84"/>
      <c r="G6377" s="213"/>
      <c r="H6377" s="222"/>
    </row>
    <row r="6378" spans="1:9" s="212" customFormat="1">
      <c r="A6378" s="120"/>
      <c r="B6378" s="73"/>
      <c r="C6378" s="73"/>
      <c r="D6378" s="73"/>
      <c r="E6378" s="73"/>
      <c r="G6378" s="73"/>
      <c r="H6378" s="222"/>
    </row>
    <row r="6379" spans="1:9" s="212" customFormat="1">
      <c r="A6379" s="220"/>
      <c r="B6379" s="141"/>
      <c r="C6379" s="141"/>
      <c r="D6379" s="141"/>
      <c r="E6379" s="141"/>
      <c r="F6379" s="141"/>
      <c r="G6379" s="141"/>
      <c r="H6379" s="222"/>
    </row>
    <row r="6380" spans="1:9" s="212" customFormat="1">
      <c r="A6380" s="150"/>
      <c r="B6380" s="83"/>
      <c r="C6380" s="148"/>
      <c r="D6380" s="160"/>
      <c r="E6380" s="84"/>
      <c r="F6380" s="84"/>
      <c r="G6380" s="146"/>
      <c r="H6380" s="221"/>
    </row>
    <row r="6381" spans="1:9" s="212" customFormat="1">
      <c r="A6381" s="91"/>
      <c r="B6381" s="91"/>
      <c r="C6381" s="91"/>
      <c r="D6381" s="91"/>
      <c r="E6381" s="91"/>
      <c r="G6381" s="213"/>
      <c r="H6381" s="222"/>
    </row>
    <row r="6382" spans="1:9" s="212" customFormat="1">
      <c r="A6382" s="120"/>
      <c r="B6382" s="73"/>
      <c r="C6382" s="73"/>
      <c r="D6382" s="73"/>
      <c r="E6382" s="73"/>
      <c r="G6382" s="73"/>
      <c r="H6382" s="222"/>
    </row>
    <row r="6383" spans="1:9" s="212" customFormat="1">
      <c r="A6383" s="220"/>
      <c r="B6383" s="141"/>
      <c r="C6383" s="141"/>
      <c r="D6383" s="141"/>
      <c r="E6383" s="141"/>
      <c r="F6383" s="141"/>
      <c r="G6383" s="141"/>
      <c r="H6383" s="222"/>
    </row>
    <row r="6384" spans="1:9" s="212" customFormat="1">
      <c r="A6384" s="142"/>
      <c r="B6384" s="143"/>
      <c r="C6384" s="143"/>
      <c r="D6384" s="143"/>
      <c r="E6384" s="143"/>
      <c r="F6384" s="84"/>
      <c r="G6384" s="146"/>
      <c r="H6384" s="221"/>
    </row>
    <row r="6385" spans="1:9" s="212" customFormat="1">
      <c r="A6385" s="91"/>
      <c r="B6385" s="91"/>
      <c r="C6385" s="91"/>
      <c r="D6385" s="91"/>
      <c r="E6385" s="91"/>
      <c r="G6385" s="213"/>
      <c r="H6385" s="222"/>
    </row>
    <row r="6386" spans="1:9" s="212" customFormat="1">
      <c r="A6386" s="120"/>
      <c r="B6386" s="73"/>
      <c r="C6386" s="73"/>
      <c r="D6386" s="73"/>
      <c r="E6386" s="73"/>
      <c r="G6386" s="73"/>
      <c r="H6386" s="222"/>
    </row>
    <row r="6387" spans="1:9" s="212" customFormat="1">
      <c r="A6387" s="220"/>
      <c r="B6387" s="141"/>
      <c r="C6387" s="141"/>
      <c r="D6387" s="141"/>
      <c r="E6387" s="141"/>
      <c r="F6387" s="141"/>
      <c r="G6387" s="141"/>
      <c r="H6387" s="222"/>
    </row>
    <row r="6388" spans="1:9" s="212" customFormat="1">
      <c r="A6388" s="142"/>
      <c r="B6388" s="143"/>
      <c r="C6388" s="143"/>
      <c r="D6388" s="143"/>
      <c r="E6388" s="143"/>
      <c r="F6388" s="84"/>
      <c r="G6388" s="146"/>
      <c r="H6388" s="221"/>
    </row>
    <row r="6389" spans="1:9" s="212" customFormat="1">
      <c r="A6389" s="123"/>
      <c r="B6389" s="95"/>
      <c r="C6389" s="95"/>
      <c r="D6389" s="95"/>
      <c r="E6389" s="95"/>
      <c r="G6389" s="213"/>
      <c r="H6389" s="73"/>
    </row>
    <row r="6390" spans="1:9" s="212" customFormat="1">
      <c r="A6390" s="123"/>
      <c r="B6390" s="95"/>
      <c r="C6390" s="95"/>
      <c r="D6390" s="95"/>
      <c r="E6390" s="95"/>
      <c r="G6390" s="73"/>
      <c r="H6390" s="225"/>
    </row>
    <row r="6391" spans="1:9" s="212" customFormat="1">
      <c r="B6391" s="97"/>
      <c r="C6391" s="98"/>
      <c r="D6391" s="98"/>
      <c r="E6391" s="98"/>
      <c r="G6391" s="220"/>
    </row>
    <row r="6392" spans="1:9" s="212" customFormat="1">
      <c r="B6392" s="97"/>
      <c r="C6392" s="98"/>
      <c r="D6392" s="98"/>
      <c r="E6392" s="98"/>
      <c r="F6392" s="220"/>
      <c r="G6392" s="225"/>
      <c r="H6392" s="226"/>
    </row>
    <row r="6393" spans="1:9" s="212" customFormat="1">
      <c r="A6393" s="633"/>
      <c r="B6393" s="633"/>
      <c r="C6393" s="633"/>
      <c r="D6393" s="633"/>
      <c r="E6393" s="633"/>
      <c r="F6393" s="633"/>
      <c r="G6393" s="633"/>
    </row>
    <row r="6394" spans="1:9" s="212" customFormat="1">
      <c r="H6394" s="227"/>
      <c r="I6394" s="228"/>
    </row>
    <row r="6395" spans="1:9" s="212" customFormat="1">
      <c r="A6395" s="658"/>
      <c r="B6395" s="227"/>
      <c r="C6395" s="227"/>
      <c r="D6395" s="227"/>
      <c r="E6395" s="227"/>
      <c r="F6395" s="227"/>
      <c r="G6395" s="227"/>
      <c r="H6395" s="227"/>
      <c r="I6395" s="229"/>
    </row>
    <row r="6396" spans="1:9" s="212" customFormat="1">
      <c r="A6396" s="658"/>
      <c r="B6396" s="227"/>
      <c r="C6396" s="227"/>
      <c r="D6396" s="227"/>
      <c r="E6396" s="227"/>
      <c r="F6396" s="227"/>
      <c r="G6396" s="227"/>
    </row>
    <row r="6397" spans="1:9" s="212" customFormat="1">
      <c r="A6397" s="69"/>
      <c r="B6397" s="69"/>
      <c r="C6397" s="69"/>
      <c r="D6397" s="69"/>
      <c r="E6397" s="69"/>
    </row>
    <row r="6398" spans="1:9" s="212" customFormat="1">
      <c r="A6398" s="120"/>
      <c r="B6398" s="73"/>
      <c r="C6398" s="73"/>
      <c r="D6398" s="73"/>
      <c r="E6398" s="73"/>
      <c r="F6398" s="73"/>
      <c r="G6398" s="73"/>
      <c r="H6398" s="73"/>
    </row>
    <row r="6399" spans="1:9" s="212" customFormat="1">
      <c r="A6399" s="220"/>
      <c r="B6399" s="141"/>
      <c r="C6399" s="141"/>
      <c r="D6399" s="141"/>
      <c r="E6399" s="141"/>
      <c r="F6399" s="141"/>
      <c r="G6399" s="141"/>
      <c r="H6399" s="73"/>
    </row>
    <row r="6400" spans="1:9" s="212" customFormat="1">
      <c r="A6400" s="142"/>
      <c r="B6400" s="143"/>
      <c r="C6400" s="143"/>
      <c r="D6400" s="143"/>
      <c r="E6400" s="143"/>
      <c r="F6400" s="84"/>
      <c r="G6400" s="146"/>
      <c r="H6400" s="221"/>
    </row>
    <row r="6401" spans="1:8" s="212" customFormat="1">
      <c r="A6401" s="84"/>
      <c r="B6401" s="83"/>
      <c r="C6401" s="84"/>
      <c r="D6401" s="84"/>
      <c r="E6401" s="84"/>
      <c r="G6401" s="213"/>
      <c r="H6401" s="222"/>
    </row>
    <row r="6402" spans="1:8" s="212" customFormat="1">
      <c r="A6402" s="120"/>
      <c r="B6402" s="73"/>
      <c r="C6402" s="73"/>
      <c r="D6402" s="73"/>
      <c r="E6402" s="73"/>
      <c r="G6402" s="73"/>
      <c r="H6402" s="222"/>
    </row>
    <row r="6403" spans="1:8" s="212" customFormat="1">
      <c r="A6403" s="220"/>
      <c r="B6403" s="141"/>
      <c r="C6403" s="141"/>
      <c r="D6403" s="141"/>
      <c r="E6403" s="141"/>
      <c r="F6403" s="141"/>
      <c r="G6403" s="141"/>
      <c r="H6403" s="222"/>
    </row>
    <row r="6404" spans="1:8" s="212" customFormat="1">
      <c r="A6404" s="150"/>
      <c r="B6404" s="83"/>
      <c r="C6404" s="148"/>
      <c r="D6404" s="160"/>
      <c r="E6404" s="84"/>
      <c r="F6404" s="84"/>
      <c r="G6404" s="146"/>
      <c r="H6404" s="221"/>
    </row>
    <row r="6405" spans="1:8" s="212" customFormat="1">
      <c r="A6405" s="91"/>
      <c r="B6405" s="91"/>
      <c r="C6405" s="91"/>
      <c r="D6405" s="91"/>
      <c r="E6405" s="91"/>
      <c r="G6405" s="213"/>
      <c r="H6405" s="222"/>
    </row>
    <row r="6406" spans="1:8" s="212" customFormat="1">
      <c r="A6406" s="120"/>
      <c r="B6406" s="73"/>
      <c r="C6406" s="73"/>
      <c r="D6406" s="73"/>
      <c r="E6406" s="73"/>
      <c r="G6406" s="73"/>
      <c r="H6406" s="222"/>
    </row>
    <row r="6407" spans="1:8" s="212" customFormat="1">
      <c r="A6407" s="220"/>
      <c r="B6407" s="141"/>
      <c r="C6407" s="141"/>
      <c r="D6407" s="141"/>
      <c r="E6407" s="141"/>
      <c r="F6407" s="141"/>
      <c r="G6407" s="141"/>
      <c r="H6407" s="222"/>
    </row>
    <row r="6408" spans="1:8" s="212" customFormat="1">
      <c r="A6408" s="142"/>
      <c r="B6408" s="143"/>
      <c r="C6408" s="143"/>
      <c r="D6408" s="143"/>
      <c r="E6408" s="143"/>
      <c r="F6408" s="84"/>
      <c r="G6408" s="146"/>
      <c r="H6408" s="221"/>
    </row>
    <row r="6409" spans="1:8" s="212" customFormat="1">
      <c r="A6409" s="91"/>
      <c r="B6409" s="91"/>
      <c r="C6409" s="91"/>
      <c r="D6409" s="91"/>
      <c r="E6409" s="91"/>
      <c r="G6409" s="213"/>
      <c r="H6409" s="222"/>
    </row>
    <row r="6410" spans="1:8" s="212" customFormat="1">
      <c r="A6410" s="120"/>
      <c r="B6410" s="73"/>
      <c r="C6410" s="73"/>
      <c r="D6410" s="73"/>
      <c r="E6410" s="73"/>
      <c r="G6410" s="73"/>
      <c r="H6410" s="222"/>
    </row>
    <row r="6411" spans="1:8" s="212" customFormat="1">
      <c r="A6411" s="220"/>
      <c r="B6411" s="141"/>
      <c r="C6411" s="141"/>
      <c r="D6411" s="141"/>
      <c r="E6411" s="141"/>
      <c r="F6411" s="141"/>
      <c r="G6411" s="141"/>
      <c r="H6411" s="222"/>
    </row>
    <row r="6412" spans="1:8" s="212" customFormat="1">
      <c r="A6412" s="142"/>
      <c r="B6412" s="143"/>
      <c r="C6412" s="143"/>
      <c r="D6412" s="143"/>
      <c r="E6412" s="143"/>
      <c r="F6412" s="84"/>
      <c r="G6412" s="146"/>
      <c r="H6412" s="221"/>
    </row>
    <row r="6413" spans="1:8" s="212" customFormat="1">
      <c r="A6413" s="123"/>
      <c r="B6413" s="95"/>
      <c r="C6413" s="95"/>
      <c r="D6413" s="95"/>
      <c r="E6413" s="95"/>
      <c r="G6413" s="213"/>
      <c r="H6413" s="73"/>
    </row>
    <row r="6414" spans="1:8" s="212" customFormat="1">
      <c r="A6414" s="123"/>
      <c r="B6414" s="95"/>
      <c r="C6414" s="95"/>
      <c r="D6414" s="95"/>
      <c r="E6414" s="95"/>
      <c r="G6414" s="73"/>
      <c r="H6414" s="225"/>
    </row>
    <row r="6415" spans="1:8" s="212" customFormat="1">
      <c r="B6415" s="97"/>
      <c r="C6415" s="98"/>
      <c r="D6415" s="98"/>
      <c r="E6415" s="98"/>
      <c r="G6415" s="220"/>
    </row>
    <row r="6416" spans="1:8" s="212" customFormat="1">
      <c r="B6416" s="97"/>
      <c r="C6416" s="98"/>
      <c r="D6416" s="98"/>
      <c r="E6416" s="98"/>
      <c r="F6416" s="220"/>
      <c r="G6416" s="225"/>
      <c r="H6416" s="226"/>
    </row>
    <row r="6417" spans="1:9" s="212" customFormat="1">
      <c r="A6417" s="633"/>
      <c r="B6417" s="633"/>
      <c r="C6417" s="633"/>
      <c r="D6417" s="633"/>
      <c r="E6417" s="633"/>
      <c r="F6417" s="633"/>
      <c r="G6417" s="633"/>
    </row>
    <row r="6418" spans="1:9" s="212" customFormat="1">
      <c r="H6418" s="227"/>
      <c r="I6418" s="228"/>
    </row>
    <row r="6419" spans="1:9" s="212" customFormat="1">
      <c r="A6419" s="658"/>
      <c r="B6419" s="227"/>
      <c r="C6419" s="227"/>
      <c r="D6419" s="227"/>
      <c r="E6419" s="227"/>
      <c r="F6419" s="227"/>
      <c r="G6419" s="227"/>
      <c r="H6419" s="227"/>
      <c r="I6419" s="229"/>
    </row>
    <row r="6420" spans="1:9" s="212" customFormat="1">
      <c r="A6420" s="658"/>
      <c r="B6420" s="227"/>
      <c r="C6420" s="227"/>
      <c r="D6420" s="227"/>
      <c r="E6420" s="227"/>
      <c r="F6420" s="227"/>
      <c r="G6420" s="227"/>
    </row>
    <row r="6421" spans="1:9" s="212" customFormat="1">
      <c r="A6421" s="69"/>
      <c r="B6421" s="69"/>
      <c r="C6421" s="69"/>
      <c r="D6421" s="69"/>
      <c r="E6421" s="69"/>
    </row>
    <row r="6422" spans="1:9" s="212" customFormat="1">
      <c r="A6422" s="120"/>
      <c r="B6422" s="73"/>
      <c r="C6422" s="73"/>
      <c r="D6422" s="73"/>
      <c r="E6422" s="73"/>
      <c r="F6422" s="73"/>
      <c r="G6422" s="73"/>
      <c r="H6422" s="73"/>
    </row>
    <row r="6423" spans="1:9" s="212" customFormat="1">
      <c r="A6423" s="220"/>
      <c r="B6423" s="141"/>
      <c r="C6423" s="141"/>
      <c r="D6423" s="141"/>
      <c r="E6423" s="141"/>
      <c r="F6423" s="141"/>
      <c r="G6423" s="141"/>
      <c r="H6423" s="73"/>
    </row>
    <row r="6424" spans="1:9" s="212" customFormat="1">
      <c r="A6424" s="142"/>
      <c r="B6424" s="143"/>
      <c r="C6424" s="143"/>
      <c r="D6424" s="143"/>
      <c r="E6424" s="143"/>
      <c r="F6424" s="84"/>
      <c r="G6424" s="146"/>
      <c r="H6424" s="221"/>
    </row>
    <row r="6425" spans="1:9" s="212" customFormat="1">
      <c r="A6425" s="84"/>
      <c r="B6425" s="83"/>
      <c r="C6425" s="84"/>
      <c r="D6425" s="84"/>
      <c r="E6425" s="84"/>
      <c r="G6425" s="213"/>
      <c r="H6425" s="222"/>
    </row>
    <row r="6426" spans="1:9" s="212" customFormat="1">
      <c r="A6426" s="120"/>
      <c r="B6426" s="73"/>
      <c r="C6426" s="73"/>
      <c r="D6426" s="73"/>
      <c r="E6426" s="73"/>
      <c r="G6426" s="73"/>
      <c r="H6426" s="222"/>
    </row>
    <row r="6427" spans="1:9" s="212" customFormat="1">
      <c r="A6427" s="220"/>
      <c r="B6427" s="141"/>
      <c r="C6427" s="141"/>
      <c r="D6427" s="141"/>
      <c r="E6427" s="141"/>
      <c r="F6427" s="141"/>
      <c r="G6427" s="141"/>
      <c r="H6427" s="222"/>
    </row>
    <row r="6428" spans="1:9" s="212" customFormat="1">
      <c r="A6428" s="150"/>
      <c r="B6428" s="83"/>
      <c r="C6428" s="148"/>
      <c r="D6428" s="160"/>
      <c r="E6428" s="84"/>
      <c r="F6428" s="84"/>
      <c r="G6428" s="146"/>
      <c r="H6428" s="221"/>
    </row>
    <row r="6429" spans="1:9" s="212" customFormat="1">
      <c r="A6429" s="91"/>
      <c r="B6429" s="91"/>
      <c r="C6429" s="91"/>
      <c r="D6429" s="91"/>
      <c r="E6429" s="91"/>
      <c r="G6429" s="213"/>
      <c r="H6429" s="222"/>
    </row>
    <row r="6430" spans="1:9" s="212" customFormat="1">
      <c r="A6430" s="120"/>
      <c r="B6430" s="73"/>
      <c r="C6430" s="73"/>
      <c r="D6430" s="73"/>
      <c r="E6430" s="73"/>
      <c r="G6430" s="73"/>
      <c r="H6430" s="222"/>
    </row>
    <row r="6431" spans="1:9" s="212" customFormat="1">
      <c r="A6431" s="220"/>
      <c r="B6431" s="141"/>
      <c r="C6431" s="141"/>
      <c r="D6431" s="141"/>
      <c r="E6431" s="141"/>
      <c r="F6431" s="141"/>
      <c r="G6431" s="141"/>
      <c r="H6431" s="222"/>
    </row>
    <row r="6432" spans="1:9" s="212" customFormat="1">
      <c r="A6432" s="142"/>
      <c r="B6432" s="143"/>
      <c r="C6432" s="143"/>
      <c r="D6432" s="143"/>
      <c r="E6432" s="143"/>
      <c r="F6432" s="84"/>
      <c r="G6432" s="146"/>
      <c r="H6432" s="221"/>
    </row>
    <row r="6433" spans="1:9" s="212" customFormat="1">
      <c r="A6433" s="91"/>
      <c r="B6433" s="91"/>
      <c r="C6433" s="91"/>
      <c r="D6433" s="91"/>
      <c r="E6433" s="91"/>
      <c r="G6433" s="213"/>
      <c r="H6433" s="222"/>
    </row>
    <row r="6434" spans="1:9" s="212" customFormat="1">
      <c r="A6434" s="120"/>
      <c r="B6434" s="73"/>
      <c r="C6434" s="73"/>
      <c r="D6434" s="73"/>
      <c r="E6434" s="73"/>
      <c r="G6434" s="73"/>
      <c r="H6434" s="222"/>
    </row>
    <row r="6435" spans="1:9" s="212" customFormat="1">
      <c r="A6435" s="220"/>
      <c r="B6435" s="141"/>
      <c r="C6435" s="141"/>
      <c r="D6435" s="141"/>
      <c r="E6435" s="141"/>
      <c r="F6435" s="141"/>
      <c r="G6435" s="141"/>
      <c r="H6435" s="222"/>
    </row>
    <row r="6436" spans="1:9" s="212" customFormat="1">
      <c r="A6436" s="142"/>
      <c r="B6436" s="143"/>
      <c r="C6436" s="143"/>
      <c r="D6436" s="143"/>
      <c r="E6436" s="143"/>
      <c r="F6436" s="84"/>
      <c r="G6436" s="146"/>
      <c r="H6436" s="221"/>
    </row>
    <row r="6437" spans="1:9" s="212" customFormat="1">
      <c r="A6437" s="123"/>
      <c r="B6437" s="95"/>
      <c r="C6437" s="95"/>
      <c r="D6437" s="95"/>
      <c r="E6437" s="95"/>
      <c r="G6437" s="213"/>
      <c r="H6437" s="73"/>
    </row>
    <row r="6438" spans="1:9" s="212" customFormat="1">
      <c r="A6438" s="123"/>
      <c r="B6438" s="95"/>
      <c r="C6438" s="95"/>
      <c r="D6438" s="95"/>
      <c r="E6438" s="95"/>
      <c r="G6438" s="73"/>
      <c r="H6438" s="225"/>
    </row>
    <row r="6439" spans="1:9" s="212" customFormat="1">
      <c r="B6439" s="97"/>
      <c r="C6439" s="98"/>
      <c r="D6439" s="98"/>
      <c r="E6439" s="98"/>
      <c r="G6439" s="220"/>
    </row>
    <row r="6440" spans="1:9" s="212" customFormat="1">
      <c r="B6440" s="97"/>
      <c r="C6440" s="98"/>
      <c r="D6440" s="98"/>
      <c r="E6440" s="98"/>
      <c r="F6440" s="220"/>
      <c r="G6440" s="225"/>
      <c r="H6440" s="226"/>
    </row>
    <row r="6441" spans="1:9" s="212" customFormat="1">
      <c r="A6441" s="633"/>
      <c r="B6441" s="633"/>
      <c r="C6441" s="633"/>
      <c r="D6441" s="633"/>
      <c r="E6441" s="633"/>
      <c r="F6441" s="633"/>
      <c r="G6441" s="633"/>
    </row>
    <row r="6442" spans="1:9" s="212" customFormat="1">
      <c r="H6442" s="227"/>
      <c r="I6442" s="228"/>
    </row>
    <row r="6443" spans="1:9" s="212" customFormat="1">
      <c r="A6443" s="658"/>
      <c r="B6443" s="227"/>
      <c r="C6443" s="227"/>
      <c r="D6443" s="227"/>
      <c r="E6443" s="227"/>
      <c r="F6443" s="227"/>
      <c r="G6443" s="227"/>
      <c r="H6443" s="227"/>
      <c r="I6443" s="229"/>
    </row>
    <row r="6444" spans="1:9" s="212" customFormat="1">
      <c r="A6444" s="658"/>
      <c r="B6444" s="227"/>
      <c r="C6444" s="227"/>
      <c r="D6444" s="227"/>
      <c r="E6444" s="227"/>
      <c r="F6444" s="227"/>
      <c r="G6444" s="227"/>
    </row>
    <row r="6445" spans="1:9" s="212" customFormat="1">
      <c r="A6445" s="69"/>
      <c r="B6445" s="69"/>
      <c r="C6445" s="69"/>
      <c r="D6445" s="69"/>
      <c r="E6445" s="69"/>
    </row>
    <row r="6446" spans="1:9" s="212" customFormat="1">
      <c r="A6446" s="120"/>
      <c r="B6446" s="73"/>
      <c r="C6446" s="73"/>
      <c r="D6446" s="73"/>
      <c r="E6446" s="73"/>
      <c r="F6446" s="73"/>
      <c r="G6446" s="73"/>
      <c r="H6446" s="73"/>
    </row>
    <row r="6447" spans="1:9" s="212" customFormat="1">
      <c r="A6447" s="220"/>
      <c r="B6447" s="141"/>
      <c r="C6447" s="141"/>
      <c r="D6447" s="141"/>
      <c r="E6447" s="141"/>
      <c r="F6447" s="141"/>
      <c r="G6447" s="141"/>
      <c r="H6447" s="73"/>
    </row>
    <row r="6448" spans="1:9" s="212" customFormat="1">
      <c r="A6448" s="142"/>
      <c r="B6448" s="143"/>
      <c r="C6448" s="143"/>
      <c r="D6448" s="143"/>
      <c r="E6448" s="143"/>
      <c r="F6448" s="84"/>
      <c r="G6448" s="146"/>
      <c r="H6448" s="221"/>
    </row>
    <row r="6449" spans="1:8" s="212" customFormat="1">
      <c r="A6449" s="84"/>
      <c r="B6449" s="83"/>
      <c r="C6449" s="84"/>
      <c r="D6449" s="84"/>
      <c r="E6449" s="84"/>
      <c r="G6449" s="213"/>
      <c r="H6449" s="222"/>
    </row>
    <row r="6450" spans="1:8" s="212" customFormat="1">
      <c r="A6450" s="120"/>
      <c r="B6450" s="73"/>
      <c r="C6450" s="73"/>
      <c r="D6450" s="73"/>
      <c r="E6450" s="73"/>
      <c r="G6450" s="73"/>
      <c r="H6450" s="222"/>
    </row>
    <row r="6451" spans="1:8" s="212" customFormat="1">
      <c r="A6451" s="220"/>
      <c r="B6451" s="141"/>
      <c r="C6451" s="141"/>
      <c r="D6451" s="141"/>
      <c r="E6451" s="141"/>
      <c r="F6451" s="141"/>
      <c r="G6451" s="141"/>
      <c r="H6451" s="222"/>
    </row>
    <row r="6452" spans="1:8" s="212" customFormat="1">
      <c r="A6452" s="150"/>
      <c r="B6452" s="83"/>
      <c r="C6452" s="148"/>
      <c r="D6452" s="160"/>
      <c r="E6452" s="84"/>
      <c r="F6452" s="84"/>
      <c r="G6452" s="146"/>
      <c r="H6452" s="221"/>
    </row>
    <row r="6453" spans="1:8" s="212" customFormat="1">
      <c r="A6453" s="91"/>
      <c r="B6453" s="91"/>
      <c r="C6453" s="91"/>
      <c r="D6453" s="91"/>
      <c r="E6453" s="91"/>
      <c r="G6453" s="213"/>
      <c r="H6453" s="222"/>
    </row>
    <row r="6454" spans="1:8" s="212" customFormat="1">
      <c r="A6454" s="120"/>
      <c r="B6454" s="73"/>
      <c r="C6454" s="73"/>
      <c r="D6454" s="73"/>
      <c r="E6454" s="73"/>
      <c r="G6454" s="73"/>
      <c r="H6454" s="222"/>
    </row>
    <row r="6455" spans="1:8" s="212" customFormat="1">
      <c r="A6455" s="220"/>
      <c r="B6455" s="141"/>
      <c r="C6455" s="141"/>
      <c r="D6455" s="141"/>
      <c r="E6455" s="141"/>
      <c r="F6455" s="141"/>
      <c r="G6455" s="141"/>
      <c r="H6455" s="222"/>
    </row>
    <row r="6456" spans="1:8" s="212" customFormat="1">
      <c r="A6456" s="142"/>
      <c r="B6456" s="143"/>
      <c r="C6456" s="143"/>
      <c r="D6456" s="143"/>
      <c r="E6456" s="143"/>
      <c r="F6456" s="84"/>
      <c r="G6456" s="146"/>
      <c r="H6456" s="221"/>
    </row>
    <row r="6457" spans="1:8" s="212" customFormat="1">
      <c r="A6457" s="91"/>
      <c r="B6457" s="91"/>
      <c r="C6457" s="91"/>
      <c r="D6457" s="91"/>
      <c r="E6457" s="91"/>
      <c r="G6457" s="213"/>
      <c r="H6457" s="222"/>
    </row>
    <row r="6458" spans="1:8" s="212" customFormat="1">
      <c r="A6458" s="120"/>
      <c r="B6458" s="73"/>
      <c r="C6458" s="73"/>
      <c r="D6458" s="73"/>
      <c r="E6458" s="73"/>
      <c r="G6458" s="73"/>
      <c r="H6458" s="222"/>
    </row>
    <row r="6459" spans="1:8" s="212" customFormat="1">
      <c r="A6459" s="220"/>
      <c r="B6459" s="141"/>
      <c r="C6459" s="141"/>
      <c r="D6459" s="141"/>
      <c r="E6459" s="141"/>
      <c r="F6459" s="141"/>
      <c r="G6459" s="141"/>
      <c r="H6459" s="222"/>
    </row>
    <row r="6460" spans="1:8" s="212" customFormat="1">
      <c r="A6460" s="142"/>
      <c r="B6460" s="143"/>
      <c r="C6460" s="143"/>
      <c r="D6460" s="143"/>
      <c r="E6460" s="143"/>
      <c r="F6460" s="84"/>
      <c r="G6460" s="146"/>
      <c r="H6460" s="221"/>
    </row>
    <row r="6461" spans="1:8" s="212" customFormat="1">
      <c r="A6461" s="123"/>
      <c r="B6461" s="95"/>
      <c r="C6461" s="95"/>
      <c r="D6461" s="95"/>
      <c r="E6461" s="95"/>
      <c r="G6461" s="213"/>
      <c r="H6461" s="73"/>
    </row>
    <row r="6462" spans="1:8" s="212" customFormat="1">
      <c r="A6462" s="123"/>
      <c r="B6462" s="95"/>
      <c r="C6462" s="95"/>
      <c r="D6462" s="95"/>
      <c r="E6462" s="95"/>
      <c r="G6462" s="73"/>
      <c r="H6462" s="225"/>
    </row>
    <row r="6463" spans="1:8" s="212" customFormat="1">
      <c r="B6463" s="97"/>
      <c r="C6463" s="98"/>
      <c r="D6463" s="98"/>
      <c r="E6463" s="98"/>
      <c r="G6463" s="220"/>
    </row>
    <row r="6464" spans="1:8" s="212" customFormat="1">
      <c r="B6464" s="97"/>
      <c r="C6464" s="98"/>
      <c r="D6464" s="98"/>
      <c r="E6464" s="98"/>
      <c r="F6464" s="220"/>
      <c r="G6464" s="225"/>
      <c r="H6464" s="226"/>
    </row>
    <row r="6465" spans="1:9" s="212" customFormat="1">
      <c r="A6465" s="633"/>
      <c r="B6465" s="633"/>
      <c r="C6465" s="633"/>
      <c r="D6465" s="633"/>
      <c r="E6465" s="633"/>
      <c r="F6465" s="633"/>
      <c r="G6465" s="633"/>
    </row>
    <row r="6466" spans="1:9" s="212" customFormat="1">
      <c r="H6466" s="227"/>
      <c r="I6466" s="228"/>
    </row>
    <row r="6467" spans="1:9" s="212" customFormat="1">
      <c r="A6467" s="658"/>
      <c r="B6467" s="227"/>
      <c r="C6467" s="227"/>
      <c r="D6467" s="227"/>
      <c r="E6467" s="227"/>
      <c r="F6467" s="227"/>
      <c r="G6467" s="227"/>
      <c r="H6467" s="227"/>
      <c r="I6467" s="229"/>
    </row>
    <row r="6468" spans="1:9" s="212" customFormat="1">
      <c r="A6468" s="658"/>
      <c r="B6468" s="227"/>
      <c r="C6468" s="227"/>
      <c r="D6468" s="227"/>
      <c r="E6468" s="227"/>
      <c r="F6468" s="227"/>
      <c r="G6468" s="227"/>
    </row>
    <row r="6469" spans="1:9" s="212" customFormat="1">
      <c r="A6469" s="69"/>
      <c r="B6469" s="69"/>
      <c r="C6469" s="69"/>
      <c r="D6469" s="69"/>
      <c r="E6469" s="69"/>
    </row>
    <row r="6470" spans="1:9" s="212" customFormat="1">
      <c r="A6470" s="120"/>
      <c r="B6470" s="73"/>
      <c r="C6470" s="73"/>
      <c r="D6470" s="73"/>
      <c r="E6470" s="73"/>
      <c r="F6470" s="73"/>
      <c r="G6470" s="73"/>
      <c r="H6470" s="73"/>
    </row>
    <row r="6471" spans="1:9" s="212" customFormat="1">
      <c r="A6471" s="220"/>
      <c r="B6471" s="141"/>
      <c r="C6471" s="141"/>
      <c r="D6471" s="141"/>
      <c r="E6471" s="141"/>
      <c r="F6471" s="141"/>
      <c r="G6471" s="141"/>
      <c r="H6471" s="73"/>
    </row>
    <row r="6472" spans="1:9" s="212" customFormat="1">
      <c r="A6472" s="142"/>
      <c r="B6472" s="143"/>
      <c r="C6472" s="143"/>
      <c r="D6472" s="143"/>
      <c r="E6472" s="143"/>
      <c r="F6472" s="84"/>
      <c r="G6472" s="146"/>
      <c r="H6472" s="221"/>
    </row>
    <row r="6473" spans="1:9" s="212" customFormat="1">
      <c r="A6473" s="84"/>
      <c r="B6473" s="83"/>
      <c r="C6473" s="84"/>
      <c r="D6473" s="84"/>
      <c r="E6473" s="84"/>
      <c r="G6473" s="213"/>
      <c r="H6473" s="222"/>
    </row>
    <row r="6474" spans="1:9" s="212" customFormat="1">
      <c r="A6474" s="120"/>
      <c r="B6474" s="73"/>
      <c r="C6474" s="73"/>
      <c r="D6474" s="73"/>
      <c r="E6474" s="73"/>
      <c r="G6474" s="73"/>
      <c r="H6474" s="222"/>
    </row>
    <row r="6475" spans="1:9" s="212" customFormat="1">
      <c r="A6475" s="220"/>
      <c r="B6475" s="141"/>
      <c r="C6475" s="141"/>
      <c r="D6475" s="141"/>
      <c r="E6475" s="141"/>
      <c r="F6475" s="141"/>
      <c r="G6475" s="141"/>
      <c r="H6475" s="222"/>
    </row>
    <row r="6476" spans="1:9" s="212" customFormat="1">
      <c r="A6476" s="150"/>
      <c r="B6476" s="83"/>
      <c r="C6476" s="148"/>
      <c r="D6476" s="160"/>
      <c r="E6476" s="84"/>
      <c r="F6476" s="84"/>
      <c r="G6476" s="146"/>
      <c r="H6476" s="221"/>
    </row>
    <row r="6477" spans="1:9" s="212" customFormat="1">
      <c r="A6477" s="91"/>
      <c r="B6477" s="91"/>
      <c r="C6477" s="91"/>
      <c r="D6477" s="91"/>
      <c r="E6477" s="91"/>
      <c r="G6477" s="213"/>
      <c r="H6477" s="222"/>
    </row>
    <row r="6478" spans="1:9" s="212" customFormat="1">
      <c r="A6478" s="120"/>
      <c r="B6478" s="73"/>
      <c r="C6478" s="73"/>
      <c r="D6478" s="73"/>
      <c r="E6478" s="73"/>
      <c r="G6478" s="73"/>
      <c r="H6478" s="222"/>
    </row>
    <row r="6479" spans="1:9" s="212" customFormat="1">
      <c r="A6479" s="220"/>
      <c r="B6479" s="141"/>
      <c r="C6479" s="141"/>
      <c r="D6479" s="141"/>
      <c r="E6479" s="141"/>
      <c r="F6479" s="141"/>
      <c r="G6479" s="141"/>
      <c r="H6479" s="222"/>
    </row>
    <row r="6480" spans="1:9" s="212" customFormat="1">
      <c r="A6480" s="142"/>
      <c r="B6480" s="143"/>
      <c r="C6480" s="143"/>
      <c r="D6480" s="143"/>
      <c r="E6480" s="143"/>
      <c r="F6480" s="84"/>
      <c r="G6480" s="146"/>
      <c r="H6480" s="221"/>
    </row>
    <row r="6481" spans="1:9" s="212" customFormat="1">
      <c r="A6481" s="91"/>
      <c r="B6481" s="91"/>
      <c r="C6481" s="91"/>
      <c r="D6481" s="91"/>
      <c r="E6481" s="91"/>
      <c r="G6481" s="213"/>
      <c r="H6481" s="222"/>
    </row>
    <row r="6482" spans="1:9" s="212" customFormat="1">
      <c r="A6482" s="120"/>
      <c r="B6482" s="73"/>
      <c r="C6482" s="73"/>
      <c r="D6482" s="73"/>
      <c r="E6482" s="73"/>
      <c r="G6482" s="73"/>
      <c r="H6482" s="222"/>
    </row>
    <row r="6483" spans="1:9" s="212" customFormat="1">
      <c r="A6483" s="220"/>
      <c r="B6483" s="141"/>
      <c r="C6483" s="141"/>
      <c r="D6483" s="141"/>
      <c r="E6483" s="141"/>
      <c r="F6483" s="141"/>
      <c r="G6483" s="141"/>
      <c r="H6483" s="222"/>
    </row>
    <row r="6484" spans="1:9" s="212" customFormat="1">
      <c r="A6484" s="142"/>
      <c r="B6484" s="143"/>
      <c r="C6484" s="143"/>
      <c r="D6484" s="143"/>
      <c r="E6484" s="143"/>
      <c r="F6484" s="84"/>
      <c r="G6484" s="146"/>
      <c r="H6484" s="221"/>
    </row>
    <row r="6485" spans="1:9" s="212" customFormat="1">
      <c r="A6485" s="123"/>
      <c r="B6485" s="95"/>
      <c r="C6485" s="95"/>
      <c r="D6485" s="95"/>
      <c r="E6485" s="95"/>
      <c r="G6485" s="213"/>
      <c r="H6485" s="73"/>
    </row>
    <row r="6486" spans="1:9" s="212" customFormat="1">
      <c r="A6486" s="123"/>
      <c r="B6486" s="95"/>
      <c r="C6486" s="95"/>
      <c r="D6486" s="95"/>
      <c r="E6486" s="95"/>
      <c r="G6486" s="73"/>
      <c r="H6486" s="225"/>
    </row>
    <row r="6487" spans="1:9" s="212" customFormat="1">
      <c r="B6487" s="97"/>
      <c r="C6487" s="98"/>
      <c r="D6487" s="98"/>
      <c r="E6487" s="98"/>
      <c r="G6487" s="220"/>
    </row>
    <row r="6488" spans="1:9" s="212" customFormat="1">
      <c r="B6488" s="97"/>
      <c r="C6488" s="98"/>
      <c r="D6488" s="98"/>
      <c r="E6488" s="98"/>
      <c r="F6488" s="220"/>
      <c r="G6488" s="225"/>
      <c r="H6488" s="226"/>
    </row>
    <row r="6489" spans="1:9" s="212" customFormat="1">
      <c r="A6489" s="633"/>
      <c r="B6489" s="633"/>
      <c r="C6489" s="633"/>
      <c r="D6489" s="633"/>
      <c r="E6489" s="633"/>
      <c r="F6489" s="633"/>
      <c r="G6489" s="633"/>
    </row>
    <row r="6490" spans="1:9" s="212" customFormat="1">
      <c r="H6490" s="227"/>
      <c r="I6490" s="228"/>
    </row>
    <row r="6491" spans="1:9" s="212" customFormat="1">
      <c r="A6491" s="658"/>
      <c r="B6491" s="227"/>
      <c r="C6491" s="227"/>
      <c r="D6491" s="227"/>
      <c r="E6491" s="227"/>
      <c r="F6491" s="227"/>
      <c r="G6491" s="227"/>
      <c r="H6491" s="227"/>
      <c r="I6491" s="229"/>
    </row>
    <row r="6492" spans="1:9" s="212" customFormat="1">
      <c r="A6492" s="658"/>
      <c r="B6492" s="227"/>
      <c r="C6492" s="227"/>
      <c r="D6492" s="227"/>
      <c r="E6492" s="227"/>
      <c r="F6492" s="227"/>
      <c r="G6492" s="227"/>
    </row>
    <row r="6493" spans="1:9" s="212" customFormat="1">
      <c r="A6493" s="69"/>
      <c r="B6493" s="69"/>
      <c r="C6493" s="69"/>
      <c r="D6493" s="69"/>
      <c r="E6493" s="69"/>
    </row>
    <row r="6494" spans="1:9" s="212" customFormat="1">
      <c r="A6494" s="120"/>
      <c r="B6494" s="73"/>
      <c r="C6494" s="73"/>
      <c r="D6494" s="73"/>
      <c r="E6494" s="73"/>
      <c r="F6494" s="73"/>
      <c r="G6494" s="73"/>
      <c r="H6494" s="73"/>
    </row>
    <row r="6495" spans="1:9" s="212" customFormat="1">
      <c r="A6495" s="220"/>
      <c r="B6495" s="141"/>
      <c r="C6495" s="141"/>
      <c r="D6495" s="141"/>
      <c r="E6495" s="141"/>
      <c r="F6495" s="141"/>
      <c r="G6495" s="141"/>
      <c r="H6495" s="73"/>
    </row>
    <row r="6496" spans="1:9" s="212" customFormat="1">
      <c r="A6496" s="142"/>
      <c r="B6496" s="143"/>
      <c r="C6496" s="143"/>
      <c r="D6496" s="143"/>
      <c r="E6496" s="143"/>
      <c r="F6496" s="84"/>
      <c r="G6496" s="146"/>
      <c r="H6496" s="221"/>
    </row>
    <row r="6497" spans="1:8" s="212" customFormat="1">
      <c r="A6497" s="84"/>
      <c r="B6497" s="83"/>
      <c r="C6497" s="84"/>
      <c r="D6497" s="84"/>
      <c r="E6497" s="84"/>
      <c r="G6497" s="213"/>
      <c r="H6497" s="222"/>
    </row>
    <row r="6498" spans="1:8" s="212" customFormat="1">
      <c r="A6498" s="120"/>
      <c r="B6498" s="73"/>
      <c r="C6498" s="73"/>
      <c r="D6498" s="73"/>
      <c r="E6498" s="73"/>
      <c r="G6498" s="73"/>
      <c r="H6498" s="222"/>
    </row>
    <row r="6499" spans="1:8" s="212" customFormat="1">
      <c r="A6499" s="220"/>
      <c r="B6499" s="141"/>
      <c r="C6499" s="141"/>
      <c r="D6499" s="141"/>
      <c r="E6499" s="141"/>
      <c r="F6499" s="141"/>
      <c r="G6499" s="141"/>
      <c r="H6499" s="222"/>
    </row>
    <row r="6500" spans="1:8" s="212" customFormat="1">
      <c r="A6500" s="150"/>
      <c r="B6500" s="83"/>
      <c r="C6500" s="148"/>
      <c r="D6500" s="160"/>
      <c r="E6500" s="84"/>
      <c r="F6500" s="84"/>
      <c r="G6500" s="146"/>
      <c r="H6500" s="221"/>
    </row>
    <row r="6501" spans="1:8" s="212" customFormat="1">
      <c r="A6501" s="91"/>
      <c r="B6501" s="91"/>
      <c r="C6501" s="91"/>
      <c r="D6501" s="91"/>
      <c r="E6501" s="91"/>
      <c r="G6501" s="213"/>
      <c r="H6501" s="222"/>
    </row>
    <row r="6502" spans="1:8" s="212" customFormat="1">
      <c r="A6502" s="120"/>
      <c r="B6502" s="73"/>
      <c r="C6502" s="73"/>
      <c r="D6502" s="73"/>
      <c r="E6502" s="73"/>
      <c r="G6502" s="73"/>
      <c r="H6502" s="222"/>
    </row>
    <row r="6503" spans="1:8" s="212" customFormat="1">
      <c r="A6503" s="220"/>
      <c r="B6503" s="141"/>
      <c r="C6503" s="141"/>
      <c r="D6503" s="141"/>
      <c r="E6503" s="141"/>
      <c r="F6503" s="141"/>
      <c r="G6503" s="141"/>
      <c r="H6503" s="222"/>
    </row>
    <row r="6504" spans="1:8" s="212" customFormat="1">
      <c r="A6504" s="142"/>
      <c r="B6504" s="143"/>
      <c r="C6504" s="143"/>
      <c r="D6504" s="143"/>
      <c r="E6504" s="143"/>
      <c r="F6504" s="84"/>
      <c r="G6504" s="146"/>
      <c r="H6504" s="221"/>
    </row>
    <row r="6505" spans="1:8" s="212" customFormat="1">
      <c r="A6505" s="91"/>
      <c r="B6505" s="91"/>
      <c r="C6505" s="91"/>
      <c r="D6505" s="91"/>
      <c r="E6505" s="91"/>
      <c r="G6505" s="213"/>
      <c r="H6505" s="222"/>
    </row>
    <row r="6506" spans="1:8" s="212" customFormat="1">
      <c r="A6506" s="120"/>
      <c r="B6506" s="73"/>
      <c r="C6506" s="73"/>
      <c r="D6506" s="73"/>
      <c r="E6506" s="73"/>
      <c r="G6506" s="73"/>
      <c r="H6506" s="222"/>
    </row>
    <row r="6507" spans="1:8" s="212" customFormat="1">
      <c r="A6507" s="220"/>
      <c r="B6507" s="141"/>
      <c r="C6507" s="141"/>
      <c r="D6507" s="141"/>
      <c r="E6507" s="141"/>
      <c r="F6507" s="141"/>
      <c r="G6507" s="141"/>
      <c r="H6507" s="222"/>
    </row>
    <row r="6508" spans="1:8" s="212" customFormat="1">
      <c r="A6508" s="142"/>
      <c r="B6508" s="143"/>
      <c r="C6508" s="143"/>
      <c r="D6508" s="143"/>
      <c r="E6508" s="143"/>
      <c r="F6508" s="84"/>
      <c r="G6508" s="146"/>
      <c r="H6508" s="221"/>
    </row>
    <row r="6509" spans="1:8" s="212" customFormat="1">
      <c r="A6509" s="123"/>
      <c r="B6509" s="95"/>
      <c r="C6509" s="95"/>
      <c r="D6509" s="95"/>
      <c r="E6509" s="95"/>
      <c r="G6509" s="213"/>
      <c r="H6509" s="73"/>
    </row>
    <row r="6510" spans="1:8" s="212" customFormat="1">
      <c r="A6510" s="123"/>
      <c r="B6510" s="95"/>
      <c r="C6510" s="95"/>
      <c r="D6510" s="95"/>
      <c r="E6510" s="95"/>
      <c r="G6510" s="73"/>
      <c r="H6510" s="225"/>
    </row>
    <row r="6511" spans="1:8" s="212" customFormat="1">
      <c r="B6511" s="97"/>
      <c r="C6511" s="98"/>
      <c r="D6511" s="98"/>
      <c r="E6511" s="98"/>
      <c r="G6511" s="220"/>
    </row>
    <row r="6512" spans="1:8" s="212" customFormat="1">
      <c r="B6512" s="97"/>
      <c r="C6512" s="98"/>
      <c r="D6512" s="98"/>
      <c r="E6512" s="98"/>
      <c r="F6512" s="220"/>
      <c r="G6512" s="225"/>
      <c r="H6512" s="226"/>
    </row>
    <row r="6513" spans="1:9" s="212" customFormat="1">
      <c r="A6513" s="633"/>
      <c r="B6513" s="633"/>
      <c r="C6513" s="633"/>
      <c r="D6513" s="633"/>
      <c r="E6513" s="633"/>
      <c r="F6513" s="633"/>
      <c r="G6513" s="633"/>
    </row>
    <row r="6514" spans="1:9" s="212" customFormat="1">
      <c r="H6514" s="227"/>
      <c r="I6514" s="228"/>
    </row>
    <row r="6515" spans="1:9" s="212" customFormat="1">
      <c r="A6515" s="658"/>
      <c r="B6515" s="227"/>
      <c r="C6515" s="227"/>
      <c r="D6515" s="227"/>
      <c r="E6515" s="227"/>
      <c r="F6515" s="227"/>
      <c r="G6515" s="227"/>
      <c r="H6515" s="227"/>
      <c r="I6515" s="229"/>
    </row>
    <row r="6516" spans="1:9" s="212" customFormat="1">
      <c r="A6516" s="658"/>
      <c r="B6516" s="227"/>
      <c r="C6516" s="227"/>
      <c r="D6516" s="227"/>
      <c r="E6516" s="227"/>
      <c r="F6516" s="227"/>
      <c r="G6516" s="227"/>
    </row>
    <row r="6517" spans="1:9" s="212" customFormat="1">
      <c r="A6517" s="69"/>
      <c r="B6517" s="69"/>
      <c r="C6517" s="69"/>
      <c r="D6517" s="69"/>
      <c r="E6517" s="69"/>
    </row>
    <row r="6518" spans="1:9" s="212" customFormat="1">
      <c r="A6518" s="120"/>
      <c r="B6518" s="73"/>
      <c r="C6518" s="73"/>
      <c r="D6518" s="73"/>
      <c r="E6518" s="73"/>
      <c r="F6518" s="73"/>
      <c r="G6518" s="73"/>
      <c r="H6518" s="73"/>
    </row>
    <row r="6519" spans="1:9" s="212" customFormat="1">
      <c r="A6519" s="220"/>
      <c r="B6519" s="141"/>
      <c r="C6519" s="141"/>
      <c r="D6519" s="141"/>
      <c r="E6519" s="141"/>
      <c r="F6519" s="141"/>
      <c r="G6519" s="141"/>
      <c r="H6519" s="73"/>
    </row>
    <row r="6520" spans="1:9" s="212" customFormat="1">
      <c r="A6520" s="142"/>
      <c r="B6520" s="143"/>
      <c r="C6520" s="143"/>
      <c r="D6520" s="143"/>
      <c r="E6520" s="143"/>
      <c r="F6520" s="84"/>
      <c r="G6520" s="146"/>
      <c r="H6520" s="221"/>
    </row>
    <row r="6521" spans="1:9" s="212" customFormat="1">
      <c r="A6521" s="84"/>
      <c r="B6521" s="83"/>
      <c r="C6521" s="84"/>
      <c r="D6521" s="84"/>
      <c r="E6521" s="84"/>
      <c r="G6521" s="213"/>
      <c r="H6521" s="222"/>
    </row>
    <row r="6522" spans="1:9" s="212" customFormat="1">
      <c r="A6522" s="120"/>
      <c r="B6522" s="73"/>
      <c r="C6522" s="73"/>
      <c r="D6522" s="73"/>
      <c r="E6522" s="73"/>
      <c r="G6522" s="73"/>
      <c r="H6522" s="222"/>
    </row>
    <row r="6523" spans="1:9" s="212" customFormat="1">
      <c r="A6523" s="220"/>
      <c r="B6523" s="141"/>
      <c r="C6523" s="141"/>
      <c r="D6523" s="141"/>
      <c r="E6523" s="141"/>
      <c r="F6523" s="141"/>
      <c r="G6523" s="141"/>
      <c r="H6523" s="222"/>
    </row>
    <row r="6524" spans="1:9" s="212" customFormat="1">
      <c r="A6524" s="150"/>
      <c r="B6524" s="83"/>
      <c r="C6524" s="148"/>
      <c r="D6524" s="160"/>
      <c r="E6524" s="84"/>
      <c r="F6524" s="84"/>
      <c r="G6524" s="146"/>
      <c r="H6524" s="221"/>
    </row>
    <row r="6525" spans="1:9" s="212" customFormat="1">
      <c r="A6525" s="91"/>
      <c r="B6525" s="91"/>
      <c r="C6525" s="91"/>
      <c r="D6525" s="91"/>
      <c r="E6525" s="91"/>
      <c r="G6525" s="213"/>
      <c r="H6525" s="222"/>
    </row>
    <row r="6526" spans="1:9" s="212" customFormat="1">
      <c r="A6526" s="120"/>
      <c r="B6526" s="73"/>
      <c r="C6526" s="73"/>
      <c r="D6526" s="73"/>
      <c r="E6526" s="73"/>
      <c r="G6526" s="73"/>
      <c r="H6526" s="222"/>
    </row>
    <row r="6527" spans="1:9" s="212" customFormat="1">
      <c r="A6527" s="220"/>
      <c r="B6527" s="141"/>
      <c r="C6527" s="141"/>
      <c r="D6527" s="141"/>
      <c r="E6527" s="141"/>
      <c r="F6527" s="141"/>
      <c r="G6527" s="141"/>
      <c r="H6527" s="222"/>
    </row>
    <row r="6528" spans="1:9" s="212" customFormat="1">
      <c r="A6528" s="142"/>
      <c r="B6528" s="143"/>
      <c r="C6528" s="143"/>
      <c r="D6528" s="143"/>
      <c r="E6528" s="143"/>
      <c r="F6528" s="84"/>
      <c r="G6528" s="146"/>
      <c r="H6528" s="221"/>
    </row>
    <row r="6529" spans="1:9" s="212" customFormat="1">
      <c r="A6529" s="91"/>
      <c r="B6529" s="91"/>
      <c r="C6529" s="91"/>
      <c r="D6529" s="91"/>
      <c r="E6529" s="91"/>
      <c r="G6529" s="213"/>
      <c r="H6529" s="222"/>
    </row>
    <row r="6530" spans="1:9" s="212" customFormat="1">
      <c r="A6530" s="120"/>
      <c r="B6530" s="73"/>
      <c r="C6530" s="73"/>
      <c r="D6530" s="73"/>
      <c r="E6530" s="73"/>
      <c r="G6530" s="73"/>
      <c r="H6530" s="222"/>
    </row>
    <row r="6531" spans="1:9" s="212" customFormat="1">
      <c r="A6531" s="220"/>
      <c r="B6531" s="141"/>
      <c r="C6531" s="141"/>
      <c r="D6531" s="141"/>
      <c r="E6531" s="141"/>
      <c r="F6531" s="141"/>
      <c r="G6531" s="141"/>
      <c r="H6531" s="222"/>
    </row>
    <row r="6532" spans="1:9" s="212" customFormat="1">
      <c r="A6532" s="142"/>
      <c r="B6532" s="143"/>
      <c r="C6532" s="143"/>
      <c r="D6532" s="143"/>
      <c r="E6532" s="143"/>
      <c r="F6532" s="84"/>
      <c r="G6532" s="146"/>
      <c r="H6532" s="221"/>
    </row>
    <row r="6533" spans="1:9" s="212" customFormat="1">
      <c r="A6533" s="123"/>
      <c r="B6533" s="95"/>
      <c r="C6533" s="95"/>
      <c r="D6533" s="95"/>
      <c r="E6533" s="95"/>
      <c r="G6533" s="213"/>
      <c r="H6533" s="73"/>
    </row>
    <row r="6534" spans="1:9" s="212" customFormat="1">
      <c r="A6534" s="123"/>
      <c r="B6534" s="95"/>
      <c r="C6534" s="95"/>
      <c r="D6534" s="95"/>
      <c r="E6534" s="95"/>
      <c r="G6534" s="73"/>
      <c r="H6534" s="225"/>
    </row>
    <row r="6535" spans="1:9" s="212" customFormat="1">
      <c r="B6535" s="97"/>
      <c r="C6535" s="98"/>
      <c r="D6535" s="98"/>
      <c r="E6535" s="98"/>
      <c r="G6535" s="220"/>
    </row>
    <row r="6536" spans="1:9" s="212" customFormat="1">
      <c r="B6536" s="97"/>
      <c r="C6536" s="98"/>
      <c r="D6536" s="98"/>
      <c r="E6536" s="98"/>
      <c r="F6536" s="220"/>
      <c r="G6536" s="225"/>
      <c r="H6536" s="226"/>
    </row>
    <row r="6537" spans="1:9" s="212" customFormat="1">
      <c r="A6537" s="633"/>
      <c r="B6537" s="633"/>
      <c r="C6537" s="633"/>
      <c r="D6537" s="633"/>
      <c r="E6537" s="633"/>
      <c r="F6537" s="633"/>
      <c r="G6537" s="633"/>
    </row>
    <row r="6538" spans="1:9" s="212" customFormat="1" ht="18.75" customHeight="1">
      <c r="H6538" s="227"/>
      <c r="I6538" s="228"/>
    </row>
    <row r="6539" spans="1:9" s="212" customFormat="1">
      <c r="A6539" s="658"/>
      <c r="B6539" s="227"/>
      <c r="C6539" s="227"/>
      <c r="D6539" s="227"/>
      <c r="E6539" s="227"/>
      <c r="F6539" s="227"/>
      <c r="G6539" s="227"/>
      <c r="H6539" s="227"/>
      <c r="I6539" s="229"/>
    </row>
    <row r="6540" spans="1:9" s="212" customFormat="1">
      <c r="A6540" s="658"/>
      <c r="B6540" s="227"/>
      <c r="C6540" s="227"/>
      <c r="D6540" s="227"/>
      <c r="E6540" s="227"/>
      <c r="F6540" s="227"/>
      <c r="G6540" s="227"/>
    </row>
    <row r="6541" spans="1:9" s="212" customFormat="1">
      <c r="A6541" s="69"/>
      <c r="B6541" s="69"/>
      <c r="C6541" s="69"/>
      <c r="D6541" s="69"/>
      <c r="E6541" s="69"/>
    </row>
    <row r="6542" spans="1:9" s="212" customFormat="1">
      <c r="A6542" s="120"/>
      <c r="B6542" s="73"/>
      <c r="C6542" s="73"/>
      <c r="D6542" s="73"/>
      <c r="E6542" s="73"/>
      <c r="F6542" s="73"/>
      <c r="G6542" s="73"/>
      <c r="H6542" s="73"/>
    </row>
    <row r="6543" spans="1:9" s="212" customFormat="1">
      <c r="A6543" s="220"/>
      <c r="B6543" s="141"/>
      <c r="C6543" s="141"/>
      <c r="D6543" s="141"/>
      <c r="E6543" s="141"/>
      <c r="F6543" s="141"/>
      <c r="G6543" s="141"/>
      <c r="H6543" s="73"/>
    </row>
    <row r="6544" spans="1:9" s="212" customFormat="1">
      <c r="A6544" s="142"/>
      <c r="B6544" s="143"/>
      <c r="C6544" s="143"/>
      <c r="D6544" s="143"/>
      <c r="E6544" s="143"/>
      <c r="F6544" s="84"/>
      <c r="G6544" s="146"/>
      <c r="H6544" s="221"/>
    </row>
    <row r="6545" spans="1:8" s="212" customFormat="1">
      <c r="A6545" s="84"/>
      <c r="B6545" s="83"/>
      <c r="C6545" s="84"/>
      <c r="D6545" s="84"/>
      <c r="E6545" s="84"/>
      <c r="G6545" s="213"/>
      <c r="H6545" s="222"/>
    </row>
    <row r="6546" spans="1:8" s="212" customFormat="1">
      <c r="A6546" s="120"/>
      <c r="B6546" s="73"/>
      <c r="C6546" s="73"/>
      <c r="D6546" s="73"/>
      <c r="E6546" s="73"/>
      <c r="G6546" s="73"/>
      <c r="H6546" s="222"/>
    </row>
    <row r="6547" spans="1:8" s="212" customFormat="1">
      <c r="A6547" s="220"/>
      <c r="B6547" s="141"/>
      <c r="C6547" s="141"/>
      <c r="D6547" s="141"/>
      <c r="E6547" s="141"/>
      <c r="F6547" s="141"/>
      <c r="G6547" s="141"/>
      <c r="H6547" s="222"/>
    </row>
    <row r="6548" spans="1:8" s="212" customFormat="1">
      <c r="A6548" s="150"/>
      <c r="B6548" s="83"/>
      <c r="C6548" s="148"/>
      <c r="D6548" s="160"/>
      <c r="E6548" s="84"/>
      <c r="F6548" s="84"/>
      <c r="G6548" s="146"/>
      <c r="H6548" s="221"/>
    </row>
    <row r="6549" spans="1:8" s="212" customFormat="1">
      <c r="A6549" s="91"/>
      <c r="B6549" s="91"/>
      <c r="C6549" s="91"/>
      <c r="D6549" s="91"/>
      <c r="E6549" s="91"/>
      <c r="G6549" s="213"/>
      <c r="H6549" s="222"/>
    </row>
    <row r="6550" spans="1:8" s="212" customFormat="1">
      <c r="A6550" s="120"/>
      <c r="B6550" s="73"/>
      <c r="C6550" s="73"/>
      <c r="D6550" s="73"/>
      <c r="E6550" s="73"/>
      <c r="G6550" s="73"/>
      <c r="H6550" s="222"/>
    </row>
    <row r="6551" spans="1:8" s="212" customFormat="1">
      <c r="A6551" s="220"/>
      <c r="B6551" s="141"/>
      <c r="C6551" s="141"/>
      <c r="D6551" s="141"/>
      <c r="E6551" s="141"/>
      <c r="F6551" s="141"/>
      <c r="G6551" s="141"/>
      <c r="H6551" s="222"/>
    </row>
    <row r="6552" spans="1:8" s="212" customFormat="1">
      <c r="A6552" s="142"/>
      <c r="B6552" s="143"/>
      <c r="C6552" s="143"/>
      <c r="D6552" s="143"/>
      <c r="E6552" s="143"/>
      <c r="F6552" s="84"/>
      <c r="G6552" s="146"/>
      <c r="H6552" s="221"/>
    </row>
    <row r="6553" spans="1:8" s="212" customFormat="1">
      <c r="A6553" s="91"/>
      <c r="B6553" s="91"/>
      <c r="C6553" s="91"/>
      <c r="D6553" s="91"/>
      <c r="E6553" s="91"/>
      <c r="G6553" s="213"/>
      <c r="H6553" s="222"/>
    </row>
    <row r="6554" spans="1:8" s="212" customFormat="1">
      <c r="A6554" s="120"/>
      <c r="B6554" s="73"/>
      <c r="C6554" s="73"/>
      <c r="D6554" s="73"/>
      <c r="E6554" s="73"/>
      <c r="G6554" s="73"/>
      <c r="H6554" s="222"/>
    </row>
    <row r="6555" spans="1:8" s="212" customFormat="1">
      <c r="A6555" s="220"/>
      <c r="B6555" s="141"/>
      <c r="C6555" s="141"/>
      <c r="D6555" s="141"/>
      <c r="E6555" s="141"/>
      <c r="F6555" s="141"/>
      <c r="G6555" s="141"/>
      <c r="H6555" s="222"/>
    </row>
    <row r="6556" spans="1:8" s="212" customFormat="1">
      <c r="A6556" s="142"/>
      <c r="B6556" s="143"/>
      <c r="C6556" s="143"/>
      <c r="D6556" s="143"/>
      <c r="E6556" s="143"/>
      <c r="F6556" s="84"/>
      <c r="G6556" s="146"/>
      <c r="H6556" s="221"/>
    </row>
    <row r="6557" spans="1:8" s="212" customFormat="1">
      <c r="A6557" s="123"/>
      <c r="B6557" s="95"/>
      <c r="C6557" s="95"/>
      <c r="D6557" s="95"/>
      <c r="E6557" s="95"/>
      <c r="G6557" s="213"/>
      <c r="H6557" s="73"/>
    </row>
    <row r="6558" spans="1:8" s="212" customFormat="1">
      <c r="A6558" s="123"/>
      <c r="B6558" s="95"/>
      <c r="C6558" s="95"/>
      <c r="D6558" s="95"/>
      <c r="E6558" s="95"/>
      <c r="G6558" s="73"/>
      <c r="H6558" s="225"/>
    </row>
    <row r="6559" spans="1:8" s="212" customFormat="1">
      <c r="B6559" s="97"/>
      <c r="C6559" s="98"/>
      <c r="D6559" s="98"/>
      <c r="E6559" s="98"/>
      <c r="G6559" s="220"/>
    </row>
    <row r="6560" spans="1:8" s="212" customFormat="1">
      <c r="B6560" s="97"/>
      <c r="C6560" s="98"/>
      <c r="D6560" s="98"/>
      <c r="E6560" s="98"/>
      <c r="F6560" s="220"/>
      <c r="G6560" s="225"/>
      <c r="H6560" s="226"/>
    </row>
    <row r="6561" spans="1:9" s="212" customFormat="1">
      <c r="A6561" s="633"/>
      <c r="B6561" s="633"/>
      <c r="C6561" s="633"/>
      <c r="D6561" s="633"/>
      <c r="E6561" s="633"/>
      <c r="F6561" s="633"/>
      <c r="G6561" s="633"/>
    </row>
    <row r="6562" spans="1:9" s="212" customFormat="1">
      <c r="H6562" s="227"/>
      <c r="I6562" s="228"/>
    </row>
    <row r="6563" spans="1:9" s="212" customFormat="1">
      <c r="A6563" s="658"/>
      <c r="B6563" s="227"/>
      <c r="C6563" s="227"/>
      <c r="D6563" s="227"/>
      <c r="E6563" s="227"/>
      <c r="F6563" s="227"/>
      <c r="G6563" s="227"/>
      <c r="H6563" s="227"/>
      <c r="I6563" s="229"/>
    </row>
    <row r="6564" spans="1:9" s="212" customFormat="1">
      <c r="A6564" s="658"/>
      <c r="B6564" s="227"/>
      <c r="C6564" s="227"/>
      <c r="D6564" s="227"/>
      <c r="E6564" s="227"/>
      <c r="F6564" s="227"/>
      <c r="G6564" s="227"/>
    </row>
    <row r="6565" spans="1:9" s="212" customFormat="1">
      <c r="A6565" s="69"/>
      <c r="B6565" s="69"/>
      <c r="C6565" s="69"/>
      <c r="D6565" s="69"/>
      <c r="E6565" s="69"/>
    </row>
    <row r="6566" spans="1:9" s="212" customFormat="1">
      <c r="A6566" s="120"/>
      <c r="B6566" s="73"/>
      <c r="C6566" s="73"/>
      <c r="D6566" s="73"/>
      <c r="E6566" s="73"/>
      <c r="F6566" s="73"/>
      <c r="G6566" s="73"/>
      <c r="H6566" s="73"/>
    </row>
    <row r="6567" spans="1:9" s="212" customFormat="1">
      <c r="A6567" s="220"/>
      <c r="B6567" s="141"/>
      <c r="C6567" s="141"/>
      <c r="D6567" s="141"/>
      <c r="E6567" s="141"/>
      <c r="F6567" s="141"/>
      <c r="G6567" s="141"/>
      <c r="H6567" s="73"/>
    </row>
    <row r="6568" spans="1:9" s="212" customFormat="1">
      <c r="A6568" s="142"/>
      <c r="B6568" s="143"/>
      <c r="C6568" s="143"/>
      <c r="D6568" s="143"/>
      <c r="E6568" s="143"/>
      <c r="F6568" s="84"/>
      <c r="G6568" s="146"/>
      <c r="H6568" s="221"/>
    </row>
    <row r="6569" spans="1:9" s="212" customFormat="1">
      <c r="A6569" s="84"/>
      <c r="B6569" s="83"/>
      <c r="C6569" s="84"/>
      <c r="D6569" s="84"/>
      <c r="E6569" s="84"/>
      <c r="G6569" s="213"/>
      <c r="H6569" s="222"/>
    </row>
    <row r="6570" spans="1:9" s="212" customFormat="1">
      <c r="A6570" s="120"/>
      <c r="B6570" s="73"/>
      <c r="C6570" s="73"/>
      <c r="D6570" s="73"/>
      <c r="E6570" s="73"/>
      <c r="G6570" s="73"/>
      <c r="H6570" s="222"/>
    </row>
    <row r="6571" spans="1:9" s="212" customFormat="1">
      <c r="A6571" s="220"/>
      <c r="B6571" s="141"/>
      <c r="C6571" s="141"/>
      <c r="D6571" s="141"/>
      <c r="E6571" s="141"/>
      <c r="F6571" s="141"/>
      <c r="G6571" s="141"/>
      <c r="H6571" s="222"/>
    </row>
    <row r="6572" spans="1:9" s="212" customFormat="1">
      <c r="A6572" s="150"/>
      <c r="B6572" s="83"/>
      <c r="C6572" s="148"/>
      <c r="D6572" s="160"/>
      <c r="E6572" s="84"/>
      <c r="F6572" s="84"/>
      <c r="G6572" s="146"/>
      <c r="H6572" s="221"/>
    </row>
    <row r="6573" spans="1:9" s="212" customFormat="1">
      <c r="A6573" s="91"/>
      <c r="B6573" s="91"/>
      <c r="C6573" s="91"/>
      <c r="D6573" s="91"/>
      <c r="E6573" s="91"/>
      <c r="G6573" s="213"/>
      <c r="H6573" s="222"/>
    </row>
    <row r="6574" spans="1:9" s="212" customFormat="1">
      <c r="A6574" s="120"/>
      <c r="B6574" s="73"/>
      <c r="C6574" s="73"/>
      <c r="D6574" s="73"/>
      <c r="E6574" s="73"/>
      <c r="G6574" s="73"/>
      <c r="H6574" s="222"/>
    </row>
    <row r="6575" spans="1:9" s="212" customFormat="1">
      <c r="A6575" s="220"/>
      <c r="B6575" s="141"/>
      <c r="C6575" s="141"/>
      <c r="D6575" s="141"/>
      <c r="E6575" s="141"/>
      <c r="F6575" s="141"/>
      <c r="G6575" s="141"/>
      <c r="H6575" s="222"/>
    </row>
    <row r="6576" spans="1:9" s="212" customFormat="1">
      <c r="A6576" s="142"/>
      <c r="B6576" s="143"/>
      <c r="C6576" s="143"/>
      <c r="D6576" s="143"/>
      <c r="E6576" s="143"/>
      <c r="F6576" s="84"/>
      <c r="G6576" s="146"/>
      <c r="H6576" s="221"/>
    </row>
    <row r="6577" spans="1:9" s="212" customFormat="1">
      <c r="A6577" s="91"/>
      <c r="B6577" s="91"/>
      <c r="C6577" s="91"/>
      <c r="D6577" s="91"/>
      <c r="E6577" s="91"/>
      <c r="G6577" s="213"/>
      <c r="H6577" s="222"/>
    </row>
    <row r="6578" spans="1:9" s="212" customFormat="1">
      <c r="A6578" s="120"/>
      <c r="B6578" s="73"/>
      <c r="C6578" s="73"/>
      <c r="D6578" s="73"/>
      <c r="E6578" s="73"/>
      <c r="G6578" s="73"/>
      <c r="H6578" s="222"/>
    </row>
    <row r="6579" spans="1:9" s="212" customFormat="1">
      <c r="A6579" s="220"/>
      <c r="B6579" s="141"/>
      <c r="C6579" s="141"/>
      <c r="D6579" s="141"/>
      <c r="E6579" s="141"/>
      <c r="F6579" s="141"/>
      <c r="G6579" s="141"/>
      <c r="H6579" s="222"/>
    </row>
    <row r="6580" spans="1:9" s="212" customFormat="1">
      <c r="A6580" s="142"/>
      <c r="B6580" s="143"/>
      <c r="C6580" s="143"/>
      <c r="D6580" s="143"/>
      <c r="E6580" s="143"/>
      <c r="F6580" s="84"/>
      <c r="G6580" s="146"/>
      <c r="H6580" s="221"/>
    </row>
    <row r="6581" spans="1:9" s="212" customFormat="1">
      <c r="A6581" s="123"/>
      <c r="B6581" s="95"/>
      <c r="C6581" s="95"/>
      <c r="D6581" s="95"/>
      <c r="E6581" s="95"/>
      <c r="G6581" s="213"/>
      <c r="H6581" s="73"/>
    </row>
    <row r="6582" spans="1:9" s="212" customFormat="1">
      <c r="A6582" s="123"/>
      <c r="B6582" s="95"/>
      <c r="C6582" s="95"/>
      <c r="D6582" s="95"/>
      <c r="E6582" s="95"/>
      <c r="G6582" s="73"/>
      <c r="H6582" s="225"/>
    </row>
    <row r="6583" spans="1:9" s="212" customFormat="1">
      <c r="B6583" s="97"/>
      <c r="C6583" s="98"/>
      <c r="D6583" s="98"/>
      <c r="E6583" s="98"/>
      <c r="G6583" s="220"/>
    </row>
    <row r="6584" spans="1:9" s="212" customFormat="1">
      <c r="B6584" s="97"/>
      <c r="C6584" s="98"/>
      <c r="D6584" s="98"/>
      <c r="E6584" s="98"/>
      <c r="F6584" s="220"/>
      <c r="G6584" s="225"/>
      <c r="H6584" s="226"/>
    </row>
    <row r="6585" spans="1:9" s="212" customFormat="1">
      <c r="A6585" s="633"/>
      <c r="B6585" s="633"/>
      <c r="C6585" s="633"/>
      <c r="D6585" s="633"/>
      <c r="E6585" s="633"/>
      <c r="F6585" s="633"/>
      <c r="G6585" s="633"/>
    </row>
    <row r="6586" spans="1:9" s="212" customFormat="1">
      <c r="H6586" s="227"/>
      <c r="I6586" s="228"/>
    </row>
    <row r="6587" spans="1:9" s="212" customFormat="1">
      <c r="A6587" s="658"/>
      <c r="B6587" s="227"/>
      <c r="C6587" s="227"/>
      <c r="D6587" s="227"/>
      <c r="E6587" s="227"/>
      <c r="F6587" s="227"/>
      <c r="G6587" s="227"/>
      <c r="H6587" s="227"/>
      <c r="I6587" s="229"/>
    </row>
    <row r="6588" spans="1:9" s="212" customFormat="1">
      <c r="A6588" s="658"/>
      <c r="B6588" s="227"/>
      <c r="C6588" s="227"/>
      <c r="D6588" s="227"/>
      <c r="E6588" s="227"/>
      <c r="F6588" s="227"/>
      <c r="G6588" s="227"/>
    </row>
    <row r="6589" spans="1:9" s="212" customFormat="1">
      <c r="A6589" s="69"/>
      <c r="B6589" s="69"/>
      <c r="C6589" s="69"/>
      <c r="D6589" s="69"/>
      <c r="E6589" s="69"/>
    </row>
    <row r="6590" spans="1:9" s="212" customFormat="1">
      <c r="A6590" s="120"/>
      <c r="B6590" s="73"/>
      <c r="C6590" s="73"/>
      <c r="D6590" s="73"/>
      <c r="E6590" s="73"/>
      <c r="F6590" s="73"/>
      <c r="G6590" s="73"/>
      <c r="H6590" s="73"/>
    </row>
    <row r="6591" spans="1:9" s="212" customFormat="1">
      <c r="A6591" s="220"/>
      <c r="B6591" s="141"/>
      <c r="C6591" s="141"/>
      <c r="D6591" s="141"/>
      <c r="E6591" s="141"/>
      <c r="F6591" s="141"/>
      <c r="G6591" s="141"/>
      <c r="H6591" s="73"/>
    </row>
    <row r="6592" spans="1:9" s="212" customFormat="1">
      <c r="A6592" s="84"/>
      <c r="B6592" s="83"/>
      <c r="C6592" s="84"/>
      <c r="D6592" s="84"/>
      <c r="E6592" s="84"/>
      <c r="F6592" s="84"/>
      <c r="G6592" s="146"/>
      <c r="H6592" s="225"/>
    </row>
    <row r="6593" spans="1:8" s="212" customFormat="1">
      <c r="A6593" s="84"/>
      <c r="B6593" s="83"/>
      <c r="C6593" s="84"/>
      <c r="D6593" s="84"/>
      <c r="E6593" s="84"/>
      <c r="G6593" s="213"/>
      <c r="H6593" s="222"/>
    </row>
    <row r="6594" spans="1:8" s="212" customFormat="1">
      <c r="A6594" s="120"/>
      <c r="B6594" s="73"/>
      <c r="C6594" s="73"/>
      <c r="D6594" s="73"/>
      <c r="E6594" s="73"/>
      <c r="G6594" s="73"/>
      <c r="H6594" s="222"/>
    </row>
    <row r="6595" spans="1:8" s="212" customFormat="1">
      <c r="A6595" s="220"/>
      <c r="B6595" s="141"/>
      <c r="C6595" s="141"/>
      <c r="D6595" s="141"/>
      <c r="E6595" s="141"/>
      <c r="F6595" s="141"/>
      <c r="G6595" s="141"/>
      <c r="H6595" s="222"/>
    </row>
    <row r="6596" spans="1:8" s="212" customFormat="1">
      <c r="A6596" s="84"/>
      <c r="B6596" s="83"/>
      <c r="C6596" s="84"/>
      <c r="D6596" s="84"/>
      <c r="E6596" s="84"/>
      <c r="F6596" s="141"/>
      <c r="G6596" s="168"/>
      <c r="H6596" s="222"/>
    </row>
    <row r="6597" spans="1:8" s="212" customFormat="1">
      <c r="A6597" s="150"/>
      <c r="B6597" s="83"/>
      <c r="C6597" s="148"/>
      <c r="D6597" s="84"/>
      <c r="E6597" s="84"/>
      <c r="F6597" s="141"/>
      <c r="G6597" s="168"/>
      <c r="H6597" s="222"/>
    </row>
    <row r="6598" spans="1:8" s="212" customFormat="1">
      <c r="A6598" s="150"/>
      <c r="B6598" s="83"/>
      <c r="C6598" s="148"/>
      <c r="D6598" s="84"/>
      <c r="E6598" s="84"/>
      <c r="F6598" s="141"/>
      <c r="G6598" s="168"/>
      <c r="H6598" s="222"/>
    </row>
    <row r="6599" spans="1:8" s="212" customFormat="1">
      <c r="A6599" s="150"/>
      <c r="B6599" s="83"/>
      <c r="C6599" s="148"/>
      <c r="D6599" s="84"/>
      <c r="E6599" s="84"/>
      <c r="F6599" s="84"/>
      <c r="G6599" s="168"/>
      <c r="H6599" s="225"/>
    </row>
    <row r="6600" spans="1:8" s="212" customFormat="1">
      <c r="A6600" s="91"/>
      <c r="B6600" s="91"/>
      <c r="C6600" s="91"/>
      <c r="D6600" s="91"/>
      <c r="E6600" s="91"/>
      <c r="G6600" s="213"/>
      <c r="H6600" s="222"/>
    </row>
    <row r="6601" spans="1:8" s="212" customFormat="1">
      <c r="A6601" s="120"/>
      <c r="B6601" s="73"/>
      <c r="C6601" s="73"/>
      <c r="D6601" s="73"/>
      <c r="E6601" s="73"/>
      <c r="G6601" s="73"/>
      <c r="H6601" s="222"/>
    </row>
    <row r="6602" spans="1:8" s="212" customFormat="1">
      <c r="A6602" s="220"/>
      <c r="B6602" s="141"/>
      <c r="C6602" s="141"/>
      <c r="D6602" s="141"/>
      <c r="E6602" s="141"/>
      <c r="F6602" s="141"/>
      <c r="G6602" s="141"/>
      <c r="H6602" s="222"/>
    </row>
    <row r="6603" spans="1:8" s="212" customFormat="1">
      <c r="A6603" s="146"/>
      <c r="B6603" s="147"/>
      <c r="C6603" s="148"/>
      <c r="D6603" s="84"/>
      <c r="E6603" s="143"/>
      <c r="F6603" s="84"/>
      <c r="G6603" s="146"/>
      <c r="H6603" s="225"/>
    </row>
    <row r="6604" spans="1:8" s="212" customFormat="1">
      <c r="A6604" s="91"/>
      <c r="B6604" s="91"/>
      <c r="C6604" s="91"/>
      <c r="D6604" s="91"/>
      <c r="E6604" s="91"/>
      <c r="G6604" s="213"/>
      <c r="H6604" s="222"/>
    </row>
    <row r="6605" spans="1:8" s="212" customFormat="1">
      <c r="A6605" s="120"/>
      <c r="B6605" s="73"/>
      <c r="C6605" s="73"/>
      <c r="D6605" s="73"/>
      <c r="E6605" s="73"/>
      <c r="G6605" s="73"/>
      <c r="H6605" s="222"/>
    </row>
    <row r="6606" spans="1:8" s="212" customFormat="1">
      <c r="A6606" s="220"/>
      <c r="B6606" s="141"/>
      <c r="C6606" s="141"/>
      <c r="D6606" s="141"/>
      <c r="E6606" s="141"/>
      <c r="F6606" s="141"/>
      <c r="G6606" s="141"/>
      <c r="H6606" s="222"/>
    </row>
    <row r="6607" spans="1:8" s="212" customFormat="1">
      <c r="A6607" s="142"/>
      <c r="B6607" s="143"/>
      <c r="C6607" s="143"/>
      <c r="D6607" s="143"/>
      <c r="E6607" s="143"/>
      <c r="F6607" s="84"/>
      <c r="G6607" s="146"/>
      <c r="H6607" s="221"/>
    </row>
    <row r="6608" spans="1:8" s="212" customFormat="1">
      <c r="A6608" s="123"/>
      <c r="B6608" s="95"/>
      <c r="C6608" s="95"/>
      <c r="D6608" s="95"/>
      <c r="E6608" s="95"/>
      <c r="G6608" s="213"/>
      <c r="H6608" s="73"/>
    </row>
    <row r="6609" spans="1:9" s="212" customFormat="1">
      <c r="A6609" s="123"/>
      <c r="B6609" s="95"/>
      <c r="C6609" s="95"/>
      <c r="D6609" s="95"/>
      <c r="E6609" s="95"/>
      <c r="G6609" s="73"/>
      <c r="H6609" s="225"/>
    </row>
    <row r="6610" spans="1:9" s="212" customFormat="1">
      <c r="B6610" s="97"/>
      <c r="C6610" s="98"/>
      <c r="D6610" s="98"/>
      <c r="E6610" s="98"/>
      <c r="G6610" s="220"/>
    </row>
    <row r="6611" spans="1:9" s="212" customFormat="1">
      <c r="B6611" s="97"/>
      <c r="C6611" s="98"/>
      <c r="D6611" s="98"/>
      <c r="E6611" s="98"/>
      <c r="F6611" s="220"/>
      <c r="G6611" s="225"/>
      <c r="H6611" s="226"/>
    </row>
    <row r="6612" spans="1:9" s="212" customFormat="1">
      <c r="A6612" s="633"/>
      <c r="B6612" s="633"/>
      <c r="C6612" s="633"/>
      <c r="D6612" s="633"/>
      <c r="E6612" s="633"/>
      <c r="F6612" s="633"/>
      <c r="G6612" s="633"/>
    </row>
    <row r="6613" spans="1:9" s="212" customFormat="1">
      <c r="H6613" s="227"/>
      <c r="I6613" s="228"/>
    </row>
    <row r="6614" spans="1:9" s="212" customFormat="1">
      <c r="A6614" s="658"/>
      <c r="B6614" s="227"/>
      <c r="C6614" s="227"/>
      <c r="D6614" s="227"/>
      <c r="E6614" s="227"/>
      <c r="F6614" s="227"/>
      <c r="G6614" s="227"/>
      <c r="H6614" s="227"/>
      <c r="I6614" s="229"/>
    </row>
    <row r="6615" spans="1:9" s="212" customFormat="1">
      <c r="A6615" s="658"/>
      <c r="B6615" s="227"/>
      <c r="C6615" s="227"/>
      <c r="D6615" s="227"/>
      <c r="E6615" s="227"/>
      <c r="F6615" s="227"/>
      <c r="G6615" s="227"/>
    </row>
    <row r="6616" spans="1:9" s="212" customFormat="1">
      <c r="A6616" s="69"/>
      <c r="B6616" s="69"/>
      <c r="C6616" s="69"/>
      <c r="D6616" s="69"/>
      <c r="E6616" s="69"/>
    </row>
    <row r="6617" spans="1:9" s="212" customFormat="1">
      <c r="A6617" s="120"/>
      <c r="B6617" s="73"/>
      <c r="C6617" s="73"/>
      <c r="D6617" s="73"/>
      <c r="E6617" s="73"/>
      <c r="F6617" s="73"/>
      <c r="G6617" s="73"/>
      <c r="H6617" s="73"/>
    </row>
    <row r="6618" spans="1:9" s="212" customFormat="1">
      <c r="A6618" s="220"/>
      <c r="B6618" s="141"/>
      <c r="C6618" s="141"/>
      <c r="D6618" s="141"/>
      <c r="E6618" s="141"/>
      <c r="F6618" s="141"/>
      <c r="G6618" s="141"/>
      <c r="H6618" s="73"/>
    </row>
    <row r="6619" spans="1:9" s="212" customFormat="1">
      <c r="A6619" s="84"/>
      <c r="B6619" s="83"/>
      <c r="C6619" s="84"/>
      <c r="D6619" s="84"/>
      <c r="E6619" s="84"/>
      <c r="F6619" s="84"/>
      <c r="G6619" s="146"/>
      <c r="H6619" s="225"/>
    </row>
    <row r="6620" spans="1:9" s="212" customFormat="1">
      <c r="A6620" s="84"/>
      <c r="B6620" s="83"/>
      <c r="C6620" s="84"/>
      <c r="D6620" s="84"/>
      <c r="E6620" s="84"/>
      <c r="G6620" s="213"/>
      <c r="H6620" s="222"/>
    </row>
    <row r="6621" spans="1:9" s="212" customFormat="1">
      <c r="A6621" s="120"/>
      <c r="B6621" s="73"/>
      <c r="C6621" s="73"/>
      <c r="D6621" s="73"/>
      <c r="E6621" s="73"/>
      <c r="G6621" s="73"/>
      <c r="H6621" s="222"/>
    </row>
    <row r="6622" spans="1:9" s="212" customFormat="1">
      <c r="A6622" s="220"/>
      <c r="B6622" s="141"/>
      <c r="C6622" s="141"/>
      <c r="D6622" s="141"/>
      <c r="E6622" s="141"/>
      <c r="F6622" s="141"/>
      <c r="G6622" s="141"/>
      <c r="H6622" s="222"/>
    </row>
    <row r="6623" spans="1:9" s="212" customFormat="1">
      <c r="A6623" s="172"/>
      <c r="B6623" s="83"/>
      <c r="C6623" s="84"/>
      <c r="D6623" s="84"/>
      <c r="E6623" s="84"/>
      <c r="F6623" s="141"/>
      <c r="G6623" s="168"/>
      <c r="H6623" s="222"/>
    </row>
    <row r="6624" spans="1:9" s="212" customFormat="1">
      <c r="A6624" s="173"/>
      <c r="B6624" s="83"/>
      <c r="C6624" s="148"/>
      <c r="D6624" s="84"/>
      <c r="E6624" s="84"/>
      <c r="F6624" s="141"/>
      <c r="G6624" s="168"/>
      <c r="H6624" s="222"/>
    </row>
    <row r="6625" spans="1:9" s="212" customFormat="1">
      <c r="A6625" s="150"/>
      <c r="B6625" s="83"/>
      <c r="C6625" s="148"/>
      <c r="D6625" s="84"/>
      <c r="E6625" s="84"/>
      <c r="F6625" s="141"/>
      <c r="G6625" s="168"/>
      <c r="H6625" s="222"/>
    </row>
    <row r="6626" spans="1:9" s="212" customFormat="1">
      <c r="A6626" s="150"/>
      <c r="B6626" s="83"/>
      <c r="C6626" s="148"/>
      <c r="D6626" s="84"/>
      <c r="E6626" s="84"/>
      <c r="F6626" s="84"/>
      <c r="G6626" s="168"/>
      <c r="H6626" s="225"/>
    </row>
    <row r="6627" spans="1:9" s="212" customFormat="1">
      <c r="A6627" s="91"/>
      <c r="B6627" s="91"/>
      <c r="C6627" s="91"/>
      <c r="D6627" s="91"/>
      <c r="E6627" s="91"/>
      <c r="G6627" s="213"/>
      <c r="H6627" s="222"/>
    </row>
    <row r="6628" spans="1:9" s="212" customFormat="1">
      <c r="A6628" s="120"/>
      <c r="B6628" s="73"/>
      <c r="C6628" s="73"/>
      <c r="D6628" s="73"/>
      <c r="E6628" s="73"/>
      <c r="G6628" s="73"/>
      <c r="H6628" s="222"/>
    </row>
    <row r="6629" spans="1:9" s="212" customFormat="1">
      <c r="A6629" s="220"/>
      <c r="B6629" s="141"/>
      <c r="C6629" s="141"/>
      <c r="D6629" s="141"/>
      <c r="E6629" s="141"/>
      <c r="F6629" s="141"/>
      <c r="G6629" s="141"/>
      <c r="H6629" s="222"/>
    </row>
    <row r="6630" spans="1:9" s="212" customFormat="1">
      <c r="A6630" s="146"/>
      <c r="B6630" s="147"/>
      <c r="C6630" s="148"/>
      <c r="D6630" s="84"/>
      <c r="E6630" s="143"/>
      <c r="F6630" s="84"/>
      <c r="G6630" s="146"/>
      <c r="H6630" s="225"/>
    </row>
    <row r="6631" spans="1:9" s="212" customFormat="1">
      <c r="A6631" s="91"/>
      <c r="B6631" s="91"/>
      <c r="C6631" s="91"/>
      <c r="D6631" s="91"/>
      <c r="E6631" s="91"/>
      <c r="G6631" s="213"/>
      <c r="H6631" s="222"/>
    </row>
    <row r="6632" spans="1:9" s="212" customFormat="1">
      <c r="A6632" s="120"/>
      <c r="B6632" s="73"/>
      <c r="C6632" s="73"/>
      <c r="D6632" s="73"/>
      <c r="E6632" s="73"/>
      <c r="G6632" s="73"/>
      <c r="H6632" s="222"/>
    </row>
    <row r="6633" spans="1:9" s="212" customFormat="1">
      <c r="A6633" s="220"/>
      <c r="B6633" s="141"/>
      <c r="C6633" s="141"/>
      <c r="D6633" s="141"/>
      <c r="E6633" s="141"/>
      <c r="F6633" s="141"/>
      <c r="G6633" s="141"/>
      <c r="H6633" s="222"/>
    </row>
    <row r="6634" spans="1:9" s="212" customFormat="1">
      <c r="A6634" s="142"/>
      <c r="B6634" s="143"/>
      <c r="C6634" s="143"/>
      <c r="D6634" s="143"/>
      <c r="E6634" s="143"/>
      <c r="F6634" s="84"/>
      <c r="G6634" s="146"/>
      <c r="H6634" s="221"/>
    </row>
    <row r="6635" spans="1:9" s="212" customFormat="1">
      <c r="A6635" s="123"/>
      <c r="B6635" s="95"/>
      <c r="C6635" s="95"/>
      <c r="D6635" s="95"/>
      <c r="E6635" s="95"/>
      <c r="G6635" s="213"/>
      <c r="H6635" s="73"/>
    </row>
    <row r="6636" spans="1:9" s="212" customFormat="1">
      <c r="A6636" s="123"/>
      <c r="B6636" s="95"/>
      <c r="C6636" s="95"/>
      <c r="D6636" s="95"/>
      <c r="E6636" s="95"/>
      <c r="G6636" s="73"/>
      <c r="H6636" s="225"/>
    </row>
    <row r="6637" spans="1:9" s="212" customFormat="1">
      <c r="B6637" s="97"/>
      <c r="C6637" s="98"/>
      <c r="D6637" s="98"/>
      <c r="E6637" s="98"/>
      <c r="G6637" s="220"/>
    </row>
    <row r="6638" spans="1:9" s="212" customFormat="1">
      <c r="B6638" s="97"/>
      <c r="C6638" s="98"/>
      <c r="D6638" s="98"/>
      <c r="E6638" s="98"/>
      <c r="F6638" s="220"/>
      <c r="G6638" s="225"/>
      <c r="H6638" s="226"/>
    </row>
    <row r="6639" spans="1:9" s="212" customFormat="1">
      <c r="A6639" s="633"/>
      <c r="B6639" s="633"/>
      <c r="C6639" s="633"/>
      <c r="D6639" s="633"/>
      <c r="E6639" s="633"/>
      <c r="F6639" s="633"/>
      <c r="G6639" s="633"/>
    </row>
    <row r="6640" spans="1:9" s="212" customFormat="1">
      <c r="H6640" s="227"/>
      <c r="I6640" s="228"/>
    </row>
    <row r="6641" spans="1:9" s="212" customFormat="1">
      <c r="A6641" s="658"/>
      <c r="B6641" s="227"/>
      <c r="C6641" s="227"/>
      <c r="D6641" s="227"/>
      <c r="E6641" s="227"/>
      <c r="F6641" s="227"/>
      <c r="G6641" s="227"/>
      <c r="H6641" s="227"/>
      <c r="I6641" s="229"/>
    </row>
    <row r="6642" spans="1:9" s="212" customFormat="1">
      <c r="A6642" s="658"/>
      <c r="B6642" s="227"/>
      <c r="C6642" s="227"/>
      <c r="D6642" s="227"/>
      <c r="E6642" s="227"/>
      <c r="F6642" s="227"/>
      <c r="G6642" s="227"/>
    </row>
    <row r="6643" spans="1:9" s="212" customFormat="1">
      <c r="A6643" s="69"/>
      <c r="B6643" s="69"/>
      <c r="C6643" s="69"/>
      <c r="D6643" s="69"/>
      <c r="E6643" s="69"/>
    </row>
    <row r="6644" spans="1:9" s="212" customFormat="1">
      <c r="A6644" s="120"/>
      <c r="B6644" s="73"/>
      <c r="C6644" s="73"/>
      <c r="D6644" s="73"/>
      <c r="E6644" s="73"/>
      <c r="F6644" s="73"/>
      <c r="G6644" s="73"/>
      <c r="H6644" s="73"/>
    </row>
    <row r="6645" spans="1:9" s="212" customFormat="1">
      <c r="A6645" s="220"/>
      <c r="B6645" s="141"/>
      <c r="C6645" s="141"/>
      <c r="D6645" s="141"/>
      <c r="E6645" s="141"/>
      <c r="F6645" s="141"/>
      <c r="G6645" s="141"/>
      <c r="H6645" s="73"/>
    </row>
    <row r="6646" spans="1:9" s="212" customFormat="1">
      <c r="A6646" s="84"/>
      <c r="B6646" s="83"/>
      <c r="C6646" s="84"/>
      <c r="D6646" s="84"/>
      <c r="E6646" s="84"/>
      <c r="F6646" s="84"/>
      <c r="G6646" s="146"/>
      <c r="H6646" s="225"/>
    </row>
    <row r="6647" spans="1:9" s="212" customFormat="1">
      <c r="A6647" s="84"/>
      <c r="B6647" s="83"/>
      <c r="C6647" s="84"/>
      <c r="D6647" s="84"/>
      <c r="E6647" s="84"/>
      <c r="G6647" s="213"/>
      <c r="H6647" s="222"/>
    </row>
    <row r="6648" spans="1:9" s="212" customFormat="1">
      <c r="A6648" s="120"/>
      <c r="B6648" s="73"/>
      <c r="C6648" s="73"/>
      <c r="D6648" s="73"/>
      <c r="E6648" s="73"/>
      <c r="G6648" s="73"/>
      <c r="H6648" s="222"/>
    </row>
    <row r="6649" spans="1:9" s="212" customFormat="1">
      <c r="A6649" s="220"/>
      <c r="B6649" s="141"/>
      <c r="C6649" s="141"/>
      <c r="D6649" s="141"/>
      <c r="E6649" s="141"/>
      <c r="F6649" s="141"/>
      <c r="G6649" s="141"/>
      <c r="H6649" s="222"/>
    </row>
    <row r="6650" spans="1:9" s="212" customFormat="1">
      <c r="A6650" s="172"/>
      <c r="B6650" s="83"/>
      <c r="C6650" s="84"/>
      <c r="D6650" s="84"/>
      <c r="E6650" s="84"/>
      <c r="F6650" s="141"/>
      <c r="G6650" s="168"/>
      <c r="H6650" s="222"/>
    </row>
    <row r="6651" spans="1:9" s="212" customFormat="1">
      <c r="A6651" s="173"/>
      <c r="B6651" s="83"/>
      <c r="C6651" s="148"/>
      <c r="D6651" s="84"/>
      <c r="E6651" s="84"/>
      <c r="F6651" s="141"/>
      <c r="G6651" s="168"/>
      <c r="H6651" s="222"/>
    </row>
    <row r="6652" spans="1:9" s="212" customFormat="1">
      <c r="A6652" s="150"/>
      <c r="B6652" s="83"/>
      <c r="C6652" s="148"/>
      <c r="D6652" s="84"/>
      <c r="E6652" s="84"/>
      <c r="F6652" s="84"/>
      <c r="G6652" s="168"/>
      <c r="H6652" s="225"/>
    </row>
    <row r="6653" spans="1:9" s="212" customFormat="1">
      <c r="A6653" s="91"/>
      <c r="B6653" s="91"/>
      <c r="C6653" s="91"/>
      <c r="D6653" s="91"/>
      <c r="E6653" s="91"/>
      <c r="G6653" s="213"/>
      <c r="H6653" s="222"/>
    </row>
    <row r="6654" spans="1:9" s="212" customFormat="1">
      <c r="A6654" s="120"/>
      <c r="B6654" s="73"/>
      <c r="C6654" s="73"/>
      <c r="D6654" s="73"/>
      <c r="E6654" s="73"/>
      <c r="G6654" s="73"/>
      <c r="H6654" s="222"/>
    </row>
    <row r="6655" spans="1:9" s="212" customFormat="1">
      <c r="A6655" s="220"/>
      <c r="B6655" s="141"/>
      <c r="C6655" s="141"/>
      <c r="D6655" s="141"/>
      <c r="E6655" s="141"/>
      <c r="F6655" s="141"/>
      <c r="G6655" s="141"/>
      <c r="H6655" s="222"/>
    </row>
    <row r="6656" spans="1:9" s="212" customFormat="1">
      <c r="A6656" s="146"/>
      <c r="B6656" s="147"/>
      <c r="C6656" s="148"/>
      <c r="D6656" s="84"/>
      <c r="E6656" s="143"/>
      <c r="F6656" s="84"/>
      <c r="G6656" s="146"/>
      <c r="H6656" s="225"/>
    </row>
    <row r="6657" spans="1:9" s="212" customFormat="1">
      <c r="A6657" s="91"/>
      <c r="B6657" s="91"/>
      <c r="C6657" s="91"/>
      <c r="D6657" s="91"/>
      <c r="E6657" s="91"/>
      <c r="G6657" s="213"/>
      <c r="H6657" s="222"/>
    </row>
    <row r="6658" spans="1:9" s="212" customFormat="1">
      <c r="A6658" s="120"/>
      <c r="B6658" s="73"/>
      <c r="C6658" s="73"/>
      <c r="D6658" s="73"/>
      <c r="E6658" s="73"/>
      <c r="G6658" s="73"/>
      <c r="H6658" s="222"/>
    </row>
    <row r="6659" spans="1:9" s="212" customFormat="1">
      <c r="A6659" s="220"/>
      <c r="B6659" s="141"/>
      <c r="C6659" s="141"/>
      <c r="D6659" s="141"/>
      <c r="E6659" s="141"/>
      <c r="F6659" s="141"/>
      <c r="G6659" s="141"/>
      <c r="H6659" s="222"/>
    </row>
    <row r="6660" spans="1:9" s="212" customFormat="1">
      <c r="A6660" s="142"/>
      <c r="B6660" s="143"/>
      <c r="C6660" s="143"/>
      <c r="D6660" s="143"/>
      <c r="E6660" s="143"/>
      <c r="F6660" s="84"/>
      <c r="G6660" s="146"/>
      <c r="H6660" s="221"/>
    </row>
    <row r="6661" spans="1:9" s="212" customFormat="1">
      <c r="A6661" s="123"/>
      <c r="B6661" s="95"/>
      <c r="C6661" s="95"/>
      <c r="D6661" s="95"/>
      <c r="E6661" s="95"/>
      <c r="G6661" s="213"/>
      <c r="H6661" s="73"/>
    </row>
    <row r="6662" spans="1:9" s="212" customFormat="1">
      <c r="A6662" s="123"/>
      <c r="B6662" s="95"/>
      <c r="C6662" s="95"/>
      <c r="D6662" s="95"/>
      <c r="E6662" s="95"/>
      <c r="G6662" s="73"/>
      <c r="H6662" s="225"/>
    </row>
    <row r="6663" spans="1:9" s="212" customFormat="1">
      <c r="B6663" s="97"/>
      <c r="C6663" s="98"/>
      <c r="D6663" s="98"/>
      <c r="E6663" s="98"/>
      <c r="G6663" s="220"/>
    </row>
    <row r="6664" spans="1:9" s="212" customFormat="1">
      <c r="B6664" s="97"/>
      <c r="C6664" s="98"/>
      <c r="D6664" s="98"/>
      <c r="E6664" s="98"/>
      <c r="F6664" s="220"/>
      <c r="G6664" s="225"/>
      <c r="H6664" s="226"/>
    </row>
    <row r="6665" spans="1:9" s="212" customFormat="1">
      <c r="A6665" s="633"/>
      <c r="B6665" s="633"/>
      <c r="C6665" s="633"/>
      <c r="D6665" s="633"/>
      <c r="E6665" s="633"/>
      <c r="F6665" s="633"/>
      <c r="G6665" s="633"/>
    </row>
    <row r="6666" spans="1:9" s="212" customFormat="1">
      <c r="H6666" s="227"/>
      <c r="I6666" s="228"/>
    </row>
    <row r="6667" spans="1:9" s="212" customFormat="1">
      <c r="A6667" s="658"/>
      <c r="B6667" s="227"/>
      <c r="C6667" s="227"/>
      <c r="D6667" s="227"/>
      <c r="E6667" s="227"/>
      <c r="F6667" s="227"/>
      <c r="G6667" s="227"/>
      <c r="H6667" s="227"/>
      <c r="I6667" s="229"/>
    </row>
    <row r="6668" spans="1:9" s="212" customFormat="1">
      <c r="A6668" s="658"/>
      <c r="B6668" s="227"/>
      <c r="C6668" s="227"/>
      <c r="D6668" s="227"/>
      <c r="E6668" s="227"/>
      <c r="F6668" s="227"/>
      <c r="G6668" s="227"/>
    </row>
    <row r="6669" spans="1:9" s="212" customFormat="1">
      <c r="A6669" s="69"/>
      <c r="B6669" s="69"/>
      <c r="C6669" s="69"/>
      <c r="D6669" s="69"/>
      <c r="E6669" s="69"/>
    </row>
    <row r="6670" spans="1:9" s="212" customFormat="1">
      <c r="A6670" s="120"/>
      <c r="B6670" s="73"/>
      <c r="C6670" s="73"/>
      <c r="D6670" s="73"/>
      <c r="E6670" s="73"/>
      <c r="F6670" s="73"/>
      <c r="G6670" s="73"/>
      <c r="H6670" s="73"/>
    </row>
    <row r="6671" spans="1:9" s="212" customFormat="1">
      <c r="A6671" s="220"/>
      <c r="B6671" s="141"/>
      <c r="C6671" s="141"/>
      <c r="D6671" s="141"/>
      <c r="E6671" s="141"/>
      <c r="F6671" s="141"/>
      <c r="G6671" s="141"/>
      <c r="H6671" s="73"/>
    </row>
    <row r="6672" spans="1:9" s="212" customFormat="1">
      <c r="A6672" s="84"/>
      <c r="B6672" s="83"/>
      <c r="C6672" s="84"/>
      <c r="D6672" s="84"/>
      <c r="E6672" s="84"/>
      <c r="F6672" s="84"/>
      <c r="G6672" s="146"/>
      <c r="H6672" s="225"/>
    </row>
    <row r="6673" spans="1:8" s="212" customFormat="1">
      <c r="A6673" s="84"/>
      <c r="B6673" s="83"/>
      <c r="C6673" s="84"/>
      <c r="D6673" s="84"/>
      <c r="E6673" s="84"/>
      <c r="G6673" s="213"/>
      <c r="H6673" s="222"/>
    </row>
    <row r="6674" spans="1:8" s="212" customFormat="1">
      <c r="A6674" s="120"/>
      <c r="B6674" s="73"/>
      <c r="C6674" s="73"/>
      <c r="D6674" s="73"/>
      <c r="E6674" s="73"/>
      <c r="G6674" s="73"/>
      <c r="H6674" s="222"/>
    </row>
    <row r="6675" spans="1:8" s="212" customFormat="1">
      <c r="A6675" s="220"/>
      <c r="B6675" s="141"/>
      <c r="C6675" s="141"/>
      <c r="D6675" s="141"/>
      <c r="E6675" s="141"/>
      <c r="F6675" s="141"/>
      <c r="G6675" s="141"/>
      <c r="H6675" s="222"/>
    </row>
    <row r="6676" spans="1:8" s="212" customFormat="1">
      <c r="A6676" s="172"/>
      <c r="B6676" s="83"/>
      <c r="C6676" s="84"/>
      <c r="D6676" s="84"/>
      <c r="E6676" s="84"/>
      <c r="F6676" s="141"/>
      <c r="G6676" s="168"/>
      <c r="H6676" s="222"/>
    </row>
    <row r="6677" spans="1:8" s="212" customFormat="1">
      <c r="A6677" s="173"/>
      <c r="B6677" s="83"/>
      <c r="C6677" s="148"/>
      <c r="D6677" s="84"/>
      <c r="E6677" s="84"/>
      <c r="F6677" s="141"/>
      <c r="G6677" s="168"/>
      <c r="H6677" s="222"/>
    </row>
    <row r="6678" spans="1:8" s="212" customFormat="1">
      <c r="A6678" s="150"/>
      <c r="B6678" s="83"/>
      <c r="C6678" s="148"/>
      <c r="D6678" s="84"/>
      <c r="E6678" s="84"/>
      <c r="F6678" s="84"/>
      <c r="G6678" s="168"/>
      <c r="H6678" s="225"/>
    </row>
    <row r="6679" spans="1:8" s="212" customFormat="1">
      <c r="A6679" s="91"/>
      <c r="B6679" s="91"/>
      <c r="C6679" s="91"/>
      <c r="D6679" s="91"/>
      <c r="E6679" s="91"/>
      <c r="G6679" s="213"/>
      <c r="H6679" s="222"/>
    </row>
    <row r="6680" spans="1:8" s="212" customFormat="1">
      <c r="A6680" s="120"/>
      <c r="B6680" s="73"/>
      <c r="C6680" s="73"/>
      <c r="D6680" s="73"/>
      <c r="E6680" s="73"/>
      <c r="G6680" s="73"/>
      <c r="H6680" s="222"/>
    </row>
    <row r="6681" spans="1:8" s="212" customFormat="1">
      <c r="A6681" s="220"/>
      <c r="B6681" s="141"/>
      <c r="C6681" s="141"/>
      <c r="D6681" s="141"/>
      <c r="E6681" s="141"/>
      <c r="F6681" s="141"/>
      <c r="G6681" s="141"/>
      <c r="H6681" s="222"/>
    </row>
    <row r="6682" spans="1:8" s="212" customFormat="1">
      <c r="A6682" s="146"/>
      <c r="B6682" s="147"/>
      <c r="C6682" s="148"/>
      <c r="D6682" s="84"/>
      <c r="E6682" s="143"/>
      <c r="F6682" s="84"/>
      <c r="G6682" s="146"/>
      <c r="H6682" s="225"/>
    </row>
    <row r="6683" spans="1:8" s="212" customFormat="1">
      <c r="A6683" s="91"/>
      <c r="B6683" s="91"/>
      <c r="C6683" s="91"/>
      <c r="D6683" s="91"/>
      <c r="E6683" s="91"/>
      <c r="G6683" s="213"/>
      <c r="H6683" s="222"/>
    </row>
    <row r="6684" spans="1:8" s="212" customFormat="1">
      <c r="A6684" s="120"/>
      <c r="B6684" s="73"/>
      <c r="C6684" s="73"/>
      <c r="D6684" s="73"/>
      <c r="E6684" s="73"/>
      <c r="G6684" s="73"/>
      <c r="H6684" s="222"/>
    </row>
    <row r="6685" spans="1:8" s="212" customFormat="1">
      <c r="A6685" s="220"/>
      <c r="B6685" s="141"/>
      <c r="C6685" s="141"/>
      <c r="D6685" s="141"/>
      <c r="E6685" s="141"/>
      <c r="F6685" s="141"/>
      <c r="G6685" s="141"/>
      <c r="H6685" s="222"/>
    </row>
    <row r="6686" spans="1:8" s="212" customFormat="1">
      <c r="A6686" s="142"/>
      <c r="B6686" s="143"/>
      <c r="C6686" s="143"/>
      <c r="D6686" s="143"/>
      <c r="E6686" s="143"/>
      <c r="F6686" s="84"/>
      <c r="G6686" s="146"/>
      <c r="H6686" s="221"/>
    </row>
    <row r="6687" spans="1:8" s="212" customFormat="1">
      <c r="A6687" s="123"/>
      <c r="B6687" s="95"/>
      <c r="C6687" s="95"/>
      <c r="D6687" s="95"/>
      <c r="E6687" s="95"/>
      <c r="G6687" s="213"/>
      <c r="H6687" s="73"/>
    </row>
    <row r="6688" spans="1:8" s="212" customFormat="1">
      <c r="A6688" s="123"/>
      <c r="B6688" s="95"/>
      <c r="C6688" s="95"/>
      <c r="D6688" s="95"/>
      <c r="E6688" s="95"/>
      <c r="G6688" s="73"/>
      <c r="H6688" s="225"/>
    </row>
    <row r="6689" spans="1:9" s="212" customFormat="1">
      <c r="B6689" s="97"/>
      <c r="C6689" s="98"/>
      <c r="D6689" s="98"/>
      <c r="E6689" s="98"/>
      <c r="G6689" s="220"/>
    </row>
    <row r="6690" spans="1:9" s="212" customFormat="1">
      <c r="B6690" s="97"/>
      <c r="C6690" s="98"/>
      <c r="D6690" s="98"/>
      <c r="E6690" s="98"/>
      <c r="F6690" s="220"/>
      <c r="G6690" s="225"/>
      <c r="H6690" s="226"/>
    </row>
    <row r="6691" spans="1:9" s="212" customFormat="1">
      <c r="A6691" s="633"/>
      <c r="B6691" s="633"/>
      <c r="C6691" s="633"/>
      <c r="D6691" s="633"/>
      <c r="E6691" s="633"/>
      <c r="F6691" s="633"/>
      <c r="G6691" s="633"/>
    </row>
    <row r="6692" spans="1:9" s="212" customFormat="1">
      <c r="H6692" s="227"/>
      <c r="I6692" s="228"/>
    </row>
    <row r="6693" spans="1:9" s="212" customFormat="1">
      <c r="A6693" s="658"/>
      <c r="B6693" s="227"/>
      <c r="C6693" s="227"/>
      <c r="D6693" s="227"/>
      <c r="E6693" s="227"/>
      <c r="F6693" s="227"/>
      <c r="G6693" s="227"/>
      <c r="H6693" s="227"/>
      <c r="I6693" s="229"/>
    </row>
    <row r="6694" spans="1:9" s="212" customFormat="1">
      <c r="A6694" s="658"/>
      <c r="B6694" s="227"/>
      <c r="C6694" s="227"/>
      <c r="D6694" s="227"/>
      <c r="E6694" s="227"/>
      <c r="F6694" s="227"/>
      <c r="G6694" s="227"/>
    </row>
    <row r="6695" spans="1:9" s="212" customFormat="1">
      <c r="A6695" s="69"/>
      <c r="B6695" s="69"/>
      <c r="C6695" s="69"/>
      <c r="D6695" s="69"/>
      <c r="E6695" s="69"/>
    </row>
    <row r="6696" spans="1:9" s="212" customFormat="1">
      <c r="A6696" s="120"/>
      <c r="B6696" s="73"/>
      <c r="C6696" s="73"/>
      <c r="D6696" s="73"/>
      <c r="E6696" s="73"/>
      <c r="F6696" s="73"/>
      <c r="G6696" s="73"/>
      <c r="H6696" s="73"/>
    </row>
    <row r="6697" spans="1:9" s="212" customFormat="1">
      <c r="A6697" s="220"/>
      <c r="B6697" s="141"/>
      <c r="C6697" s="141"/>
      <c r="D6697" s="141"/>
      <c r="E6697" s="141"/>
      <c r="F6697" s="141"/>
      <c r="G6697" s="141"/>
      <c r="H6697" s="73"/>
    </row>
    <row r="6698" spans="1:9" s="212" customFormat="1">
      <c r="A6698" s="84"/>
      <c r="B6698" s="83"/>
      <c r="C6698" s="84"/>
      <c r="D6698" s="84"/>
      <c r="E6698" s="84"/>
      <c r="F6698" s="84"/>
      <c r="G6698" s="146"/>
      <c r="H6698" s="225"/>
    </row>
    <row r="6699" spans="1:9" s="212" customFormat="1">
      <c r="A6699" s="84"/>
      <c r="B6699" s="83"/>
      <c r="C6699" s="84"/>
      <c r="D6699" s="84"/>
      <c r="E6699" s="84"/>
      <c r="G6699" s="213"/>
      <c r="H6699" s="222"/>
    </row>
    <row r="6700" spans="1:9" s="212" customFormat="1">
      <c r="A6700" s="120"/>
      <c r="B6700" s="73"/>
      <c r="C6700" s="73"/>
      <c r="D6700" s="73"/>
      <c r="E6700" s="73"/>
      <c r="G6700" s="73"/>
      <c r="H6700" s="222"/>
    </row>
    <row r="6701" spans="1:9" s="212" customFormat="1">
      <c r="A6701" s="220"/>
      <c r="B6701" s="141"/>
      <c r="C6701" s="141"/>
      <c r="D6701" s="141"/>
      <c r="E6701" s="141"/>
      <c r="F6701" s="141"/>
      <c r="G6701" s="141"/>
      <c r="H6701" s="222"/>
    </row>
    <row r="6702" spans="1:9" s="212" customFormat="1">
      <c r="A6702" s="172"/>
      <c r="B6702" s="83"/>
      <c r="C6702" s="84"/>
      <c r="D6702" s="84"/>
      <c r="E6702" s="84"/>
      <c r="F6702" s="141"/>
      <c r="G6702" s="168"/>
      <c r="H6702" s="222"/>
    </row>
    <row r="6703" spans="1:9" s="212" customFormat="1">
      <c r="A6703" s="173"/>
      <c r="B6703" s="83"/>
      <c r="C6703" s="148"/>
      <c r="D6703" s="84"/>
      <c r="E6703" s="84"/>
      <c r="F6703" s="141"/>
      <c r="G6703" s="168"/>
      <c r="H6703" s="222"/>
    </row>
    <row r="6704" spans="1:9" s="212" customFormat="1">
      <c r="A6704" s="150"/>
      <c r="B6704" s="83"/>
      <c r="C6704" s="148"/>
      <c r="D6704" s="84"/>
      <c r="E6704" s="84"/>
      <c r="F6704" s="84"/>
      <c r="G6704" s="168"/>
      <c r="H6704" s="225"/>
    </row>
    <row r="6705" spans="1:9" s="212" customFormat="1">
      <c r="A6705" s="91"/>
      <c r="B6705" s="91"/>
      <c r="C6705" s="91"/>
      <c r="D6705" s="91"/>
      <c r="E6705" s="91"/>
      <c r="G6705" s="213"/>
      <c r="H6705" s="222"/>
    </row>
    <row r="6706" spans="1:9" s="212" customFormat="1">
      <c r="A6706" s="120"/>
      <c r="B6706" s="73"/>
      <c r="C6706" s="73"/>
      <c r="D6706" s="73"/>
      <c r="E6706" s="73"/>
      <c r="G6706" s="73"/>
      <c r="H6706" s="222"/>
    </row>
    <row r="6707" spans="1:9" s="212" customFormat="1">
      <c r="A6707" s="220"/>
      <c r="B6707" s="141"/>
      <c r="C6707" s="141"/>
      <c r="D6707" s="141"/>
      <c r="E6707" s="141"/>
      <c r="F6707" s="141"/>
      <c r="G6707" s="141"/>
      <c r="H6707" s="222"/>
    </row>
    <row r="6708" spans="1:9" s="212" customFormat="1">
      <c r="A6708" s="146"/>
      <c r="B6708" s="147"/>
      <c r="C6708" s="148"/>
      <c r="D6708" s="84"/>
      <c r="E6708" s="143"/>
      <c r="F6708" s="84"/>
      <c r="G6708" s="146"/>
      <c r="H6708" s="225"/>
    </row>
    <row r="6709" spans="1:9" s="212" customFormat="1">
      <c r="A6709" s="91"/>
      <c r="B6709" s="91"/>
      <c r="C6709" s="91"/>
      <c r="D6709" s="91"/>
      <c r="E6709" s="91"/>
      <c r="G6709" s="213"/>
      <c r="H6709" s="222"/>
    </row>
    <row r="6710" spans="1:9" s="212" customFormat="1">
      <c r="A6710" s="120"/>
      <c r="B6710" s="73"/>
      <c r="C6710" s="73"/>
      <c r="D6710" s="73"/>
      <c r="E6710" s="73"/>
      <c r="G6710" s="73"/>
      <c r="H6710" s="222"/>
    </row>
    <row r="6711" spans="1:9" s="212" customFormat="1">
      <c r="A6711" s="220"/>
      <c r="B6711" s="141"/>
      <c r="C6711" s="141"/>
      <c r="D6711" s="141"/>
      <c r="E6711" s="141"/>
      <c r="F6711" s="141"/>
      <c r="G6711" s="141"/>
      <c r="H6711" s="222"/>
    </row>
    <row r="6712" spans="1:9" s="212" customFormat="1">
      <c r="A6712" s="142"/>
      <c r="B6712" s="143"/>
      <c r="C6712" s="143"/>
      <c r="D6712" s="143"/>
      <c r="E6712" s="143"/>
      <c r="F6712" s="84"/>
      <c r="G6712" s="146"/>
      <c r="H6712" s="221"/>
    </row>
    <row r="6713" spans="1:9" s="212" customFormat="1">
      <c r="A6713" s="123"/>
      <c r="B6713" s="95"/>
      <c r="C6713" s="95"/>
      <c r="D6713" s="95"/>
      <c r="E6713" s="95"/>
      <c r="G6713" s="213"/>
      <c r="H6713" s="73"/>
    </row>
    <row r="6714" spans="1:9" s="212" customFormat="1">
      <c r="A6714" s="123"/>
      <c r="B6714" s="95"/>
      <c r="C6714" s="95"/>
      <c r="D6714" s="95"/>
      <c r="E6714" s="95"/>
      <c r="G6714" s="73"/>
      <c r="H6714" s="225"/>
    </row>
    <row r="6715" spans="1:9" s="212" customFormat="1">
      <c r="B6715" s="97"/>
      <c r="C6715" s="98"/>
      <c r="D6715" s="98"/>
      <c r="E6715" s="98"/>
      <c r="G6715" s="220"/>
    </row>
    <row r="6716" spans="1:9" s="212" customFormat="1">
      <c r="B6716" s="97"/>
      <c r="C6716" s="98"/>
      <c r="D6716" s="98"/>
      <c r="E6716" s="98"/>
      <c r="F6716" s="220"/>
      <c r="G6716" s="225"/>
      <c r="H6716" s="226"/>
    </row>
    <row r="6717" spans="1:9" s="212" customFormat="1">
      <c r="A6717" s="633"/>
      <c r="B6717" s="633"/>
      <c r="C6717" s="633"/>
      <c r="D6717" s="633"/>
      <c r="E6717" s="633"/>
      <c r="F6717" s="633"/>
      <c r="G6717" s="633"/>
    </row>
    <row r="6718" spans="1:9" s="212" customFormat="1">
      <c r="H6718" s="227"/>
      <c r="I6718" s="228"/>
    </row>
    <row r="6719" spans="1:9" s="212" customFormat="1">
      <c r="A6719" s="658"/>
      <c r="B6719" s="227"/>
      <c r="C6719" s="227"/>
      <c r="D6719" s="227"/>
      <c r="E6719" s="227"/>
      <c r="F6719" s="227"/>
      <c r="G6719" s="227"/>
      <c r="H6719" s="227"/>
      <c r="I6719" s="229"/>
    </row>
    <row r="6720" spans="1:9" s="212" customFormat="1">
      <c r="A6720" s="658"/>
      <c r="B6720" s="227"/>
      <c r="C6720" s="227"/>
      <c r="D6720" s="227"/>
      <c r="E6720" s="227"/>
      <c r="F6720" s="227"/>
      <c r="G6720" s="227"/>
    </row>
    <row r="6721" spans="1:8" s="212" customFormat="1">
      <c r="A6721" s="69"/>
      <c r="B6721" s="69"/>
      <c r="C6721" s="69"/>
      <c r="D6721" s="69"/>
      <c r="E6721" s="69"/>
    </row>
    <row r="6722" spans="1:8" s="212" customFormat="1">
      <c r="A6722" s="120"/>
      <c r="B6722" s="73"/>
      <c r="C6722" s="73"/>
      <c r="D6722" s="73"/>
      <c r="E6722" s="73"/>
      <c r="F6722" s="73"/>
      <c r="G6722" s="73"/>
      <c r="H6722" s="73"/>
    </row>
    <row r="6723" spans="1:8" s="212" customFormat="1">
      <c r="A6723" s="220"/>
      <c r="B6723" s="141"/>
      <c r="C6723" s="141"/>
      <c r="D6723" s="141"/>
      <c r="E6723" s="141"/>
      <c r="F6723" s="141"/>
      <c r="G6723" s="141"/>
      <c r="H6723" s="73"/>
    </row>
    <row r="6724" spans="1:8" s="212" customFormat="1">
      <c r="A6724" s="84"/>
      <c r="B6724" s="83"/>
      <c r="C6724" s="84"/>
      <c r="D6724" s="84"/>
      <c r="E6724" s="84"/>
      <c r="F6724" s="84"/>
      <c r="G6724" s="146"/>
      <c r="H6724" s="225"/>
    </row>
    <row r="6725" spans="1:8" s="212" customFormat="1">
      <c r="A6725" s="84"/>
      <c r="B6725" s="83"/>
      <c r="C6725" s="84"/>
      <c r="D6725" s="84"/>
      <c r="E6725" s="84"/>
      <c r="G6725" s="213"/>
      <c r="H6725" s="222"/>
    </row>
    <row r="6726" spans="1:8" s="212" customFormat="1">
      <c r="A6726" s="120"/>
      <c r="B6726" s="73"/>
      <c r="C6726" s="73"/>
      <c r="D6726" s="73"/>
      <c r="E6726" s="73"/>
      <c r="G6726" s="73"/>
      <c r="H6726" s="222"/>
    </row>
    <row r="6727" spans="1:8" s="212" customFormat="1">
      <c r="A6727" s="220"/>
      <c r="B6727" s="141"/>
      <c r="C6727" s="141"/>
      <c r="D6727" s="141"/>
      <c r="E6727" s="141"/>
      <c r="F6727" s="141"/>
      <c r="G6727" s="141"/>
      <c r="H6727" s="222"/>
    </row>
    <row r="6728" spans="1:8" s="212" customFormat="1">
      <c r="A6728" s="172"/>
      <c r="B6728" s="83"/>
      <c r="C6728" s="84"/>
      <c r="D6728" s="84"/>
      <c r="E6728" s="168"/>
      <c r="F6728" s="141"/>
      <c r="G6728" s="168"/>
      <c r="H6728" s="222"/>
    </row>
    <row r="6729" spans="1:8" s="212" customFormat="1">
      <c r="A6729" s="173"/>
      <c r="B6729" s="83"/>
      <c r="C6729" s="84"/>
      <c r="D6729" s="84"/>
      <c r="E6729" s="168"/>
      <c r="F6729" s="141"/>
      <c r="G6729" s="168"/>
      <c r="H6729" s="222"/>
    </row>
    <row r="6730" spans="1:8" s="212" customFormat="1">
      <c r="A6730" s="173"/>
      <c r="B6730" s="83"/>
      <c r="C6730" s="84"/>
      <c r="D6730" s="84"/>
      <c r="E6730" s="168"/>
      <c r="F6730" s="141"/>
      <c r="G6730" s="168"/>
      <c r="H6730" s="222"/>
    </row>
    <row r="6731" spans="1:8" s="212" customFormat="1">
      <c r="A6731" s="150"/>
      <c r="B6731" s="83"/>
      <c r="C6731" s="148"/>
      <c r="D6731" s="84"/>
      <c r="E6731" s="168"/>
      <c r="F6731" s="84"/>
      <c r="G6731" s="168"/>
      <c r="H6731" s="225"/>
    </row>
    <row r="6732" spans="1:8" s="212" customFormat="1">
      <c r="A6732" s="91"/>
      <c r="B6732" s="91"/>
      <c r="C6732" s="91"/>
      <c r="D6732" s="91"/>
      <c r="E6732" s="91"/>
      <c r="G6732" s="213"/>
      <c r="H6732" s="222"/>
    </row>
    <row r="6733" spans="1:8" s="212" customFormat="1">
      <c r="A6733" s="120"/>
      <c r="B6733" s="73"/>
      <c r="C6733" s="73"/>
      <c r="D6733" s="73"/>
      <c r="E6733" s="73"/>
      <c r="G6733" s="73"/>
      <c r="H6733" s="222"/>
    </row>
    <row r="6734" spans="1:8" s="212" customFormat="1">
      <c r="A6734" s="220"/>
      <c r="B6734" s="141"/>
      <c r="C6734" s="141"/>
      <c r="D6734" s="141"/>
      <c r="E6734" s="141"/>
      <c r="F6734" s="141"/>
      <c r="G6734" s="141"/>
      <c r="H6734" s="222"/>
    </row>
    <row r="6735" spans="1:8" s="212" customFormat="1">
      <c r="A6735" s="220"/>
      <c r="B6735" s="83"/>
      <c r="C6735" s="148"/>
      <c r="D6735" s="84"/>
      <c r="E6735" s="84"/>
      <c r="F6735" s="141"/>
      <c r="G6735" s="84"/>
      <c r="H6735" s="222"/>
    </row>
    <row r="6736" spans="1:8" s="212" customFormat="1">
      <c r="A6736" s="146"/>
      <c r="B6736" s="147"/>
      <c r="C6736" s="148"/>
      <c r="D6736" s="84"/>
      <c r="E6736" s="143"/>
      <c r="F6736" s="84"/>
      <c r="G6736" s="146"/>
      <c r="H6736" s="225"/>
    </row>
    <row r="6737" spans="1:9" s="212" customFormat="1">
      <c r="A6737" s="91"/>
      <c r="B6737" s="91"/>
      <c r="C6737" s="91"/>
      <c r="D6737" s="91"/>
      <c r="E6737" s="91"/>
      <c r="G6737" s="213"/>
      <c r="H6737" s="222"/>
    </row>
    <row r="6738" spans="1:9" s="212" customFormat="1">
      <c r="A6738" s="120"/>
      <c r="B6738" s="73"/>
      <c r="C6738" s="73"/>
      <c r="D6738" s="73"/>
      <c r="E6738" s="73"/>
      <c r="G6738" s="73"/>
      <c r="H6738" s="222"/>
    </row>
    <row r="6739" spans="1:9" s="212" customFormat="1">
      <c r="A6739" s="220"/>
      <c r="B6739" s="141"/>
      <c r="C6739" s="141"/>
      <c r="D6739" s="141"/>
      <c r="E6739" s="141"/>
      <c r="F6739" s="141"/>
      <c r="G6739" s="141"/>
      <c r="H6739" s="222"/>
    </row>
    <row r="6740" spans="1:9" s="212" customFormat="1">
      <c r="A6740" s="142"/>
      <c r="B6740" s="143"/>
      <c r="C6740" s="143"/>
      <c r="D6740" s="143"/>
      <c r="E6740" s="143"/>
      <c r="F6740" s="84"/>
      <c r="G6740" s="146"/>
      <c r="H6740" s="221"/>
    </row>
    <row r="6741" spans="1:9" s="212" customFormat="1">
      <c r="A6741" s="123"/>
      <c r="B6741" s="95"/>
      <c r="C6741" s="95"/>
      <c r="D6741" s="95"/>
      <c r="E6741" s="95"/>
      <c r="G6741" s="213"/>
      <c r="H6741" s="73"/>
    </row>
    <row r="6742" spans="1:9" s="212" customFormat="1">
      <c r="A6742" s="123"/>
      <c r="B6742" s="95"/>
      <c r="C6742" s="95"/>
      <c r="D6742" s="95"/>
      <c r="E6742" s="95"/>
      <c r="G6742" s="73"/>
      <c r="H6742" s="225"/>
    </row>
    <row r="6743" spans="1:9" s="212" customFormat="1">
      <c r="B6743" s="97"/>
      <c r="C6743" s="98"/>
      <c r="D6743" s="98"/>
      <c r="E6743" s="98"/>
      <c r="G6743" s="220"/>
    </row>
    <row r="6744" spans="1:9" s="212" customFormat="1">
      <c r="B6744" s="97"/>
      <c r="C6744" s="98"/>
      <c r="D6744" s="98"/>
      <c r="E6744" s="98"/>
      <c r="F6744" s="220"/>
      <c r="G6744" s="225"/>
      <c r="H6744" s="226"/>
    </row>
    <row r="6745" spans="1:9" s="212" customFormat="1">
      <c r="A6745" s="633"/>
      <c r="B6745" s="633"/>
      <c r="C6745" s="633"/>
      <c r="D6745" s="633"/>
      <c r="E6745" s="633"/>
      <c r="F6745" s="633"/>
      <c r="G6745" s="633"/>
    </row>
    <row r="6746" spans="1:9" s="212" customFormat="1">
      <c r="H6746" s="227"/>
      <c r="I6746" s="228"/>
    </row>
    <row r="6747" spans="1:9" s="212" customFormat="1">
      <c r="A6747" s="658"/>
      <c r="B6747" s="227"/>
      <c r="C6747" s="227"/>
      <c r="D6747" s="227"/>
      <c r="E6747" s="227"/>
      <c r="F6747" s="227"/>
      <c r="G6747" s="227"/>
      <c r="H6747" s="227"/>
      <c r="I6747" s="229"/>
    </row>
    <row r="6748" spans="1:9" s="212" customFormat="1">
      <c r="A6748" s="658"/>
      <c r="B6748" s="227"/>
      <c r="C6748" s="227"/>
      <c r="D6748" s="227"/>
      <c r="E6748" s="227"/>
      <c r="F6748" s="227"/>
      <c r="G6748" s="227"/>
    </row>
    <row r="6749" spans="1:9" s="212" customFormat="1">
      <c r="A6749" s="69"/>
      <c r="B6749" s="69"/>
      <c r="C6749" s="69"/>
      <c r="D6749" s="69"/>
      <c r="E6749" s="69"/>
    </row>
    <row r="6750" spans="1:9" s="212" customFormat="1">
      <c r="A6750" s="120"/>
      <c r="B6750" s="73"/>
      <c r="C6750" s="73"/>
      <c r="D6750" s="73"/>
      <c r="E6750" s="73"/>
      <c r="F6750" s="73"/>
      <c r="G6750" s="73"/>
      <c r="H6750" s="73"/>
    </row>
    <row r="6751" spans="1:9" s="212" customFormat="1">
      <c r="A6751" s="220"/>
      <c r="B6751" s="141"/>
      <c r="C6751" s="141"/>
      <c r="D6751" s="141"/>
      <c r="E6751" s="141"/>
      <c r="F6751" s="141"/>
      <c r="G6751" s="141"/>
      <c r="H6751" s="73"/>
    </row>
    <row r="6752" spans="1:9" s="212" customFormat="1">
      <c r="A6752" s="84"/>
      <c r="B6752" s="83"/>
      <c r="C6752" s="84"/>
      <c r="D6752" s="84"/>
      <c r="E6752" s="84"/>
      <c r="F6752" s="84"/>
      <c r="G6752" s="146"/>
      <c r="H6752" s="225"/>
    </row>
    <row r="6753" spans="1:8" s="212" customFormat="1">
      <c r="A6753" s="84"/>
      <c r="B6753" s="83"/>
      <c r="C6753" s="84"/>
      <c r="D6753" s="84"/>
      <c r="E6753" s="84"/>
      <c r="G6753" s="213"/>
      <c r="H6753" s="222"/>
    </row>
    <row r="6754" spans="1:8" s="212" customFormat="1">
      <c r="A6754" s="120"/>
      <c r="B6754" s="73"/>
      <c r="C6754" s="73"/>
      <c r="D6754" s="73"/>
      <c r="E6754" s="73"/>
      <c r="G6754" s="73"/>
      <c r="H6754" s="222"/>
    </row>
    <row r="6755" spans="1:8" s="212" customFormat="1">
      <c r="A6755" s="220"/>
      <c r="B6755" s="141"/>
      <c r="C6755" s="141"/>
      <c r="D6755" s="141"/>
      <c r="E6755" s="141"/>
      <c r="F6755" s="141"/>
      <c r="G6755" s="141"/>
      <c r="H6755" s="222"/>
    </row>
    <row r="6756" spans="1:8" s="212" customFormat="1">
      <c r="A6756" s="172"/>
      <c r="B6756" s="83"/>
      <c r="C6756" s="84"/>
      <c r="D6756" s="84"/>
      <c r="E6756" s="168"/>
      <c r="F6756" s="141"/>
      <c r="G6756" s="168"/>
      <c r="H6756" s="222"/>
    </row>
    <row r="6757" spans="1:8" s="212" customFormat="1">
      <c r="A6757" s="173"/>
      <c r="B6757" s="83"/>
      <c r="C6757" s="84"/>
      <c r="D6757" s="84"/>
      <c r="E6757" s="84"/>
      <c r="F6757" s="141"/>
      <c r="G6757" s="168"/>
      <c r="H6757" s="222"/>
    </row>
    <row r="6758" spans="1:8" s="212" customFormat="1">
      <c r="A6758" s="173"/>
      <c r="B6758" s="83"/>
      <c r="C6758" s="84"/>
      <c r="D6758" s="84"/>
      <c r="E6758" s="84"/>
      <c r="F6758" s="141"/>
      <c r="G6758" s="168"/>
      <c r="H6758" s="222"/>
    </row>
    <row r="6759" spans="1:8" s="212" customFormat="1">
      <c r="A6759" s="150"/>
      <c r="B6759" s="83"/>
      <c r="C6759" s="148"/>
      <c r="D6759" s="84"/>
      <c r="E6759" s="84"/>
      <c r="F6759" s="84"/>
      <c r="G6759" s="168"/>
      <c r="H6759" s="225"/>
    </row>
    <row r="6760" spans="1:8" s="212" customFormat="1">
      <c r="A6760" s="91"/>
      <c r="B6760" s="91"/>
      <c r="C6760" s="91"/>
      <c r="D6760" s="91"/>
      <c r="E6760" s="91"/>
      <c r="G6760" s="213"/>
      <c r="H6760" s="222"/>
    </row>
    <row r="6761" spans="1:8" s="212" customFormat="1">
      <c r="A6761" s="120"/>
      <c r="B6761" s="73"/>
      <c r="C6761" s="73"/>
      <c r="D6761" s="73"/>
      <c r="E6761" s="73"/>
      <c r="G6761" s="73"/>
      <c r="H6761" s="222"/>
    </row>
    <row r="6762" spans="1:8" s="212" customFormat="1">
      <c r="A6762" s="220"/>
      <c r="B6762" s="141"/>
      <c r="C6762" s="141"/>
      <c r="D6762" s="141"/>
      <c r="E6762" s="141"/>
      <c r="F6762" s="141"/>
      <c r="G6762" s="141"/>
      <c r="H6762" s="222"/>
    </row>
    <row r="6763" spans="1:8" s="212" customFormat="1">
      <c r="A6763" s="220"/>
      <c r="B6763" s="83"/>
      <c r="C6763" s="148"/>
      <c r="D6763" s="84"/>
      <c r="E6763" s="84"/>
      <c r="F6763" s="141"/>
      <c r="G6763" s="84"/>
      <c r="H6763" s="222"/>
    </row>
    <row r="6764" spans="1:8" s="212" customFormat="1">
      <c r="A6764" s="146"/>
      <c r="B6764" s="147"/>
      <c r="C6764" s="148"/>
      <c r="D6764" s="84"/>
      <c r="E6764" s="143"/>
      <c r="F6764" s="84"/>
      <c r="G6764" s="146"/>
      <c r="H6764" s="225"/>
    </row>
    <row r="6765" spans="1:8" s="212" customFormat="1">
      <c r="A6765" s="91"/>
      <c r="B6765" s="91"/>
      <c r="C6765" s="91"/>
      <c r="D6765" s="91"/>
      <c r="E6765" s="91"/>
      <c r="G6765" s="213"/>
      <c r="H6765" s="222"/>
    </row>
    <row r="6766" spans="1:8" s="212" customFormat="1">
      <c r="A6766" s="120"/>
      <c r="B6766" s="73"/>
      <c r="C6766" s="73"/>
      <c r="D6766" s="73"/>
      <c r="E6766" s="73"/>
      <c r="G6766" s="73"/>
      <c r="H6766" s="222"/>
    </row>
    <row r="6767" spans="1:8" s="212" customFormat="1">
      <c r="A6767" s="220"/>
      <c r="B6767" s="141"/>
      <c r="C6767" s="141"/>
      <c r="D6767" s="141"/>
      <c r="E6767" s="141"/>
      <c r="F6767" s="141"/>
      <c r="G6767" s="141"/>
      <c r="H6767" s="222"/>
    </row>
    <row r="6768" spans="1:8" s="212" customFormat="1">
      <c r="A6768" s="142"/>
      <c r="B6768" s="143"/>
      <c r="C6768" s="143"/>
      <c r="D6768" s="143"/>
      <c r="E6768" s="143"/>
      <c r="F6768" s="84"/>
      <c r="G6768" s="146"/>
      <c r="H6768" s="221"/>
    </row>
    <row r="6769" spans="1:9" s="212" customFormat="1">
      <c r="A6769" s="123"/>
      <c r="B6769" s="95"/>
      <c r="C6769" s="95"/>
      <c r="D6769" s="95"/>
      <c r="E6769" s="95"/>
      <c r="G6769" s="213"/>
      <c r="H6769" s="73"/>
    </row>
    <row r="6770" spans="1:9" s="212" customFormat="1">
      <c r="A6770" s="123"/>
      <c r="B6770" s="95"/>
      <c r="C6770" s="95"/>
      <c r="D6770" s="95"/>
      <c r="E6770" s="95"/>
      <c r="G6770" s="73"/>
      <c r="H6770" s="225"/>
    </row>
    <row r="6771" spans="1:9" s="212" customFormat="1">
      <c r="B6771" s="97"/>
      <c r="C6771" s="98"/>
      <c r="D6771" s="98"/>
      <c r="E6771" s="98"/>
      <c r="G6771" s="220"/>
    </row>
    <row r="6772" spans="1:9" s="212" customFormat="1">
      <c r="B6772" s="97"/>
      <c r="C6772" s="98"/>
      <c r="D6772" s="98"/>
      <c r="E6772" s="98"/>
      <c r="F6772" s="220"/>
      <c r="G6772" s="225"/>
      <c r="H6772" s="226"/>
    </row>
    <row r="6773" spans="1:9" s="212" customFormat="1">
      <c r="A6773" s="633"/>
      <c r="B6773" s="633"/>
      <c r="C6773" s="633"/>
      <c r="D6773" s="633"/>
      <c r="E6773" s="633"/>
      <c r="F6773" s="633"/>
      <c r="G6773" s="633"/>
    </row>
    <row r="6774" spans="1:9" s="212" customFormat="1">
      <c r="H6774" s="227"/>
      <c r="I6774" s="228"/>
    </row>
    <row r="6775" spans="1:9" s="212" customFormat="1">
      <c r="A6775" s="658"/>
      <c r="B6775" s="227"/>
      <c r="C6775" s="227"/>
      <c r="D6775" s="227"/>
      <c r="E6775" s="227"/>
      <c r="F6775" s="227"/>
      <c r="G6775" s="227"/>
      <c r="H6775" s="227"/>
      <c r="I6775" s="229"/>
    </row>
    <row r="6776" spans="1:9" s="212" customFormat="1">
      <c r="A6776" s="658"/>
      <c r="B6776" s="227"/>
      <c r="C6776" s="227"/>
      <c r="D6776" s="227"/>
      <c r="E6776" s="227"/>
      <c r="F6776" s="227"/>
      <c r="G6776" s="227"/>
    </row>
    <row r="6777" spans="1:9" s="212" customFormat="1">
      <c r="A6777" s="69"/>
      <c r="B6777" s="69"/>
      <c r="C6777" s="69"/>
      <c r="D6777" s="69"/>
      <c r="E6777" s="69"/>
    </row>
    <row r="6778" spans="1:9" s="212" customFormat="1">
      <c r="A6778" s="120"/>
      <c r="B6778" s="73"/>
      <c r="C6778" s="73"/>
      <c r="D6778" s="73"/>
      <c r="E6778" s="73"/>
      <c r="F6778" s="73"/>
      <c r="G6778" s="73"/>
      <c r="H6778" s="73"/>
    </row>
    <row r="6779" spans="1:9" s="212" customFormat="1">
      <c r="A6779" s="220"/>
      <c r="B6779" s="141"/>
      <c r="C6779" s="141"/>
      <c r="D6779" s="141"/>
      <c r="E6779" s="141"/>
      <c r="F6779" s="141"/>
      <c r="G6779" s="141"/>
      <c r="H6779" s="73"/>
    </row>
    <row r="6780" spans="1:9" s="212" customFormat="1">
      <c r="A6780" s="84"/>
      <c r="B6780" s="83"/>
      <c r="C6780" s="84"/>
      <c r="D6780" s="84"/>
      <c r="E6780" s="84"/>
      <c r="F6780" s="84"/>
      <c r="G6780" s="146"/>
      <c r="H6780" s="225"/>
    </row>
    <row r="6781" spans="1:9" s="212" customFormat="1">
      <c r="A6781" s="84"/>
      <c r="B6781" s="83"/>
      <c r="C6781" s="84"/>
      <c r="D6781" s="84"/>
      <c r="E6781" s="84"/>
      <c r="G6781" s="213"/>
      <c r="H6781" s="222"/>
    </row>
    <row r="6782" spans="1:9" s="212" customFormat="1">
      <c r="A6782" s="120"/>
      <c r="B6782" s="73"/>
      <c r="C6782" s="73"/>
      <c r="D6782" s="73"/>
      <c r="E6782" s="73"/>
      <c r="G6782" s="73"/>
      <c r="H6782" s="222"/>
    </row>
    <row r="6783" spans="1:9" s="212" customFormat="1">
      <c r="A6783" s="220"/>
      <c r="B6783" s="141"/>
      <c r="C6783" s="141"/>
      <c r="D6783" s="141"/>
      <c r="E6783" s="141"/>
      <c r="F6783" s="141"/>
      <c r="G6783" s="141"/>
      <c r="H6783" s="222"/>
    </row>
    <row r="6784" spans="1:9" s="212" customFormat="1">
      <c r="A6784" s="172"/>
      <c r="B6784" s="83"/>
      <c r="C6784" s="84"/>
      <c r="D6784" s="84"/>
      <c r="E6784" s="168"/>
      <c r="F6784" s="141"/>
      <c r="G6784" s="168"/>
      <c r="H6784" s="222"/>
    </row>
    <row r="6785" spans="1:9" s="212" customFormat="1">
      <c r="A6785" s="173"/>
      <c r="B6785" s="83"/>
      <c r="C6785" s="84"/>
      <c r="D6785" s="84"/>
      <c r="E6785" s="84"/>
      <c r="F6785" s="141"/>
      <c r="G6785" s="168"/>
      <c r="H6785" s="225"/>
    </row>
    <row r="6786" spans="1:9" s="212" customFormat="1">
      <c r="A6786" s="91"/>
      <c r="B6786" s="91"/>
      <c r="C6786" s="91"/>
      <c r="D6786" s="91"/>
      <c r="E6786" s="91"/>
      <c r="G6786" s="213"/>
      <c r="H6786" s="222"/>
    </row>
    <row r="6787" spans="1:9" s="212" customFormat="1">
      <c r="A6787" s="120"/>
      <c r="B6787" s="73"/>
      <c r="C6787" s="73"/>
      <c r="D6787" s="73"/>
      <c r="E6787" s="73"/>
      <c r="G6787" s="73"/>
      <c r="H6787" s="222"/>
    </row>
    <row r="6788" spans="1:9" s="212" customFormat="1">
      <c r="A6788" s="220"/>
      <c r="B6788" s="141"/>
      <c r="C6788" s="141"/>
      <c r="D6788" s="141"/>
      <c r="E6788" s="141"/>
      <c r="F6788" s="141"/>
      <c r="G6788" s="141"/>
      <c r="H6788" s="222"/>
    </row>
    <row r="6789" spans="1:9" s="212" customFormat="1">
      <c r="A6789" s="146"/>
      <c r="B6789" s="147"/>
      <c r="C6789" s="148"/>
      <c r="D6789" s="84"/>
      <c r="E6789" s="143"/>
      <c r="F6789" s="84"/>
      <c r="G6789" s="146"/>
      <c r="H6789" s="225"/>
    </row>
    <row r="6790" spans="1:9" s="212" customFormat="1">
      <c r="A6790" s="91"/>
      <c r="B6790" s="91"/>
      <c r="C6790" s="91"/>
      <c r="D6790" s="91"/>
      <c r="E6790" s="91"/>
      <c r="G6790" s="213"/>
      <c r="H6790" s="222"/>
    </row>
    <row r="6791" spans="1:9" s="212" customFormat="1">
      <c r="A6791" s="120"/>
      <c r="B6791" s="73"/>
      <c r="C6791" s="73"/>
      <c r="D6791" s="73"/>
      <c r="E6791" s="73"/>
      <c r="G6791" s="73"/>
      <c r="H6791" s="222"/>
    </row>
    <row r="6792" spans="1:9" s="212" customFormat="1">
      <c r="A6792" s="220"/>
      <c r="B6792" s="141"/>
      <c r="C6792" s="141"/>
      <c r="D6792" s="141"/>
      <c r="E6792" s="141"/>
      <c r="F6792" s="141"/>
      <c r="G6792" s="141"/>
      <c r="H6792" s="222"/>
    </row>
    <row r="6793" spans="1:9" s="212" customFormat="1">
      <c r="A6793" s="142"/>
      <c r="B6793" s="143"/>
      <c r="C6793" s="143"/>
      <c r="D6793" s="143"/>
      <c r="E6793" s="143"/>
      <c r="F6793" s="84"/>
      <c r="G6793" s="146"/>
      <c r="H6793" s="225"/>
    </row>
    <row r="6794" spans="1:9" s="212" customFormat="1">
      <c r="A6794" s="123"/>
      <c r="B6794" s="95"/>
      <c r="C6794" s="95"/>
      <c r="D6794" s="95"/>
      <c r="E6794" s="95"/>
      <c r="G6794" s="213"/>
      <c r="H6794" s="73"/>
    </row>
    <row r="6795" spans="1:9" s="212" customFormat="1">
      <c r="A6795" s="123"/>
      <c r="B6795" s="95"/>
      <c r="C6795" s="95"/>
      <c r="D6795" s="95"/>
      <c r="E6795" s="95"/>
      <c r="G6795" s="73"/>
      <c r="H6795" s="225"/>
    </row>
    <row r="6796" spans="1:9" s="212" customFormat="1">
      <c r="B6796" s="97"/>
      <c r="C6796" s="98"/>
      <c r="D6796" s="98"/>
      <c r="E6796" s="98"/>
      <c r="G6796" s="220"/>
    </row>
    <row r="6797" spans="1:9" s="212" customFormat="1">
      <c r="B6797" s="97"/>
      <c r="C6797" s="98"/>
      <c r="D6797" s="98"/>
      <c r="E6797" s="98"/>
      <c r="F6797" s="220"/>
      <c r="G6797" s="225"/>
      <c r="H6797" s="226"/>
    </row>
    <row r="6798" spans="1:9" s="212" customFormat="1">
      <c r="A6798" s="633"/>
      <c r="B6798" s="633"/>
      <c r="C6798" s="633"/>
      <c r="D6798" s="633"/>
      <c r="E6798" s="633"/>
      <c r="F6798" s="633"/>
      <c r="G6798" s="633"/>
    </row>
    <row r="6799" spans="1:9" s="212" customFormat="1">
      <c r="H6799" s="227"/>
      <c r="I6799" s="228"/>
    </row>
    <row r="6800" spans="1:9" s="212" customFormat="1">
      <c r="A6800" s="686"/>
      <c r="B6800" s="227"/>
      <c r="C6800" s="227"/>
      <c r="D6800" s="227"/>
      <c r="E6800" s="227"/>
      <c r="F6800" s="227"/>
      <c r="G6800" s="227"/>
      <c r="H6800" s="227"/>
      <c r="I6800" s="229"/>
    </row>
    <row r="6801" spans="1:8" s="212" customFormat="1">
      <c r="A6801" s="658"/>
      <c r="B6801" s="227"/>
      <c r="C6801" s="227"/>
      <c r="D6801" s="227"/>
      <c r="E6801" s="227"/>
      <c r="F6801" s="227"/>
      <c r="G6801" s="227"/>
    </row>
    <row r="6802" spans="1:8" s="212" customFormat="1">
      <c r="A6802" s="69"/>
      <c r="B6802" s="69"/>
      <c r="C6802" s="69"/>
      <c r="D6802" s="69"/>
      <c r="E6802" s="69"/>
    </row>
    <row r="6803" spans="1:8" s="212" customFormat="1">
      <c r="A6803" s="120"/>
      <c r="B6803" s="73"/>
      <c r="C6803" s="73"/>
      <c r="D6803" s="73"/>
      <c r="E6803" s="73"/>
      <c r="F6803" s="73"/>
      <c r="G6803" s="73"/>
      <c r="H6803" s="73"/>
    </row>
    <row r="6804" spans="1:8" s="212" customFormat="1">
      <c r="A6804" s="220"/>
      <c r="B6804" s="141"/>
      <c r="C6804" s="141"/>
      <c r="D6804" s="141"/>
      <c r="E6804" s="141"/>
      <c r="F6804" s="141"/>
      <c r="G6804" s="141"/>
      <c r="H6804" s="73"/>
    </row>
    <row r="6805" spans="1:8" s="212" customFormat="1">
      <c r="A6805" s="84"/>
      <c r="B6805" s="83"/>
      <c r="C6805" s="84"/>
      <c r="D6805" s="84"/>
      <c r="E6805" s="84"/>
      <c r="F6805" s="84"/>
      <c r="G6805" s="146"/>
      <c r="H6805" s="225"/>
    </row>
    <row r="6806" spans="1:8" s="212" customFormat="1">
      <c r="A6806" s="84"/>
      <c r="B6806" s="83"/>
      <c r="C6806" s="84"/>
      <c r="D6806" s="84"/>
      <c r="E6806" s="84"/>
      <c r="G6806" s="213"/>
      <c r="H6806" s="222"/>
    </row>
    <row r="6807" spans="1:8" s="212" customFormat="1">
      <c r="A6807" s="120"/>
      <c r="B6807" s="73"/>
      <c r="C6807" s="73"/>
      <c r="D6807" s="73"/>
      <c r="E6807" s="73"/>
      <c r="G6807" s="73"/>
      <c r="H6807" s="222"/>
    </row>
    <row r="6808" spans="1:8" s="212" customFormat="1">
      <c r="A6808" s="220"/>
      <c r="B6808" s="141"/>
      <c r="C6808" s="141"/>
      <c r="D6808" s="141"/>
      <c r="E6808" s="141"/>
      <c r="F6808" s="141"/>
      <c r="G6808" s="141"/>
      <c r="H6808" s="222"/>
    </row>
    <row r="6809" spans="1:8" s="212" customFormat="1">
      <c r="A6809" s="172"/>
      <c r="B6809" s="83"/>
      <c r="C6809" s="84"/>
      <c r="D6809" s="84"/>
      <c r="E6809" s="168"/>
      <c r="F6809" s="141"/>
      <c r="G6809" s="168"/>
      <c r="H6809" s="225"/>
    </row>
    <row r="6810" spans="1:8" s="212" customFormat="1">
      <c r="A6810" s="91"/>
      <c r="B6810" s="91"/>
      <c r="C6810" s="91"/>
      <c r="D6810" s="91"/>
      <c r="E6810" s="91"/>
      <c r="G6810" s="213"/>
      <c r="H6810" s="222"/>
    </row>
    <row r="6811" spans="1:8" s="212" customFormat="1">
      <c r="A6811" s="120"/>
      <c r="B6811" s="73"/>
      <c r="C6811" s="73"/>
      <c r="D6811" s="73"/>
      <c r="E6811" s="73"/>
      <c r="G6811" s="73"/>
      <c r="H6811" s="222"/>
    </row>
    <row r="6812" spans="1:8" s="212" customFormat="1">
      <c r="A6812" s="220"/>
      <c r="B6812" s="141"/>
      <c r="C6812" s="141"/>
      <c r="D6812" s="141"/>
      <c r="E6812" s="141"/>
      <c r="F6812" s="141"/>
      <c r="G6812" s="141"/>
      <c r="H6812" s="222"/>
    </row>
    <row r="6813" spans="1:8" s="212" customFormat="1">
      <c r="A6813" s="146"/>
      <c r="B6813" s="147"/>
      <c r="C6813" s="148"/>
      <c r="D6813" s="84"/>
      <c r="E6813" s="143"/>
      <c r="F6813" s="84"/>
      <c r="G6813" s="146"/>
      <c r="H6813" s="225"/>
    </row>
    <row r="6814" spans="1:8" s="212" customFormat="1">
      <c r="A6814" s="91"/>
      <c r="B6814" s="91"/>
      <c r="C6814" s="91"/>
      <c r="D6814" s="91"/>
      <c r="E6814" s="91"/>
      <c r="G6814" s="213"/>
      <c r="H6814" s="222"/>
    </row>
    <row r="6815" spans="1:8" s="212" customFormat="1">
      <c r="A6815" s="120"/>
      <c r="B6815" s="73"/>
      <c r="C6815" s="73"/>
      <c r="D6815" s="73"/>
      <c r="E6815" s="73"/>
      <c r="G6815" s="73"/>
      <c r="H6815" s="222"/>
    </row>
    <row r="6816" spans="1:8" s="212" customFormat="1">
      <c r="A6816" s="220"/>
      <c r="B6816" s="141"/>
      <c r="C6816" s="141"/>
      <c r="D6816" s="141"/>
      <c r="E6816" s="141"/>
      <c r="F6816" s="141"/>
      <c r="G6816" s="141"/>
      <c r="H6816" s="222"/>
    </row>
    <row r="6817" spans="1:9" s="212" customFormat="1">
      <c r="A6817" s="142"/>
      <c r="B6817" s="143"/>
      <c r="C6817" s="143"/>
      <c r="D6817" s="143"/>
      <c r="E6817" s="143"/>
      <c r="F6817" s="84"/>
      <c r="G6817" s="146"/>
      <c r="H6817" s="225"/>
    </row>
    <row r="6818" spans="1:9" s="212" customFormat="1">
      <c r="A6818" s="123"/>
      <c r="B6818" s="95"/>
      <c r="C6818" s="95"/>
      <c r="D6818" s="95"/>
      <c r="E6818" s="95"/>
      <c r="G6818" s="213"/>
      <c r="H6818" s="73"/>
    </row>
    <row r="6819" spans="1:9" s="212" customFormat="1">
      <c r="A6819" s="123"/>
      <c r="B6819" s="95"/>
      <c r="C6819" s="95"/>
      <c r="D6819" s="95"/>
      <c r="E6819" s="95"/>
      <c r="G6819" s="73"/>
      <c r="H6819" s="225"/>
    </row>
    <row r="6820" spans="1:9" s="212" customFormat="1">
      <c r="B6820" s="97"/>
      <c r="C6820" s="98"/>
      <c r="D6820" s="98"/>
      <c r="E6820" s="98"/>
      <c r="G6820" s="220"/>
    </row>
    <row r="6821" spans="1:9" s="212" customFormat="1">
      <c r="B6821" s="97"/>
      <c r="C6821" s="98"/>
      <c r="D6821" s="98"/>
      <c r="E6821" s="98"/>
      <c r="F6821" s="220"/>
      <c r="G6821" s="225"/>
      <c r="H6821" s="226"/>
    </row>
    <row r="6822" spans="1:9" s="212" customFormat="1">
      <c r="A6822" s="633"/>
      <c r="B6822" s="633"/>
      <c r="C6822" s="633"/>
      <c r="D6822" s="633"/>
      <c r="E6822" s="633"/>
      <c r="F6822" s="633"/>
      <c r="G6822" s="633"/>
    </row>
    <row r="6823" spans="1:9" s="212" customFormat="1">
      <c r="H6823" s="227"/>
      <c r="I6823" s="228"/>
    </row>
    <row r="6824" spans="1:9" s="212" customFormat="1">
      <c r="A6824" s="686"/>
      <c r="B6824" s="227"/>
      <c r="C6824" s="227"/>
      <c r="D6824" s="227"/>
      <c r="E6824" s="227"/>
      <c r="F6824" s="227"/>
      <c r="G6824" s="227"/>
      <c r="H6824" s="227"/>
      <c r="I6824" s="229"/>
    </row>
    <row r="6825" spans="1:9" s="212" customFormat="1">
      <c r="A6825" s="658"/>
      <c r="B6825" s="227"/>
      <c r="C6825" s="227"/>
      <c r="D6825" s="227"/>
      <c r="E6825" s="227"/>
      <c r="F6825" s="227"/>
      <c r="G6825" s="227"/>
    </row>
    <row r="6826" spans="1:9" s="212" customFormat="1">
      <c r="A6826" s="69"/>
      <c r="B6826" s="69"/>
      <c r="C6826" s="69"/>
      <c r="D6826" s="69"/>
      <c r="E6826" s="69"/>
    </row>
    <row r="6827" spans="1:9" s="212" customFormat="1">
      <c r="A6827" s="120"/>
      <c r="B6827" s="73"/>
      <c r="C6827" s="73"/>
      <c r="D6827" s="73"/>
      <c r="E6827" s="73"/>
      <c r="F6827" s="73"/>
      <c r="G6827" s="73"/>
      <c r="H6827" s="73"/>
    </row>
    <row r="6828" spans="1:9" s="212" customFormat="1">
      <c r="A6828" s="220"/>
      <c r="B6828" s="141"/>
      <c r="C6828" s="141"/>
      <c r="D6828" s="141"/>
      <c r="E6828" s="141"/>
      <c r="F6828" s="141"/>
      <c r="G6828" s="141"/>
      <c r="H6828" s="73"/>
    </row>
    <row r="6829" spans="1:9" s="212" customFormat="1">
      <c r="A6829" s="142"/>
      <c r="B6829" s="83"/>
      <c r="C6829" s="84"/>
      <c r="D6829" s="84"/>
      <c r="E6829" s="84"/>
      <c r="F6829" s="84"/>
      <c r="G6829" s="84"/>
      <c r="H6829" s="73"/>
    </row>
    <row r="6830" spans="1:9" s="212" customFormat="1">
      <c r="A6830" s="142"/>
      <c r="B6830" s="83"/>
      <c r="C6830" s="84"/>
      <c r="D6830" s="84"/>
      <c r="E6830" s="84"/>
      <c r="F6830" s="84"/>
      <c r="G6830" s="84"/>
      <c r="H6830" s="73"/>
    </row>
    <row r="6831" spans="1:9" s="212" customFormat="1">
      <c r="A6831" s="142"/>
      <c r="B6831" s="83"/>
      <c r="C6831" s="84"/>
      <c r="D6831" s="84"/>
      <c r="E6831" s="84"/>
      <c r="F6831" s="84"/>
      <c r="G6831" s="84"/>
      <c r="H6831" s="73"/>
    </row>
    <row r="6832" spans="1:9" s="212" customFormat="1">
      <c r="A6832" s="84"/>
      <c r="B6832" s="83"/>
      <c r="C6832" s="84"/>
      <c r="D6832" s="84"/>
      <c r="E6832" s="84"/>
      <c r="F6832" s="84"/>
      <c r="G6832" s="146"/>
      <c r="H6832" s="225"/>
    </row>
    <row r="6833" spans="1:8" s="212" customFormat="1">
      <c r="A6833" s="84"/>
      <c r="B6833" s="83"/>
      <c r="C6833" s="84"/>
      <c r="D6833" s="84"/>
      <c r="E6833" s="84"/>
      <c r="G6833" s="213"/>
      <c r="H6833" s="222"/>
    </row>
    <row r="6834" spans="1:8" s="212" customFormat="1">
      <c r="A6834" s="120"/>
      <c r="B6834" s="73"/>
      <c r="C6834" s="73"/>
      <c r="D6834" s="73"/>
      <c r="E6834" s="73"/>
      <c r="G6834" s="73"/>
      <c r="H6834" s="222"/>
    </row>
    <row r="6835" spans="1:8" s="212" customFormat="1">
      <c r="A6835" s="220"/>
      <c r="B6835" s="141"/>
      <c r="C6835" s="141"/>
      <c r="D6835" s="141"/>
      <c r="E6835" s="141"/>
      <c r="F6835" s="141"/>
      <c r="G6835" s="141"/>
      <c r="H6835" s="222"/>
    </row>
    <row r="6836" spans="1:8" s="212" customFormat="1">
      <c r="A6836" s="233"/>
      <c r="B6836" s="83"/>
      <c r="C6836" s="84"/>
      <c r="D6836" s="84"/>
      <c r="E6836" s="84"/>
      <c r="F6836" s="84"/>
      <c r="G6836" s="84"/>
      <c r="H6836" s="222"/>
    </row>
    <row r="6837" spans="1:8" s="212" customFormat="1">
      <c r="A6837" s="233"/>
      <c r="B6837" s="83"/>
      <c r="C6837" s="84"/>
      <c r="D6837" s="84"/>
      <c r="E6837" s="84"/>
      <c r="F6837" s="84"/>
      <c r="G6837" s="84"/>
      <c r="H6837" s="222"/>
    </row>
    <row r="6838" spans="1:8" s="212" customFormat="1">
      <c r="A6838" s="233"/>
      <c r="B6838" s="83"/>
      <c r="C6838" s="84"/>
      <c r="D6838" s="84"/>
      <c r="E6838" s="84"/>
      <c r="F6838" s="84"/>
      <c r="G6838" s="84"/>
      <c r="H6838" s="225"/>
    </row>
    <row r="6839" spans="1:8" s="212" customFormat="1">
      <c r="A6839" s="233"/>
      <c r="B6839" s="83"/>
      <c r="C6839" s="84"/>
      <c r="D6839" s="84"/>
      <c r="E6839" s="84"/>
      <c r="F6839" s="84"/>
      <c r="G6839" s="84"/>
      <c r="H6839" s="222"/>
    </row>
    <row r="6840" spans="1:8" s="212" customFormat="1">
      <c r="A6840" s="120"/>
      <c r="B6840" s="73"/>
      <c r="C6840" s="73"/>
      <c r="D6840" s="73"/>
      <c r="E6840" s="73"/>
      <c r="G6840" s="73"/>
      <c r="H6840" s="222"/>
    </row>
    <row r="6841" spans="1:8" s="212" customFormat="1">
      <c r="A6841" s="220"/>
      <c r="B6841" s="141"/>
      <c r="C6841" s="141"/>
      <c r="D6841" s="141"/>
      <c r="E6841" s="141"/>
      <c r="F6841" s="141"/>
      <c r="G6841" s="141"/>
      <c r="H6841" s="222"/>
    </row>
    <row r="6842" spans="1:8" s="212" customFormat="1">
      <c r="A6842" s="142"/>
      <c r="B6842" s="83"/>
      <c r="C6842" s="84"/>
      <c r="D6842" s="84"/>
      <c r="E6842" s="84"/>
      <c r="F6842" s="141"/>
      <c r="G6842" s="84"/>
      <c r="H6842" s="222"/>
    </row>
    <row r="6843" spans="1:8" s="212" customFormat="1">
      <c r="A6843" s="142"/>
      <c r="B6843" s="83"/>
      <c r="C6843" s="84"/>
      <c r="D6843" s="84"/>
      <c r="E6843" s="84"/>
      <c r="F6843" s="141"/>
      <c r="G6843" s="84"/>
      <c r="H6843" s="222"/>
    </row>
    <row r="6844" spans="1:8" s="212" customFormat="1">
      <c r="A6844" s="146"/>
      <c r="B6844" s="176"/>
      <c r="C6844" s="148"/>
      <c r="D6844" s="84"/>
      <c r="E6844" s="84"/>
      <c r="F6844" s="84"/>
      <c r="G6844" s="146"/>
      <c r="H6844" s="225"/>
    </row>
    <row r="6845" spans="1:8" s="212" customFormat="1">
      <c r="A6845" s="91"/>
      <c r="B6845" s="91"/>
      <c r="C6845" s="91"/>
      <c r="D6845" s="91"/>
      <c r="E6845" s="91"/>
      <c r="G6845" s="213"/>
      <c r="H6845" s="222"/>
    </row>
    <row r="6846" spans="1:8" s="212" customFormat="1">
      <c r="A6846" s="120"/>
      <c r="B6846" s="73"/>
      <c r="C6846" s="73"/>
      <c r="D6846" s="73"/>
      <c r="E6846" s="73"/>
      <c r="G6846" s="73"/>
      <c r="H6846" s="222"/>
    </row>
    <row r="6847" spans="1:8" s="212" customFormat="1">
      <c r="A6847" s="220"/>
      <c r="B6847" s="141"/>
      <c r="C6847" s="141"/>
      <c r="D6847" s="141"/>
      <c r="E6847" s="141"/>
      <c r="F6847" s="141"/>
      <c r="G6847" s="141"/>
      <c r="H6847" s="222"/>
    </row>
    <row r="6848" spans="1:8" s="212" customFormat="1">
      <c r="A6848" s="142"/>
      <c r="B6848" s="143"/>
      <c r="C6848" s="143"/>
      <c r="D6848" s="143"/>
      <c r="E6848" s="143"/>
      <c r="F6848" s="84"/>
      <c r="G6848" s="146"/>
      <c r="H6848" s="225"/>
    </row>
    <row r="6849" spans="1:9" s="212" customFormat="1">
      <c r="A6849" s="123"/>
      <c r="B6849" s="95"/>
      <c r="C6849" s="95"/>
      <c r="D6849" s="95"/>
      <c r="E6849" s="95"/>
      <c r="G6849" s="213"/>
      <c r="H6849" s="73"/>
    </row>
    <row r="6850" spans="1:9" s="212" customFormat="1">
      <c r="A6850" s="123"/>
      <c r="B6850" s="95"/>
      <c r="C6850" s="95"/>
      <c r="D6850" s="95"/>
      <c r="E6850" s="95"/>
      <c r="G6850" s="73"/>
      <c r="H6850" s="225"/>
    </row>
    <row r="6851" spans="1:9" s="212" customFormat="1">
      <c r="B6851" s="97"/>
      <c r="C6851" s="98"/>
      <c r="D6851" s="98"/>
      <c r="E6851" s="98"/>
      <c r="G6851" s="220"/>
    </row>
    <row r="6852" spans="1:9" s="212" customFormat="1">
      <c r="B6852" s="97"/>
      <c r="C6852" s="98"/>
      <c r="D6852" s="98"/>
      <c r="E6852" s="98"/>
      <c r="F6852" s="220"/>
      <c r="G6852" s="225"/>
      <c r="H6852" s="226"/>
    </row>
    <row r="6853" spans="1:9" s="212" customFormat="1">
      <c r="A6853" s="633"/>
      <c r="B6853" s="633"/>
      <c r="C6853" s="633"/>
      <c r="D6853" s="633"/>
      <c r="E6853" s="633"/>
      <c r="F6853" s="633"/>
      <c r="G6853" s="633"/>
    </row>
    <row r="6854" spans="1:9" s="212" customFormat="1">
      <c r="H6854" s="227"/>
      <c r="I6854" s="228"/>
    </row>
    <row r="6855" spans="1:9" s="212" customFormat="1">
      <c r="A6855" s="658"/>
      <c r="B6855" s="227"/>
      <c r="C6855" s="227"/>
      <c r="D6855" s="227"/>
      <c r="E6855" s="227"/>
      <c r="F6855" s="227"/>
      <c r="G6855" s="227"/>
      <c r="H6855" s="227"/>
      <c r="I6855" s="229"/>
    </row>
    <row r="6856" spans="1:9" s="212" customFormat="1">
      <c r="A6856" s="658"/>
      <c r="B6856" s="227"/>
      <c r="C6856" s="227"/>
      <c r="D6856" s="227"/>
      <c r="E6856" s="227"/>
      <c r="F6856" s="227"/>
      <c r="G6856" s="227"/>
      <c r="H6856" s="234"/>
    </row>
    <row r="6857" spans="1:9" s="212" customFormat="1">
      <c r="A6857" s="69"/>
      <c r="B6857" s="69"/>
      <c r="C6857" s="69"/>
      <c r="D6857" s="69"/>
      <c r="E6857" s="69"/>
      <c r="G6857" s="234"/>
      <c r="H6857" s="234"/>
    </row>
    <row r="6858" spans="1:9" s="212" customFormat="1">
      <c r="A6858" s="120"/>
      <c r="B6858" s="73"/>
      <c r="C6858" s="73"/>
      <c r="D6858" s="73"/>
      <c r="E6858" s="73"/>
      <c r="F6858" s="73"/>
      <c r="G6858" s="235"/>
      <c r="H6858" s="235"/>
    </row>
    <row r="6859" spans="1:9" s="212" customFormat="1">
      <c r="A6859" s="220"/>
      <c r="B6859" s="141"/>
      <c r="C6859" s="141"/>
      <c r="D6859" s="141"/>
      <c r="E6859" s="141"/>
      <c r="F6859" s="141"/>
      <c r="G6859" s="184"/>
      <c r="H6859" s="235"/>
    </row>
    <row r="6860" spans="1:9" s="212" customFormat="1">
      <c r="A6860" s="150"/>
      <c r="B6860" s="83"/>
      <c r="C6860" s="148"/>
      <c r="D6860" s="84"/>
      <c r="E6860" s="84"/>
      <c r="F6860" s="84"/>
      <c r="G6860" s="236"/>
      <c r="H6860" s="221"/>
    </row>
    <row r="6861" spans="1:9" s="212" customFormat="1">
      <c r="A6861" s="84"/>
      <c r="B6861" s="83"/>
      <c r="C6861" s="84"/>
      <c r="D6861" s="84"/>
      <c r="E6861" s="84"/>
      <c r="G6861" s="237"/>
      <c r="H6861" s="238"/>
    </row>
    <row r="6862" spans="1:9" s="212" customFormat="1">
      <c r="A6862" s="120"/>
      <c r="B6862" s="73"/>
      <c r="C6862" s="73"/>
      <c r="D6862" s="73"/>
      <c r="E6862" s="73"/>
      <c r="G6862" s="239"/>
      <c r="H6862" s="238"/>
    </row>
    <row r="6863" spans="1:9" s="212" customFormat="1">
      <c r="A6863" s="220"/>
      <c r="B6863" s="141"/>
      <c r="C6863" s="141"/>
      <c r="D6863" s="141"/>
      <c r="E6863" s="141"/>
      <c r="F6863" s="141"/>
      <c r="G6863" s="184"/>
      <c r="H6863" s="238"/>
      <c r="I6863" s="240"/>
    </row>
    <row r="6864" spans="1:9" s="212" customFormat="1">
      <c r="A6864" s="190"/>
      <c r="B6864" s="191"/>
      <c r="C6864" s="148"/>
      <c r="D6864" s="190"/>
      <c r="E6864" s="84"/>
      <c r="F6864" s="84"/>
      <c r="G6864" s="236"/>
      <c r="H6864" s="238"/>
      <c r="I6864" s="240"/>
    </row>
    <row r="6865" spans="1:9" s="212" customFormat="1">
      <c r="A6865" s="150"/>
      <c r="B6865" s="191"/>
      <c r="C6865" s="148"/>
      <c r="D6865" s="84"/>
      <c r="E6865" s="84"/>
      <c r="F6865" s="84"/>
      <c r="G6865" s="236"/>
      <c r="H6865" s="238"/>
    </row>
    <row r="6866" spans="1:9" s="212" customFormat="1">
      <c r="A6866" s="150"/>
      <c r="B6866" s="191"/>
      <c r="C6866" s="148"/>
      <c r="D6866" s="84"/>
      <c r="E6866" s="84"/>
      <c r="F6866" s="84"/>
      <c r="G6866" s="236"/>
      <c r="H6866" s="238"/>
    </row>
    <row r="6867" spans="1:9" s="212" customFormat="1">
      <c r="A6867" s="150"/>
      <c r="B6867" s="191"/>
      <c r="C6867" s="148"/>
      <c r="D6867" s="84"/>
      <c r="E6867" s="84"/>
      <c r="F6867" s="84"/>
      <c r="G6867" s="236"/>
      <c r="H6867" s="221"/>
    </row>
    <row r="6868" spans="1:9" s="212" customFormat="1">
      <c r="A6868" s="91"/>
      <c r="B6868" s="91"/>
      <c r="C6868" s="91"/>
      <c r="D6868" s="91"/>
      <c r="E6868" s="91"/>
      <c r="G6868" s="237"/>
      <c r="H6868" s="238"/>
    </row>
    <row r="6869" spans="1:9" s="212" customFormat="1">
      <c r="A6869" s="120"/>
      <c r="B6869" s="73"/>
      <c r="C6869" s="73"/>
      <c r="D6869" s="73"/>
      <c r="E6869" s="73"/>
      <c r="G6869" s="239"/>
      <c r="H6869" s="238"/>
    </row>
    <row r="6870" spans="1:9" s="212" customFormat="1">
      <c r="A6870" s="220"/>
      <c r="B6870" s="141"/>
      <c r="C6870" s="141"/>
      <c r="D6870" s="141"/>
      <c r="E6870" s="141"/>
      <c r="F6870" s="141"/>
      <c r="G6870" s="184"/>
      <c r="H6870" s="238"/>
    </row>
    <row r="6871" spans="1:9" s="212" customFormat="1">
      <c r="A6871" s="146"/>
      <c r="B6871" s="83"/>
      <c r="C6871" s="148"/>
      <c r="D6871" s="84"/>
      <c r="E6871" s="84"/>
      <c r="F6871" s="84"/>
      <c r="G6871" s="236"/>
      <c r="H6871" s="221"/>
    </row>
    <row r="6872" spans="1:9" s="212" customFormat="1">
      <c r="A6872" s="91"/>
      <c r="B6872" s="91"/>
      <c r="C6872" s="91"/>
      <c r="D6872" s="91"/>
      <c r="E6872" s="91"/>
      <c r="G6872" s="237"/>
      <c r="H6872" s="238"/>
    </row>
    <row r="6873" spans="1:9" s="212" customFormat="1">
      <c r="A6873" s="120"/>
      <c r="B6873" s="73"/>
      <c r="C6873" s="73"/>
      <c r="D6873" s="73"/>
      <c r="E6873" s="73"/>
      <c r="G6873" s="239"/>
      <c r="H6873" s="238"/>
    </row>
    <row r="6874" spans="1:9" s="212" customFormat="1">
      <c r="A6874" s="220"/>
      <c r="B6874" s="141"/>
      <c r="C6874" s="141"/>
      <c r="D6874" s="141"/>
      <c r="E6874" s="141"/>
      <c r="F6874" s="141"/>
      <c r="G6874" s="184"/>
      <c r="H6874" s="238"/>
    </row>
    <row r="6875" spans="1:9" s="212" customFormat="1">
      <c r="A6875" s="142"/>
      <c r="B6875" s="143"/>
      <c r="C6875" s="143"/>
      <c r="D6875" s="143"/>
      <c r="E6875" s="143"/>
      <c r="F6875" s="84"/>
      <c r="G6875" s="236"/>
      <c r="H6875" s="221"/>
    </row>
    <row r="6876" spans="1:9" s="212" customFormat="1">
      <c r="A6876" s="123"/>
      <c r="B6876" s="95"/>
      <c r="C6876" s="95"/>
      <c r="D6876" s="95"/>
      <c r="E6876" s="95"/>
      <c r="G6876" s="237"/>
      <c r="H6876" s="235"/>
    </row>
    <row r="6877" spans="1:9" s="212" customFormat="1">
      <c r="A6877" s="123"/>
      <c r="B6877" s="95"/>
      <c r="C6877" s="95"/>
      <c r="D6877" s="95"/>
      <c r="E6877" s="95"/>
      <c r="G6877" s="239"/>
      <c r="H6877" s="225"/>
    </row>
    <row r="6878" spans="1:9" s="212" customFormat="1">
      <c r="B6878" s="97"/>
      <c r="C6878" s="98"/>
      <c r="D6878" s="98"/>
      <c r="E6878" s="98"/>
      <c r="G6878" s="241"/>
      <c r="H6878" s="234"/>
    </row>
    <row r="6879" spans="1:9" s="212" customFormat="1">
      <c r="B6879" s="97"/>
      <c r="C6879" s="98"/>
      <c r="D6879" s="98"/>
      <c r="E6879" s="98"/>
      <c r="F6879" s="220"/>
      <c r="G6879" s="242"/>
      <c r="H6879" s="227"/>
      <c r="I6879" s="228"/>
    </row>
    <row r="6880" spans="1:9" s="212" customFormat="1">
      <c r="A6880" s="658"/>
      <c r="B6880" s="227"/>
      <c r="C6880" s="227"/>
      <c r="D6880" s="227"/>
      <c r="E6880" s="227"/>
      <c r="F6880" s="227"/>
      <c r="G6880" s="227"/>
      <c r="H6880" s="227"/>
      <c r="I6880" s="229"/>
    </row>
    <row r="6881" spans="1:9" s="212" customFormat="1">
      <c r="A6881" s="658"/>
      <c r="B6881" s="227"/>
      <c r="C6881" s="227"/>
      <c r="D6881" s="227"/>
      <c r="E6881" s="227"/>
      <c r="F6881" s="227"/>
      <c r="G6881" s="227"/>
      <c r="H6881" s="234"/>
    </row>
    <row r="6882" spans="1:9" s="212" customFormat="1">
      <c r="A6882" s="69"/>
      <c r="B6882" s="69"/>
      <c r="C6882" s="69"/>
      <c r="D6882" s="69"/>
      <c r="E6882" s="69"/>
      <c r="G6882" s="234"/>
      <c r="H6882" s="234"/>
    </row>
    <row r="6883" spans="1:9" s="212" customFormat="1">
      <c r="A6883" s="120"/>
      <c r="B6883" s="73"/>
      <c r="C6883" s="73"/>
      <c r="D6883" s="73"/>
      <c r="E6883" s="73"/>
      <c r="F6883" s="73"/>
      <c r="G6883" s="235"/>
      <c r="H6883" s="235"/>
    </row>
    <row r="6884" spans="1:9" s="212" customFormat="1">
      <c r="A6884" s="220"/>
      <c r="B6884" s="141"/>
      <c r="C6884" s="141"/>
      <c r="D6884" s="141"/>
      <c r="E6884" s="141"/>
      <c r="F6884" s="141"/>
      <c r="G6884" s="194"/>
      <c r="H6884" s="235"/>
    </row>
    <row r="6885" spans="1:9" s="212" customFormat="1">
      <c r="A6885" s="150"/>
      <c r="B6885" s="83"/>
      <c r="C6885" s="148"/>
      <c r="D6885" s="84"/>
      <c r="E6885" s="84"/>
      <c r="F6885" s="84"/>
      <c r="G6885" s="243"/>
      <c r="H6885" s="238"/>
    </row>
    <row r="6886" spans="1:9" s="212" customFormat="1">
      <c r="A6886" s="84"/>
      <c r="B6886" s="83"/>
      <c r="C6886" s="84"/>
      <c r="D6886" s="84"/>
      <c r="E6886" s="84"/>
      <c r="G6886" s="244"/>
      <c r="H6886" s="238"/>
    </row>
    <row r="6887" spans="1:9" s="212" customFormat="1">
      <c r="A6887" s="120"/>
      <c r="B6887" s="73"/>
      <c r="C6887" s="73"/>
      <c r="D6887" s="73"/>
      <c r="E6887" s="73"/>
      <c r="G6887" s="235"/>
      <c r="H6887" s="238"/>
    </row>
    <row r="6888" spans="1:9" s="212" customFormat="1">
      <c r="A6888" s="220"/>
      <c r="B6888" s="141"/>
      <c r="C6888" s="141"/>
      <c r="D6888" s="141"/>
      <c r="E6888" s="141"/>
      <c r="F6888" s="141"/>
      <c r="G6888" s="194"/>
      <c r="H6888" s="238"/>
      <c r="I6888" s="240"/>
    </row>
    <row r="6889" spans="1:9" s="212" customFormat="1">
      <c r="A6889" s="197"/>
      <c r="B6889" s="83"/>
      <c r="C6889" s="148"/>
      <c r="D6889" s="190"/>
      <c r="E6889" s="84"/>
      <c r="F6889" s="84"/>
      <c r="G6889" s="243"/>
      <c r="H6889" s="238"/>
    </row>
    <row r="6890" spans="1:9" s="212" customFormat="1">
      <c r="A6890" s="91"/>
      <c r="B6890" s="91"/>
      <c r="C6890" s="91"/>
      <c r="D6890" s="91"/>
      <c r="E6890" s="91"/>
      <c r="G6890" s="244"/>
      <c r="H6890" s="238"/>
    </row>
    <row r="6891" spans="1:9" s="212" customFormat="1">
      <c r="A6891" s="120"/>
      <c r="B6891" s="73"/>
      <c r="C6891" s="73"/>
      <c r="D6891" s="73"/>
      <c r="E6891" s="73"/>
      <c r="G6891" s="235"/>
      <c r="H6891" s="238"/>
    </row>
    <row r="6892" spans="1:9" s="212" customFormat="1">
      <c r="A6892" s="220"/>
      <c r="B6892" s="141"/>
      <c r="C6892" s="141"/>
      <c r="D6892" s="141"/>
      <c r="E6892" s="141"/>
      <c r="F6892" s="141"/>
      <c r="G6892" s="194"/>
      <c r="H6892" s="238"/>
    </row>
    <row r="6893" spans="1:9" s="212" customFormat="1">
      <c r="A6893" s="146"/>
      <c r="B6893" s="83"/>
      <c r="C6893" s="148"/>
      <c r="D6893" s="84"/>
      <c r="E6893" s="84"/>
      <c r="F6893" s="84"/>
      <c r="G6893" s="243"/>
      <c r="H6893" s="238"/>
    </row>
    <row r="6894" spans="1:9" s="212" customFormat="1">
      <c r="A6894" s="91"/>
      <c r="B6894" s="91"/>
      <c r="C6894" s="91"/>
      <c r="D6894" s="91"/>
      <c r="E6894" s="91"/>
      <c r="G6894" s="244"/>
      <c r="H6894" s="238"/>
    </row>
    <row r="6895" spans="1:9" s="212" customFormat="1">
      <c r="A6895" s="120"/>
      <c r="B6895" s="73"/>
      <c r="C6895" s="73"/>
      <c r="D6895" s="73"/>
      <c r="E6895" s="73"/>
      <c r="G6895" s="235"/>
      <c r="H6895" s="238"/>
    </row>
    <row r="6896" spans="1:9" s="212" customFormat="1">
      <c r="A6896" s="220"/>
      <c r="B6896" s="141"/>
      <c r="C6896" s="141"/>
      <c r="D6896" s="141"/>
      <c r="E6896" s="141"/>
      <c r="F6896" s="141"/>
      <c r="G6896" s="194"/>
      <c r="H6896" s="238"/>
    </row>
    <row r="6897" spans="1:9" s="212" customFormat="1">
      <c r="A6897" s="142"/>
      <c r="B6897" s="143"/>
      <c r="C6897" s="143"/>
      <c r="D6897" s="143"/>
      <c r="E6897" s="143"/>
      <c r="F6897" s="84"/>
      <c r="G6897" s="243"/>
      <c r="H6897" s="238"/>
    </row>
    <row r="6898" spans="1:9" s="212" customFormat="1">
      <c r="A6898" s="123"/>
      <c r="B6898" s="95"/>
      <c r="C6898" s="95"/>
      <c r="D6898" s="95"/>
      <c r="E6898" s="95"/>
      <c r="G6898" s="244"/>
      <c r="H6898" s="235"/>
    </row>
    <row r="6899" spans="1:9" s="212" customFormat="1">
      <c r="A6899" s="123"/>
      <c r="B6899" s="95"/>
      <c r="C6899" s="95"/>
      <c r="D6899" s="95"/>
      <c r="E6899" s="95"/>
      <c r="G6899" s="235"/>
      <c r="H6899" s="242"/>
    </row>
    <row r="6900" spans="1:9" s="212" customFormat="1">
      <c r="B6900" s="97"/>
      <c r="C6900" s="98"/>
      <c r="D6900" s="98"/>
      <c r="E6900" s="98"/>
      <c r="G6900" s="241"/>
      <c r="H6900" s="242"/>
    </row>
    <row r="6901" spans="1:9" s="212" customFormat="1">
      <c r="B6901" s="97"/>
      <c r="C6901" s="98"/>
      <c r="D6901" s="98"/>
      <c r="E6901" s="98"/>
      <c r="G6901" s="241"/>
      <c r="H6901" s="227"/>
      <c r="I6901" s="228"/>
    </row>
    <row r="6902" spans="1:9" s="212" customFormat="1">
      <c r="A6902" s="658"/>
      <c r="B6902" s="227"/>
      <c r="C6902" s="227"/>
      <c r="D6902" s="227"/>
      <c r="E6902" s="227"/>
      <c r="F6902" s="227"/>
      <c r="G6902" s="227"/>
      <c r="H6902" s="227"/>
      <c r="I6902" s="229"/>
    </row>
    <row r="6903" spans="1:9" s="212" customFormat="1">
      <c r="A6903" s="658"/>
      <c r="B6903" s="227"/>
      <c r="C6903" s="227"/>
      <c r="D6903" s="227"/>
      <c r="E6903" s="227"/>
      <c r="F6903" s="227"/>
      <c r="G6903" s="227"/>
      <c r="H6903" s="234"/>
    </row>
    <row r="6904" spans="1:9" s="212" customFormat="1">
      <c r="A6904" s="69"/>
      <c r="B6904" s="69"/>
      <c r="C6904" s="69"/>
      <c r="D6904" s="69"/>
      <c r="E6904" s="69"/>
      <c r="G6904" s="234"/>
      <c r="H6904" s="234"/>
    </row>
    <row r="6905" spans="1:9" s="212" customFormat="1">
      <c r="A6905" s="120"/>
      <c r="B6905" s="73"/>
      <c r="C6905" s="73"/>
      <c r="D6905" s="73"/>
      <c r="E6905" s="73"/>
      <c r="F6905" s="73"/>
      <c r="G6905" s="235"/>
      <c r="H6905" s="235"/>
    </row>
    <row r="6906" spans="1:9" s="212" customFormat="1">
      <c r="A6906" s="220"/>
      <c r="B6906" s="141"/>
      <c r="C6906" s="141"/>
      <c r="D6906" s="141"/>
      <c r="E6906" s="141"/>
      <c r="F6906" s="141"/>
      <c r="G6906" s="194"/>
      <c r="H6906" s="235"/>
    </row>
    <row r="6907" spans="1:9" s="212" customFormat="1">
      <c r="A6907" s="150"/>
      <c r="B6907" s="83"/>
      <c r="C6907" s="148"/>
      <c r="D6907" s="84"/>
      <c r="E6907" s="84"/>
      <c r="F6907" s="84"/>
      <c r="G6907" s="243"/>
      <c r="H6907" s="238"/>
    </row>
    <row r="6908" spans="1:9" s="212" customFormat="1">
      <c r="A6908" s="84"/>
      <c r="B6908" s="83"/>
      <c r="C6908" s="84"/>
      <c r="D6908" s="84"/>
      <c r="E6908" s="84"/>
      <c r="G6908" s="244"/>
      <c r="H6908" s="238"/>
    </row>
    <row r="6909" spans="1:9" s="212" customFormat="1">
      <c r="A6909" s="120"/>
      <c r="B6909" s="73"/>
      <c r="C6909" s="73"/>
      <c r="D6909" s="73"/>
      <c r="E6909" s="73"/>
      <c r="G6909" s="235"/>
      <c r="H6909" s="238"/>
    </row>
    <row r="6910" spans="1:9" s="212" customFormat="1">
      <c r="A6910" s="220"/>
      <c r="B6910" s="141"/>
      <c r="C6910" s="141"/>
      <c r="D6910" s="141"/>
      <c r="E6910" s="141"/>
      <c r="F6910" s="141"/>
      <c r="G6910" s="194"/>
      <c r="H6910" s="238"/>
      <c r="I6910" s="240"/>
    </row>
    <row r="6911" spans="1:9" s="212" customFormat="1">
      <c r="A6911" s="197"/>
      <c r="B6911" s="83"/>
      <c r="C6911" s="148"/>
      <c r="D6911" s="190"/>
      <c r="E6911" s="84"/>
      <c r="F6911" s="84"/>
      <c r="G6911" s="243"/>
      <c r="H6911" s="238"/>
    </row>
    <row r="6912" spans="1:9" s="212" customFormat="1">
      <c r="A6912" s="150"/>
      <c r="B6912" s="83"/>
      <c r="C6912" s="148"/>
      <c r="D6912" s="84"/>
      <c r="E6912" s="84"/>
      <c r="F6912" s="84"/>
      <c r="G6912" s="243"/>
      <c r="H6912" s="238"/>
    </row>
    <row r="6913" spans="1:9" s="212" customFormat="1">
      <c r="A6913" s="91"/>
      <c r="B6913" s="91"/>
      <c r="C6913" s="91"/>
      <c r="D6913" s="91"/>
      <c r="E6913" s="91"/>
      <c r="G6913" s="244"/>
      <c r="H6913" s="238"/>
    </row>
    <row r="6914" spans="1:9" s="212" customFormat="1">
      <c r="A6914" s="120"/>
      <c r="B6914" s="73"/>
      <c r="C6914" s="73"/>
      <c r="D6914" s="73"/>
      <c r="E6914" s="73"/>
      <c r="G6914" s="235"/>
      <c r="H6914" s="238"/>
    </row>
    <row r="6915" spans="1:9" s="212" customFormat="1">
      <c r="A6915" s="220"/>
      <c r="B6915" s="141"/>
      <c r="C6915" s="141"/>
      <c r="D6915" s="141"/>
      <c r="E6915" s="141"/>
      <c r="F6915" s="141"/>
      <c r="G6915" s="194"/>
      <c r="H6915" s="238"/>
    </row>
    <row r="6916" spans="1:9" s="212" customFormat="1">
      <c r="A6916" s="146"/>
      <c r="B6916" s="83"/>
      <c r="C6916" s="148"/>
      <c r="D6916" s="84"/>
      <c r="E6916" s="84"/>
      <c r="F6916" s="84"/>
      <c r="G6916" s="243"/>
      <c r="H6916" s="238"/>
    </row>
    <row r="6917" spans="1:9" s="212" customFormat="1">
      <c r="A6917" s="91"/>
      <c r="B6917" s="91"/>
      <c r="C6917" s="91"/>
      <c r="D6917" s="91"/>
      <c r="E6917" s="91"/>
      <c r="G6917" s="244"/>
      <c r="H6917" s="238"/>
    </row>
    <row r="6918" spans="1:9" s="212" customFormat="1">
      <c r="A6918" s="120"/>
      <c r="B6918" s="73"/>
      <c r="C6918" s="73"/>
      <c r="D6918" s="73"/>
      <c r="E6918" s="73"/>
      <c r="G6918" s="235"/>
      <c r="H6918" s="238"/>
    </row>
    <row r="6919" spans="1:9" s="212" customFormat="1">
      <c r="A6919" s="220"/>
      <c r="B6919" s="141"/>
      <c r="C6919" s="141"/>
      <c r="D6919" s="141"/>
      <c r="E6919" s="141"/>
      <c r="F6919" s="141"/>
      <c r="G6919" s="194"/>
      <c r="H6919" s="238"/>
    </row>
    <row r="6920" spans="1:9" s="212" customFormat="1">
      <c r="A6920" s="142"/>
      <c r="B6920" s="143"/>
      <c r="C6920" s="143"/>
      <c r="D6920" s="143"/>
      <c r="E6920" s="143"/>
      <c r="F6920" s="84"/>
      <c r="G6920" s="243"/>
      <c r="H6920" s="238"/>
    </row>
    <row r="6921" spans="1:9" s="212" customFormat="1">
      <c r="A6921" s="123"/>
      <c r="B6921" s="95"/>
      <c r="C6921" s="95"/>
      <c r="D6921" s="95"/>
      <c r="E6921" s="95"/>
      <c r="G6921" s="244"/>
      <c r="H6921" s="235"/>
    </row>
    <row r="6922" spans="1:9" s="212" customFormat="1">
      <c r="A6922" s="123"/>
      <c r="B6922" s="95"/>
      <c r="C6922" s="95"/>
      <c r="D6922" s="95"/>
      <c r="E6922" s="95"/>
      <c r="G6922" s="235"/>
      <c r="H6922" s="242"/>
    </row>
    <row r="6923" spans="1:9" s="212" customFormat="1">
      <c r="B6923" s="97"/>
      <c r="C6923" s="98"/>
      <c r="D6923" s="98"/>
      <c r="E6923" s="98"/>
      <c r="G6923" s="241"/>
      <c r="H6923" s="242"/>
    </row>
    <row r="6924" spans="1:9" s="212" customFormat="1">
      <c r="B6924" s="97"/>
      <c r="C6924" s="98"/>
      <c r="D6924" s="98"/>
      <c r="E6924" s="98"/>
      <c r="G6924" s="241"/>
      <c r="H6924" s="227"/>
      <c r="I6924" s="228"/>
    </row>
    <row r="6925" spans="1:9" s="212" customFormat="1">
      <c r="A6925" s="658"/>
      <c r="B6925" s="227"/>
      <c r="C6925" s="227"/>
      <c r="D6925" s="227"/>
      <c r="E6925" s="227"/>
      <c r="F6925" s="227"/>
      <c r="G6925" s="227"/>
      <c r="H6925" s="227"/>
      <c r="I6925" s="229"/>
    </row>
    <row r="6926" spans="1:9" s="212" customFormat="1">
      <c r="A6926" s="658"/>
      <c r="B6926" s="227"/>
      <c r="C6926" s="227"/>
      <c r="D6926" s="227"/>
      <c r="E6926" s="227"/>
      <c r="F6926" s="227"/>
      <c r="G6926" s="227"/>
      <c r="H6926" s="234"/>
    </row>
    <row r="6927" spans="1:9" s="212" customFormat="1">
      <c r="A6927" s="69"/>
      <c r="B6927" s="69"/>
      <c r="C6927" s="69"/>
      <c r="D6927" s="69"/>
      <c r="E6927" s="69"/>
      <c r="G6927" s="234"/>
      <c r="H6927" s="234"/>
    </row>
    <row r="6928" spans="1:9" s="212" customFormat="1">
      <c r="A6928" s="120"/>
      <c r="B6928" s="73"/>
      <c r="C6928" s="73"/>
      <c r="D6928" s="73"/>
      <c r="E6928" s="73"/>
      <c r="F6928" s="73"/>
      <c r="G6928" s="235"/>
      <c r="H6928" s="235"/>
    </row>
    <row r="6929" spans="1:9" s="212" customFormat="1">
      <c r="A6929" s="220"/>
      <c r="B6929" s="141"/>
      <c r="C6929" s="141"/>
      <c r="D6929" s="141"/>
      <c r="E6929" s="141"/>
      <c r="F6929" s="141"/>
      <c r="G6929" s="194"/>
      <c r="H6929" s="235"/>
    </row>
    <row r="6930" spans="1:9" s="212" customFormat="1">
      <c r="A6930" s="150"/>
      <c r="B6930" s="83"/>
      <c r="C6930" s="148"/>
      <c r="D6930" s="84"/>
      <c r="E6930" s="84"/>
      <c r="F6930" s="84"/>
      <c r="G6930" s="243"/>
      <c r="H6930" s="238"/>
    </row>
    <row r="6931" spans="1:9" s="212" customFormat="1">
      <c r="A6931" s="84"/>
      <c r="B6931" s="83"/>
      <c r="C6931" s="84"/>
      <c r="D6931" s="84"/>
      <c r="E6931" s="84"/>
      <c r="G6931" s="244"/>
      <c r="H6931" s="238"/>
    </row>
    <row r="6932" spans="1:9" s="212" customFormat="1">
      <c r="A6932" s="120"/>
      <c r="B6932" s="73"/>
      <c r="C6932" s="73"/>
      <c r="D6932" s="73"/>
      <c r="E6932" s="73"/>
      <c r="G6932" s="235"/>
      <c r="H6932" s="238"/>
    </row>
    <row r="6933" spans="1:9" s="212" customFormat="1">
      <c r="A6933" s="220"/>
      <c r="B6933" s="141"/>
      <c r="C6933" s="141"/>
      <c r="D6933" s="141"/>
      <c r="E6933" s="141"/>
      <c r="F6933" s="141"/>
      <c r="G6933" s="194"/>
      <c r="H6933" s="238"/>
      <c r="I6933" s="240"/>
    </row>
    <row r="6934" spans="1:9" s="212" customFormat="1">
      <c r="A6934" s="197"/>
      <c r="B6934" s="83"/>
      <c r="C6934" s="148"/>
      <c r="D6934" s="190"/>
      <c r="E6934" s="84"/>
      <c r="F6934" s="84"/>
      <c r="G6934" s="243"/>
      <c r="H6934" s="238"/>
    </row>
    <row r="6935" spans="1:9" s="212" customFormat="1">
      <c r="A6935" s="150"/>
      <c r="B6935" s="83"/>
      <c r="C6935" s="148"/>
      <c r="D6935" s="84"/>
      <c r="E6935" s="84"/>
      <c r="F6935" s="84"/>
      <c r="G6935" s="243"/>
      <c r="H6935" s="238"/>
    </row>
    <row r="6936" spans="1:9" s="212" customFormat="1">
      <c r="A6936" s="150"/>
      <c r="B6936" s="83"/>
      <c r="C6936" s="148"/>
      <c r="D6936" s="84"/>
      <c r="E6936" s="84"/>
      <c r="F6936" s="84"/>
      <c r="G6936" s="243"/>
      <c r="H6936" s="238"/>
    </row>
    <row r="6937" spans="1:9" s="212" customFormat="1">
      <c r="A6937" s="91"/>
      <c r="B6937" s="91"/>
      <c r="C6937" s="91"/>
      <c r="D6937" s="91"/>
      <c r="E6937" s="91"/>
      <c r="G6937" s="244"/>
      <c r="H6937" s="238"/>
    </row>
    <row r="6938" spans="1:9" s="212" customFormat="1">
      <c r="A6938" s="120"/>
      <c r="B6938" s="73"/>
      <c r="C6938" s="73"/>
      <c r="D6938" s="73"/>
      <c r="E6938" s="73"/>
      <c r="G6938" s="235"/>
      <c r="H6938" s="238"/>
    </row>
    <row r="6939" spans="1:9" s="212" customFormat="1">
      <c r="A6939" s="220"/>
      <c r="B6939" s="141"/>
      <c r="C6939" s="141"/>
      <c r="D6939" s="141"/>
      <c r="E6939" s="141"/>
      <c r="F6939" s="141"/>
      <c r="G6939" s="194"/>
      <c r="H6939" s="238"/>
    </row>
    <row r="6940" spans="1:9" s="212" customFormat="1">
      <c r="A6940" s="146"/>
      <c r="B6940" s="83"/>
      <c r="C6940" s="148"/>
      <c r="D6940" s="84"/>
      <c r="E6940" s="84"/>
      <c r="F6940" s="84"/>
      <c r="G6940" s="243"/>
      <c r="H6940" s="238"/>
    </row>
    <row r="6941" spans="1:9" s="212" customFormat="1">
      <c r="A6941" s="91"/>
      <c r="B6941" s="91"/>
      <c r="C6941" s="91"/>
      <c r="D6941" s="91"/>
      <c r="E6941" s="91"/>
      <c r="G6941" s="244"/>
      <c r="H6941" s="238"/>
    </row>
    <row r="6942" spans="1:9" s="212" customFormat="1">
      <c r="A6942" s="120"/>
      <c r="B6942" s="73"/>
      <c r="C6942" s="73"/>
      <c r="D6942" s="73"/>
      <c r="E6942" s="73"/>
      <c r="G6942" s="235"/>
      <c r="H6942" s="238"/>
    </row>
    <row r="6943" spans="1:9" s="212" customFormat="1">
      <c r="A6943" s="220"/>
      <c r="B6943" s="141"/>
      <c r="C6943" s="141"/>
      <c r="D6943" s="141"/>
      <c r="E6943" s="141"/>
      <c r="F6943" s="141"/>
      <c r="G6943" s="194"/>
      <c r="H6943" s="238"/>
    </row>
    <row r="6944" spans="1:9" s="212" customFormat="1">
      <c r="A6944" s="142"/>
      <c r="B6944" s="143"/>
      <c r="C6944" s="143"/>
      <c r="D6944" s="143"/>
      <c r="E6944" s="143"/>
      <c r="F6944" s="84"/>
      <c r="G6944" s="243"/>
      <c r="H6944" s="238"/>
    </row>
    <row r="6945" spans="1:9" s="212" customFormat="1">
      <c r="A6945" s="123"/>
      <c r="B6945" s="95"/>
      <c r="C6945" s="95"/>
      <c r="D6945" s="95"/>
      <c r="E6945" s="95"/>
      <c r="G6945" s="244"/>
      <c r="H6945" s="235"/>
    </row>
    <row r="6946" spans="1:9" s="212" customFormat="1">
      <c r="A6946" s="123"/>
      <c r="B6946" s="95"/>
      <c r="C6946" s="95"/>
      <c r="D6946" s="95"/>
      <c r="E6946" s="95"/>
      <c r="G6946" s="235"/>
      <c r="H6946" s="242"/>
    </row>
    <row r="6947" spans="1:9" s="212" customFormat="1">
      <c r="B6947" s="97"/>
      <c r="C6947" s="98"/>
      <c r="D6947" s="98"/>
      <c r="E6947" s="98"/>
      <c r="G6947" s="241"/>
      <c r="H6947" s="242"/>
    </row>
    <row r="6948" spans="1:9" s="212" customFormat="1">
      <c r="B6948" s="97"/>
      <c r="C6948" s="98"/>
      <c r="D6948" s="98"/>
      <c r="E6948" s="98"/>
      <c r="G6948" s="241"/>
      <c r="H6948" s="227"/>
      <c r="I6948" s="228"/>
    </row>
    <row r="6949" spans="1:9" s="212" customFormat="1">
      <c r="A6949" s="658"/>
      <c r="B6949" s="227"/>
      <c r="C6949" s="227"/>
      <c r="D6949" s="227"/>
      <c r="E6949" s="227"/>
      <c r="F6949" s="227"/>
      <c r="G6949" s="227"/>
      <c r="H6949" s="227"/>
      <c r="I6949" s="229"/>
    </row>
    <row r="6950" spans="1:9" s="212" customFormat="1">
      <c r="A6950" s="658"/>
      <c r="B6950" s="227"/>
      <c r="C6950" s="227"/>
      <c r="D6950" s="227"/>
      <c r="E6950" s="227"/>
      <c r="F6950" s="227"/>
      <c r="G6950" s="227"/>
      <c r="H6950" s="234"/>
    </row>
    <row r="6951" spans="1:9" s="212" customFormat="1">
      <c r="A6951" s="69"/>
      <c r="B6951" s="69"/>
      <c r="C6951" s="69"/>
      <c r="D6951" s="69"/>
      <c r="E6951" s="69"/>
      <c r="G6951" s="234"/>
      <c r="H6951" s="234"/>
    </row>
    <row r="6952" spans="1:9" s="212" customFormat="1">
      <c r="A6952" s="120"/>
      <c r="B6952" s="73"/>
      <c r="C6952" s="73"/>
      <c r="D6952" s="73"/>
      <c r="E6952" s="73"/>
      <c r="F6952" s="73"/>
      <c r="G6952" s="235"/>
      <c r="H6952" s="235"/>
    </row>
    <row r="6953" spans="1:9" s="212" customFormat="1">
      <c r="A6953" s="220"/>
      <c r="B6953" s="141"/>
      <c r="C6953" s="141"/>
      <c r="D6953" s="141"/>
      <c r="E6953" s="141"/>
      <c r="F6953" s="141"/>
      <c r="G6953" s="194"/>
      <c r="H6953" s="235"/>
    </row>
    <row r="6954" spans="1:9" s="212" customFormat="1">
      <c r="A6954" s="150"/>
      <c r="B6954" s="83"/>
      <c r="C6954" s="148"/>
      <c r="D6954" s="84"/>
      <c r="E6954" s="84"/>
      <c r="F6954" s="84"/>
      <c r="G6954" s="243"/>
      <c r="H6954" s="238"/>
    </row>
    <row r="6955" spans="1:9" s="212" customFormat="1">
      <c r="A6955" s="84"/>
      <c r="B6955" s="83"/>
      <c r="C6955" s="84"/>
      <c r="D6955" s="84"/>
      <c r="E6955" s="84"/>
      <c r="G6955" s="244"/>
      <c r="H6955" s="238"/>
    </row>
    <row r="6956" spans="1:9" s="212" customFormat="1">
      <c r="A6956" s="120"/>
      <c r="B6956" s="73"/>
      <c r="C6956" s="73"/>
      <c r="D6956" s="73"/>
      <c r="E6956" s="73"/>
      <c r="G6956" s="235"/>
      <c r="H6956" s="238"/>
    </row>
    <row r="6957" spans="1:9" s="212" customFormat="1">
      <c r="A6957" s="220"/>
      <c r="B6957" s="141"/>
      <c r="C6957" s="141"/>
      <c r="D6957" s="141"/>
      <c r="E6957" s="141"/>
      <c r="F6957" s="141"/>
      <c r="G6957" s="194"/>
      <c r="H6957" s="238"/>
      <c r="I6957" s="240"/>
    </row>
    <row r="6958" spans="1:9" s="212" customFormat="1">
      <c r="A6958" s="197"/>
      <c r="B6958" s="83"/>
      <c r="C6958" s="148"/>
      <c r="D6958" s="190"/>
      <c r="E6958" s="84"/>
      <c r="F6958" s="84"/>
      <c r="G6958" s="243"/>
      <c r="H6958" s="238"/>
    </row>
    <row r="6959" spans="1:9" s="212" customFormat="1">
      <c r="A6959" s="91"/>
      <c r="B6959" s="91"/>
      <c r="C6959" s="91"/>
      <c r="D6959" s="91"/>
      <c r="E6959" s="91"/>
      <c r="G6959" s="244"/>
      <c r="H6959" s="238"/>
    </row>
    <row r="6960" spans="1:9" s="212" customFormat="1">
      <c r="A6960" s="120"/>
      <c r="B6960" s="73"/>
      <c r="C6960" s="73"/>
      <c r="D6960" s="73"/>
      <c r="E6960" s="73"/>
      <c r="G6960" s="235"/>
      <c r="H6960" s="238"/>
    </row>
    <row r="6961" spans="1:9" s="212" customFormat="1">
      <c r="A6961" s="220"/>
      <c r="B6961" s="141"/>
      <c r="C6961" s="141"/>
      <c r="D6961" s="141"/>
      <c r="E6961" s="141"/>
      <c r="F6961" s="141"/>
      <c r="G6961" s="194"/>
      <c r="H6961" s="238"/>
    </row>
    <row r="6962" spans="1:9" s="212" customFormat="1">
      <c r="A6962" s="146"/>
      <c r="B6962" s="83"/>
      <c r="C6962" s="148"/>
      <c r="D6962" s="84"/>
      <c r="E6962" s="84"/>
      <c r="F6962" s="84"/>
      <c r="G6962" s="243"/>
      <c r="H6962" s="238"/>
    </row>
    <row r="6963" spans="1:9" s="212" customFormat="1">
      <c r="A6963" s="91"/>
      <c r="B6963" s="91"/>
      <c r="C6963" s="91"/>
      <c r="D6963" s="91"/>
      <c r="E6963" s="91"/>
      <c r="G6963" s="244"/>
      <c r="H6963" s="238"/>
    </row>
    <row r="6964" spans="1:9" s="212" customFormat="1">
      <c r="A6964" s="120"/>
      <c r="B6964" s="73"/>
      <c r="C6964" s="73"/>
      <c r="D6964" s="73"/>
      <c r="E6964" s="73"/>
      <c r="G6964" s="235"/>
      <c r="H6964" s="238"/>
    </row>
    <row r="6965" spans="1:9" s="212" customFormat="1">
      <c r="A6965" s="220"/>
      <c r="B6965" s="141"/>
      <c r="C6965" s="141"/>
      <c r="D6965" s="141"/>
      <c r="E6965" s="141"/>
      <c r="F6965" s="141"/>
      <c r="G6965" s="194"/>
      <c r="H6965" s="238"/>
    </row>
    <row r="6966" spans="1:9" s="212" customFormat="1">
      <c r="A6966" s="142"/>
      <c r="B6966" s="143"/>
      <c r="C6966" s="143"/>
      <c r="D6966" s="143"/>
      <c r="E6966" s="143"/>
      <c r="F6966" s="84"/>
      <c r="G6966" s="243"/>
      <c r="H6966" s="238"/>
    </row>
    <row r="6967" spans="1:9" s="212" customFormat="1">
      <c r="A6967" s="123"/>
      <c r="B6967" s="95"/>
      <c r="C6967" s="95"/>
      <c r="D6967" s="95"/>
      <c r="E6967" s="95"/>
      <c r="G6967" s="244"/>
      <c r="H6967" s="235"/>
    </row>
    <row r="6968" spans="1:9" s="212" customFormat="1">
      <c r="A6968" s="123"/>
      <c r="B6968" s="95"/>
      <c r="C6968" s="95"/>
      <c r="D6968" s="95"/>
      <c r="E6968" s="95"/>
      <c r="G6968" s="235"/>
      <c r="H6968" s="242"/>
    </row>
    <row r="6969" spans="1:9" s="212" customFormat="1">
      <c r="B6969" s="97"/>
      <c r="C6969" s="98"/>
      <c r="D6969" s="98"/>
      <c r="E6969" s="98"/>
      <c r="G6969" s="241"/>
      <c r="H6969" s="242"/>
    </row>
    <row r="6970" spans="1:9" s="212" customFormat="1">
      <c r="B6970" s="97"/>
      <c r="C6970" s="98"/>
      <c r="D6970" s="98"/>
      <c r="E6970" s="98"/>
      <c r="G6970" s="241"/>
      <c r="H6970" s="227"/>
      <c r="I6970" s="228"/>
    </row>
    <row r="6971" spans="1:9" s="212" customFormat="1">
      <c r="A6971" s="658"/>
      <c r="B6971" s="227"/>
      <c r="C6971" s="227"/>
      <c r="D6971" s="227"/>
      <c r="E6971" s="227"/>
      <c r="F6971" s="227"/>
      <c r="G6971" s="227"/>
      <c r="H6971" s="227"/>
      <c r="I6971" s="229"/>
    </row>
    <row r="6972" spans="1:9" s="212" customFormat="1">
      <c r="A6972" s="658"/>
      <c r="B6972" s="227"/>
      <c r="C6972" s="227"/>
      <c r="D6972" s="227"/>
      <c r="E6972" s="227"/>
      <c r="F6972" s="227"/>
      <c r="G6972" s="227"/>
      <c r="H6972" s="234"/>
    </row>
    <row r="6973" spans="1:9" s="212" customFormat="1">
      <c r="A6973" s="69"/>
      <c r="B6973" s="69"/>
      <c r="C6973" s="69"/>
      <c r="D6973" s="69"/>
      <c r="E6973" s="69"/>
      <c r="G6973" s="234"/>
      <c r="H6973" s="234"/>
    </row>
    <row r="6974" spans="1:9" s="212" customFormat="1">
      <c r="A6974" s="120"/>
      <c r="B6974" s="73"/>
      <c r="C6974" s="73"/>
      <c r="D6974" s="73"/>
      <c r="E6974" s="73"/>
      <c r="F6974" s="73"/>
      <c r="G6974" s="235"/>
      <c r="H6974" s="235"/>
    </row>
    <row r="6975" spans="1:9" s="212" customFormat="1">
      <c r="A6975" s="220"/>
      <c r="B6975" s="141"/>
      <c r="C6975" s="141"/>
      <c r="D6975" s="141"/>
      <c r="E6975" s="141"/>
      <c r="F6975" s="141"/>
      <c r="G6975" s="194"/>
      <c r="H6975" s="235"/>
    </row>
    <row r="6976" spans="1:9" s="212" customFormat="1">
      <c r="A6976" s="150"/>
      <c r="B6976" s="83"/>
      <c r="C6976" s="148"/>
      <c r="D6976" s="84"/>
      <c r="E6976" s="84"/>
      <c r="F6976" s="84"/>
      <c r="G6976" s="243"/>
      <c r="H6976" s="238"/>
    </row>
    <row r="6977" spans="1:9" s="212" customFormat="1">
      <c r="A6977" s="84"/>
      <c r="B6977" s="83"/>
      <c r="C6977" s="84"/>
      <c r="D6977" s="84"/>
      <c r="E6977" s="84"/>
      <c r="G6977" s="244"/>
      <c r="H6977" s="238"/>
    </row>
    <row r="6978" spans="1:9" s="212" customFormat="1">
      <c r="A6978" s="120"/>
      <c r="B6978" s="73"/>
      <c r="C6978" s="73"/>
      <c r="D6978" s="73"/>
      <c r="E6978" s="73"/>
      <c r="G6978" s="235"/>
      <c r="H6978" s="238"/>
    </row>
    <row r="6979" spans="1:9" s="212" customFormat="1">
      <c r="A6979" s="220"/>
      <c r="B6979" s="141"/>
      <c r="C6979" s="141"/>
      <c r="D6979" s="141"/>
      <c r="E6979" s="141"/>
      <c r="F6979" s="141"/>
      <c r="G6979" s="194"/>
      <c r="H6979" s="238"/>
      <c r="I6979" s="240"/>
    </row>
    <row r="6980" spans="1:9" s="212" customFormat="1">
      <c r="A6980" s="197"/>
      <c r="B6980" s="83"/>
      <c r="C6980" s="148"/>
      <c r="D6980" s="190"/>
      <c r="E6980" s="84"/>
      <c r="F6980" s="84"/>
      <c r="G6980" s="243"/>
      <c r="H6980" s="238"/>
    </row>
    <row r="6981" spans="1:9" s="212" customFormat="1">
      <c r="A6981" s="91"/>
      <c r="B6981" s="91"/>
      <c r="C6981" s="91"/>
      <c r="D6981" s="91"/>
      <c r="E6981" s="91"/>
      <c r="G6981" s="244"/>
      <c r="H6981" s="238"/>
    </row>
    <row r="6982" spans="1:9" s="212" customFormat="1">
      <c r="A6982" s="120"/>
      <c r="B6982" s="73"/>
      <c r="C6982" s="73"/>
      <c r="D6982" s="73"/>
      <c r="E6982" s="73"/>
      <c r="G6982" s="235"/>
      <c r="H6982" s="238"/>
    </row>
    <row r="6983" spans="1:9" s="212" customFormat="1">
      <c r="A6983" s="220"/>
      <c r="B6983" s="141"/>
      <c r="C6983" s="141"/>
      <c r="D6983" s="141"/>
      <c r="E6983" s="141"/>
      <c r="F6983" s="141"/>
      <c r="G6983" s="194"/>
      <c r="H6983" s="238"/>
    </row>
    <row r="6984" spans="1:9" s="212" customFormat="1">
      <c r="A6984" s="146"/>
      <c r="B6984" s="83"/>
      <c r="C6984" s="148"/>
      <c r="D6984" s="84"/>
      <c r="E6984" s="84"/>
      <c r="F6984" s="84"/>
      <c r="G6984" s="243"/>
      <c r="H6984" s="238"/>
    </row>
    <row r="6985" spans="1:9" s="212" customFormat="1">
      <c r="A6985" s="91"/>
      <c r="B6985" s="91"/>
      <c r="C6985" s="91"/>
      <c r="D6985" s="91"/>
      <c r="E6985" s="91"/>
      <c r="G6985" s="244"/>
      <c r="H6985" s="238"/>
    </row>
    <row r="6986" spans="1:9" s="212" customFormat="1">
      <c r="A6986" s="120"/>
      <c r="B6986" s="73"/>
      <c r="C6986" s="73"/>
      <c r="D6986" s="73"/>
      <c r="E6986" s="73"/>
      <c r="G6986" s="235"/>
      <c r="H6986" s="238"/>
    </row>
    <row r="6987" spans="1:9" s="212" customFormat="1">
      <c r="A6987" s="220"/>
      <c r="B6987" s="141"/>
      <c r="C6987" s="141"/>
      <c r="D6987" s="141"/>
      <c r="E6987" s="141"/>
      <c r="F6987" s="141"/>
      <c r="G6987" s="194"/>
      <c r="H6987" s="238"/>
    </row>
    <row r="6988" spans="1:9" s="212" customFormat="1">
      <c r="A6988" s="142"/>
      <c r="B6988" s="143"/>
      <c r="C6988" s="143"/>
      <c r="D6988" s="143"/>
      <c r="E6988" s="143"/>
      <c r="F6988" s="84"/>
      <c r="G6988" s="243"/>
      <c r="H6988" s="238"/>
    </row>
    <row r="6989" spans="1:9" s="212" customFormat="1">
      <c r="A6989" s="123"/>
      <c r="B6989" s="95"/>
      <c r="C6989" s="95"/>
      <c r="D6989" s="95"/>
      <c r="E6989" s="95"/>
      <c r="G6989" s="244"/>
      <c r="H6989" s="235"/>
    </row>
    <row r="6990" spans="1:9" s="212" customFormat="1">
      <c r="A6990" s="123"/>
      <c r="B6990" s="95"/>
      <c r="C6990" s="95"/>
      <c r="D6990" s="95"/>
      <c r="E6990" s="95"/>
      <c r="G6990" s="235"/>
      <c r="H6990" s="242"/>
    </row>
    <row r="6991" spans="1:9" s="212" customFormat="1">
      <c r="B6991" s="97"/>
      <c r="C6991" s="98"/>
      <c r="D6991" s="98"/>
      <c r="E6991" s="98"/>
      <c r="G6991" s="241"/>
      <c r="H6991" s="242"/>
    </row>
    <row r="6992" spans="1:9" s="212" customFormat="1">
      <c r="B6992" s="97"/>
      <c r="C6992" s="98"/>
      <c r="D6992" s="98"/>
      <c r="E6992" s="98"/>
      <c r="G6992" s="241"/>
      <c r="H6992" s="227"/>
      <c r="I6992" s="228"/>
    </row>
    <row r="6993" spans="1:9" s="212" customFormat="1">
      <c r="A6993" s="658"/>
      <c r="B6993" s="227"/>
      <c r="C6993" s="227"/>
      <c r="D6993" s="227"/>
      <c r="E6993" s="227"/>
      <c r="F6993" s="227"/>
      <c r="G6993" s="227"/>
      <c r="H6993" s="227"/>
      <c r="I6993" s="229"/>
    </row>
    <row r="6994" spans="1:9" s="212" customFormat="1">
      <c r="A6994" s="658"/>
      <c r="B6994" s="227"/>
      <c r="C6994" s="227"/>
      <c r="D6994" s="227"/>
      <c r="E6994" s="227"/>
      <c r="F6994" s="227"/>
      <c r="G6994" s="227"/>
      <c r="H6994" s="234"/>
    </row>
    <row r="6995" spans="1:9" s="212" customFormat="1">
      <c r="A6995" s="69"/>
      <c r="B6995" s="69"/>
      <c r="C6995" s="69"/>
      <c r="D6995" s="69"/>
      <c r="E6995" s="69"/>
      <c r="G6995" s="234"/>
      <c r="H6995" s="234"/>
    </row>
    <row r="6996" spans="1:9" s="212" customFormat="1">
      <c r="A6996" s="120"/>
      <c r="B6996" s="73"/>
      <c r="C6996" s="73"/>
      <c r="D6996" s="73"/>
      <c r="E6996" s="73"/>
      <c r="F6996" s="73"/>
      <c r="G6996" s="235"/>
      <c r="H6996" s="235"/>
    </row>
    <row r="6997" spans="1:9" s="212" customFormat="1">
      <c r="A6997" s="220"/>
      <c r="B6997" s="141"/>
      <c r="C6997" s="141"/>
      <c r="D6997" s="141"/>
      <c r="E6997" s="141"/>
      <c r="F6997" s="141"/>
      <c r="G6997" s="194"/>
      <c r="H6997" s="235"/>
    </row>
    <row r="6998" spans="1:9" s="212" customFormat="1">
      <c r="A6998" s="150"/>
      <c r="B6998" s="83"/>
      <c r="C6998" s="148"/>
      <c r="D6998" s="84"/>
      <c r="E6998" s="84"/>
      <c r="F6998" s="84"/>
      <c r="G6998" s="243"/>
      <c r="H6998" s="238"/>
    </row>
    <row r="6999" spans="1:9" s="212" customFormat="1">
      <c r="A6999" s="84"/>
      <c r="B6999" s="83"/>
      <c r="C6999" s="84"/>
      <c r="D6999" s="84"/>
      <c r="E6999" s="84"/>
      <c r="G6999" s="244"/>
      <c r="H6999" s="238"/>
    </row>
    <row r="7000" spans="1:9" s="212" customFormat="1">
      <c r="A7000" s="120"/>
      <c r="B7000" s="73"/>
      <c r="C7000" s="73"/>
      <c r="D7000" s="73"/>
      <c r="E7000" s="73"/>
      <c r="G7000" s="235"/>
      <c r="H7000" s="238"/>
    </row>
    <row r="7001" spans="1:9" s="212" customFormat="1">
      <c r="A7001" s="220"/>
      <c r="B7001" s="141"/>
      <c r="C7001" s="141"/>
      <c r="D7001" s="141"/>
      <c r="E7001" s="141"/>
      <c r="F7001" s="141"/>
      <c r="G7001" s="194"/>
      <c r="H7001" s="238"/>
      <c r="I7001" s="240"/>
    </row>
    <row r="7002" spans="1:9" s="212" customFormat="1">
      <c r="A7002" s="197"/>
      <c r="B7002" s="83"/>
      <c r="C7002" s="148"/>
      <c r="D7002" s="190"/>
      <c r="E7002" s="84"/>
      <c r="F7002" s="84"/>
      <c r="G7002" s="243"/>
      <c r="H7002" s="238"/>
    </row>
    <row r="7003" spans="1:9" s="212" customFormat="1">
      <c r="A7003" s="91"/>
      <c r="B7003" s="91"/>
      <c r="C7003" s="91"/>
      <c r="D7003" s="91"/>
      <c r="E7003" s="91"/>
      <c r="G7003" s="244"/>
      <c r="H7003" s="238"/>
    </row>
    <row r="7004" spans="1:9" s="212" customFormat="1">
      <c r="A7004" s="120"/>
      <c r="B7004" s="73"/>
      <c r="C7004" s="73"/>
      <c r="D7004" s="73"/>
      <c r="E7004" s="73"/>
      <c r="G7004" s="235"/>
      <c r="H7004" s="238"/>
    </row>
    <row r="7005" spans="1:9" s="212" customFormat="1">
      <c r="A7005" s="220"/>
      <c r="B7005" s="141"/>
      <c r="C7005" s="141"/>
      <c r="D7005" s="141"/>
      <c r="E7005" s="141"/>
      <c r="F7005" s="141"/>
      <c r="G7005" s="194"/>
      <c r="H7005" s="238"/>
    </row>
    <row r="7006" spans="1:9" s="212" customFormat="1">
      <c r="A7006" s="146"/>
      <c r="B7006" s="83"/>
      <c r="C7006" s="148"/>
      <c r="D7006" s="84"/>
      <c r="E7006" s="84"/>
      <c r="F7006" s="84"/>
      <c r="G7006" s="243"/>
      <c r="H7006" s="238"/>
    </row>
    <row r="7007" spans="1:9" s="212" customFormat="1">
      <c r="A7007" s="91"/>
      <c r="B7007" s="91"/>
      <c r="C7007" s="91"/>
      <c r="D7007" s="91"/>
      <c r="E7007" s="91"/>
      <c r="G7007" s="244"/>
      <c r="H7007" s="238"/>
    </row>
    <row r="7008" spans="1:9" s="212" customFormat="1">
      <c r="A7008" s="120"/>
      <c r="B7008" s="73"/>
      <c r="C7008" s="73"/>
      <c r="D7008" s="73"/>
      <c r="E7008" s="73"/>
      <c r="G7008" s="235"/>
      <c r="H7008" s="238"/>
    </row>
    <row r="7009" spans="1:9" s="212" customFormat="1">
      <c r="A7009" s="220"/>
      <c r="B7009" s="141"/>
      <c r="C7009" s="141"/>
      <c r="D7009" s="141"/>
      <c r="E7009" s="141"/>
      <c r="F7009" s="141"/>
      <c r="G7009" s="194"/>
      <c r="H7009" s="238"/>
    </row>
    <row r="7010" spans="1:9" s="212" customFormat="1">
      <c r="A7010" s="142"/>
      <c r="B7010" s="143"/>
      <c r="C7010" s="143"/>
      <c r="D7010" s="143"/>
      <c r="E7010" s="143"/>
      <c r="F7010" s="84"/>
      <c r="G7010" s="243"/>
      <c r="H7010" s="238"/>
    </row>
    <row r="7011" spans="1:9" s="212" customFormat="1">
      <c r="A7011" s="123"/>
      <c r="B7011" s="95"/>
      <c r="C7011" s="95"/>
      <c r="D7011" s="95"/>
      <c r="E7011" s="95"/>
      <c r="G7011" s="244"/>
      <c r="H7011" s="235"/>
    </row>
    <row r="7012" spans="1:9" s="212" customFormat="1">
      <c r="A7012" s="123"/>
      <c r="B7012" s="95"/>
      <c r="C7012" s="95"/>
      <c r="D7012" s="95"/>
      <c r="E7012" s="95"/>
      <c r="G7012" s="235"/>
      <c r="H7012" s="242"/>
    </row>
    <row r="7013" spans="1:9" s="212" customFormat="1">
      <c r="B7013" s="97"/>
      <c r="C7013" s="98"/>
      <c r="D7013" s="98"/>
      <c r="E7013" s="98"/>
      <c r="G7013" s="241"/>
      <c r="H7013" s="242"/>
    </row>
    <row r="7014" spans="1:9" s="212" customFormat="1">
      <c r="B7014" s="97"/>
      <c r="C7014" s="98"/>
      <c r="D7014" s="98"/>
      <c r="E7014" s="98"/>
      <c r="G7014" s="241"/>
      <c r="H7014" s="227"/>
      <c r="I7014" s="228"/>
    </row>
    <row r="7015" spans="1:9" s="212" customFormat="1">
      <c r="A7015" s="658"/>
      <c r="B7015" s="227"/>
      <c r="C7015" s="227"/>
      <c r="D7015" s="227"/>
      <c r="E7015" s="227"/>
      <c r="F7015" s="227"/>
      <c r="G7015" s="227"/>
      <c r="H7015" s="227"/>
      <c r="I7015" s="229"/>
    </row>
    <row r="7016" spans="1:9" s="212" customFormat="1">
      <c r="A7016" s="658"/>
      <c r="B7016" s="227"/>
      <c r="C7016" s="227"/>
      <c r="D7016" s="227"/>
      <c r="E7016" s="227"/>
      <c r="F7016" s="227"/>
      <c r="G7016" s="227"/>
      <c r="H7016" s="234"/>
    </row>
    <row r="7017" spans="1:9" s="212" customFormat="1">
      <c r="A7017" s="69"/>
      <c r="B7017" s="69"/>
      <c r="C7017" s="69"/>
      <c r="D7017" s="69"/>
      <c r="E7017" s="69"/>
      <c r="G7017" s="234"/>
      <c r="H7017" s="234"/>
    </row>
    <row r="7018" spans="1:9" s="212" customFormat="1">
      <c r="A7018" s="120"/>
      <c r="B7018" s="73"/>
      <c r="C7018" s="73"/>
      <c r="D7018" s="73"/>
      <c r="E7018" s="73"/>
      <c r="F7018" s="73"/>
      <c r="G7018" s="235"/>
      <c r="H7018" s="235"/>
    </row>
    <row r="7019" spans="1:9" s="212" customFormat="1">
      <c r="A7019" s="220"/>
      <c r="B7019" s="141"/>
      <c r="C7019" s="141"/>
      <c r="D7019" s="141"/>
      <c r="E7019" s="141"/>
      <c r="F7019" s="141"/>
      <c r="G7019" s="194"/>
      <c r="H7019" s="235"/>
    </row>
    <row r="7020" spans="1:9" s="212" customFormat="1">
      <c r="A7020" s="150"/>
      <c r="B7020" s="83"/>
      <c r="C7020" s="148"/>
      <c r="D7020" s="84"/>
      <c r="E7020" s="84"/>
      <c r="F7020" s="84"/>
      <c r="G7020" s="243"/>
      <c r="H7020" s="238"/>
    </row>
    <row r="7021" spans="1:9" s="212" customFormat="1">
      <c r="A7021" s="84"/>
      <c r="B7021" s="83"/>
      <c r="C7021" s="84"/>
      <c r="D7021" s="84"/>
      <c r="E7021" s="84"/>
      <c r="G7021" s="244"/>
      <c r="H7021" s="238"/>
    </row>
    <row r="7022" spans="1:9" s="212" customFormat="1">
      <c r="A7022" s="120"/>
      <c r="B7022" s="73"/>
      <c r="C7022" s="73"/>
      <c r="D7022" s="73"/>
      <c r="E7022" s="73"/>
      <c r="G7022" s="235"/>
      <c r="H7022" s="238"/>
    </row>
    <row r="7023" spans="1:9" s="212" customFormat="1">
      <c r="A7023" s="220"/>
      <c r="B7023" s="141"/>
      <c r="C7023" s="141"/>
      <c r="D7023" s="141"/>
      <c r="E7023" s="141"/>
      <c r="F7023" s="141"/>
      <c r="G7023" s="194"/>
      <c r="H7023" s="238"/>
      <c r="I7023" s="240"/>
    </row>
    <row r="7024" spans="1:9" s="212" customFormat="1">
      <c r="A7024" s="197"/>
      <c r="B7024" s="83"/>
      <c r="C7024" s="148"/>
      <c r="D7024" s="190"/>
      <c r="E7024" s="84"/>
      <c r="F7024" s="84"/>
      <c r="G7024" s="243"/>
      <c r="H7024" s="238"/>
      <c r="I7024" s="240"/>
    </row>
    <row r="7025" spans="1:9" s="212" customFormat="1">
      <c r="A7025" s="197"/>
      <c r="B7025" s="83"/>
      <c r="C7025" s="148"/>
      <c r="D7025" s="190"/>
      <c r="E7025" s="84"/>
      <c r="F7025" s="84"/>
      <c r="G7025" s="243"/>
      <c r="H7025" s="238"/>
      <c r="I7025" s="240"/>
    </row>
    <row r="7026" spans="1:9" s="212" customFormat="1">
      <c r="A7026" s="197"/>
      <c r="B7026" s="198"/>
      <c r="C7026" s="148"/>
      <c r="D7026" s="190"/>
      <c r="E7026" s="84"/>
      <c r="F7026" s="84"/>
      <c r="G7026" s="243"/>
      <c r="H7026" s="238"/>
    </row>
    <row r="7027" spans="1:9" s="212" customFormat="1">
      <c r="A7027" s="91"/>
      <c r="B7027" s="91"/>
      <c r="C7027" s="91"/>
      <c r="D7027" s="91"/>
      <c r="E7027" s="91"/>
      <c r="G7027" s="244"/>
      <c r="H7027" s="238"/>
    </row>
    <row r="7028" spans="1:9" s="212" customFormat="1">
      <c r="A7028" s="120"/>
      <c r="B7028" s="73"/>
      <c r="C7028" s="73"/>
      <c r="D7028" s="73"/>
      <c r="E7028" s="73"/>
      <c r="G7028" s="235"/>
      <c r="H7028" s="238"/>
    </row>
    <row r="7029" spans="1:9" s="212" customFormat="1">
      <c r="A7029" s="220"/>
      <c r="B7029" s="141"/>
      <c r="C7029" s="141"/>
      <c r="D7029" s="141"/>
      <c r="E7029" s="141"/>
      <c r="F7029" s="141"/>
      <c r="G7029" s="194"/>
      <c r="H7029" s="238"/>
    </row>
    <row r="7030" spans="1:9" s="212" customFormat="1">
      <c r="A7030" s="146"/>
      <c r="B7030" s="83"/>
      <c r="C7030" s="148"/>
      <c r="D7030" s="84"/>
      <c r="E7030" s="84"/>
      <c r="F7030" s="84"/>
      <c r="G7030" s="243"/>
      <c r="H7030" s="238"/>
    </row>
    <row r="7031" spans="1:9" s="212" customFormat="1">
      <c r="A7031" s="91"/>
      <c r="B7031" s="91"/>
      <c r="C7031" s="91"/>
      <c r="D7031" s="91"/>
      <c r="E7031" s="91"/>
      <c r="G7031" s="244"/>
      <c r="H7031" s="238"/>
    </row>
    <row r="7032" spans="1:9" s="212" customFormat="1">
      <c r="A7032" s="120"/>
      <c r="B7032" s="73"/>
      <c r="C7032" s="73"/>
      <c r="D7032" s="73"/>
      <c r="E7032" s="73"/>
      <c r="G7032" s="235"/>
      <c r="H7032" s="238"/>
    </row>
    <row r="7033" spans="1:9" s="212" customFormat="1">
      <c r="A7033" s="220"/>
      <c r="B7033" s="141"/>
      <c r="C7033" s="141"/>
      <c r="D7033" s="141"/>
      <c r="E7033" s="141"/>
      <c r="F7033" s="141"/>
      <c r="G7033" s="194"/>
      <c r="H7033" s="238"/>
    </row>
    <row r="7034" spans="1:9" s="212" customFormat="1">
      <c r="A7034" s="142"/>
      <c r="B7034" s="143"/>
      <c r="C7034" s="143"/>
      <c r="D7034" s="143"/>
      <c r="E7034" s="143"/>
      <c r="F7034" s="84"/>
      <c r="G7034" s="243"/>
      <c r="H7034" s="238"/>
    </row>
    <row r="7035" spans="1:9" s="212" customFormat="1">
      <c r="A7035" s="123"/>
      <c r="B7035" s="95"/>
      <c r="C7035" s="95"/>
      <c r="D7035" s="95"/>
      <c r="E7035" s="95"/>
      <c r="G7035" s="244"/>
      <c r="H7035" s="235"/>
    </row>
    <row r="7036" spans="1:9" s="212" customFormat="1">
      <c r="A7036" s="123"/>
      <c r="B7036" s="95"/>
      <c r="C7036" s="95"/>
      <c r="D7036" s="95"/>
      <c r="E7036" s="95"/>
      <c r="G7036" s="235"/>
      <c r="H7036" s="242"/>
    </row>
    <row r="7037" spans="1:9" s="212" customFormat="1">
      <c r="B7037" s="97"/>
      <c r="C7037" s="98"/>
      <c r="D7037" s="98"/>
      <c r="E7037" s="98"/>
      <c r="G7037" s="241"/>
      <c r="H7037" s="234"/>
    </row>
    <row r="7038" spans="1:9" s="212" customFormat="1">
      <c r="A7038" s="69"/>
      <c r="B7038" s="69"/>
      <c r="C7038" s="69"/>
      <c r="D7038" s="69"/>
      <c r="E7038" s="69"/>
      <c r="G7038" s="234"/>
      <c r="H7038" s="227"/>
      <c r="I7038" s="228"/>
    </row>
    <row r="7039" spans="1:9" s="212" customFormat="1">
      <c r="A7039" s="658"/>
      <c r="B7039" s="227"/>
      <c r="C7039" s="227"/>
      <c r="D7039" s="227"/>
      <c r="E7039" s="227"/>
      <c r="F7039" s="227"/>
      <c r="G7039" s="227"/>
      <c r="H7039" s="227"/>
      <c r="I7039" s="229"/>
    </row>
    <row r="7040" spans="1:9" s="212" customFormat="1">
      <c r="A7040" s="658"/>
      <c r="B7040" s="227"/>
      <c r="C7040" s="227"/>
      <c r="D7040" s="227"/>
      <c r="E7040" s="227"/>
      <c r="F7040" s="227"/>
      <c r="G7040" s="227"/>
      <c r="H7040" s="234"/>
    </row>
    <row r="7041" spans="1:9" s="212" customFormat="1">
      <c r="A7041" s="69"/>
      <c r="B7041" s="69"/>
      <c r="C7041" s="69"/>
      <c r="D7041" s="69"/>
      <c r="E7041" s="69"/>
      <c r="G7041" s="234"/>
      <c r="H7041" s="234"/>
    </row>
    <row r="7042" spans="1:9" s="212" customFormat="1">
      <c r="A7042" s="120"/>
      <c r="B7042" s="73"/>
      <c r="C7042" s="73"/>
      <c r="D7042" s="73"/>
      <c r="E7042" s="73"/>
      <c r="F7042" s="73"/>
      <c r="G7042" s="235"/>
      <c r="H7042" s="235"/>
    </row>
    <row r="7043" spans="1:9" s="212" customFormat="1">
      <c r="A7043" s="220"/>
      <c r="B7043" s="141"/>
      <c r="C7043" s="141"/>
      <c r="D7043" s="141"/>
      <c r="E7043" s="141"/>
      <c r="F7043" s="141"/>
      <c r="G7043" s="194"/>
      <c r="H7043" s="235"/>
    </row>
    <row r="7044" spans="1:9" s="212" customFormat="1">
      <c r="A7044" s="150"/>
      <c r="B7044" s="83"/>
      <c r="C7044" s="148"/>
      <c r="D7044" s="84"/>
      <c r="E7044" s="84"/>
      <c r="F7044" s="84"/>
      <c r="G7044" s="243"/>
      <c r="H7044" s="238"/>
    </row>
    <row r="7045" spans="1:9" s="212" customFormat="1">
      <c r="A7045" s="84"/>
      <c r="B7045" s="83"/>
      <c r="C7045" s="84"/>
      <c r="D7045" s="84"/>
      <c r="E7045" s="84"/>
      <c r="G7045" s="244"/>
      <c r="H7045" s="238"/>
    </row>
    <row r="7046" spans="1:9" s="212" customFormat="1">
      <c r="A7046" s="120"/>
      <c r="B7046" s="73"/>
      <c r="C7046" s="73"/>
      <c r="D7046" s="73"/>
      <c r="E7046" s="73"/>
      <c r="G7046" s="235"/>
      <c r="H7046" s="238"/>
    </row>
    <row r="7047" spans="1:9" s="212" customFormat="1">
      <c r="A7047" s="220"/>
      <c r="B7047" s="141"/>
      <c r="C7047" s="141"/>
      <c r="D7047" s="141"/>
      <c r="E7047" s="141"/>
      <c r="F7047" s="141"/>
      <c r="G7047" s="194"/>
      <c r="H7047" s="238"/>
      <c r="I7047" s="240"/>
    </row>
    <row r="7048" spans="1:9" s="212" customFormat="1">
      <c r="A7048" s="197"/>
      <c r="B7048" s="83"/>
      <c r="C7048" s="148"/>
      <c r="D7048" s="190"/>
      <c r="E7048" s="84"/>
      <c r="F7048" s="84"/>
      <c r="G7048" s="243"/>
      <c r="H7048" s="238"/>
    </row>
    <row r="7049" spans="1:9" s="212" customFormat="1">
      <c r="A7049" s="91"/>
      <c r="B7049" s="91"/>
      <c r="C7049" s="91"/>
      <c r="D7049" s="91"/>
      <c r="E7049" s="91"/>
      <c r="G7049" s="244"/>
      <c r="H7049" s="238"/>
    </row>
    <row r="7050" spans="1:9" s="212" customFormat="1">
      <c r="A7050" s="120"/>
      <c r="B7050" s="73"/>
      <c r="C7050" s="73"/>
      <c r="D7050" s="73"/>
      <c r="E7050" s="73"/>
      <c r="G7050" s="235"/>
      <c r="H7050" s="238"/>
    </row>
    <row r="7051" spans="1:9" s="212" customFormat="1">
      <c r="A7051" s="220"/>
      <c r="B7051" s="141"/>
      <c r="C7051" s="141"/>
      <c r="D7051" s="141"/>
      <c r="E7051" s="141"/>
      <c r="F7051" s="141"/>
      <c r="G7051" s="194"/>
      <c r="H7051" s="238"/>
    </row>
    <row r="7052" spans="1:9" s="212" customFormat="1">
      <c r="A7052" s="146"/>
      <c r="B7052" s="83"/>
      <c r="C7052" s="148"/>
      <c r="D7052" s="84"/>
      <c r="E7052" s="84"/>
      <c r="F7052" s="84"/>
      <c r="G7052" s="243"/>
      <c r="H7052" s="238"/>
    </row>
    <row r="7053" spans="1:9" s="212" customFormat="1">
      <c r="A7053" s="91"/>
      <c r="B7053" s="91"/>
      <c r="C7053" s="91"/>
      <c r="D7053" s="91"/>
      <c r="E7053" s="91"/>
      <c r="G7053" s="244"/>
      <c r="H7053" s="238"/>
    </row>
    <row r="7054" spans="1:9" s="212" customFormat="1">
      <c r="A7054" s="120"/>
      <c r="B7054" s="73"/>
      <c r="C7054" s="73"/>
      <c r="D7054" s="73"/>
      <c r="E7054" s="73"/>
      <c r="G7054" s="235"/>
      <c r="H7054" s="238"/>
    </row>
    <row r="7055" spans="1:9" s="212" customFormat="1">
      <c r="A7055" s="220"/>
      <c r="B7055" s="141"/>
      <c r="C7055" s="141"/>
      <c r="D7055" s="141"/>
      <c r="E7055" s="141"/>
      <c r="F7055" s="141"/>
      <c r="G7055" s="194"/>
      <c r="H7055" s="238"/>
    </row>
    <row r="7056" spans="1:9" s="212" customFormat="1">
      <c r="A7056" s="142"/>
      <c r="B7056" s="143"/>
      <c r="C7056" s="143"/>
      <c r="D7056" s="143"/>
      <c r="E7056" s="143"/>
      <c r="F7056" s="84"/>
      <c r="G7056" s="243"/>
      <c r="H7056" s="238"/>
    </row>
    <row r="7057" spans="1:9" s="212" customFormat="1">
      <c r="A7057" s="123"/>
      <c r="B7057" s="95"/>
      <c r="C7057" s="95"/>
      <c r="D7057" s="95"/>
      <c r="E7057" s="95"/>
      <c r="G7057" s="244"/>
      <c r="H7057" s="235"/>
    </row>
    <row r="7058" spans="1:9" s="212" customFormat="1">
      <c r="A7058" s="123"/>
      <c r="B7058" s="95"/>
      <c r="C7058" s="95"/>
      <c r="D7058" s="95"/>
      <c r="E7058" s="95"/>
      <c r="G7058" s="235"/>
      <c r="H7058" s="242"/>
    </row>
    <row r="7059" spans="1:9" s="212" customFormat="1">
      <c r="B7059" s="97"/>
      <c r="C7059" s="98"/>
      <c r="D7059" s="98"/>
      <c r="E7059" s="98"/>
      <c r="G7059" s="241"/>
      <c r="H7059" s="234"/>
    </row>
    <row r="7060" spans="1:9" s="212" customFormat="1">
      <c r="A7060" s="69"/>
      <c r="B7060" s="69"/>
      <c r="C7060" s="69"/>
      <c r="D7060" s="69"/>
      <c r="E7060" s="69"/>
      <c r="G7060" s="234"/>
      <c r="H7060" s="227"/>
      <c r="I7060" s="228"/>
    </row>
    <row r="7061" spans="1:9" s="212" customFormat="1">
      <c r="A7061" s="658"/>
      <c r="B7061" s="227"/>
      <c r="C7061" s="227"/>
      <c r="D7061" s="227"/>
      <c r="E7061" s="227"/>
      <c r="F7061" s="227"/>
      <c r="G7061" s="227"/>
      <c r="H7061" s="227"/>
      <c r="I7061" s="229"/>
    </row>
    <row r="7062" spans="1:9" s="212" customFormat="1">
      <c r="A7062" s="658"/>
      <c r="B7062" s="227"/>
      <c r="C7062" s="227"/>
      <c r="D7062" s="227"/>
      <c r="E7062" s="227"/>
      <c r="F7062" s="227"/>
      <c r="G7062" s="227"/>
      <c r="H7062" s="234"/>
    </row>
    <row r="7063" spans="1:9" s="212" customFormat="1">
      <c r="A7063" s="69"/>
      <c r="B7063" s="69"/>
      <c r="C7063" s="69"/>
      <c r="D7063" s="69"/>
      <c r="E7063" s="69"/>
      <c r="G7063" s="234"/>
      <c r="H7063" s="234"/>
    </row>
    <row r="7064" spans="1:9" s="212" customFormat="1">
      <c r="A7064" s="120"/>
      <c r="B7064" s="73"/>
      <c r="C7064" s="73"/>
      <c r="D7064" s="73"/>
      <c r="E7064" s="73"/>
      <c r="F7064" s="73"/>
      <c r="G7064" s="235"/>
      <c r="H7064" s="235"/>
    </row>
    <row r="7065" spans="1:9" s="212" customFormat="1">
      <c r="A7065" s="220"/>
      <c r="B7065" s="141"/>
      <c r="C7065" s="141"/>
      <c r="D7065" s="141"/>
      <c r="E7065" s="141"/>
      <c r="F7065" s="141"/>
      <c r="G7065" s="194"/>
      <c r="H7065" s="235"/>
    </row>
    <row r="7066" spans="1:9" s="212" customFormat="1">
      <c r="A7066" s="150"/>
      <c r="B7066" s="83"/>
      <c r="C7066" s="148"/>
      <c r="D7066" s="84"/>
      <c r="E7066" s="84"/>
      <c r="F7066" s="84"/>
      <c r="G7066" s="243"/>
      <c r="H7066" s="238"/>
    </row>
    <row r="7067" spans="1:9" s="212" customFormat="1">
      <c r="A7067" s="84"/>
      <c r="B7067" s="83"/>
      <c r="C7067" s="84"/>
      <c r="D7067" s="84"/>
      <c r="E7067" s="84"/>
      <c r="G7067" s="244"/>
      <c r="H7067" s="238"/>
    </row>
    <row r="7068" spans="1:9" s="212" customFormat="1">
      <c r="A7068" s="120"/>
      <c r="B7068" s="73"/>
      <c r="C7068" s="73"/>
      <c r="D7068" s="73"/>
      <c r="E7068" s="73"/>
      <c r="G7068" s="235"/>
      <c r="H7068" s="238"/>
    </row>
    <row r="7069" spans="1:9" s="212" customFormat="1">
      <c r="A7069" s="220"/>
      <c r="B7069" s="141"/>
      <c r="C7069" s="141"/>
      <c r="D7069" s="141"/>
      <c r="E7069" s="141"/>
      <c r="F7069" s="141"/>
      <c r="G7069" s="194"/>
      <c r="H7069" s="238"/>
      <c r="I7069" s="240"/>
    </row>
    <row r="7070" spans="1:9" s="212" customFormat="1">
      <c r="A7070" s="197"/>
      <c r="B7070" s="83"/>
      <c r="C7070" s="148"/>
      <c r="D7070" s="190"/>
      <c r="E7070" s="84"/>
      <c r="F7070" s="84"/>
      <c r="G7070" s="243"/>
      <c r="H7070" s="238"/>
    </row>
    <row r="7071" spans="1:9" s="212" customFormat="1">
      <c r="A7071" s="91"/>
      <c r="B7071" s="91"/>
      <c r="C7071" s="91"/>
      <c r="D7071" s="91"/>
      <c r="E7071" s="91"/>
      <c r="G7071" s="244"/>
      <c r="H7071" s="238"/>
    </row>
    <row r="7072" spans="1:9" s="212" customFormat="1">
      <c r="A7072" s="120"/>
      <c r="B7072" s="73"/>
      <c r="C7072" s="73"/>
      <c r="D7072" s="73"/>
      <c r="E7072" s="73"/>
      <c r="G7072" s="235"/>
      <c r="H7072" s="238"/>
    </row>
    <row r="7073" spans="1:9" s="212" customFormat="1">
      <c r="A7073" s="220"/>
      <c r="B7073" s="141"/>
      <c r="C7073" s="141"/>
      <c r="D7073" s="141"/>
      <c r="E7073" s="141"/>
      <c r="F7073" s="141"/>
      <c r="G7073" s="194"/>
      <c r="H7073" s="238"/>
    </row>
    <row r="7074" spans="1:9" s="212" customFormat="1">
      <c r="A7074" s="146"/>
      <c r="B7074" s="83"/>
      <c r="C7074" s="148"/>
      <c r="D7074" s="84"/>
      <c r="E7074" s="84"/>
      <c r="F7074" s="84"/>
      <c r="G7074" s="243"/>
      <c r="H7074" s="238"/>
    </row>
    <row r="7075" spans="1:9" s="212" customFormat="1">
      <c r="A7075" s="91"/>
      <c r="B7075" s="91"/>
      <c r="C7075" s="91"/>
      <c r="D7075" s="91"/>
      <c r="E7075" s="91"/>
      <c r="G7075" s="244"/>
      <c r="H7075" s="238"/>
    </row>
    <row r="7076" spans="1:9" s="212" customFormat="1">
      <c r="A7076" s="120"/>
      <c r="B7076" s="73"/>
      <c r="C7076" s="73"/>
      <c r="D7076" s="73"/>
      <c r="E7076" s="73"/>
      <c r="G7076" s="235"/>
      <c r="H7076" s="238"/>
    </row>
    <row r="7077" spans="1:9" s="212" customFormat="1">
      <c r="A7077" s="220"/>
      <c r="B7077" s="141"/>
      <c r="C7077" s="141"/>
      <c r="D7077" s="141"/>
      <c r="E7077" s="141"/>
      <c r="F7077" s="141"/>
      <c r="G7077" s="194"/>
      <c r="H7077" s="238"/>
    </row>
    <row r="7078" spans="1:9" s="212" customFormat="1">
      <c r="A7078" s="142"/>
      <c r="B7078" s="143"/>
      <c r="C7078" s="143"/>
      <c r="D7078" s="143"/>
      <c r="E7078" s="143"/>
      <c r="F7078" s="84"/>
      <c r="G7078" s="243"/>
      <c r="H7078" s="238"/>
    </row>
    <row r="7079" spans="1:9" s="212" customFormat="1">
      <c r="A7079" s="123"/>
      <c r="B7079" s="95"/>
      <c r="C7079" s="95"/>
      <c r="D7079" s="95"/>
      <c r="E7079" s="95"/>
      <c r="G7079" s="244"/>
      <c r="H7079" s="235"/>
    </row>
    <row r="7080" spans="1:9" s="212" customFormat="1">
      <c r="A7080" s="123"/>
      <c r="B7080" s="95"/>
      <c r="C7080" s="95"/>
      <c r="D7080" s="95"/>
      <c r="E7080" s="95"/>
      <c r="G7080" s="235"/>
      <c r="H7080" s="242"/>
    </row>
    <row r="7081" spans="1:9" s="212" customFormat="1">
      <c r="B7081" s="97"/>
      <c r="C7081" s="98"/>
      <c r="D7081" s="98"/>
      <c r="E7081" s="98"/>
      <c r="G7081" s="241"/>
      <c r="H7081" s="242"/>
    </row>
    <row r="7082" spans="1:9" s="212" customFormat="1">
      <c r="B7082" s="97"/>
      <c r="C7082" s="98"/>
      <c r="D7082" s="98"/>
      <c r="E7082" s="98"/>
      <c r="G7082" s="241"/>
      <c r="H7082" s="227"/>
      <c r="I7082" s="228"/>
    </row>
    <row r="7083" spans="1:9" s="212" customFormat="1">
      <c r="A7083" s="658"/>
      <c r="B7083" s="227"/>
      <c r="C7083" s="227"/>
      <c r="D7083" s="227"/>
      <c r="E7083" s="227"/>
      <c r="F7083" s="227"/>
      <c r="G7083" s="227"/>
      <c r="H7083" s="227"/>
      <c r="I7083" s="229"/>
    </row>
    <row r="7084" spans="1:9" s="212" customFormat="1">
      <c r="A7084" s="658"/>
      <c r="B7084" s="227"/>
      <c r="C7084" s="227"/>
      <c r="D7084" s="227"/>
      <c r="E7084" s="227"/>
      <c r="F7084" s="227"/>
      <c r="G7084" s="227"/>
      <c r="H7084" s="234"/>
    </row>
    <row r="7085" spans="1:9" s="212" customFormat="1">
      <c r="A7085" s="69"/>
      <c r="B7085" s="69"/>
      <c r="C7085" s="69"/>
      <c r="D7085" s="69"/>
      <c r="E7085" s="69"/>
      <c r="G7085" s="234"/>
      <c r="H7085" s="234"/>
    </row>
    <row r="7086" spans="1:9" s="212" customFormat="1">
      <c r="A7086" s="120"/>
      <c r="B7086" s="73"/>
      <c r="C7086" s="73"/>
      <c r="D7086" s="73"/>
      <c r="E7086" s="73"/>
      <c r="F7086" s="73"/>
      <c r="G7086" s="235"/>
      <c r="H7086" s="235"/>
    </row>
    <row r="7087" spans="1:9" s="212" customFormat="1">
      <c r="A7087" s="220"/>
      <c r="B7087" s="141"/>
      <c r="C7087" s="141"/>
      <c r="D7087" s="141"/>
      <c r="E7087" s="141"/>
      <c r="F7087" s="141"/>
      <c r="G7087" s="194"/>
      <c r="H7087" s="235"/>
    </row>
    <row r="7088" spans="1:9" s="212" customFormat="1">
      <c r="A7088" s="150"/>
      <c r="B7088" s="83"/>
      <c r="C7088" s="148"/>
      <c r="D7088" s="84"/>
      <c r="E7088" s="84"/>
      <c r="F7088" s="84"/>
      <c r="G7088" s="243"/>
      <c r="H7088" s="238"/>
    </row>
    <row r="7089" spans="1:9" s="212" customFormat="1">
      <c r="A7089" s="84"/>
      <c r="B7089" s="83"/>
      <c r="C7089" s="84"/>
      <c r="D7089" s="84"/>
      <c r="E7089" s="84"/>
      <c r="G7089" s="244"/>
      <c r="H7089" s="238"/>
    </row>
    <row r="7090" spans="1:9" s="212" customFormat="1">
      <c r="A7090" s="120"/>
      <c r="B7090" s="73"/>
      <c r="C7090" s="73"/>
      <c r="D7090" s="73"/>
      <c r="E7090" s="73"/>
      <c r="G7090" s="235"/>
      <c r="H7090" s="238"/>
    </row>
    <row r="7091" spans="1:9" s="212" customFormat="1">
      <c r="A7091" s="220"/>
      <c r="B7091" s="141"/>
      <c r="C7091" s="141"/>
      <c r="D7091" s="141"/>
      <c r="E7091" s="141"/>
      <c r="F7091" s="141"/>
      <c r="G7091" s="194"/>
      <c r="H7091" s="238"/>
      <c r="I7091" s="240"/>
    </row>
    <row r="7092" spans="1:9" s="212" customFormat="1">
      <c r="A7092" s="197"/>
      <c r="B7092" s="83"/>
      <c r="C7092" s="148"/>
      <c r="D7092" s="190"/>
      <c r="E7092" s="84"/>
      <c r="F7092" s="84"/>
      <c r="G7092" s="243"/>
      <c r="H7092" s="238"/>
      <c r="I7092" s="240"/>
    </row>
    <row r="7093" spans="1:9" s="212" customFormat="1">
      <c r="A7093" s="150"/>
      <c r="B7093" s="83"/>
      <c r="C7093" s="148"/>
      <c r="D7093" s="84"/>
      <c r="E7093" s="84"/>
      <c r="F7093" s="84"/>
      <c r="G7093" s="243"/>
      <c r="H7093" s="238"/>
    </row>
    <row r="7094" spans="1:9" s="212" customFormat="1">
      <c r="A7094" s="150"/>
      <c r="B7094" s="83"/>
      <c r="C7094" s="148"/>
      <c r="D7094" s="84"/>
      <c r="E7094" s="84"/>
      <c r="F7094" s="84"/>
      <c r="G7094" s="243"/>
      <c r="H7094" s="238"/>
    </row>
    <row r="7095" spans="1:9" s="212" customFormat="1">
      <c r="A7095" s="150"/>
      <c r="B7095" s="83"/>
      <c r="C7095" s="148"/>
      <c r="D7095" s="84"/>
      <c r="E7095" s="84"/>
      <c r="F7095" s="84"/>
      <c r="G7095" s="243"/>
      <c r="H7095" s="238"/>
    </row>
    <row r="7096" spans="1:9" s="212" customFormat="1">
      <c r="A7096" s="91"/>
      <c r="B7096" s="91"/>
      <c r="C7096" s="91"/>
      <c r="D7096" s="91"/>
      <c r="E7096" s="91"/>
      <c r="G7096" s="244"/>
      <c r="H7096" s="238"/>
    </row>
    <row r="7097" spans="1:9" s="212" customFormat="1">
      <c r="A7097" s="120"/>
      <c r="B7097" s="73"/>
      <c r="C7097" s="73"/>
      <c r="D7097" s="73"/>
      <c r="E7097" s="73"/>
      <c r="G7097" s="235"/>
      <c r="H7097" s="238"/>
    </row>
    <row r="7098" spans="1:9" s="212" customFormat="1">
      <c r="A7098" s="220"/>
      <c r="B7098" s="141"/>
      <c r="C7098" s="141"/>
      <c r="D7098" s="141"/>
      <c r="E7098" s="141"/>
      <c r="F7098" s="141"/>
      <c r="G7098" s="194"/>
      <c r="H7098" s="238"/>
    </row>
    <row r="7099" spans="1:9" s="212" customFormat="1">
      <c r="A7099" s="146"/>
      <c r="B7099" s="83"/>
      <c r="C7099" s="148"/>
      <c r="D7099" s="84"/>
      <c r="E7099" s="84"/>
      <c r="F7099" s="84"/>
      <c r="G7099" s="243"/>
      <c r="H7099" s="238"/>
    </row>
    <row r="7100" spans="1:9" s="212" customFormat="1">
      <c r="A7100" s="91"/>
      <c r="B7100" s="91"/>
      <c r="C7100" s="91"/>
      <c r="D7100" s="91"/>
      <c r="E7100" s="91"/>
      <c r="G7100" s="244"/>
      <c r="H7100" s="238"/>
    </row>
    <row r="7101" spans="1:9" s="212" customFormat="1">
      <c r="A7101" s="120"/>
      <c r="B7101" s="73"/>
      <c r="C7101" s="73"/>
      <c r="D7101" s="73"/>
      <c r="E7101" s="73"/>
      <c r="G7101" s="235"/>
      <c r="H7101" s="238"/>
    </row>
    <row r="7102" spans="1:9" s="212" customFormat="1">
      <c r="A7102" s="220"/>
      <c r="B7102" s="141"/>
      <c r="C7102" s="141"/>
      <c r="D7102" s="141"/>
      <c r="E7102" s="141"/>
      <c r="F7102" s="141"/>
      <c r="G7102" s="194"/>
      <c r="H7102" s="238"/>
    </row>
    <row r="7103" spans="1:9" s="212" customFormat="1">
      <c r="A7103" s="142"/>
      <c r="B7103" s="143"/>
      <c r="C7103" s="143"/>
      <c r="D7103" s="143"/>
      <c r="E7103" s="143"/>
      <c r="F7103" s="84"/>
      <c r="G7103" s="243"/>
      <c r="H7103" s="238"/>
    </row>
    <row r="7104" spans="1:9" s="212" customFormat="1">
      <c r="A7104" s="123"/>
      <c r="B7104" s="95"/>
      <c r="C7104" s="95"/>
      <c r="D7104" s="95"/>
      <c r="E7104" s="95"/>
      <c r="G7104" s="244"/>
      <c r="H7104" s="235"/>
    </row>
    <row r="7105" spans="1:9" s="212" customFormat="1">
      <c r="A7105" s="123"/>
      <c r="B7105" s="95"/>
      <c r="C7105" s="95"/>
      <c r="D7105" s="95"/>
      <c r="E7105" s="95"/>
      <c r="G7105" s="235"/>
      <c r="H7105" s="242"/>
    </row>
    <row r="7106" spans="1:9" s="212" customFormat="1">
      <c r="B7106" s="97"/>
      <c r="C7106" s="98"/>
      <c r="D7106" s="98"/>
      <c r="E7106" s="98"/>
      <c r="G7106" s="241"/>
      <c r="H7106" s="242"/>
    </row>
    <row r="7107" spans="1:9" s="212" customFormat="1">
      <c r="B7107" s="97"/>
      <c r="C7107" s="98"/>
      <c r="D7107" s="98"/>
      <c r="E7107" s="98"/>
      <c r="G7107" s="241"/>
      <c r="H7107" s="227"/>
      <c r="I7107" s="228"/>
    </row>
    <row r="7108" spans="1:9" s="212" customFormat="1">
      <c r="A7108" s="658"/>
      <c r="B7108" s="227"/>
      <c r="C7108" s="227"/>
      <c r="D7108" s="227"/>
      <c r="E7108" s="227"/>
      <c r="F7108" s="227"/>
      <c r="G7108" s="227"/>
      <c r="H7108" s="227"/>
      <c r="I7108" s="229"/>
    </row>
    <row r="7109" spans="1:9" s="212" customFormat="1">
      <c r="A7109" s="658"/>
      <c r="B7109" s="227"/>
      <c r="C7109" s="227"/>
      <c r="D7109" s="227"/>
      <c r="E7109" s="227"/>
      <c r="F7109" s="227"/>
      <c r="G7109" s="227"/>
      <c r="H7109" s="234"/>
    </row>
    <row r="7110" spans="1:9" s="212" customFormat="1">
      <c r="A7110" s="69"/>
      <c r="B7110" s="69"/>
      <c r="C7110" s="69"/>
      <c r="D7110" s="69"/>
      <c r="E7110" s="69"/>
      <c r="G7110" s="234"/>
      <c r="H7110" s="234"/>
    </row>
    <row r="7111" spans="1:9" s="212" customFormat="1">
      <c r="A7111" s="120"/>
      <c r="B7111" s="73"/>
      <c r="C7111" s="73"/>
      <c r="D7111" s="73"/>
      <c r="E7111" s="73"/>
      <c r="F7111" s="73"/>
      <c r="G7111" s="235"/>
      <c r="H7111" s="235"/>
    </row>
    <row r="7112" spans="1:9" s="212" customFormat="1">
      <c r="A7112" s="220"/>
      <c r="B7112" s="141"/>
      <c r="C7112" s="141"/>
      <c r="D7112" s="141"/>
      <c r="E7112" s="141"/>
      <c r="F7112" s="141"/>
      <c r="G7112" s="194"/>
      <c r="H7112" s="235"/>
    </row>
    <row r="7113" spans="1:9" s="212" customFormat="1">
      <c r="A7113" s="150"/>
      <c r="B7113" s="83"/>
      <c r="C7113" s="148"/>
      <c r="D7113" s="84"/>
      <c r="E7113" s="84"/>
      <c r="F7113" s="84"/>
      <c r="G7113" s="243"/>
      <c r="H7113" s="238"/>
    </row>
    <row r="7114" spans="1:9" s="212" customFormat="1">
      <c r="A7114" s="84"/>
      <c r="B7114" s="83"/>
      <c r="C7114" s="84"/>
      <c r="D7114" s="84"/>
      <c r="E7114" s="84"/>
      <c r="G7114" s="244"/>
      <c r="H7114" s="238"/>
    </row>
    <row r="7115" spans="1:9" s="212" customFormat="1">
      <c r="A7115" s="120"/>
      <c r="B7115" s="73"/>
      <c r="C7115" s="73"/>
      <c r="D7115" s="73"/>
      <c r="E7115" s="73"/>
      <c r="G7115" s="235"/>
      <c r="H7115" s="238"/>
    </row>
    <row r="7116" spans="1:9" s="212" customFormat="1">
      <c r="A7116" s="220"/>
      <c r="B7116" s="141"/>
      <c r="C7116" s="141"/>
      <c r="D7116" s="141"/>
      <c r="E7116" s="141"/>
      <c r="F7116" s="141"/>
      <c r="G7116" s="194"/>
      <c r="H7116" s="238"/>
      <c r="I7116" s="240"/>
    </row>
    <row r="7117" spans="1:9" s="212" customFormat="1">
      <c r="A7117" s="197"/>
      <c r="B7117" s="83"/>
      <c r="C7117" s="148"/>
      <c r="D7117" s="190"/>
      <c r="E7117" s="84"/>
      <c r="F7117" s="84"/>
      <c r="G7117" s="243"/>
      <c r="H7117" s="238"/>
      <c r="I7117" s="240"/>
    </row>
    <row r="7118" spans="1:9" s="212" customFormat="1">
      <c r="A7118" s="150"/>
      <c r="B7118" s="83"/>
      <c r="C7118" s="148"/>
      <c r="D7118" s="84"/>
      <c r="E7118" s="84"/>
      <c r="F7118" s="84"/>
      <c r="G7118" s="243"/>
      <c r="H7118" s="238"/>
    </row>
    <row r="7119" spans="1:9" s="212" customFormat="1">
      <c r="A7119" s="150"/>
      <c r="B7119" s="83"/>
      <c r="C7119" s="148"/>
      <c r="D7119" s="84"/>
      <c r="E7119" s="84"/>
      <c r="F7119" s="84"/>
      <c r="G7119" s="243"/>
      <c r="H7119" s="238"/>
    </row>
    <row r="7120" spans="1:9" s="212" customFormat="1">
      <c r="A7120" s="150"/>
      <c r="B7120" s="83"/>
      <c r="C7120" s="148"/>
      <c r="D7120" s="84"/>
      <c r="E7120" s="84"/>
      <c r="F7120" s="84"/>
      <c r="G7120" s="243"/>
      <c r="H7120" s="238"/>
    </row>
    <row r="7121" spans="1:9" s="212" customFormat="1">
      <c r="A7121" s="91"/>
      <c r="B7121" s="91"/>
      <c r="C7121" s="91"/>
      <c r="D7121" s="91"/>
      <c r="E7121" s="91"/>
      <c r="G7121" s="244"/>
      <c r="H7121" s="238"/>
    </row>
    <row r="7122" spans="1:9" s="212" customFormat="1">
      <c r="A7122" s="120"/>
      <c r="B7122" s="73"/>
      <c r="C7122" s="73"/>
      <c r="D7122" s="73"/>
      <c r="E7122" s="73"/>
      <c r="G7122" s="235"/>
      <c r="H7122" s="238"/>
    </row>
    <row r="7123" spans="1:9" s="212" customFormat="1">
      <c r="A7123" s="220"/>
      <c r="B7123" s="141"/>
      <c r="C7123" s="141"/>
      <c r="D7123" s="141"/>
      <c r="E7123" s="141"/>
      <c r="F7123" s="141"/>
      <c r="G7123" s="194"/>
      <c r="H7123" s="238"/>
    </row>
    <row r="7124" spans="1:9" s="212" customFormat="1">
      <c r="A7124" s="146"/>
      <c r="B7124" s="83"/>
      <c r="C7124" s="148"/>
      <c r="D7124" s="84"/>
      <c r="E7124" s="84"/>
      <c r="F7124" s="84"/>
      <c r="G7124" s="243"/>
      <c r="H7124" s="238"/>
    </row>
    <row r="7125" spans="1:9" s="212" customFormat="1">
      <c r="A7125" s="91"/>
      <c r="B7125" s="91"/>
      <c r="C7125" s="91"/>
      <c r="D7125" s="91"/>
      <c r="E7125" s="91"/>
      <c r="G7125" s="244"/>
      <c r="H7125" s="238"/>
    </row>
    <row r="7126" spans="1:9" s="212" customFormat="1">
      <c r="A7126" s="120"/>
      <c r="B7126" s="73"/>
      <c r="C7126" s="73"/>
      <c r="D7126" s="73"/>
      <c r="E7126" s="73"/>
      <c r="G7126" s="235"/>
      <c r="H7126" s="238"/>
    </row>
    <row r="7127" spans="1:9" s="212" customFormat="1">
      <c r="A7127" s="220"/>
      <c r="B7127" s="141"/>
      <c r="C7127" s="141"/>
      <c r="D7127" s="141"/>
      <c r="E7127" s="141"/>
      <c r="F7127" s="141"/>
      <c r="G7127" s="194"/>
      <c r="H7127" s="238"/>
    </row>
    <row r="7128" spans="1:9" s="212" customFormat="1">
      <c r="A7128" s="142"/>
      <c r="B7128" s="143"/>
      <c r="C7128" s="143"/>
      <c r="D7128" s="143"/>
      <c r="E7128" s="143"/>
      <c r="F7128" s="84"/>
      <c r="G7128" s="243"/>
      <c r="H7128" s="238"/>
    </row>
    <row r="7129" spans="1:9" s="212" customFormat="1">
      <c r="A7129" s="123"/>
      <c r="B7129" s="95"/>
      <c r="C7129" s="95"/>
      <c r="D7129" s="95"/>
      <c r="E7129" s="95"/>
      <c r="G7129" s="244"/>
      <c r="H7129" s="235"/>
    </row>
    <row r="7130" spans="1:9" s="212" customFormat="1">
      <c r="A7130" s="123"/>
      <c r="B7130" s="95"/>
      <c r="C7130" s="95"/>
      <c r="D7130" s="95"/>
      <c r="E7130" s="95"/>
      <c r="G7130" s="235"/>
      <c r="H7130" s="242"/>
    </row>
    <row r="7131" spans="1:9" s="212" customFormat="1">
      <c r="B7131" s="97"/>
      <c r="C7131" s="98"/>
      <c r="D7131" s="98"/>
      <c r="E7131" s="98"/>
      <c r="G7131" s="241"/>
      <c r="H7131" s="242"/>
    </row>
    <row r="7132" spans="1:9" s="212" customFormat="1">
      <c r="B7132" s="97"/>
      <c r="C7132" s="98"/>
      <c r="D7132" s="98"/>
      <c r="E7132" s="98"/>
      <c r="G7132" s="241"/>
      <c r="H7132" s="227"/>
      <c r="I7132" s="228"/>
    </row>
    <row r="7133" spans="1:9" s="212" customFormat="1">
      <c r="A7133" s="658"/>
      <c r="B7133" s="227"/>
      <c r="C7133" s="227"/>
      <c r="D7133" s="227"/>
      <c r="E7133" s="227"/>
      <c r="F7133" s="227"/>
      <c r="G7133" s="227"/>
      <c r="H7133" s="227"/>
      <c r="I7133" s="229"/>
    </row>
    <row r="7134" spans="1:9" s="212" customFormat="1">
      <c r="A7134" s="658"/>
      <c r="B7134" s="227"/>
      <c r="C7134" s="227"/>
      <c r="D7134" s="227"/>
      <c r="E7134" s="227"/>
      <c r="F7134" s="227"/>
      <c r="G7134" s="227"/>
      <c r="H7134" s="234"/>
    </row>
    <row r="7135" spans="1:9" s="212" customFormat="1">
      <c r="A7135" s="69"/>
      <c r="B7135" s="69"/>
      <c r="C7135" s="69"/>
      <c r="D7135" s="69"/>
      <c r="E7135" s="69"/>
      <c r="G7135" s="234"/>
      <c r="H7135" s="234"/>
    </row>
    <row r="7136" spans="1:9" s="212" customFormat="1">
      <c r="A7136" s="120"/>
      <c r="B7136" s="73"/>
      <c r="C7136" s="73"/>
      <c r="D7136" s="73"/>
      <c r="E7136" s="73"/>
      <c r="F7136" s="73"/>
      <c r="G7136" s="235"/>
      <c r="H7136" s="235"/>
    </row>
    <row r="7137" spans="1:9" s="212" customFormat="1">
      <c r="A7137" s="220"/>
      <c r="B7137" s="141"/>
      <c r="C7137" s="141"/>
      <c r="D7137" s="141"/>
      <c r="E7137" s="141"/>
      <c r="F7137" s="141"/>
      <c r="G7137" s="194"/>
      <c r="H7137" s="235"/>
    </row>
    <row r="7138" spans="1:9" s="212" customFormat="1">
      <c r="A7138" s="150"/>
      <c r="B7138" s="83"/>
      <c r="C7138" s="148"/>
      <c r="D7138" s="84"/>
      <c r="E7138" s="84"/>
      <c r="F7138" s="84"/>
      <c r="G7138" s="243"/>
      <c r="H7138" s="238"/>
    </row>
    <row r="7139" spans="1:9" s="212" customFormat="1">
      <c r="A7139" s="84"/>
      <c r="B7139" s="83"/>
      <c r="C7139" s="84"/>
      <c r="D7139" s="84"/>
      <c r="E7139" s="84"/>
      <c r="G7139" s="244"/>
      <c r="H7139" s="238"/>
    </row>
    <row r="7140" spans="1:9" s="212" customFormat="1">
      <c r="A7140" s="120"/>
      <c r="B7140" s="73"/>
      <c r="C7140" s="73"/>
      <c r="D7140" s="73"/>
      <c r="E7140" s="73"/>
      <c r="G7140" s="235"/>
      <c r="H7140" s="238"/>
    </row>
    <row r="7141" spans="1:9" s="212" customFormat="1">
      <c r="A7141" s="220"/>
      <c r="B7141" s="141"/>
      <c r="C7141" s="141"/>
      <c r="D7141" s="141"/>
      <c r="E7141" s="141"/>
      <c r="F7141" s="141"/>
      <c r="G7141" s="194"/>
      <c r="H7141" s="238"/>
      <c r="I7141" s="240"/>
    </row>
    <row r="7142" spans="1:9" s="212" customFormat="1">
      <c r="A7142" s="197"/>
      <c r="B7142" s="83"/>
      <c r="C7142" s="148"/>
      <c r="D7142" s="190"/>
      <c r="E7142" s="84"/>
      <c r="F7142" s="84"/>
      <c r="G7142" s="243"/>
      <c r="H7142" s="238"/>
      <c r="I7142" s="240"/>
    </row>
    <row r="7143" spans="1:9" s="212" customFormat="1">
      <c r="A7143" s="150"/>
      <c r="B7143" s="83"/>
      <c r="C7143" s="148"/>
      <c r="D7143" s="84"/>
      <c r="E7143" s="84"/>
      <c r="F7143" s="84"/>
      <c r="G7143" s="243"/>
      <c r="H7143" s="238"/>
    </row>
    <row r="7144" spans="1:9" s="212" customFormat="1">
      <c r="A7144" s="91"/>
      <c r="B7144" s="91"/>
      <c r="C7144" s="91"/>
      <c r="D7144" s="91"/>
      <c r="E7144" s="91"/>
      <c r="G7144" s="244"/>
      <c r="H7144" s="238"/>
    </row>
    <row r="7145" spans="1:9" s="212" customFormat="1">
      <c r="A7145" s="120"/>
      <c r="B7145" s="73"/>
      <c r="C7145" s="73"/>
      <c r="D7145" s="73"/>
      <c r="E7145" s="73"/>
      <c r="G7145" s="235"/>
      <c r="H7145" s="238"/>
    </row>
    <row r="7146" spans="1:9" s="212" customFormat="1">
      <c r="A7146" s="220"/>
      <c r="B7146" s="141"/>
      <c r="C7146" s="141"/>
      <c r="D7146" s="141"/>
      <c r="E7146" s="141"/>
      <c r="F7146" s="141"/>
      <c r="G7146" s="194"/>
      <c r="H7146" s="238"/>
    </row>
    <row r="7147" spans="1:9" s="212" customFormat="1">
      <c r="A7147" s="146"/>
      <c r="B7147" s="83"/>
      <c r="C7147" s="148"/>
      <c r="D7147" s="84"/>
      <c r="E7147" s="84"/>
      <c r="F7147" s="84"/>
      <c r="G7147" s="243"/>
      <c r="H7147" s="238"/>
    </row>
    <row r="7148" spans="1:9" s="212" customFormat="1">
      <c r="A7148" s="91"/>
      <c r="B7148" s="91"/>
      <c r="C7148" s="91"/>
      <c r="D7148" s="91"/>
      <c r="E7148" s="91"/>
      <c r="G7148" s="244"/>
      <c r="H7148" s="238"/>
    </row>
    <row r="7149" spans="1:9" s="212" customFormat="1">
      <c r="A7149" s="120"/>
      <c r="B7149" s="73"/>
      <c r="C7149" s="73"/>
      <c r="D7149" s="73"/>
      <c r="E7149" s="73"/>
      <c r="G7149" s="235"/>
      <c r="H7149" s="238"/>
    </row>
    <row r="7150" spans="1:9" s="212" customFormat="1">
      <c r="A7150" s="220"/>
      <c r="B7150" s="141"/>
      <c r="C7150" s="141"/>
      <c r="D7150" s="141"/>
      <c r="E7150" s="141"/>
      <c r="F7150" s="141"/>
      <c r="G7150" s="194"/>
      <c r="H7150" s="238"/>
    </row>
    <row r="7151" spans="1:9" s="212" customFormat="1">
      <c r="A7151" s="142"/>
      <c r="B7151" s="143"/>
      <c r="C7151" s="143"/>
      <c r="D7151" s="143"/>
      <c r="E7151" s="143"/>
      <c r="F7151" s="84"/>
      <c r="G7151" s="243"/>
      <c r="H7151" s="238"/>
    </row>
    <row r="7152" spans="1:9" s="212" customFormat="1">
      <c r="A7152" s="123"/>
      <c r="B7152" s="95"/>
      <c r="C7152" s="95"/>
      <c r="D7152" s="95"/>
      <c r="E7152" s="95"/>
      <c r="G7152" s="244"/>
      <c r="H7152" s="235"/>
    </row>
    <row r="7153" spans="1:9" s="212" customFormat="1">
      <c r="A7153" s="123"/>
      <c r="B7153" s="95"/>
      <c r="C7153" s="95"/>
      <c r="D7153" s="95"/>
      <c r="E7153" s="95"/>
      <c r="G7153" s="235"/>
      <c r="H7153" s="242"/>
    </row>
    <row r="7154" spans="1:9" s="212" customFormat="1">
      <c r="B7154" s="97"/>
      <c r="C7154" s="98"/>
      <c r="D7154" s="98"/>
      <c r="E7154" s="98"/>
      <c r="G7154" s="241"/>
      <c r="H7154" s="242"/>
    </row>
    <row r="7155" spans="1:9" s="212" customFormat="1">
      <c r="B7155" s="97"/>
      <c r="C7155" s="98"/>
      <c r="D7155" s="98"/>
      <c r="E7155" s="98"/>
      <c r="G7155" s="241"/>
      <c r="H7155" s="227"/>
      <c r="I7155" s="228"/>
    </row>
    <row r="7156" spans="1:9" s="212" customFormat="1">
      <c r="A7156" s="658"/>
      <c r="B7156" s="227"/>
      <c r="C7156" s="227"/>
      <c r="D7156" s="227"/>
      <c r="E7156" s="227"/>
      <c r="F7156" s="227"/>
      <c r="G7156" s="227"/>
      <c r="H7156" s="227"/>
      <c r="I7156" s="229"/>
    </row>
    <row r="7157" spans="1:9" s="212" customFormat="1">
      <c r="A7157" s="658"/>
      <c r="B7157" s="227"/>
      <c r="C7157" s="227"/>
      <c r="D7157" s="227"/>
      <c r="E7157" s="227"/>
      <c r="F7157" s="227"/>
      <c r="G7157" s="227"/>
      <c r="H7157" s="234"/>
    </row>
    <row r="7158" spans="1:9" s="212" customFormat="1">
      <c r="A7158" s="69"/>
      <c r="B7158" s="69"/>
      <c r="C7158" s="69"/>
      <c r="D7158" s="69"/>
      <c r="E7158" s="69"/>
      <c r="G7158" s="234"/>
      <c r="H7158" s="234"/>
    </row>
    <row r="7159" spans="1:9" s="212" customFormat="1">
      <c r="A7159" s="120"/>
      <c r="B7159" s="73"/>
      <c r="C7159" s="73"/>
      <c r="D7159" s="73"/>
      <c r="E7159" s="73"/>
      <c r="F7159" s="73"/>
      <c r="G7159" s="235"/>
      <c r="H7159" s="235"/>
    </row>
    <row r="7160" spans="1:9" s="212" customFormat="1">
      <c r="A7160" s="220"/>
      <c r="B7160" s="141"/>
      <c r="C7160" s="141"/>
      <c r="D7160" s="141"/>
      <c r="E7160" s="141"/>
      <c r="F7160" s="141"/>
      <c r="G7160" s="194"/>
      <c r="H7160" s="235"/>
    </row>
    <row r="7161" spans="1:9" s="212" customFormat="1">
      <c r="A7161" s="150"/>
      <c r="B7161" s="83"/>
      <c r="C7161" s="148"/>
      <c r="D7161" s="84"/>
      <c r="E7161" s="84"/>
      <c r="F7161" s="84"/>
      <c r="G7161" s="243"/>
      <c r="H7161" s="238"/>
    </row>
    <row r="7162" spans="1:9" s="212" customFormat="1">
      <c r="A7162" s="84"/>
      <c r="B7162" s="83"/>
      <c r="C7162" s="84"/>
      <c r="D7162" s="84"/>
      <c r="E7162" s="84"/>
      <c r="G7162" s="244"/>
      <c r="H7162" s="238"/>
    </row>
    <row r="7163" spans="1:9" s="212" customFormat="1">
      <c r="A7163" s="120"/>
      <c r="B7163" s="73"/>
      <c r="C7163" s="73"/>
      <c r="D7163" s="73"/>
      <c r="E7163" s="73"/>
      <c r="G7163" s="235"/>
      <c r="H7163" s="238"/>
    </row>
    <row r="7164" spans="1:9" s="212" customFormat="1">
      <c r="A7164" s="220"/>
      <c r="B7164" s="141"/>
      <c r="C7164" s="141"/>
      <c r="D7164" s="141"/>
      <c r="E7164" s="141"/>
      <c r="F7164" s="141"/>
      <c r="G7164" s="194"/>
      <c r="H7164" s="238"/>
      <c r="I7164" s="240"/>
    </row>
    <row r="7165" spans="1:9" s="212" customFormat="1">
      <c r="A7165" s="197"/>
      <c r="B7165" s="83"/>
      <c r="C7165" s="148"/>
      <c r="D7165" s="190"/>
      <c r="E7165" s="84"/>
      <c r="F7165" s="84"/>
      <c r="G7165" s="243"/>
      <c r="H7165" s="238"/>
      <c r="I7165" s="240"/>
    </row>
    <row r="7166" spans="1:9" s="212" customFormat="1">
      <c r="A7166" s="150"/>
      <c r="B7166" s="83"/>
      <c r="C7166" s="148"/>
      <c r="D7166" s="84"/>
      <c r="E7166" s="84"/>
      <c r="F7166" s="84"/>
      <c r="G7166" s="243"/>
      <c r="H7166" s="238"/>
    </row>
    <row r="7167" spans="1:9" s="212" customFormat="1">
      <c r="A7167" s="91"/>
      <c r="B7167" s="91"/>
      <c r="C7167" s="91"/>
      <c r="D7167" s="91"/>
      <c r="E7167" s="91"/>
      <c r="G7167" s="244"/>
      <c r="H7167" s="238"/>
    </row>
    <row r="7168" spans="1:9" s="212" customFormat="1">
      <c r="A7168" s="120"/>
      <c r="B7168" s="73"/>
      <c r="C7168" s="73"/>
      <c r="D7168" s="73"/>
      <c r="E7168" s="73"/>
      <c r="G7168" s="235"/>
      <c r="H7168" s="238"/>
    </row>
    <row r="7169" spans="1:9" s="212" customFormat="1">
      <c r="A7169" s="220"/>
      <c r="B7169" s="141"/>
      <c r="C7169" s="141"/>
      <c r="D7169" s="141"/>
      <c r="E7169" s="141"/>
      <c r="F7169" s="141"/>
      <c r="G7169" s="194"/>
      <c r="H7169" s="238"/>
    </row>
    <row r="7170" spans="1:9" s="212" customFormat="1">
      <c r="A7170" s="146"/>
      <c r="B7170" s="83"/>
      <c r="C7170" s="148"/>
      <c r="D7170" s="84"/>
      <c r="E7170" s="84"/>
      <c r="F7170" s="84"/>
      <c r="G7170" s="243"/>
      <c r="H7170" s="238"/>
    </row>
    <row r="7171" spans="1:9" s="212" customFormat="1">
      <c r="A7171" s="91"/>
      <c r="B7171" s="91"/>
      <c r="C7171" s="91"/>
      <c r="D7171" s="91"/>
      <c r="E7171" s="91"/>
      <c r="G7171" s="244"/>
      <c r="H7171" s="238"/>
    </row>
    <row r="7172" spans="1:9" s="212" customFormat="1">
      <c r="A7172" s="120"/>
      <c r="B7172" s="73"/>
      <c r="C7172" s="73"/>
      <c r="D7172" s="73"/>
      <c r="E7172" s="73"/>
      <c r="G7172" s="235"/>
      <c r="H7172" s="238"/>
    </row>
    <row r="7173" spans="1:9" s="212" customFormat="1">
      <c r="A7173" s="220"/>
      <c r="B7173" s="141"/>
      <c r="C7173" s="141"/>
      <c r="D7173" s="141"/>
      <c r="E7173" s="141"/>
      <c r="F7173" s="141"/>
      <c r="G7173" s="194"/>
      <c r="H7173" s="238"/>
    </row>
    <row r="7174" spans="1:9" s="212" customFormat="1">
      <c r="A7174" s="142"/>
      <c r="B7174" s="143"/>
      <c r="C7174" s="143"/>
      <c r="D7174" s="143"/>
      <c r="E7174" s="143"/>
      <c r="F7174" s="84"/>
      <c r="G7174" s="243"/>
      <c r="H7174" s="238"/>
    </row>
    <row r="7175" spans="1:9" s="212" customFormat="1">
      <c r="A7175" s="123"/>
      <c r="B7175" s="95"/>
      <c r="C7175" s="95"/>
      <c r="D7175" s="95"/>
      <c r="E7175" s="95"/>
      <c r="G7175" s="244"/>
      <c r="H7175" s="235"/>
    </row>
    <row r="7176" spans="1:9" s="212" customFormat="1">
      <c r="A7176" s="123"/>
      <c r="B7176" s="95"/>
      <c r="C7176" s="95"/>
      <c r="D7176" s="95"/>
      <c r="E7176" s="95"/>
      <c r="G7176" s="235"/>
      <c r="H7176" s="242"/>
    </row>
    <row r="7177" spans="1:9" s="212" customFormat="1">
      <c r="B7177" s="97"/>
      <c r="C7177" s="98"/>
      <c r="D7177" s="98"/>
      <c r="E7177" s="98"/>
      <c r="G7177" s="241"/>
      <c r="H7177" s="242"/>
    </row>
    <row r="7178" spans="1:9" s="212" customFormat="1">
      <c r="B7178" s="97"/>
      <c r="C7178" s="98"/>
      <c r="D7178" s="98"/>
      <c r="E7178" s="98"/>
      <c r="G7178" s="241"/>
      <c r="H7178" s="227"/>
      <c r="I7178" s="228"/>
    </row>
    <row r="7179" spans="1:9" s="212" customFormat="1">
      <c r="A7179" s="658"/>
      <c r="B7179" s="227"/>
      <c r="C7179" s="227"/>
      <c r="D7179" s="227"/>
      <c r="E7179" s="227"/>
      <c r="F7179" s="227"/>
      <c r="G7179" s="227"/>
      <c r="H7179" s="227"/>
      <c r="I7179" s="229"/>
    </row>
    <row r="7180" spans="1:9" s="212" customFormat="1">
      <c r="A7180" s="658"/>
      <c r="B7180" s="227"/>
      <c r="C7180" s="227"/>
      <c r="D7180" s="227"/>
      <c r="E7180" s="227"/>
      <c r="F7180" s="227"/>
      <c r="G7180" s="227"/>
      <c r="H7180" s="234"/>
    </row>
    <row r="7181" spans="1:9" s="212" customFormat="1">
      <c r="A7181" s="69"/>
      <c r="B7181" s="69"/>
      <c r="C7181" s="69"/>
      <c r="D7181" s="69"/>
      <c r="E7181" s="69"/>
      <c r="G7181" s="234"/>
      <c r="H7181" s="234"/>
    </row>
    <row r="7182" spans="1:9" s="212" customFormat="1">
      <c r="A7182" s="120"/>
      <c r="B7182" s="73"/>
      <c r="C7182" s="73"/>
      <c r="D7182" s="73"/>
      <c r="E7182" s="73"/>
      <c r="F7182" s="73"/>
      <c r="G7182" s="235"/>
      <c r="H7182" s="235"/>
    </row>
    <row r="7183" spans="1:9" s="212" customFormat="1">
      <c r="A7183" s="220"/>
      <c r="B7183" s="141"/>
      <c r="C7183" s="141"/>
      <c r="D7183" s="141"/>
      <c r="E7183" s="141"/>
      <c r="F7183" s="141"/>
      <c r="G7183" s="194"/>
      <c r="H7183" s="235"/>
    </row>
    <row r="7184" spans="1:9" s="212" customFormat="1">
      <c r="A7184" s="150"/>
      <c r="B7184" s="83"/>
      <c r="C7184" s="148"/>
      <c r="D7184" s="84"/>
      <c r="E7184" s="84"/>
      <c r="F7184" s="84"/>
      <c r="G7184" s="243"/>
      <c r="H7184" s="238"/>
    </row>
    <row r="7185" spans="1:9" s="212" customFormat="1">
      <c r="A7185" s="84"/>
      <c r="B7185" s="83"/>
      <c r="C7185" s="84"/>
      <c r="D7185" s="84"/>
      <c r="E7185" s="84"/>
      <c r="G7185" s="244"/>
      <c r="H7185" s="238"/>
    </row>
    <row r="7186" spans="1:9" s="212" customFormat="1">
      <c r="A7186" s="120"/>
      <c r="B7186" s="73"/>
      <c r="C7186" s="73"/>
      <c r="D7186" s="73"/>
      <c r="E7186" s="73"/>
      <c r="G7186" s="235"/>
      <c r="H7186" s="238"/>
    </row>
    <row r="7187" spans="1:9" s="212" customFormat="1">
      <c r="A7187" s="220"/>
      <c r="B7187" s="141"/>
      <c r="C7187" s="141"/>
      <c r="D7187" s="141"/>
      <c r="E7187" s="141"/>
      <c r="F7187" s="141"/>
      <c r="G7187" s="194"/>
      <c r="H7187" s="238"/>
      <c r="I7187" s="240"/>
    </row>
    <row r="7188" spans="1:9" s="212" customFormat="1">
      <c r="A7188" s="197"/>
      <c r="B7188" s="83"/>
      <c r="C7188" s="148"/>
      <c r="D7188" s="190"/>
      <c r="E7188" s="84"/>
      <c r="F7188" s="84"/>
      <c r="G7188" s="243"/>
      <c r="H7188" s="238"/>
      <c r="I7188" s="240"/>
    </row>
    <row r="7189" spans="1:9" s="212" customFormat="1">
      <c r="A7189" s="150"/>
      <c r="B7189" s="83"/>
      <c r="C7189" s="148"/>
      <c r="D7189" s="84"/>
      <c r="E7189" s="84"/>
      <c r="F7189" s="84"/>
      <c r="G7189" s="243"/>
      <c r="H7189" s="238"/>
    </row>
    <row r="7190" spans="1:9" s="212" customFormat="1">
      <c r="A7190" s="91"/>
      <c r="B7190" s="91"/>
      <c r="C7190" s="91"/>
      <c r="D7190" s="91"/>
      <c r="E7190" s="91"/>
      <c r="G7190" s="244"/>
      <c r="H7190" s="238"/>
    </row>
    <row r="7191" spans="1:9" s="212" customFormat="1">
      <c r="A7191" s="120"/>
      <c r="B7191" s="73"/>
      <c r="C7191" s="73"/>
      <c r="D7191" s="73"/>
      <c r="E7191" s="73"/>
      <c r="G7191" s="235"/>
      <c r="H7191" s="238"/>
    </row>
    <row r="7192" spans="1:9" s="212" customFormat="1">
      <c r="A7192" s="220"/>
      <c r="B7192" s="141"/>
      <c r="C7192" s="141"/>
      <c r="D7192" s="141"/>
      <c r="E7192" s="141"/>
      <c r="F7192" s="141"/>
      <c r="G7192" s="194"/>
      <c r="H7192" s="238"/>
    </row>
    <row r="7193" spans="1:9" s="212" customFormat="1">
      <c r="A7193" s="146"/>
      <c r="B7193" s="83"/>
      <c r="C7193" s="148"/>
      <c r="D7193" s="84"/>
      <c r="E7193" s="84"/>
      <c r="F7193" s="84"/>
      <c r="G7193" s="243"/>
      <c r="H7193" s="238"/>
    </row>
    <row r="7194" spans="1:9" s="212" customFormat="1">
      <c r="A7194" s="91"/>
      <c r="B7194" s="91"/>
      <c r="C7194" s="91"/>
      <c r="D7194" s="91"/>
      <c r="E7194" s="91"/>
      <c r="G7194" s="244"/>
      <c r="H7194" s="238"/>
    </row>
    <row r="7195" spans="1:9" s="212" customFormat="1">
      <c r="A7195" s="120"/>
      <c r="B7195" s="73"/>
      <c r="C7195" s="73"/>
      <c r="D7195" s="73"/>
      <c r="E7195" s="73"/>
      <c r="G7195" s="235"/>
      <c r="H7195" s="238"/>
    </row>
    <row r="7196" spans="1:9" s="212" customFormat="1">
      <c r="A7196" s="220"/>
      <c r="B7196" s="141"/>
      <c r="C7196" s="141"/>
      <c r="D7196" s="141"/>
      <c r="E7196" s="141"/>
      <c r="F7196" s="141"/>
      <c r="G7196" s="194"/>
      <c r="H7196" s="238"/>
    </row>
    <row r="7197" spans="1:9" s="212" customFormat="1">
      <c r="A7197" s="142"/>
      <c r="B7197" s="143"/>
      <c r="C7197" s="143"/>
      <c r="D7197" s="143"/>
      <c r="E7197" s="143"/>
      <c r="F7197" s="84"/>
      <c r="G7197" s="243"/>
      <c r="H7197" s="238"/>
    </row>
    <row r="7198" spans="1:9" s="212" customFormat="1">
      <c r="A7198" s="123"/>
      <c r="B7198" s="95"/>
      <c r="C7198" s="95"/>
      <c r="D7198" s="95"/>
      <c r="E7198" s="95"/>
      <c r="G7198" s="244"/>
      <c r="H7198" s="235"/>
    </row>
    <row r="7199" spans="1:9" s="212" customFormat="1">
      <c r="A7199" s="123"/>
      <c r="B7199" s="95"/>
      <c r="C7199" s="95"/>
      <c r="D7199" s="95"/>
      <c r="E7199" s="95"/>
      <c r="G7199" s="235"/>
      <c r="H7199" s="242"/>
    </row>
    <row r="7200" spans="1:9" s="212" customFormat="1">
      <c r="B7200" s="97"/>
      <c r="C7200" s="98"/>
      <c r="D7200" s="98"/>
      <c r="E7200" s="98"/>
      <c r="G7200" s="241"/>
      <c r="H7200" s="242"/>
    </row>
    <row r="7201" spans="1:9" s="212" customFormat="1">
      <c r="B7201" s="97"/>
      <c r="C7201" s="98"/>
      <c r="D7201" s="98"/>
      <c r="E7201" s="98"/>
      <c r="G7201" s="241"/>
      <c r="H7201" s="227"/>
      <c r="I7201" s="228"/>
    </row>
    <row r="7202" spans="1:9" s="212" customFormat="1">
      <c r="A7202" s="658"/>
      <c r="B7202" s="227"/>
      <c r="C7202" s="227"/>
      <c r="D7202" s="227"/>
      <c r="E7202" s="227"/>
      <c r="F7202" s="227"/>
      <c r="G7202" s="227"/>
      <c r="H7202" s="227"/>
      <c r="I7202" s="229"/>
    </row>
    <row r="7203" spans="1:9" s="212" customFormat="1">
      <c r="A7203" s="658"/>
      <c r="B7203" s="227"/>
      <c r="C7203" s="227"/>
      <c r="D7203" s="227"/>
      <c r="E7203" s="227"/>
      <c r="F7203" s="227"/>
      <c r="G7203" s="227"/>
      <c r="H7203" s="234"/>
    </row>
    <row r="7204" spans="1:9" s="212" customFormat="1">
      <c r="A7204" s="69"/>
      <c r="B7204" s="69"/>
      <c r="C7204" s="69"/>
      <c r="D7204" s="69"/>
      <c r="E7204" s="69"/>
      <c r="G7204" s="234"/>
      <c r="H7204" s="234"/>
    </row>
    <row r="7205" spans="1:9" s="212" customFormat="1">
      <c r="A7205" s="120"/>
      <c r="B7205" s="73"/>
      <c r="C7205" s="73"/>
      <c r="D7205" s="73"/>
      <c r="E7205" s="73"/>
      <c r="F7205" s="73"/>
      <c r="G7205" s="235"/>
      <c r="H7205" s="235"/>
    </row>
    <row r="7206" spans="1:9" s="212" customFormat="1">
      <c r="A7206" s="220"/>
      <c r="B7206" s="141"/>
      <c r="C7206" s="141"/>
      <c r="D7206" s="141"/>
      <c r="E7206" s="141"/>
      <c r="F7206" s="141"/>
      <c r="G7206" s="194"/>
      <c r="H7206" s="235"/>
    </row>
    <row r="7207" spans="1:9" s="212" customFormat="1">
      <c r="A7207" s="150"/>
      <c r="B7207" s="83"/>
      <c r="C7207" s="148"/>
      <c r="D7207" s="84"/>
      <c r="E7207" s="84"/>
      <c r="F7207" s="84"/>
      <c r="G7207" s="243"/>
      <c r="H7207" s="238"/>
    </row>
    <row r="7208" spans="1:9" s="212" customFormat="1">
      <c r="A7208" s="84"/>
      <c r="B7208" s="83"/>
      <c r="C7208" s="84"/>
      <c r="D7208" s="84"/>
      <c r="E7208" s="84"/>
      <c r="G7208" s="244"/>
      <c r="H7208" s="238"/>
    </row>
    <row r="7209" spans="1:9" s="212" customFormat="1">
      <c r="A7209" s="120"/>
      <c r="B7209" s="73"/>
      <c r="C7209" s="73"/>
      <c r="D7209" s="73"/>
      <c r="E7209" s="73"/>
      <c r="G7209" s="235"/>
      <c r="H7209" s="238"/>
    </row>
    <row r="7210" spans="1:9" s="212" customFormat="1">
      <c r="A7210" s="220"/>
      <c r="B7210" s="141"/>
      <c r="C7210" s="141"/>
      <c r="D7210" s="141"/>
      <c r="E7210" s="141"/>
      <c r="F7210" s="141"/>
      <c r="G7210" s="194"/>
      <c r="H7210" s="238"/>
      <c r="I7210" s="240"/>
    </row>
    <row r="7211" spans="1:9" s="212" customFormat="1">
      <c r="A7211" s="197"/>
      <c r="B7211" s="83"/>
      <c r="C7211" s="148"/>
      <c r="D7211" s="190"/>
      <c r="E7211" s="84"/>
      <c r="F7211" s="84"/>
      <c r="G7211" s="243"/>
      <c r="H7211" s="238"/>
      <c r="I7211" s="240"/>
    </row>
    <row r="7212" spans="1:9" s="212" customFormat="1">
      <c r="A7212" s="150"/>
      <c r="B7212" s="83"/>
      <c r="C7212" s="148"/>
      <c r="D7212" s="84"/>
      <c r="E7212" s="84"/>
      <c r="F7212" s="84"/>
      <c r="G7212" s="243"/>
      <c r="H7212" s="238"/>
    </row>
    <row r="7213" spans="1:9" s="212" customFormat="1">
      <c r="A7213" s="91"/>
      <c r="B7213" s="91"/>
      <c r="C7213" s="91"/>
      <c r="D7213" s="91"/>
      <c r="E7213" s="91"/>
      <c r="G7213" s="244"/>
      <c r="H7213" s="238"/>
    </row>
    <row r="7214" spans="1:9" s="212" customFormat="1">
      <c r="A7214" s="120"/>
      <c r="B7214" s="73"/>
      <c r="C7214" s="73"/>
      <c r="D7214" s="73"/>
      <c r="E7214" s="73"/>
      <c r="G7214" s="235"/>
      <c r="H7214" s="238"/>
    </row>
    <row r="7215" spans="1:9" s="212" customFormat="1">
      <c r="A7215" s="220"/>
      <c r="B7215" s="141"/>
      <c r="C7215" s="141"/>
      <c r="D7215" s="141"/>
      <c r="E7215" s="141"/>
      <c r="F7215" s="141"/>
      <c r="G7215" s="194"/>
      <c r="H7215" s="238"/>
    </row>
    <row r="7216" spans="1:9" s="212" customFormat="1">
      <c r="A7216" s="146"/>
      <c r="B7216" s="83"/>
      <c r="C7216" s="148"/>
      <c r="D7216" s="84"/>
      <c r="E7216" s="84"/>
      <c r="F7216" s="84"/>
      <c r="G7216" s="243"/>
      <c r="H7216" s="238"/>
    </row>
    <row r="7217" spans="1:9" s="212" customFormat="1">
      <c r="A7217" s="91"/>
      <c r="B7217" s="91"/>
      <c r="C7217" s="91"/>
      <c r="D7217" s="91"/>
      <c r="E7217" s="91"/>
      <c r="G7217" s="244"/>
      <c r="H7217" s="238"/>
    </row>
    <row r="7218" spans="1:9" s="212" customFormat="1">
      <c r="A7218" s="120"/>
      <c r="B7218" s="73"/>
      <c r="C7218" s="73"/>
      <c r="D7218" s="73"/>
      <c r="E7218" s="73"/>
      <c r="G7218" s="235"/>
      <c r="H7218" s="238"/>
    </row>
    <row r="7219" spans="1:9" s="212" customFormat="1">
      <c r="A7219" s="220"/>
      <c r="B7219" s="141"/>
      <c r="C7219" s="141"/>
      <c r="D7219" s="141"/>
      <c r="E7219" s="141"/>
      <c r="F7219" s="141"/>
      <c r="G7219" s="194"/>
      <c r="H7219" s="238"/>
    </row>
    <row r="7220" spans="1:9" s="212" customFormat="1">
      <c r="A7220" s="142"/>
      <c r="B7220" s="143"/>
      <c r="C7220" s="143"/>
      <c r="D7220" s="143"/>
      <c r="E7220" s="143"/>
      <c r="F7220" s="84"/>
      <c r="G7220" s="243"/>
      <c r="H7220" s="238"/>
    </row>
    <row r="7221" spans="1:9" s="212" customFormat="1">
      <c r="A7221" s="123"/>
      <c r="B7221" s="95"/>
      <c r="C7221" s="95"/>
      <c r="D7221" s="95"/>
      <c r="E7221" s="95"/>
      <c r="G7221" s="244"/>
      <c r="H7221" s="235"/>
    </row>
    <row r="7222" spans="1:9" s="212" customFormat="1">
      <c r="A7222" s="123"/>
      <c r="B7222" s="95"/>
      <c r="C7222" s="95"/>
      <c r="D7222" s="95"/>
      <c r="E7222" s="95"/>
      <c r="G7222" s="235"/>
      <c r="H7222" s="242"/>
    </row>
    <row r="7223" spans="1:9" s="212" customFormat="1">
      <c r="B7223" s="97"/>
      <c r="C7223" s="98"/>
      <c r="D7223" s="98"/>
      <c r="E7223" s="98"/>
      <c r="G7223" s="241"/>
      <c r="H7223" s="242"/>
    </row>
    <row r="7224" spans="1:9" s="212" customFormat="1">
      <c r="B7224" s="97"/>
      <c r="C7224" s="98"/>
      <c r="D7224" s="98"/>
      <c r="E7224" s="98"/>
      <c r="G7224" s="241"/>
      <c r="H7224" s="227"/>
      <c r="I7224" s="228"/>
    </row>
    <row r="7225" spans="1:9" s="212" customFormat="1">
      <c r="A7225" s="658"/>
      <c r="B7225" s="227"/>
      <c r="C7225" s="227"/>
      <c r="D7225" s="227"/>
      <c r="E7225" s="227"/>
      <c r="F7225" s="227"/>
      <c r="G7225" s="227"/>
      <c r="H7225" s="227"/>
      <c r="I7225" s="229"/>
    </row>
    <row r="7226" spans="1:9" s="212" customFormat="1">
      <c r="A7226" s="658"/>
      <c r="B7226" s="227"/>
      <c r="C7226" s="227"/>
      <c r="D7226" s="227"/>
      <c r="E7226" s="227"/>
      <c r="F7226" s="227"/>
      <c r="G7226" s="227"/>
      <c r="H7226" s="234"/>
    </row>
    <row r="7227" spans="1:9" s="212" customFormat="1">
      <c r="A7227" s="69"/>
      <c r="B7227" s="69"/>
      <c r="C7227" s="69"/>
      <c r="D7227" s="69"/>
      <c r="E7227" s="69"/>
      <c r="G7227" s="234"/>
      <c r="H7227" s="234"/>
    </row>
    <row r="7228" spans="1:9" s="212" customFormat="1">
      <c r="A7228" s="120"/>
      <c r="B7228" s="73"/>
      <c r="C7228" s="73"/>
      <c r="D7228" s="73"/>
      <c r="E7228" s="73"/>
      <c r="F7228" s="73"/>
      <c r="G7228" s="235"/>
      <c r="H7228" s="235"/>
    </row>
    <row r="7229" spans="1:9" s="212" customFormat="1">
      <c r="A7229" s="220"/>
      <c r="B7229" s="141"/>
      <c r="C7229" s="141"/>
      <c r="D7229" s="141"/>
      <c r="E7229" s="141"/>
      <c r="F7229" s="141"/>
      <c r="G7229" s="194"/>
      <c r="H7229" s="235"/>
    </row>
    <row r="7230" spans="1:9" s="212" customFormat="1">
      <c r="A7230" s="150"/>
      <c r="B7230" s="83"/>
      <c r="C7230" s="148"/>
      <c r="D7230" s="84"/>
      <c r="E7230" s="84"/>
      <c r="F7230" s="84"/>
      <c r="G7230" s="243"/>
      <c r="H7230" s="238"/>
    </row>
    <row r="7231" spans="1:9" s="212" customFormat="1">
      <c r="A7231" s="84"/>
      <c r="B7231" s="83"/>
      <c r="C7231" s="84"/>
      <c r="D7231" s="84"/>
      <c r="E7231" s="84"/>
      <c r="G7231" s="244"/>
      <c r="H7231" s="238"/>
    </row>
    <row r="7232" spans="1:9" s="212" customFormat="1">
      <c r="A7232" s="120"/>
      <c r="B7232" s="73"/>
      <c r="C7232" s="73"/>
      <c r="D7232" s="73"/>
      <c r="E7232" s="73"/>
      <c r="G7232" s="235"/>
      <c r="H7232" s="238"/>
    </row>
    <row r="7233" spans="1:9" s="212" customFormat="1">
      <c r="A7233" s="220"/>
      <c r="B7233" s="141"/>
      <c r="C7233" s="141"/>
      <c r="D7233" s="141"/>
      <c r="E7233" s="141"/>
      <c r="F7233" s="141"/>
      <c r="G7233" s="194"/>
      <c r="H7233" s="238"/>
      <c r="I7233" s="240"/>
    </row>
    <row r="7234" spans="1:9" s="212" customFormat="1">
      <c r="A7234" s="197"/>
      <c r="B7234" s="83"/>
      <c r="C7234" s="148"/>
      <c r="D7234" s="190"/>
      <c r="E7234" s="84"/>
      <c r="F7234" s="84"/>
      <c r="G7234" s="243"/>
      <c r="H7234" s="238"/>
      <c r="I7234" s="240"/>
    </row>
    <row r="7235" spans="1:9" s="212" customFormat="1">
      <c r="A7235" s="150"/>
      <c r="B7235" s="83"/>
      <c r="C7235" s="148"/>
      <c r="D7235" s="84"/>
      <c r="E7235" s="84"/>
      <c r="F7235" s="84"/>
      <c r="G7235" s="243"/>
      <c r="H7235" s="238"/>
    </row>
    <row r="7236" spans="1:9" s="212" customFormat="1">
      <c r="A7236" s="91"/>
      <c r="B7236" s="91"/>
      <c r="C7236" s="91"/>
      <c r="D7236" s="91"/>
      <c r="E7236" s="91"/>
      <c r="G7236" s="244"/>
      <c r="H7236" s="238"/>
    </row>
    <row r="7237" spans="1:9" s="212" customFormat="1">
      <c r="A7237" s="120"/>
      <c r="B7237" s="73"/>
      <c r="C7237" s="73"/>
      <c r="D7237" s="73"/>
      <c r="E7237" s="73"/>
      <c r="G7237" s="235"/>
      <c r="H7237" s="238"/>
    </row>
    <row r="7238" spans="1:9" s="212" customFormat="1">
      <c r="A7238" s="220"/>
      <c r="B7238" s="141"/>
      <c r="C7238" s="141"/>
      <c r="D7238" s="141"/>
      <c r="E7238" s="141"/>
      <c r="F7238" s="141"/>
      <c r="G7238" s="194"/>
      <c r="H7238" s="238"/>
    </row>
    <row r="7239" spans="1:9" s="212" customFormat="1">
      <c r="A7239" s="146"/>
      <c r="B7239" s="83"/>
      <c r="C7239" s="148"/>
      <c r="D7239" s="84"/>
      <c r="E7239" s="84"/>
      <c r="F7239" s="84"/>
      <c r="G7239" s="243"/>
      <c r="H7239" s="238"/>
    </row>
    <row r="7240" spans="1:9" s="212" customFormat="1">
      <c r="A7240" s="91"/>
      <c r="B7240" s="91"/>
      <c r="C7240" s="91"/>
      <c r="D7240" s="91"/>
      <c r="E7240" s="91"/>
      <c r="G7240" s="244"/>
      <c r="H7240" s="238"/>
    </row>
    <row r="7241" spans="1:9" s="212" customFormat="1">
      <c r="A7241" s="120"/>
      <c r="B7241" s="73"/>
      <c r="C7241" s="73"/>
      <c r="D7241" s="73"/>
      <c r="E7241" s="73"/>
      <c r="G7241" s="235"/>
      <c r="H7241" s="238"/>
    </row>
    <row r="7242" spans="1:9" s="212" customFormat="1">
      <c r="A7242" s="220"/>
      <c r="B7242" s="141"/>
      <c r="C7242" s="141"/>
      <c r="D7242" s="141"/>
      <c r="E7242" s="141"/>
      <c r="F7242" s="141"/>
      <c r="G7242" s="194"/>
      <c r="H7242" s="238"/>
    </row>
    <row r="7243" spans="1:9" s="212" customFormat="1">
      <c r="A7243" s="142"/>
      <c r="B7243" s="143"/>
      <c r="C7243" s="143"/>
      <c r="D7243" s="143"/>
      <c r="E7243" s="143"/>
      <c r="F7243" s="84"/>
      <c r="G7243" s="243"/>
      <c r="H7243" s="238"/>
    </row>
    <row r="7244" spans="1:9" s="212" customFormat="1">
      <c r="A7244" s="123"/>
      <c r="B7244" s="95"/>
      <c r="C7244" s="95"/>
      <c r="D7244" s="95"/>
      <c r="E7244" s="95"/>
      <c r="G7244" s="244"/>
      <c r="H7244" s="235"/>
    </row>
    <row r="7245" spans="1:9" s="212" customFormat="1">
      <c r="A7245" s="123"/>
      <c r="B7245" s="95"/>
      <c r="C7245" s="95"/>
      <c r="D7245" s="95"/>
      <c r="E7245" s="95"/>
      <c r="G7245" s="235"/>
      <c r="H7245" s="242"/>
    </row>
    <row r="7246" spans="1:9" s="212" customFormat="1">
      <c r="B7246" s="97"/>
      <c r="C7246" s="98"/>
      <c r="D7246" s="98"/>
      <c r="E7246" s="98"/>
      <c r="G7246" s="241"/>
    </row>
    <row r="7247" spans="1:9" s="212" customFormat="1">
      <c r="H7247" s="227"/>
      <c r="I7247" s="228"/>
    </row>
    <row r="7248" spans="1:9" s="212" customFormat="1">
      <c r="A7248" s="686"/>
      <c r="B7248" s="227"/>
      <c r="C7248" s="227"/>
      <c r="D7248" s="227"/>
      <c r="E7248" s="227"/>
      <c r="F7248" s="227"/>
      <c r="G7248" s="227"/>
      <c r="H7248" s="227"/>
      <c r="I7248" s="229"/>
    </row>
    <row r="7249" spans="1:8" s="212" customFormat="1">
      <c r="A7249" s="658"/>
      <c r="B7249" s="227"/>
      <c r="C7249" s="227"/>
      <c r="D7249" s="227"/>
      <c r="E7249" s="227"/>
      <c r="F7249" s="227"/>
      <c r="G7249" s="227"/>
    </row>
    <row r="7250" spans="1:8" s="212" customFormat="1">
      <c r="A7250" s="69"/>
      <c r="B7250" s="69"/>
      <c r="C7250" s="69"/>
      <c r="D7250" s="69"/>
      <c r="E7250" s="69"/>
    </row>
    <row r="7251" spans="1:8" s="212" customFormat="1">
      <c r="A7251" s="120"/>
      <c r="B7251" s="73"/>
      <c r="C7251" s="73"/>
      <c r="D7251" s="73"/>
      <c r="E7251" s="73"/>
      <c r="F7251" s="73"/>
      <c r="G7251" s="73"/>
      <c r="H7251" s="73"/>
    </row>
    <row r="7252" spans="1:8" s="212" customFormat="1">
      <c r="A7252" s="220"/>
      <c r="B7252" s="141"/>
      <c r="C7252" s="141"/>
      <c r="D7252" s="141"/>
      <c r="E7252" s="141"/>
      <c r="F7252" s="141"/>
      <c r="G7252" s="141"/>
      <c r="H7252" s="73"/>
    </row>
    <row r="7253" spans="1:8" s="212" customFormat="1">
      <c r="A7253" s="142"/>
      <c r="B7253" s="83"/>
      <c r="C7253" s="84"/>
      <c r="D7253" s="84"/>
      <c r="E7253" s="84"/>
      <c r="F7253" s="84"/>
      <c r="G7253" s="84"/>
      <c r="H7253" s="225"/>
    </row>
    <row r="7254" spans="1:8" s="212" customFormat="1">
      <c r="A7254" s="84"/>
      <c r="B7254" s="83"/>
      <c r="C7254" s="84"/>
      <c r="D7254" s="84"/>
      <c r="E7254" s="84"/>
      <c r="G7254" s="213"/>
      <c r="H7254" s="222"/>
    </row>
    <row r="7255" spans="1:8" s="212" customFormat="1">
      <c r="A7255" s="120"/>
      <c r="B7255" s="73"/>
      <c r="C7255" s="73"/>
      <c r="D7255" s="73"/>
      <c r="E7255" s="73"/>
      <c r="G7255" s="73"/>
      <c r="H7255" s="222"/>
    </row>
    <row r="7256" spans="1:8" s="212" customFormat="1">
      <c r="A7256" s="220"/>
      <c r="B7256" s="141"/>
      <c r="C7256" s="141"/>
      <c r="D7256" s="141"/>
      <c r="E7256" s="141"/>
      <c r="F7256" s="141"/>
      <c r="G7256" s="141"/>
      <c r="H7256" s="222"/>
    </row>
    <row r="7257" spans="1:8" s="212" customFormat="1">
      <c r="A7257" s="233"/>
      <c r="B7257" s="83"/>
      <c r="C7257" s="84"/>
      <c r="D7257" s="84"/>
      <c r="E7257" s="84"/>
      <c r="F7257" s="84"/>
      <c r="G7257" s="84"/>
      <c r="H7257" s="222"/>
    </row>
    <row r="7258" spans="1:8" s="212" customFormat="1">
      <c r="A7258" s="233"/>
      <c r="B7258" s="83"/>
      <c r="C7258" s="84"/>
      <c r="D7258" s="84"/>
      <c r="E7258" s="84"/>
      <c r="F7258" s="84"/>
      <c r="G7258" s="84"/>
      <c r="H7258" s="225"/>
    </row>
    <row r="7259" spans="1:8" s="212" customFormat="1">
      <c r="A7259" s="233"/>
      <c r="B7259" s="83"/>
      <c r="C7259" s="84"/>
      <c r="D7259" s="84"/>
      <c r="E7259" s="84"/>
      <c r="F7259" s="84"/>
      <c r="G7259" s="213"/>
      <c r="H7259" s="222"/>
    </row>
    <row r="7260" spans="1:8" s="212" customFormat="1">
      <c r="A7260" s="120"/>
      <c r="B7260" s="73"/>
      <c r="C7260" s="73"/>
      <c r="D7260" s="73"/>
      <c r="E7260" s="73"/>
      <c r="G7260" s="73"/>
      <c r="H7260" s="222"/>
    </row>
    <row r="7261" spans="1:8" s="212" customFormat="1">
      <c r="A7261" s="220"/>
      <c r="B7261" s="141"/>
      <c r="C7261" s="141"/>
      <c r="D7261" s="141"/>
      <c r="E7261" s="141"/>
      <c r="F7261" s="141"/>
      <c r="G7261" s="141"/>
      <c r="H7261" s="222"/>
    </row>
    <row r="7262" spans="1:8" s="212" customFormat="1">
      <c r="A7262" s="142"/>
      <c r="B7262" s="83"/>
      <c r="C7262" s="84"/>
      <c r="D7262" s="84"/>
      <c r="E7262" s="84"/>
      <c r="F7262" s="141"/>
      <c r="G7262" s="84"/>
      <c r="H7262" s="225"/>
    </row>
    <row r="7263" spans="1:8" s="212" customFormat="1">
      <c r="A7263" s="91"/>
      <c r="B7263" s="91"/>
      <c r="C7263" s="91"/>
      <c r="D7263" s="91"/>
      <c r="E7263" s="91"/>
      <c r="G7263" s="213"/>
      <c r="H7263" s="222"/>
    </row>
    <row r="7264" spans="1:8" s="212" customFormat="1">
      <c r="A7264" s="120"/>
      <c r="B7264" s="73"/>
      <c r="C7264" s="73"/>
      <c r="D7264" s="73"/>
      <c r="E7264" s="73"/>
      <c r="G7264" s="73"/>
      <c r="H7264" s="222"/>
    </row>
    <row r="7265" spans="1:9" s="212" customFormat="1">
      <c r="A7265" s="220"/>
      <c r="B7265" s="141"/>
      <c r="C7265" s="141"/>
      <c r="D7265" s="141"/>
      <c r="E7265" s="141"/>
      <c r="F7265" s="141"/>
      <c r="G7265" s="141"/>
      <c r="H7265" s="222"/>
    </row>
    <row r="7266" spans="1:9" s="212" customFormat="1">
      <c r="A7266" s="142"/>
      <c r="B7266" s="143"/>
      <c r="C7266" s="143"/>
      <c r="D7266" s="143"/>
      <c r="E7266" s="143"/>
      <c r="F7266" s="84"/>
      <c r="G7266" s="146"/>
      <c r="H7266" s="225"/>
    </row>
    <row r="7267" spans="1:9" s="212" customFormat="1">
      <c r="A7267" s="123"/>
      <c r="B7267" s="95"/>
      <c r="C7267" s="95"/>
      <c r="D7267" s="95"/>
      <c r="E7267" s="95"/>
      <c r="G7267" s="213"/>
      <c r="H7267" s="73"/>
    </row>
    <row r="7268" spans="1:9" s="212" customFormat="1">
      <c r="A7268" s="123"/>
      <c r="B7268" s="95"/>
      <c r="C7268" s="95"/>
      <c r="D7268" s="95"/>
      <c r="E7268" s="95"/>
      <c r="G7268" s="73"/>
      <c r="H7268" s="225"/>
    </row>
    <row r="7269" spans="1:9">
      <c r="A7269" s="212"/>
      <c r="B7269" s="97"/>
      <c r="C7269" s="98"/>
      <c r="D7269" s="98"/>
      <c r="E7269" s="98"/>
      <c r="F7269" s="212"/>
      <c r="G7269" s="220"/>
      <c r="H7269" s="212"/>
      <c r="I7269" s="212"/>
    </row>
    <row r="7270" spans="1:9">
      <c r="A7270" s="212"/>
      <c r="B7270" s="97"/>
      <c r="C7270" s="98"/>
      <c r="D7270" s="98"/>
      <c r="E7270" s="98"/>
      <c r="F7270" s="220"/>
      <c r="G7270" s="225"/>
      <c r="H7270" s="226"/>
      <c r="I7270" s="212"/>
    </row>
    <row r="7271" spans="1:9">
      <c r="A7271" s="633"/>
      <c r="B7271" s="633"/>
      <c r="C7271" s="633"/>
      <c r="D7271" s="633"/>
      <c r="E7271" s="633"/>
      <c r="F7271" s="633"/>
      <c r="G7271" s="633"/>
      <c r="H7271" s="212"/>
      <c r="I7271" s="212"/>
    </row>
    <row r="7272" spans="1:9">
      <c r="A7272" s="212"/>
      <c r="B7272" s="212"/>
      <c r="C7272" s="212"/>
      <c r="D7272" s="212"/>
      <c r="E7272" s="212"/>
      <c r="F7272" s="212"/>
      <c r="G7272" s="212"/>
      <c r="H7272" s="212"/>
      <c r="I7272" s="212"/>
    </row>
    <row r="7273" spans="1:9">
      <c r="A7273" s="212"/>
      <c r="B7273" s="212"/>
      <c r="C7273" s="212"/>
      <c r="D7273" s="212"/>
      <c r="E7273" s="212"/>
      <c r="F7273" s="212"/>
      <c r="G7273" s="212"/>
      <c r="H7273" s="212"/>
      <c r="I7273" s="212"/>
    </row>
    <row r="7274" spans="1:9">
      <c r="A7274" s="212"/>
      <c r="B7274" s="212"/>
      <c r="C7274" s="212"/>
      <c r="D7274" s="212"/>
      <c r="E7274" s="212"/>
      <c r="F7274" s="212"/>
      <c r="G7274" s="212"/>
      <c r="H7274" s="212"/>
      <c r="I7274" s="212"/>
    </row>
    <row r="7275" spans="1:9">
      <c r="A7275" s="212"/>
      <c r="B7275" s="212"/>
      <c r="C7275" s="212"/>
      <c r="D7275" s="212"/>
      <c r="E7275" s="212"/>
      <c r="F7275" s="212"/>
      <c r="G7275" s="212"/>
      <c r="H7275" s="212"/>
      <c r="I7275" s="212"/>
    </row>
    <row r="7276" spans="1:9">
      <c r="A7276" s="212"/>
      <c r="B7276" s="212"/>
      <c r="C7276" s="212"/>
      <c r="D7276" s="212"/>
      <c r="E7276" s="212"/>
      <c r="F7276" s="212"/>
      <c r="G7276" s="212"/>
      <c r="H7276" s="212"/>
      <c r="I7276" s="212"/>
    </row>
    <row r="7277" spans="1:9">
      <c r="A7277" s="212"/>
      <c r="B7277" s="212"/>
      <c r="C7277" s="212"/>
      <c r="D7277" s="212"/>
      <c r="E7277" s="212"/>
      <c r="F7277" s="212"/>
      <c r="G7277" s="212"/>
      <c r="H7277" s="212"/>
      <c r="I7277" s="212"/>
    </row>
    <row r="7278" spans="1:9">
      <c r="A7278" s="212"/>
      <c r="B7278" s="212"/>
      <c r="C7278" s="212"/>
      <c r="D7278" s="212"/>
      <c r="E7278" s="212"/>
      <c r="F7278" s="212"/>
      <c r="G7278" s="212"/>
      <c r="H7278" s="212"/>
      <c r="I7278" s="212"/>
    </row>
    <row r="7279" spans="1:9">
      <c r="A7279" s="212"/>
      <c r="B7279" s="212"/>
      <c r="C7279" s="212"/>
      <c r="D7279" s="212"/>
      <c r="E7279" s="212"/>
      <c r="F7279" s="212"/>
      <c r="G7279" s="212"/>
      <c r="H7279" s="212"/>
      <c r="I7279" s="212"/>
    </row>
    <row r="7280" spans="1:9">
      <c r="A7280" s="212"/>
      <c r="B7280" s="212"/>
      <c r="C7280" s="212"/>
      <c r="D7280" s="212"/>
      <c r="E7280" s="212"/>
      <c r="F7280" s="212"/>
      <c r="G7280" s="212"/>
      <c r="H7280" s="212"/>
      <c r="I7280" s="212"/>
    </row>
    <row r="7281" spans="1:9">
      <c r="A7281" s="212"/>
      <c r="B7281" s="212"/>
      <c r="C7281" s="212"/>
      <c r="D7281" s="212"/>
      <c r="E7281" s="212"/>
      <c r="F7281" s="212"/>
      <c r="G7281" s="212"/>
      <c r="H7281" s="212"/>
      <c r="I7281" s="212"/>
    </row>
    <row r="7282" spans="1:9">
      <c r="A7282" s="212"/>
      <c r="B7282" s="212"/>
      <c r="C7282" s="212"/>
      <c r="D7282" s="212"/>
      <c r="E7282" s="212"/>
      <c r="F7282" s="212"/>
      <c r="G7282" s="212"/>
      <c r="H7282" s="212"/>
      <c r="I7282" s="212"/>
    </row>
    <row r="7283" spans="1:9">
      <c r="A7283" s="212"/>
      <c r="B7283" s="212"/>
      <c r="C7283" s="212"/>
      <c r="D7283" s="212"/>
      <c r="E7283" s="212"/>
      <c r="F7283" s="212"/>
      <c r="G7283" s="212"/>
      <c r="H7283" s="212"/>
      <c r="I7283" s="212"/>
    </row>
    <row r="7284" spans="1:9">
      <c r="A7284" s="212"/>
      <c r="B7284" s="212"/>
      <c r="C7284" s="212"/>
      <c r="D7284" s="212"/>
      <c r="E7284" s="212"/>
      <c r="F7284" s="212"/>
      <c r="G7284" s="212"/>
      <c r="H7284" s="212"/>
      <c r="I7284" s="212"/>
    </row>
    <row r="7285" spans="1:9">
      <c r="A7285" s="212"/>
      <c r="B7285" s="212"/>
      <c r="C7285" s="212"/>
      <c r="D7285" s="212"/>
      <c r="E7285" s="212"/>
      <c r="F7285" s="212"/>
      <c r="G7285" s="212"/>
      <c r="H7285" s="212"/>
      <c r="I7285" s="212"/>
    </row>
    <row r="7286" spans="1:9">
      <c r="A7286" s="212"/>
      <c r="B7286" s="212"/>
      <c r="C7286" s="212"/>
      <c r="D7286" s="212"/>
      <c r="E7286" s="212"/>
      <c r="F7286" s="212"/>
      <c r="G7286" s="212"/>
      <c r="H7286" s="212"/>
      <c r="I7286" s="212"/>
    </row>
    <row r="7287" spans="1:9">
      <c r="A7287" s="212"/>
      <c r="B7287" s="212"/>
      <c r="C7287" s="212"/>
      <c r="D7287" s="212"/>
      <c r="E7287" s="212"/>
      <c r="F7287" s="212"/>
      <c r="G7287" s="212"/>
      <c r="H7287" s="212"/>
      <c r="I7287" s="212"/>
    </row>
    <row r="7288" spans="1:9">
      <c r="A7288" s="212"/>
      <c r="B7288" s="212"/>
      <c r="C7288" s="212"/>
      <c r="D7288" s="212"/>
      <c r="E7288" s="212"/>
      <c r="F7288" s="212"/>
      <c r="G7288" s="212"/>
      <c r="H7288" s="212"/>
      <c r="I7288" s="212"/>
    </row>
    <row r="7289" spans="1:9">
      <c r="A7289" s="212"/>
      <c r="B7289" s="212"/>
      <c r="C7289" s="212"/>
      <c r="D7289" s="212"/>
      <c r="E7289" s="212"/>
      <c r="F7289" s="212"/>
      <c r="G7289" s="212"/>
      <c r="H7289" s="212"/>
      <c r="I7289" s="212"/>
    </row>
    <row r="7290" spans="1:9">
      <c r="A7290" s="212"/>
      <c r="B7290" s="212"/>
      <c r="C7290" s="212"/>
      <c r="D7290" s="212"/>
      <c r="E7290" s="212"/>
      <c r="F7290" s="212"/>
      <c r="G7290" s="212"/>
      <c r="H7290" s="212"/>
      <c r="I7290" s="212"/>
    </row>
    <row r="7291" spans="1:9">
      <c r="A7291" s="212"/>
      <c r="B7291" s="212"/>
      <c r="C7291" s="212"/>
      <c r="D7291" s="212"/>
      <c r="E7291" s="212"/>
      <c r="F7291" s="212"/>
      <c r="G7291" s="212"/>
      <c r="H7291" s="212"/>
      <c r="I7291" s="212"/>
    </row>
    <row r="7292" spans="1:9">
      <c r="A7292" s="212"/>
      <c r="B7292" s="212"/>
      <c r="C7292" s="212"/>
      <c r="D7292" s="212"/>
      <c r="E7292" s="212"/>
      <c r="F7292" s="212"/>
      <c r="G7292" s="212"/>
      <c r="H7292" s="212"/>
      <c r="I7292" s="212"/>
    </row>
    <row r="7293" spans="1:9">
      <c r="A7293" s="212"/>
      <c r="B7293" s="212"/>
      <c r="C7293" s="212"/>
      <c r="D7293" s="212"/>
      <c r="E7293" s="212"/>
      <c r="F7293" s="212"/>
      <c r="G7293" s="212"/>
      <c r="H7293" s="212"/>
      <c r="I7293" s="212"/>
    </row>
    <row r="7294" spans="1:9">
      <c r="A7294" s="212"/>
      <c r="B7294" s="212"/>
      <c r="C7294" s="212"/>
      <c r="D7294" s="212"/>
      <c r="E7294" s="212"/>
      <c r="F7294" s="212"/>
      <c r="G7294" s="212"/>
      <c r="H7294" s="212"/>
      <c r="I7294" s="212"/>
    </row>
    <row r="7295" spans="1:9">
      <c r="A7295" s="212"/>
      <c r="B7295" s="212"/>
      <c r="C7295" s="212"/>
      <c r="D7295" s="212"/>
      <c r="E7295" s="212"/>
      <c r="F7295" s="212"/>
      <c r="G7295" s="212"/>
      <c r="H7295" s="212"/>
      <c r="I7295" s="212"/>
    </row>
    <row r="7296" spans="1:9">
      <c r="A7296" s="212"/>
      <c r="B7296" s="212"/>
      <c r="C7296" s="212"/>
      <c r="D7296" s="212"/>
      <c r="E7296" s="212"/>
      <c r="F7296" s="212"/>
      <c r="G7296" s="212"/>
      <c r="H7296" s="212"/>
      <c r="I7296" s="212"/>
    </row>
    <row r="7297" spans="1:9">
      <c r="A7297" s="212"/>
      <c r="B7297" s="212"/>
      <c r="C7297" s="212"/>
      <c r="D7297" s="212"/>
      <c r="E7297" s="212"/>
      <c r="F7297" s="212"/>
      <c r="G7297" s="212"/>
      <c r="H7297" s="212"/>
      <c r="I7297" s="212"/>
    </row>
    <row r="7298" spans="1:9">
      <c r="A7298" s="212"/>
      <c r="B7298" s="212"/>
      <c r="C7298" s="212"/>
      <c r="D7298" s="212"/>
      <c r="E7298" s="212"/>
      <c r="F7298" s="212"/>
      <c r="G7298" s="212"/>
      <c r="H7298" s="212"/>
      <c r="I7298" s="212"/>
    </row>
    <row r="7299" spans="1:9">
      <c r="A7299" s="212"/>
      <c r="B7299" s="212"/>
      <c r="C7299" s="212"/>
      <c r="D7299" s="212"/>
      <c r="E7299" s="212"/>
      <c r="F7299" s="212"/>
      <c r="G7299" s="212"/>
      <c r="H7299" s="212"/>
      <c r="I7299" s="212"/>
    </row>
    <row r="7300" spans="1:9">
      <c r="A7300" s="212"/>
      <c r="B7300" s="212"/>
      <c r="C7300" s="212"/>
      <c r="D7300" s="212"/>
      <c r="E7300" s="212"/>
      <c r="F7300" s="212"/>
      <c r="G7300" s="212"/>
      <c r="H7300" s="212"/>
      <c r="I7300" s="212"/>
    </row>
    <row r="7301" spans="1:9">
      <c r="A7301" s="212"/>
      <c r="B7301" s="212"/>
      <c r="C7301" s="212"/>
      <c r="D7301" s="212"/>
      <c r="E7301" s="212"/>
      <c r="F7301" s="212"/>
      <c r="G7301" s="212"/>
      <c r="H7301" s="212"/>
      <c r="I7301" s="212"/>
    </row>
    <row r="7302" spans="1:9">
      <c r="A7302" s="212"/>
      <c r="B7302" s="212"/>
      <c r="C7302" s="212"/>
      <c r="D7302" s="212"/>
      <c r="E7302" s="212"/>
      <c r="F7302" s="212"/>
      <c r="G7302" s="212"/>
      <c r="H7302" s="212"/>
      <c r="I7302" s="212"/>
    </row>
    <row r="7303" spans="1:9">
      <c r="A7303" s="212"/>
      <c r="B7303" s="212"/>
      <c r="C7303" s="212"/>
      <c r="D7303" s="212"/>
      <c r="E7303" s="212"/>
      <c r="F7303" s="212"/>
      <c r="G7303" s="212"/>
      <c r="H7303" s="212"/>
      <c r="I7303" s="212"/>
    </row>
    <row r="7304" spans="1:9">
      <c r="A7304" s="212"/>
      <c r="B7304" s="212"/>
      <c r="C7304" s="212"/>
      <c r="D7304" s="212"/>
      <c r="E7304" s="212"/>
      <c r="F7304" s="212"/>
      <c r="G7304" s="212"/>
      <c r="H7304" s="212"/>
      <c r="I7304" s="212"/>
    </row>
    <row r="7305" spans="1:9">
      <c r="A7305" s="212"/>
      <c r="B7305" s="212"/>
      <c r="C7305" s="212"/>
      <c r="D7305" s="212"/>
      <c r="E7305" s="212"/>
      <c r="F7305" s="212"/>
      <c r="G7305" s="212"/>
      <c r="H7305" s="212"/>
      <c r="I7305" s="212"/>
    </row>
    <row r="7306" spans="1:9">
      <c r="A7306" s="212"/>
      <c r="B7306" s="212"/>
      <c r="C7306" s="212"/>
      <c r="D7306" s="212"/>
      <c r="E7306" s="212"/>
      <c r="F7306" s="212"/>
      <c r="G7306" s="212"/>
      <c r="H7306" s="212"/>
      <c r="I7306" s="212"/>
    </row>
    <row r="7307" spans="1:9">
      <c r="A7307" s="212"/>
      <c r="B7307" s="212"/>
      <c r="C7307" s="212"/>
      <c r="D7307" s="212"/>
      <c r="E7307" s="212"/>
      <c r="F7307" s="212"/>
      <c r="G7307" s="212"/>
      <c r="H7307" s="212"/>
      <c r="I7307" s="212"/>
    </row>
    <row r="7308" spans="1:9">
      <c r="A7308" s="212"/>
      <c r="B7308" s="212"/>
      <c r="C7308" s="212"/>
      <c r="D7308" s="212"/>
      <c r="E7308" s="212"/>
      <c r="F7308" s="212"/>
      <c r="G7308" s="212"/>
      <c r="H7308" s="212"/>
      <c r="I7308" s="212"/>
    </row>
    <row r="7309" spans="1:9">
      <c r="A7309" s="212"/>
      <c r="B7309" s="212"/>
      <c r="C7309" s="212"/>
      <c r="D7309" s="212"/>
      <c r="E7309" s="212"/>
      <c r="F7309" s="212"/>
      <c r="G7309" s="212"/>
      <c r="H7309" s="212"/>
      <c r="I7309" s="212"/>
    </row>
    <row r="7310" spans="1:9">
      <c r="A7310" s="212"/>
      <c r="B7310" s="212"/>
      <c r="C7310" s="212"/>
      <c r="D7310" s="212"/>
      <c r="E7310" s="212"/>
      <c r="F7310" s="212"/>
      <c r="G7310" s="212"/>
      <c r="H7310" s="212"/>
      <c r="I7310" s="212"/>
    </row>
    <row r="7311" spans="1:9">
      <c r="A7311" s="212"/>
      <c r="B7311" s="212"/>
      <c r="C7311" s="212"/>
      <c r="D7311" s="212"/>
      <c r="E7311" s="212"/>
      <c r="F7311" s="212"/>
      <c r="G7311" s="212"/>
      <c r="H7311" s="212"/>
      <c r="I7311" s="212"/>
    </row>
    <row r="7312" spans="1:9">
      <c r="A7312" s="212"/>
      <c r="B7312" s="212"/>
      <c r="C7312" s="212"/>
      <c r="D7312" s="212"/>
      <c r="E7312" s="212"/>
      <c r="F7312" s="212"/>
      <c r="G7312" s="212"/>
      <c r="H7312" s="212"/>
      <c r="I7312" s="212"/>
    </row>
    <row r="7313" spans="1:9">
      <c r="A7313" s="212"/>
      <c r="B7313" s="212"/>
      <c r="C7313" s="212"/>
      <c r="D7313" s="212"/>
      <c r="E7313" s="212"/>
      <c r="F7313" s="212"/>
      <c r="G7313" s="212"/>
      <c r="H7313" s="212"/>
      <c r="I7313" s="212"/>
    </row>
    <row r="7314" spans="1:9">
      <c r="A7314" s="212"/>
      <c r="B7314" s="212"/>
      <c r="C7314" s="212"/>
      <c r="D7314" s="212"/>
      <c r="E7314" s="212"/>
      <c r="F7314" s="212"/>
      <c r="G7314" s="212"/>
      <c r="H7314" s="212"/>
      <c r="I7314" s="212"/>
    </row>
    <row r="7315" spans="1:9">
      <c r="A7315" s="212"/>
      <c r="B7315" s="212"/>
      <c r="C7315" s="212"/>
      <c r="D7315" s="212"/>
      <c r="E7315" s="212"/>
      <c r="F7315" s="212"/>
      <c r="G7315" s="212"/>
      <c r="H7315" s="212"/>
      <c r="I7315" s="212"/>
    </row>
    <row r="7316" spans="1:9">
      <c r="A7316" s="212"/>
      <c r="B7316" s="212"/>
      <c r="C7316" s="212"/>
      <c r="D7316" s="212"/>
      <c r="E7316" s="212"/>
      <c r="F7316" s="212"/>
      <c r="G7316" s="212"/>
      <c r="H7316" s="212"/>
      <c r="I7316" s="212"/>
    </row>
    <row r="7317" spans="1:9">
      <c r="A7317" s="212"/>
      <c r="B7317" s="212"/>
      <c r="C7317" s="212"/>
      <c r="D7317" s="212"/>
      <c r="E7317" s="212"/>
      <c r="F7317" s="212"/>
      <c r="G7317" s="212"/>
      <c r="H7317" s="212"/>
      <c r="I7317" s="212"/>
    </row>
    <row r="7318" spans="1:9">
      <c r="A7318" s="212"/>
      <c r="B7318" s="212"/>
      <c r="C7318" s="212"/>
      <c r="D7318" s="212"/>
      <c r="E7318" s="212"/>
      <c r="F7318" s="212"/>
      <c r="G7318" s="212"/>
      <c r="H7318" s="212"/>
      <c r="I7318" s="212"/>
    </row>
    <row r="7319" spans="1:9">
      <c r="A7319" s="212"/>
      <c r="B7319" s="212"/>
      <c r="C7319" s="212"/>
      <c r="D7319" s="212"/>
      <c r="E7319" s="212"/>
      <c r="F7319" s="212"/>
      <c r="G7319" s="212"/>
      <c r="H7319" s="212"/>
      <c r="I7319" s="212"/>
    </row>
    <row r="7320" spans="1:9">
      <c r="A7320" s="212"/>
      <c r="B7320" s="212"/>
      <c r="C7320" s="212"/>
      <c r="D7320" s="212"/>
      <c r="E7320" s="212"/>
      <c r="F7320" s="212"/>
      <c r="G7320" s="212"/>
      <c r="H7320" s="212"/>
      <c r="I7320" s="212"/>
    </row>
    <row r="7321" spans="1:9">
      <c r="A7321" s="212"/>
      <c r="B7321" s="212"/>
      <c r="C7321" s="212"/>
      <c r="D7321" s="212"/>
      <c r="E7321" s="212"/>
      <c r="F7321" s="212"/>
      <c r="G7321" s="212"/>
      <c r="H7321" s="212"/>
      <c r="I7321" s="212"/>
    </row>
    <row r="7322" spans="1:9">
      <c r="A7322" s="212"/>
      <c r="B7322" s="212"/>
      <c r="C7322" s="212"/>
      <c r="D7322" s="212"/>
      <c r="E7322" s="212"/>
      <c r="F7322" s="212"/>
      <c r="G7322" s="212"/>
    </row>
  </sheetData>
  <mergeCells count="613">
    <mergeCell ref="A7271:G7271"/>
    <mergeCell ref="A107:G107"/>
    <mergeCell ref="A114:A115"/>
    <mergeCell ref="B114:H115"/>
    <mergeCell ref="A138:G138"/>
    <mergeCell ref="A141:A142"/>
    <mergeCell ref="A7133:A7134"/>
    <mergeCell ref="A7156:A7157"/>
    <mergeCell ref="A7179:A7180"/>
    <mergeCell ref="A7202:A7203"/>
    <mergeCell ref="A7225:A7226"/>
    <mergeCell ref="A7248:A7249"/>
    <mergeCell ref="A6993:A6994"/>
    <mergeCell ref="A7015:A7016"/>
    <mergeCell ref="A7039:A7040"/>
    <mergeCell ref="A7061:A7062"/>
    <mergeCell ref="A7083:A7084"/>
    <mergeCell ref="A7108:A7109"/>
    <mergeCell ref="A6855:A6856"/>
    <mergeCell ref="A6880:A6881"/>
    <mergeCell ref="A6902:A6903"/>
    <mergeCell ref="A6925:A6926"/>
    <mergeCell ref="A6949:A6950"/>
    <mergeCell ref="A297:G297"/>
    <mergeCell ref="A6971:A6972"/>
    <mergeCell ref="A6775:A6776"/>
    <mergeCell ref="A6798:G6798"/>
    <mergeCell ref="A6800:A6801"/>
    <mergeCell ref="A6822:G6822"/>
    <mergeCell ref="A6824:A6825"/>
    <mergeCell ref="A6853:G6853"/>
    <mergeCell ref="A6693:A6694"/>
    <mergeCell ref="A6717:G6717"/>
    <mergeCell ref="A6719:A6720"/>
    <mergeCell ref="A6745:G6745"/>
    <mergeCell ref="A6747:A6748"/>
    <mergeCell ref="A6773:G6773"/>
    <mergeCell ref="A6614:A6615"/>
    <mergeCell ref="A6639:G6639"/>
    <mergeCell ref="A6641:A6642"/>
    <mergeCell ref="A6665:G6665"/>
    <mergeCell ref="A6667:A6668"/>
    <mergeCell ref="A6691:G6691"/>
    <mergeCell ref="A6539:A6540"/>
    <mergeCell ref="A6561:G6561"/>
    <mergeCell ref="A6563:A6564"/>
    <mergeCell ref="A6585:G6585"/>
    <mergeCell ref="A6587:A6588"/>
    <mergeCell ref="A6612:G6612"/>
    <mergeCell ref="A6467:A6468"/>
    <mergeCell ref="A6489:G6489"/>
    <mergeCell ref="A6491:A6492"/>
    <mergeCell ref="A6513:G6513"/>
    <mergeCell ref="A6515:A6516"/>
    <mergeCell ref="A6537:G6537"/>
    <mergeCell ref="A6395:A6396"/>
    <mergeCell ref="A6417:G6417"/>
    <mergeCell ref="A6419:A6420"/>
    <mergeCell ref="A6441:G6441"/>
    <mergeCell ref="A6443:A6444"/>
    <mergeCell ref="A6465:G6465"/>
    <mergeCell ref="A6323:A6324"/>
    <mergeCell ref="A6345:G6345"/>
    <mergeCell ref="A6347:A6348"/>
    <mergeCell ref="A6369:G6369"/>
    <mergeCell ref="A6371:A6372"/>
    <mergeCell ref="A6393:G6393"/>
    <mergeCell ref="A6251:A6252"/>
    <mergeCell ref="A6273:G6273"/>
    <mergeCell ref="A6275:A6276"/>
    <mergeCell ref="A6297:G6297"/>
    <mergeCell ref="A6299:A6300"/>
    <mergeCell ref="A6321:G6321"/>
    <mergeCell ref="A6179:A6180"/>
    <mergeCell ref="A6201:G6201"/>
    <mergeCell ref="A6203:A6204"/>
    <mergeCell ref="A6225:G6225"/>
    <mergeCell ref="A6227:A6228"/>
    <mergeCell ref="A6249:G6249"/>
    <mergeCell ref="A6107:A6108"/>
    <mergeCell ref="A6129:G6129"/>
    <mergeCell ref="A6131:A6132"/>
    <mergeCell ref="A6153:G6153"/>
    <mergeCell ref="A6155:A6156"/>
    <mergeCell ref="A6177:G6177"/>
    <mergeCell ref="A6035:A6036"/>
    <mergeCell ref="A6057:G6057"/>
    <mergeCell ref="A6059:A6060"/>
    <mergeCell ref="A6081:G6081"/>
    <mergeCell ref="A6083:A6084"/>
    <mergeCell ref="A6105:G6105"/>
    <mergeCell ref="A5963:A5964"/>
    <mergeCell ref="A5985:G5985"/>
    <mergeCell ref="A5987:A5988"/>
    <mergeCell ref="A6009:G6009"/>
    <mergeCell ref="A6011:A6012"/>
    <mergeCell ref="A6033:G6033"/>
    <mergeCell ref="A5891:A5892"/>
    <mergeCell ref="A5913:G5913"/>
    <mergeCell ref="A5915:A5916"/>
    <mergeCell ref="A5937:G5937"/>
    <mergeCell ref="A5939:A5940"/>
    <mergeCell ref="A5961:G5961"/>
    <mergeCell ref="A5819:A5820"/>
    <mergeCell ref="A5841:G5841"/>
    <mergeCell ref="A5843:A5844"/>
    <mergeCell ref="A5865:G5865"/>
    <mergeCell ref="A5867:A5868"/>
    <mergeCell ref="A5889:G5889"/>
    <mergeCell ref="A5747:A5748"/>
    <mergeCell ref="A5769:G5769"/>
    <mergeCell ref="A5771:A5772"/>
    <mergeCell ref="A5793:G5793"/>
    <mergeCell ref="A5795:A5796"/>
    <mergeCell ref="A5817:G5817"/>
    <mergeCell ref="A5675:A5676"/>
    <mergeCell ref="A5697:G5697"/>
    <mergeCell ref="A5699:A5700"/>
    <mergeCell ref="A5721:G5721"/>
    <mergeCell ref="A5723:A5724"/>
    <mergeCell ref="A5745:G5745"/>
    <mergeCell ref="A5603:A5604"/>
    <mergeCell ref="A5625:G5625"/>
    <mergeCell ref="A5627:A5628"/>
    <mergeCell ref="A5649:G5649"/>
    <mergeCell ref="A5651:A5652"/>
    <mergeCell ref="A5673:G5673"/>
    <mergeCell ref="A5531:A5532"/>
    <mergeCell ref="A5553:G5553"/>
    <mergeCell ref="A5555:A5556"/>
    <mergeCell ref="A5577:G5577"/>
    <mergeCell ref="A5579:A5580"/>
    <mergeCell ref="A5601:G5601"/>
    <mergeCell ref="A5459:A5460"/>
    <mergeCell ref="A5481:G5481"/>
    <mergeCell ref="A5483:A5484"/>
    <mergeCell ref="A5505:G5505"/>
    <mergeCell ref="A5507:A5508"/>
    <mergeCell ref="A5529:G5529"/>
    <mergeCell ref="A5387:A5388"/>
    <mergeCell ref="A5409:G5409"/>
    <mergeCell ref="A5411:A5412"/>
    <mergeCell ref="A5433:G5433"/>
    <mergeCell ref="A5435:A5436"/>
    <mergeCell ref="A5457:G5457"/>
    <mergeCell ref="A5315:A5316"/>
    <mergeCell ref="A5337:G5337"/>
    <mergeCell ref="A5339:A5340"/>
    <mergeCell ref="A5361:G5361"/>
    <mergeCell ref="A5363:A5364"/>
    <mergeCell ref="A5385:G5385"/>
    <mergeCell ref="A5243:A5244"/>
    <mergeCell ref="A5265:G5265"/>
    <mergeCell ref="A5267:A5268"/>
    <mergeCell ref="A5289:G5289"/>
    <mergeCell ref="A5291:A5292"/>
    <mergeCell ref="A5313:G5313"/>
    <mergeCell ref="A5166:A5167"/>
    <mergeCell ref="A5193:G5193"/>
    <mergeCell ref="A5195:A5196"/>
    <mergeCell ref="A5217:G5217"/>
    <mergeCell ref="A5219:A5220"/>
    <mergeCell ref="A5241:G5241"/>
    <mergeCell ref="A5081:A5082"/>
    <mergeCell ref="A5106:G5106"/>
    <mergeCell ref="A5108:A5109"/>
    <mergeCell ref="A5135:G5135"/>
    <mergeCell ref="A5137:A5138"/>
    <mergeCell ref="A5164:G5164"/>
    <mergeCell ref="A5002:A5003"/>
    <mergeCell ref="A5027:G5027"/>
    <mergeCell ref="A5029:A5030"/>
    <mergeCell ref="A5052:G5052"/>
    <mergeCell ref="A5054:A5055"/>
    <mergeCell ref="A5079:G5079"/>
    <mergeCell ref="A4925:A4926"/>
    <mergeCell ref="A4949:G4949"/>
    <mergeCell ref="A4951:A4952"/>
    <mergeCell ref="A4973:G4973"/>
    <mergeCell ref="A4975:A4976"/>
    <mergeCell ref="A5000:G5000"/>
    <mergeCell ref="A4840:A4841"/>
    <mergeCell ref="A4867:G4867"/>
    <mergeCell ref="A4869:A4870"/>
    <mergeCell ref="A4896:G4896"/>
    <mergeCell ref="A4898:A4899"/>
    <mergeCell ref="A4923:G4923"/>
    <mergeCell ref="A4758:A4759"/>
    <mergeCell ref="A4782:G4782"/>
    <mergeCell ref="A4784:A4785"/>
    <mergeCell ref="A4807:G4807"/>
    <mergeCell ref="A4809:A4810"/>
    <mergeCell ref="A4838:G4838"/>
    <mergeCell ref="A4679:A4680"/>
    <mergeCell ref="A4703:G4703"/>
    <mergeCell ref="A4705:A4706"/>
    <mergeCell ref="A4729:G4729"/>
    <mergeCell ref="A4731:A4732"/>
    <mergeCell ref="A4756:G4756"/>
    <mergeCell ref="A4600:A4601"/>
    <mergeCell ref="A4625:G4625"/>
    <mergeCell ref="A4627:A4628"/>
    <mergeCell ref="A4651:G4651"/>
    <mergeCell ref="A4653:A4654"/>
    <mergeCell ref="A4677:G4677"/>
    <mergeCell ref="A4519:A4520"/>
    <mergeCell ref="A4550:G4550"/>
    <mergeCell ref="A4552:A4553"/>
    <mergeCell ref="A4574:G4574"/>
    <mergeCell ref="A4576:A4577"/>
    <mergeCell ref="A4598:G4598"/>
    <mergeCell ref="A4447:A4448"/>
    <mergeCell ref="A4469:G4469"/>
    <mergeCell ref="A4471:A4472"/>
    <mergeCell ref="A4493:G4493"/>
    <mergeCell ref="A4495:A4496"/>
    <mergeCell ref="A4517:G4517"/>
    <mergeCell ref="A4367:A4368"/>
    <mergeCell ref="A4389:G4389"/>
    <mergeCell ref="A4391:A4392"/>
    <mergeCell ref="A4420:G4420"/>
    <mergeCell ref="A4422:A4423"/>
    <mergeCell ref="A4445:G4445"/>
    <mergeCell ref="A4270:A4271"/>
    <mergeCell ref="A4301:G4301"/>
    <mergeCell ref="A4303:A4304"/>
    <mergeCell ref="A4330:G4330"/>
    <mergeCell ref="A4332:A4333"/>
    <mergeCell ref="A4365:G4365"/>
    <mergeCell ref="A4191:A4192"/>
    <mergeCell ref="A4214:G4214"/>
    <mergeCell ref="A4216:A4217"/>
    <mergeCell ref="A4240:G4240"/>
    <mergeCell ref="A4242:A4243"/>
    <mergeCell ref="A4268:G4268"/>
    <mergeCell ref="A4112:A4113"/>
    <mergeCell ref="A4137:G4137"/>
    <mergeCell ref="A4139:A4140"/>
    <mergeCell ref="A4163:G4163"/>
    <mergeCell ref="A4165:A4166"/>
    <mergeCell ref="A4189:G4189"/>
    <mergeCell ref="A4011:A4012"/>
    <mergeCell ref="A4042:G4042"/>
    <mergeCell ref="A4044:A4045"/>
    <mergeCell ref="A4075:G4075"/>
    <mergeCell ref="A4077:A4078"/>
    <mergeCell ref="A4110:G4110"/>
    <mergeCell ref="A3928:A3929"/>
    <mergeCell ref="A3951:G3951"/>
    <mergeCell ref="A3953:A3954"/>
    <mergeCell ref="A3976:G3976"/>
    <mergeCell ref="A3978:A3979"/>
    <mergeCell ref="A4009:G4009"/>
    <mergeCell ref="A3838:A3839"/>
    <mergeCell ref="A3863:G3863"/>
    <mergeCell ref="A3865:A3866"/>
    <mergeCell ref="A3891:G3891"/>
    <mergeCell ref="A3893:A3894"/>
    <mergeCell ref="A3926:G3926"/>
    <mergeCell ref="A3753:A3754"/>
    <mergeCell ref="A3780:G3780"/>
    <mergeCell ref="A3782:A3783"/>
    <mergeCell ref="A3809:G3809"/>
    <mergeCell ref="A3811:A3812"/>
    <mergeCell ref="A3836:G3836"/>
    <mergeCell ref="A3667:A3668"/>
    <mergeCell ref="A3695:G3695"/>
    <mergeCell ref="A3697:A3698"/>
    <mergeCell ref="A3721:G3721"/>
    <mergeCell ref="A3723:A3724"/>
    <mergeCell ref="A3751:G3751"/>
    <mergeCell ref="A3586:A3587"/>
    <mergeCell ref="A3611:G3611"/>
    <mergeCell ref="A3613:A3614"/>
    <mergeCell ref="A3637:G3637"/>
    <mergeCell ref="A3639:A3640"/>
    <mergeCell ref="A3665:G3665"/>
    <mergeCell ref="A3501:A3502"/>
    <mergeCell ref="A3529:G3529"/>
    <mergeCell ref="A3531:A3532"/>
    <mergeCell ref="A3558:G3558"/>
    <mergeCell ref="A3560:A3561"/>
    <mergeCell ref="A3584:G3584"/>
    <mergeCell ref="A3418:A3419"/>
    <mergeCell ref="A3443:G3443"/>
    <mergeCell ref="A3445:A3446"/>
    <mergeCell ref="A3470:G3470"/>
    <mergeCell ref="A3472:A3473"/>
    <mergeCell ref="A3499:G3499"/>
    <mergeCell ref="A3335:A3336"/>
    <mergeCell ref="A3362:G3362"/>
    <mergeCell ref="A3364:A3365"/>
    <mergeCell ref="A3388:G3388"/>
    <mergeCell ref="A3390:A3391"/>
    <mergeCell ref="A3416:G3416"/>
    <mergeCell ref="A3255:A3256"/>
    <mergeCell ref="A3280:G3280"/>
    <mergeCell ref="A3282:A3283"/>
    <mergeCell ref="A3304:G3304"/>
    <mergeCell ref="A3306:A3307"/>
    <mergeCell ref="A3333:G3333"/>
    <mergeCell ref="A3180:A3181"/>
    <mergeCell ref="A3202:G3202"/>
    <mergeCell ref="A3204:A3205"/>
    <mergeCell ref="A3229:G3229"/>
    <mergeCell ref="A3231:A3232"/>
    <mergeCell ref="A3253:G3253"/>
    <mergeCell ref="A3108:A3109"/>
    <mergeCell ref="A3130:G3130"/>
    <mergeCell ref="A3132:A3133"/>
    <mergeCell ref="A3154:G3154"/>
    <mergeCell ref="A3156:A3157"/>
    <mergeCell ref="A3178:G3178"/>
    <mergeCell ref="A3036:A3037"/>
    <mergeCell ref="A3058:G3058"/>
    <mergeCell ref="A3060:A3061"/>
    <mergeCell ref="A3082:G3082"/>
    <mergeCell ref="A3084:A3085"/>
    <mergeCell ref="A3106:G3106"/>
    <mergeCell ref="A2964:A2965"/>
    <mergeCell ref="A2986:G2986"/>
    <mergeCell ref="A2988:A2989"/>
    <mergeCell ref="A3010:G3010"/>
    <mergeCell ref="A3012:A3013"/>
    <mergeCell ref="A3034:G3034"/>
    <mergeCell ref="A2880:A2881"/>
    <mergeCell ref="A2904:G2904"/>
    <mergeCell ref="A2906:A2907"/>
    <mergeCell ref="A2930:G2930"/>
    <mergeCell ref="A2932:A2933"/>
    <mergeCell ref="A2962:G2962"/>
    <mergeCell ref="A2801:A2802"/>
    <mergeCell ref="A2829:G2829"/>
    <mergeCell ref="A2831:A2832"/>
    <mergeCell ref="A2853:G2853"/>
    <mergeCell ref="A2855:A2856"/>
    <mergeCell ref="A2878:G2878"/>
    <mergeCell ref="A2719:A2720"/>
    <mergeCell ref="A2742:G2742"/>
    <mergeCell ref="A2744:A2745"/>
    <mergeCell ref="A2771:G2771"/>
    <mergeCell ref="A2773:A2774"/>
    <mergeCell ref="A2799:G2799"/>
    <mergeCell ref="A2643:A2644"/>
    <mergeCell ref="A2665:G2665"/>
    <mergeCell ref="A2667:A2668"/>
    <mergeCell ref="A2689:G2689"/>
    <mergeCell ref="A2691:A2692"/>
    <mergeCell ref="A2717:G2717"/>
    <mergeCell ref="A2571:A2572"/>
    <mergeCell ref="A2593:G2593"/>
    <mergeCell ref="A2595:A2596"/>
    <mergeCell ref="A2617:G2617"/>
    <mergeCell ref="A2619:A2620"/>
    <mergeCell ref="A2641:G2641"/>
    <mergeCell ref="A2499:A2500"/>
    <mergeCell ref="A2521:G2521"/>
    <mergeCell ref="A2523:A2524"/>
    <mergeCell ref="A2545:G2545"/>
    <mergeCell ref="A2547:A2548"/>
    <mergeCell ref="A2569:G2569"/>
    <mergeCell ref="A2427:A2428"/>
    <mergeCell ref="A2449:G2449"/>
    <mergeCell ref="A2451:A2452"/>
    <mergeCell ref="A2473:G2473"/>
    <mergeCell ref="A2475:A2476"/>
    <mergeCell ref="A2497:G2497"/>
    <mergeCell ref="A2353:A2354"/>
    <mergeCell ref="A2377:G2377"/>
    <mergeCell ref="A2379:A2380"/>
    <mergeCell ref="A2401:G2401"/>
    <mergeCell ref="A2403:A2404"/>
    <mergeCell ref="A2425:G2425"/>
    <mergeCell ref="A2275:A2276"/>
    <mergeCell ref="A2299:G2299"/>
    <mergeCell ref="A2301:A2302"/>
    <mergeCell ref="A2325:G2325"/>
    <mergeCell ref="A2327:A2328"/>
    <mergeCell ref="A2351:G2351"/>
    <mergeCell ref="A2203:A2204"/>
    <mergeCell ref="A2225:G2225"/>
    <mergeCell ref="A2227:A2228"/>
    <mergeCell ref="A2249:G2249"/>
    <mergeCell ref="A2251:A2252"/>
    <mergeCell ref="A2273:G2273"/>
    <mergeCell ref="A2131:A2132"/>
    <mergeCell ref="A2153:G2153"/>
    <mergeCell ref="A2155:A2156"/>
    <mergeCell ref="A2177:G2177"/>
    <mergeCell ref="A2179:A2180"/>
    <mergeCell ref="A2201:G2201"/>
    <mergeCell ref="A2058:A2059"/>
    <mergeCell ref="A2080:G2080"/>
    <mergeCell ref="A2083:A2084"/>
    <mergeCell ref="A2105:G2105"/>
    <mergeCell ref="A2107:A2108"/>
    <mergeCell ref="A2129:G2129"/>
    <mergeCell ref="A1986:A1987"/>
    <mergeCell ref="A2008:G2008"/>
    <mergeCell ref="A2010:A2011"/>
    <mergeCell ref="A2032:G2032"/>
    <mergeCell ref="A2034:A2035"/>
    <mergeCell ref="A2056:G2056"/>
    <mergeCell ref="A1910:A1911"/>
    <mergeCell ref="A1934:G1934"/>
    <mergeCell ref="A1936:A1937"/>
    <mergeCell ref="A1960:G1960"/>
    <mergeCell ref="A1962:A1963"/>
    <mergeCell ref="A1984:G1984"/>
    <mergeCell ref="A1831:A1832"/>
    <mergeCell ref="A1856:G1856"/>
    <mergeCell ref="A1858:A1859"/>
    <mergeCell ref="A1882:G1882"/>
    <mergeCell ref="A1884:A1885"/>
    <mergeCell ref="A1908:G1908"/>
    <mergeCell ref="A1755:A1756"/>
    <mergeCell ref="A1777:G1777"/>
    <mergeCell ref="A1779:A1780"/>
    <mergeCell ref="A1803:G1803"/>
    <mergeCell ref="A1805:A1806"/>
    <mergeCell ref="A1829:G1829"/>
    <mergeCell ref="A1683:A1684"/>
    <mergeCell ref="A1705:G1705"/>
    <mergeCell ref="A1707:A1708"/>
    <mergeCell ref="A1729:G1729"/>
    <mergeCell ref="A1731:A1732"/>
    <mergeCell ref="A1753:G1753"/>
    <mergeCell ref="A1611:A1612"/>
    <mergeCell ref="A1633:G1633"/>
    <mergeCell ref="A1635:A1636"/>
    <mergeCell ref="A1657:G1657"/>
    <mergeCell ref="A1659:A1660"/>
    <mergeCell ref="A1681:G1681"/>
    <mergeCell ref="A1538:A1539"/>
    <mergeCell ref="A1560:G1560"/>
    <mergeCell ref="A1562:A1563"/>
    <mergeCell ref="A1584:G1584"/>
    <mergeCell ref="A1586:A1587"/>
    <mergeCell ref="A1608:G1608"/>
    <mergeCell ref="A1466:A1467"/>
    <mergeCell ref="A1488:G1488"/>
    <mergeCell ref="A1490:A1491"/>
    <mergeCell ref="A1512:G1512"/>
    <mergeCell ref="A1514:A1515"/>
    <mergeCell ref="A1536:G1536"/>
    <mergeCell ref="A1319:G1319"/>
    <mergeCell ref="A1321:A1322"/>
    <mergeCell ref="B1321:H1322"/>
    <mergeCell ref="A1440:G1440"/>
    <mergeCell ref="A1442:A1443"/>
    <mergeCell ref="A1464:G1464"/>
    <mergeCell ref="A1348:G1348"/>
    <mergeCell ref="A1350:A1351"/>
    <mergeCell ref="B1350:H1351"/>
    <mergeCell ref="A1375:G1375"/>
    <mergeCell ref="A1377:A1378"/>
    <mergeCell ref="B1377:H1378"/>
    <mergeCell ref="A1401:G1401"/>
    <mergeCell ref="A1404:A1405"/>
    <mergeCell ref="B1404:H1405"/>
    <mergeCell ref="A1427:G1427"/>
    <mergeCell ref="A1232:G1232"/>
    <mergeCell ref="A1235:A1236"/>
    <mergeCell ref="B1235:H1236"/>
    <mergeCell ref="A1258:G1258"/>
    <mergeCell ref="A1261:A1262"/>
    <mergeCell ref="B1261:H1262"/>
    <mergeCell ref="A1290:G1290"/>
    <mergeCell ref="A1292:A1293"/>
    <mergeCell ref="B1292:H1293"/>
    <mergeCell ref="A963:G963"/>
    <mergeCell ref="A965:A966"/>
    <mergeCell ref="B965:H966"/>
    <mergeCell ref="A1151:G1151"/>
    <mergeCell ref="A987:G987"/>
    <mergeCell ref="A990:A991"/>
    <mergeCell ref="B990:H991"/>
    <mergeCell ref="A1014:G1014"/>
    <mergeCell ref="A1071:A1072"/>
    <mergeCell ref="B1071:H1072"/>
    <mergeCell ref="A1095:G1095"/>
    <mergeCell ref="A1098:A1099"/>
    <mergeCell ref="B1098:H1099"/>
    <mergeCell ref="A1121:G1121"/>
    <mergeCell ref="A1124:A1125"/>
    <mergeCell ref="B1124:H1125"/>
    <mergeCell ref="A1149:G1149"/>
    <mergeCell ref="A1044:A1045"/>
    <mergeCell ref="B1044:H1045"/>
    <mergeCell ref="A1068:G1068"/>
    <mergeCell ref="A1017:A1018"/>
    <mergeCell ref="B1017:H1018"/>
    <mergeCell ref="A1041:G1041"/>
    <mergeCell ref="A938:G938"/>
    <mergeCell ref="A941:A942"/>
    <mergeCell ref="B941:H942"/>
    <mergeCell ref="A836:G836"/>
    <mergeCell ref="A839:A840"/>
    <mergeCell ref="B839:H840"/>
    <mergeCell ref="A863:G863"/>
    <mergeCell ref="A865:A866"/>
    <mergeCell ref="B865:H866"/>
    <mergeCell ref="A888:G888"/>
    <mergeCell ref="A891:A892"/>
    <mergeCell ref="B891:H892"/>
    <mergeCell ref="A786:A787"/>
    <mergeCell ref="B786:H787"/>
    <mergeCell ref="A810:G810"/>
    <mergeCell ref="A812:A813"/>
    <mergeCell ref="B812:H813"/>
    <mergeCell ref="A837:A838"/>
    <mergeCell ref="A913:G913"/>
    <mergeCell ref="A916:A917"/>
    <mergeCell ref="B916:H917"/>
    <mergeCell ref="B513:H514"/>
    <mergeCell ref="A485:G485"/>
    <mergeCell ref="A515:A516"/>
    <mergeCell ref="B515:H516"/>
    <mergeCell ref="A621:A622"/>
    <mergeCell ref="A595:G595"/>
    <mergeCell ref="A620:G620"/>
    <mergeCell ref="A624:A625"/>
    <mergeCell ref="B624:H625"/>
    <mergeCell ref="A488:A489"/>
    <mergeCell ref="A512:G512"/>
    <mergeCell ref="B488:H489"/>
    <mergeCell ref="A539:G539"/>
    <mergeCell ref="A542:A543"/>
    <mergeCell ref="B542:H543"/>
    <mergeCell ref="A566:G566"/>
    <mergeCell ref="A569:A570"/>
    <mergeCell ref="B569:H570"/>
    <mergeCell ref="A593:G593"/>
    <mergeCell ref="A596:A597"/>
    <mergeCell ref="B596:H597"/>
    <mergeCell ref="A486:A487"/>
    <mergeCell ref="A405:G405"/>
    <mergeCell ref="A433:A434"/>
    <mergeCell ref="B433:H434"/>
    <mergeCell ref="A457:G457"/>
    <mergeCell ref="A460:A461"/>
    <mergeCell ref="B460:H461"/>
    <mergeCell ref="A484:G484"/>
    <mergeCell ref="A407:A408"/>
    <mergeCell ref="B407:H408"/>
    <mergeCell ref="A431:G431"/>
    <mergeCell ref="K226:Q226"/>
    <mergeCell ref="B141:H142"/>
    <mergeCell ref="A108:A109"/>
    <mergeCell ref="B108:H109"/>
    <mergeCell ref="A53:G53"/>
    <mergeCell ref="A56:A57"/>
    <mergeCell ref="B56:H57"/>
    <mergeCell ref="A80:G80"/>
    <mergeCell ref="A83:A84"/>
    <mergeCell ref="B83:H84"/>
    <mergeCell ref="A219:G219"/>
    <mergeCell ref="A222:A223"/>
    <mergeCell ref="B222:H223"/>
    <mergeCell ref="A165:G165"/>
    <mergeCell ref="A168:A169"/>
    <mergeCell ref="B168:H169"/>
    <mergeCell ref="A192:G192"/>
    <mergeCell ref="A195:A196"/>
    <mergeCell ref="B195:H196"/>
    <mergeCell ref="A648:G648"/>
    <mergeCell ref="B1:H1"/>
    <mergeCell ref="A2:A3"/>
    <mergeCell ref="B2:H3"/>
    <mergeCell ref="A26:G26"/>
    <mergeCell ref="A28:A29"/>
    <mergeCell ref="B28:H29"/>
    <mergeCell ref="A300:A301"/>
    <mergeCell ref="B300:H301"/>
    <mergeCell ref="A324:G324"/>
    <mergeCell ref="A246:G246"/>
    <mergeCell ref="A249:A250"/>
    <mergeCell ref="B249:H250"/>
    <mergeCell ref="A272:G272"/>
    <mergeCell ref="A275:A276"/>
    <mergeCell ref="B275:H276"/>
    <mergeCell ref="A327:A328"/>
    <mergeCell ref="B327:H328"/>
    <mergeCell ref="A351:G351"/>
    <mergeCell ref="A354:A355"/>
    <mergeCell ref="B354:H355"/>
    <mergeCell ref="A378:G378"/>
    <mergeCell ref="A381:A382"/>
    <mergeCell ref="B381:H382"/>
    <mergeCell ref="A1152:A1153"/>
    <mergeCell ref="B1152:H1153"/>
    <mergeCell ref="A1177:G1177"/>
    <mergeCell ref="A1179:A1180"/>
    <mergeCell ref="B1179:H1180"/>
    <mergeCell ref="A1204:G1204"/>
    <mergeCell ref="A1207:A1208"/>
    <mergeCell ref="B1207:H1208"/>
    <mergeCell ref="A651:A652"/>
    <mergeCell ref="B651:H652"/>
    <mergeCell ref="A675:G675"/>
    <mergeCell ref="A678:A679"/>
    <mergeCell ref="B678:H679"/>
    <mergeCell ref="A702:G702"/>
    <mergeCell ref="A705:A706"/>
    <mergeCell ref="B705:H706"/>
    <mergeCell ref="A811:G811"/>
    <mergeCell ref="A729:G729"/>
    <mergeCell ref="A732:A733"/>
    <mergeCell ref="B732:H733"/>
    <mergeCell ref="A756:G756"/>
    <mergeCell ref="A759:A760"/>
    <mergeCell ref="B759:H760"/>
    <mergeCell ref="A783:G783"/>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7"/>
  <sheetViews>
    <sheetView tabSelected="1" topLeftCell="A163" workbookViewId="0">
      <selection activeCell="E159" sqref="E159"/>
    </sheetView>
  </sheetViews>
  <sheetFormatPr baseColWidth="10" defaultColWidth="10.85546875" defaultRowHeight="16.5"/>
  <cols>
    <col min="1" max="1" width="15.42578125" style="329" bestFit="1" customWidth="1"/>
    <col min="2" max="2" width="48.140625" style="329" customWidth="1"/>
    <col min="3" max="3" width="10.85546875" style="329"/>
    <col min="4" max="4" width="17.140625" style="329" customWidth="1"/>
    <col min="5" max="5" width="18.140625" style="329" bestFit="1" customWidth="1"/>
    <col min="6" max="6" width="21.85546875" style="329" bestFit="1" customWidth="1"/>
    <col min="7" max="16384" width="10.85546875" style="329"/>
  </cols>
  <sheetData>
    <row r="1" spans="1:6" ht="16.5" customHeight="1">
      <c r="A1" s="619" t="s">
        <v>1669</v>
      </c>
      <c r="B1" s="620"/>
      <c r="C1" s="620"/>
      <c r="D1" s="620"/>
      <c r="E1" s="620"/>
      <c r="F1" s="621"/>
    </row>
    <row r="2" spans="1:6" ht="16.5" customHeight="1">
      <c r="A2" s="619" t="s">
        <v>1668</v>
      </c>
      <c r="B2" s="620"/>
      <c r="C2" s="620"/>
      <c r="D2" s="620"/>
      <c r="E2" s="620"/>
      <c r="F2" s="621"/>
    </row>
    <row r="4" spans="1:6">
      <c r="A4" s="698" t="s">
        <v>0</v>
      </c>
      <c r="B4" s="602" t="s">
        <v>1</v>
      </c>
      <c r="C4" s="698" t="s">
        <v>157</v>
      </c>
      <c r="D4" s="698" t="s">
        <v>155</v>
      </c>
      <c r="E4" s="602" t="s">
        <v>156</v>
      </c>
      <c r="F4" s="700" t="s">
        <v>154</v>
      </c>
    </row>
    <row r="5" spans="1:6">
      <c r="A5" s="699"/>
      <c r="B5" s="603"/>
      <c r="C5" s="699"/>
      <c r="D5" s="699"/>
      <c r="E5" s="603"/>
      <c r="F5" s="701"/>
    </row>
    <row r="6" spans="1:6" ht="68.25" customHeight="1">
      <c r="A6" s="476">
        <v>2</v>
      </c>
      <c r="B6" s="576" t="s">
        <v>78</v>
      </c>
      <c r="C6" s="577"/>
      <c r="D6" s="577"/>
      <c r="E6" s="577"/>
      <c r="F6" s="578"/>
    </row>
    <row r="7" spans="1:6" ht="15.95" customHeight="1">
      <c r="A7" s="476" t="s">
        <v>9</v>
      </c>
      <c r="B7" s="345" t="s">
        <v>10</v>
      </c>
      <c r="C7" s="465"/>
      <c r="D7" s="465"/>
      <c r="E7" s="465"/>
      <c r="F7" s="466"/>
    </row>
    <row r="8" spans="1:6" ht="33">
      <c r="A8" s="337" t="s">
        <v>105</v>
      </c>
      <c r="B8" s="207" t="s">
        <v>159</v>
      </c>
      <c r="C8" s="338" t="s">
        <v>7</v>
      </c>
      <c r="D8" s="526">
        <v>2</v>
      </c>
      <c r="E8" s="342">
        <v>6304000</v>
      </c>
      <c r="F8" s="340">
        <f>+ROUND(D8*E8,0)</f>
        <v>12608000</v>
      </c>
    </row>
    <row r="9" spans="1:6">
      <c r="A9" s="337" t="s">
        <v>106</v>
      </c>
      <c r="B9" s="207" t="s">
        <v>14</v>
      </c>
      <c r="C9" s="338" t="s">
        <v>7</v>
      </c>
      <c r="D9" s="526">
        <v>2</v>
      </c>
      <c r="E9" s="342">
        <v>582296</v>
      </c>
      <c r="F9" s="340">
        <f t="shared" ref="F9:F19" si="0">+ROUND(D9*E9,0)</f>
        <v>1164592</v>
      </c>
    </row>
    <row r="10" spans="1:6" ht="33">
      <c r="A10" s="337" t="s">
        <v>107</v>
      </c>
      <c r="B10" s="207" t="s">
        <v>243</v>
      </c>
      <c r="C10" s="338" t="s">
        <v>7</v>
      </c>
      <c r="D10" s="526">
        <v>2</v>
      </c>
      <c r="E10" s="342">
        <v>4752000</v>
      </c>
      <c r="F10" s="340">
        <f t="shared" si="0"/>
        <v>9504000</v>
      </c>
    </row>
    <row r="11" spans="1:6">
      <c r="A11" s="337" t="s">
        <v>281</v>
      </c>
      <c r="B11" s="207" t="s">
        <v>167</v>
      </c>
      <c r="C11" s="338" t="s">
        <v>7</v>
      </c>
      <c r="D11" s="526">
        <v>1</v>
      </c>
      <c r="E11" s="342">
        <v>315580</v>
      </c>
      <c r="F11" s="340">
        <f t="shared" si="0"/>
        <v>315580</v>
      </c>
    </row>
    <row r="12" spans="1:6" ht="33">
      <c r="A12" s="337" t="s">
        <v>108</v>
      </c>
      <c r="B12" s="359" t="s">
        <v>72</v>
      </c>
      <c r="C12" s="337" t="s">
        <v>7</v>
      </c>
      <c r="D12" s="526">
        <v>2</v>
      </c>
      <c r="E12" s="342">
        <v>766048</v>
      </c>
      <c r="F12" s="340">
        <f t="shared" si="0"/>
        <v>1532096</v>
      </c>
    </row>
    <row r="13" spans="1:6" ht="18" customHeight="1">
      <c r="A13" s="337" t="s">
        <v>109</v>
      </c>
      <c r="B13" s="359" t="s">
        <v>60</v>
      </c>
      <c r="C13" s="337" t="s">
        <v>7</v>
      </c>
      <c r="D13" s="526">
        <v>2</v>
      </c>
      <c r="E13" s="342">
        <v>566296</v>
      </c>
      <c r="F13" s="340">
        <f t="shared" si="0"/>
        <v>1132592</v>
      </c>
    </row>
    <row r="14" spans="1:6">
      <c r="A14" s="337" t="s">
        <v>110</v>
      </c>
      <c r="B14" s="359" t="s">
        <v>168</v>
      </c>
      <c r="C14" s="337" t="s">
        <v>7</v>
      </c>
      <c r="D14" s="526">
        <v>1</v>
      </c>
      <c r="E14" s="342">
        <v>301360</v>
      </c>
      <c r="F14" s="340">
        <f t="shared" si="0"/>
        <v>301360</v>
      </c>
    </row>
    <row r="15" spans="1:6">
      <c r="A15" s="337" t="s">
        <v>111</v>
      </c>
      <c r="B15" s="359" t="s">
        <v>162</v>
      </c>
      <c r="C15" s="337" t="s">
        <v>7</v>
      </c>
      <c r="D15" s="526">
        <v>2</v>
      </c>
      <c r="E15" s="342">
        <v>4457280</v>
      </c>
      <c r="F15" s="340">
        <f t="shared" si="0"/>
        <v>8914560</v>
      </c>
    </row>
    <row r="16" spans="1:6" ht="49.5">
      <c r="A16" s="337" t="s">
        <v>112</v>
      </c>
      <c r="B16" s="359" t="s">
        <v>786</v>
      </c>
      <c r="C16" s="337" t="s">
        <v>7</v>
      </c>
      <c r="D16" s="526">
        <v>1</v>
      </c>
      <c r="E16" s="342">
        <v>9181152</v>
      </c>
      <c r="F16" s="340">
        <f t="shared" si="0"/>
        <v>9181152</v>
      </c>
    </row>
    <row r="17" spans="1:6" ht="33">
      <c r="A17" s="337" t="s">
        <v>113</v>
      </c>
      <c r="B17" s="362" t="s">
        <v>904</v>
      </c>
      <c r="C17" s="363" t="s">
        <v>8</v>
      </c>
      <c r="D17" s="526">
        <v>6</v>
      </c>
      <c r="E17" s="342">
        <v>17002</v>
      </c>
      <c r="F17" s="340">
        <f t="shared" si="0"/>
        <v>102012</v>
      </c>
    </row>
    <row r="18" spans="1:6" ht="33">
      <c r="A18" s="337" t="s">
        <v>114</v>
      </c>
      <c r="B18" s="467" t="s">
        <v>787</v>
      </c>
      <c r="C18" s="361" t="s">
        <v>8</v>
      </c>
      <c r="D18" s="526">
        <v>34.86</v>
      </c>
      <c r="E18" s="342">
        <v>286761</v>
      </c>
      <c r="F18" s="340">
        <f t="shared" si="0"/>
        <v>9996488</v>
      </c>
    </row>
    <row r="19" spans="1:6" ht="33">
      <c r="A19" s="337" t="s">
        <v>115</v>
      </c>
      <c r="B19" s="467" t="s">
        <v>788</v>
      </c>
      <c r="C19" s="361" t="s">
        <v>8</v>
      </c>
      <c r="D19" s="526">
        <v>7.75</v>
      </c>
      <c r="E19" s="342">
        <v>40006</v>
      </c>
      <c r="F19" s="340">
        <f t="shared" si="0"/>
        <v>310047</v>
      </c>
    </row>
    <row r="20" spans="1:6">
      <c r="A20" s="692" t="s">
        <v>958</v>
      </c>
      <c r="B20" s="693"/>
      <c r="C20" s="693"/>
      <c r="D20" s="693"/>
      <c r="E20" s="694"/>
      <c r="F20" s="478">
        <f>+SUM(F8:F19)</f>
        <v>55062479</v>
      </c>
    </row>
    <row r="21" spans="1:6" ht="32.25" customHeight="1">
      <c r="A21" s="476">
        <v>3</v>
      </c>
      <c r="B21" s="576" t="s">
        <v>74</v>
      </c>
      <c r="C21" s="577"/>
      <c r="D21" s="577"/>
      <c r="E21" s="577"/>
      <c r="F21" s="578"/>
    </row>
    <row r="22" spans="1:6" ht="15.95" customHeight="1">
      <c r="A22" s="476" t="s">
        <v>81</v>
      </c>
      <c r="B22" s="371" t="s">
        <v>790</v>
      </c>
      <c r="C22" s="335"/>
      <c r="D22" s="335"/>
      <c r="E22" s="335"/>
      <c r="F22" s="336"/>
    </row>
    <row r="23" spans="1:6">
      <c r="A23" s="337" t="s">
        <v>1470</v>
      </c>
      <c r="B23" s="207" t="s">
        <v>316</v>
      </c>
      <c r="C23" s="337" t="s">
        <v>7</v>
      </c>
      <c r="D23" s="526">
        <v>5</v>
      </c>
      <c r="E23" s="342">
        <v>468542</v>
      </c>
      <c r="F23" s="340">
        <f t="shared" ref="F23:F39" si="1">+ROUND(D23*E23,0)</f>
        <v>2342710</v>
      </c>
    </row>
    <row r="24" spans="1:6">
      <c r="A24" s="337" t="s">
        <v>1471</v>
      </c>
      <c r="B24" s="468" t="s">
        <v>317</v>
      </c>
      <c r="C24" s="337" t="s">
        <v>7</v>
      </c>
      <c r="D24" s="526">
        <v>2</v>
      </c>
      <c r="E24" s="342">
        <v>3583374</v>
      </c>
      <c r="F24" s="340">
        <f t="shared" si="1"/>
        <v>7166748</v>
      </c>
    </row>
    <row r="25" spans="1:6">
      <c r="A25" s="337" t="s">
        <v>1472</v>
      </c>
      <c r="B25" s="207" t="s">
        <v>318</v>
      </c>
      <c r="C25" s="337" t="s">
        <v>7</v>
      </c>
      <c r="D25" s="526">
        <v>5</v>
      </c>
      <c r="E25" s="342">
        <v>291200</v>
      </c>
      <c r="F25" s="340">
        <f t="shared" si="1"/>
        <v>1456000</v>
      </c>
    </row>
    <row r="26" spans="1:6">
      <c r="A26" s="337" t="s">
        <v>129</v>
      </c>
      <c r="B26" s="207" t="s">
        <v>319</v>
      </c>
      <c r="C26" s="337" t="s">
        <v>7</v>
      </c>
      <c r="D26" s="526">
        <v>2</v>
      </c>
      <c r="E26" s="342">
        <v>2251200</v>
      </c>
      <c r="F26" s="340">
        <f t="shared" si="1"/>
        <v>4502400</v>
      </c>
    </row>
    <row r="27" spans="1:6">
      <c r="A27" s="337" t="s">
        <v>130</v>
      </c>
      <c r="B27" s="204" t="s">
        <v>322</v>
      </c>
      <c r="C27" s="337" t="s">
        <v>7</v>
      </c>
      <c r="D27" s="526">
        <v>2</v>
      </c>
      <c r="E27" s="342">
        <v>44676</v>
      </c>
      <c r="F27" s="340">
        <f t="shared" si="1"/>
        <v>89352</v>
      </c>
    </row>
    <row r="28" spans="1:6">
      <c r="A28" s="337" t="s">
        <v>282</v>
      </c>
      <c r="B28" s="204" t="s">
        <v>320</v>
      </c>
      <c r="C28" s="337" t="s">
        <v>7</v>
      </c>
      <c r="D28" s="526">
        <v>1</v>
      </c>
      <c r="E28" s="342">
        <v>192484</v>
      </c>
      <c r="F28" s="340">
        <f t="shared" si="1"/>
        <v>192484</v>
      </c>
    </row>
    <row r="29" spans="1:6">
      <c r="A29" s="337" t="s">
        <v>131</v>
      </c>
      <c r="B29" s="204" t="s">
        <v>321</v>
      </c>
      <c r="C29" s="337" t="s">
        <v>7</v>
      </c>
      <c r="D29" s="526">
        <v>10</v>
      </c>
      <c r="E29" s="342">
        <v>147808</v>
      </c>
      <c r="F29" s="340">
        <f t="shared" si="1"/>
        <v>1478080</v>
      </c>
    </row>
    <row r="30" spans="1:6" ht="41.25" customHeight="1">
      <c r="A30" s="337" t="s">
        <v>132</v>
      </c>
      <c r="B30" s="204" t="s">
        <v>323</v>
      </c>
      <c r="C30" s="337" t="s">
        <v>7</v>
      </c>
      <c r="D30" s="526">
        <v>2</v>
      </c>
      <c r="E30" s="342">
        <v>178981</v>
      </c>
      <c r="F30" s="340">
        <f t="shared" si="1"/>
        <v>357962</v>
      </c>
    </row>
    <row r="31" spans="1:6" ht="30.75" customHeight="1">
      <c r="A31" s="337" t="s">
        <v>133</v>
      </c>
      <c r="B31" s="207" t="s">
        <v>292</v>
      </c>
      <c r="C31" s="337" t="s">
        <v>7</v>
      </c>
      <c r="D31" s="526">
        <v>7</v>
      </c>
      <c r="E31" s="342">
        <v>442480</v>
      </c>
      <c r="F31" s="340">
        <f t="shared" si="1"/>
        <v>3097360</v>
      </c>
    </row>
    <row r="32" spans="1:6" ht="33">
      <c r="A32" s="337" t="s">
        <v>1473</v>
      </c>
      <c r="B32" s="204" t="s">
        <v>293</v>
      </c>
      <c r="C32" s="337" t="s">
        <v>7</v>
      </c>
      <c r="D32" s="526">
        <v>5</v>
      </c>
      <c r="E32" s="342">
        <v>1822982</v>
      </c>
      <c r="F32" s="340">
        <f t="shared" si="1"/>
        <v>9114910</v>
      </c>
    </row>
    <row r="33" spans="1:6" ht="33">
      <c r="A33" s="337" t="s">
        <v>134</v>
      </c>
      <c r="B33" s="204" t="s">
        <v>294</v>
      </c>
      <c r="C33" s="337" t="s">
        <v>7</v>
      </c>
      <c r="D33" s="526">
        <v>7</v>
      </c>
      <c r="E33" s="342">
        <v>4736000</v>
      </c>
      <c r="F33" s="340">
        <f t="shared" si="1"/>
        <v>33152000</v>
      </c>
    </row>
    <row r="34" spans="1:6">
      <c r="A34" s="337" t="s">
        <v>135</v>
      </c>
      <c r="B34" s="207" t="s">
        <v>169</v>
      </c>
      <c r="C34" s="337" t="s">
        <v>7</v>
      </c>
      <c r="D34" s="526">
        <v>6</v>
      </c>
      <c r="E34" s="342">
        <v>2307232</v>
      </c>
      <c r="F34" s="340">
        <f t="shared" si="1"/>
        <v>13843392</v>
      </c>
    </row>
    <row r="35" spans="1:6" ht="33">
      <c r="A35" s="337" t="s">
        <v>136</v>
      </c>
      <c r="B35" s="207" t="s">
        <v>324</v>
      </c>
      <c r="C35" s="337" t="s">
        <v>7</v>
      </c>
      <c r="D35" s="526">
        <v>1</v>
      </c>
      <c r="E35" s="342">
        <v>847712</v>
      </c>
      <c r="F35" s="340">
        <f t="shared" si="1"/>
        <v>847712</v>
      </c>
    </row>
    <row r="36" spans="1:6">
      <c r="A36" s="337" t="s">
        <v>283</v>
      </c>
      <c r="B36" s="207" t="s">
        <v>325</v>
      </c>
      <c r="C36" s="337" t="s">
        <v>7</v>
      </c>
      <c r="D36" s="526">
        <v>4</v>
      </c>
      <c r="E36" s="342">
        <v>8318900</v>
      </c>
      <c r="F36" s="340">
        <f t="shared" si="1"/>
        <v>33275600</v>
      </c>
    </row>
    <row r="37" spans="1:6" ht="115.5">
      <c r="A37" s="337" t="s">
        <v>1474</v>
      </c>
      <c r="B37" s="370" t="s">
        <v>789</v>
      </c>
      <c r="C37" s="337" t="s">
        <v>7</v>
      </c>
      <c r="D37" s="526">
        <v>5</v>
      </c>
      <c r="E37" s="342">
        <v>51670640</v>
      </c>
      <c r="F37" s="340">
        <f t="shared" si="1"/>
        <v>258353200</v>
      </c>
    </row>
    <row r="38" spans="1:6" ht="33">
      <c r="A38" s="348" t="s">
        <v>1475</v>
      </c>
      <c r="B38" s="204" t="s">
        <v>748</v>
      </c>
      <c r="C38" s="382" t="s">
        <v>8</v>
      </c>
      <c r="D38" s="527">
        <v>47.07</v>
      </c>
      <c r="E38" s="469">
        <v>144475</v>
      </c>
      <c r="F38" s="340">
        <f t="shared" si="1"/>
        <v>6800438</v>
      </c>
    </row>
    <row r="39" spans="1:6" ht="33">
      <c r="A39" s="348" t="s">
        <v>284</v>
      </c>
      <c r="B39" s="204" t="s">
        <v>299</v>
      </c>
      <c r="C39" s="348" t="s">
        <v>8</v>
      </c>
      <c r="D39" s="528">
        <v>80.800000000000011</v>
      </c>
      <c r="E39" s="351">
        <v>349074</v>
      </c>
      <c r="F39" s="340">
        <f t="shared" si="1"/>
        <v>28205179</v>
      </c>
    </row>
    <row r="40" spans="1:6">
      <c r="A40" s="608" t="s">
        <v>958</v>
      </c>
      <c r="B40" s="609"/>
      <c r="C40" s="609"/>
      <c r="D40" s="609"/>
      <c r="E40" s="610"/>
      <c r="F40" s="479">
        <f>+SUM(F23:F39)</f>
        <v>404275527</v>
      </c>
    </row>
    <row r="41" spans="1:6">
      <c r="A41" s="476">
        <v>4</v>
      </c>
      <c r="B41" s="576" t="s">
        <v>16</v>
      </c>
      <c r="C41" s="577"/>
      <c r="D41" s="577"/>
      <c r="E41" s="577"/>
      <c r="F41" s="578"/>
    </row>
    <row r="42" spans="1:6">
      <c r="A42" s="476" t="s">
        <v>13</v>
      </c>
      <c r="B42" s="371" t="s">
        <v>790</v>
      </c>
      <c r="C42" s="335"/>
      <c r="D42" s="470"/>
      <c r="E42" s="335"/>
      <c r="F42" s="335"/>
    </row>
    <row r="43" spans="1:6">
      <c r="A43" s="337" t="s">
        <v>1476</v>
      </c>
      <c r="B43" s="359" t="s">
        <v>337</v>
      </c>
      <c r="C43" s="337" t="s">
        <v>7</v>
      </c>
      <c r="D43" s="496">
        <v>2</v>
      </c>
      <c r="E43" s="342">
        <v>3738176</v>
      </c>
      <c r="F43" s="340">
        <f t="shared" ref="F43:F76" si="2">+ROUND(D43*E43,0)</f>
        <v>7476352</v>
      </c>
    </row>
    <row r="44" spans="1:6" ht="33">
      <c r="A44" s="337" t="s">
        <v>134</v>
      </c>
      <c r="B44" s="204" t="s">
        <v>294</v>
      </c>
      <c r="C44" s="337" t="s">
        <v>7</v>
      </c>
      <c r="D44" s="496">
        <v>8</v>
      </c>
      <c r="E44" s="342">
        <v>4736000</v>
      </c>
      <c r="F44" s="340">
        <f t="shared" si="2"/>
        <v>37888000</v>
      </c>
    </row>
    <row r="45" spans="1:6" ht="33">
      <c r="A45" s="337" t="s">
        <v>134</v>
      </c>
      <c r="B45" s="204" t="s">
        <v>779</v>
      </c>
      <c r="C45" s="337" t="s">
        <v>7</v>
      </c>
      <c r="D45" s="496">
        <v>2</v>
      </c>
      <c r="E45" s="342">
        <v>6425422</v>
      </c>
      <c r="F45" s="340">
        <f t="shared" si="2"/>
        <v>12850844</v>
      </c>
    </row>
    <row r="46" spans="1:6" ht="33">
      <c r="A46" s="337" t="s">
        <v>1477</v>
      </c>
      <c r="B46" s="204" t="s">
        <v>1655</v>
      </c>
      <c r="C46" s="337" t="s">
        <v>7</v>
      </c>
      <c r="D46" s="496">
        <v>1</v>
      </c>
      <c r="E46" s="342">
        <v>6852800</v>
      </c>
      <c r="F46" s="340">
        <f t="shared" si="2"/>
        <v>6852800</v>
      </c>
    </row>
    <row r="47" spans="1:6" ht="33">
      <c r="A47" s="337" t="s">
        <v>1478</v>
      </c>
      <c r="B47" s="204" t="s">
        <v>781</v>
      </c>
      <c r="C47" s="337" t="s">
        <v>7</v>
      </c>
      <c r="D47" s="496">
        <v>16</v>
      </c>
      <c r="E47" s="342">
        <v>8102171</v>
      </c>
      <c r="F47" s="340">
        <f t="shared" si="2"/>
        <v>129634736</v>
      </c>
    </row>
    <row r="48" spans="1:6">
      <c r="A48" s="337" t="s">
        <v>1479</v>
      </c>
      <c r="B48" s="204" t="s">
        <v>300</v>
      </c>
      <c r="C48" s="337" t="s">
        <v>7</v>
      </c>
      <c r="D48" s="496">
        <v>2</v>
      </c>
      <c r="E48" s="342">
        <v>4617456</v>
      </c>
      <c r="F48" s="340">
        <f t="shared" si="2"/>
        <v>9234912</v>
      </c>
    </row>
    <row r="49" spans="1:6">
      <c r="A49" s="337" t="s">
        <v>1480</v>
      </c>
      <c r="B49" s="204" t="s">
        <v>301</v>
      </c>
      <c r="C49" s="337" t="s">
        <v>7</v>
      </c>
      <c r="D49" s="496">
        <v>19</v>
      </c>
      <c r="E49" s="342">
        <v>1972800</v>
      </c>
      <c r="F49" s="340">
        <f t="shared" si="2"/>
        <v>37483200</v>
      </c>
    </row>
    <row r="50" spans="1:6">
      <c r="A50" s="337" t="s">
        <v>1481</v>
      </c>
      <c r="B50" s="204" t="s">
        <v>338</v>
      </c>
      <c r="C50" s="337" t="s">
        <v>7</v>
      </c>
      <c r="D50" s="496">
        <v>1</v>
      </c>
      <c r="E50" s="342">
        <v>1694400</v>
      </c>
      <c r="F50" s="340">
        <f t="shared" si="2"/>
        <v>1694400</v>
      </c>
    </row>
    <row r="51" spans="1:6">
      <c r="A51" s="337" t="s">
        <v>1482</v>
      </c>
      <c r="B51" s="359" t="s">
        <v>363</v>
      </c>
      <c r="C51" s="337" t="s">
        <v>7</v>
      </c>
      <c r="D51" s="496">
        <v>24</v>
      </c>
      <c r="E51" s="342">
        <v>468542</v>
      </c>
      <c r="F51" s="340">
        <f t="shared" si="2"/>
        <v>11245008</v>
      </c>
    </row>
    <row r="52" spans="1:6">
      <c r="A52" s="337" t="s">
        <v>1483</v>
      </c>
      <c r="B52" s="359" t="s">
        <v>339</v>
      </c>
      <c r="C52" s="337" t="s">
        <v>7</v>
      </c>
      <c r="D52" s="496">
        <v>8</v>
      </c>
      <c r="E52" s="342">
        <v>1310238</v>
      </c>
      <c r="F52" s="340">
        <f t="shared" si="2"/>
        <v>10481904</v>
      </c>
    </row>
    <row r="53" spans="1:6">
      <c r="A53" s="337" t="s">
        <v>1484</v>
      </c>
      <c r="B53" s="359" t="s">
        <v>340</v>
      </c>
      <c r="C53" s="337" t="s">
        <v>7</v>
      </c>
      <c r="D53" s="496">
        <v>6</v>
      </c>
      <c r="E53" s="342">
        <v>2408526</v>
      </c>
      <c r="F53" s="340">
        <f t="shared" si="2"/>
        <v>14451156</v>
      </c>
    </row>
    <row r="54" spans="1:6">
      <c r="A54" s="337" t="s">
        <v>1485</v>
      </c>
      <c r="B54" s="204" t="s">
        <v>341</v>
      </c>
      <c r="C54" s="337" t="s">
        <v>7</v>
      </c>
      <c r="D54" s="496">
        <v>5</v>
      </c>
      <c r="E54" s="342">
        <v>3415584</v>
      </c>
      <c r="F54" s="340">
        <f t="shared" si="2"/>
        <v>17077920</v>
      </c>
    </row>
    <row r="55" spans="1:6">
      <c r="A55" s="337" t="s">
        <v>1486</v>
      </c>
      <c r="B55" s="359" t="s">
        <v>342</v>
      </c>
      <c r="C55" s="337" t="s">
        <v>7</v>
      </c>
      <c r="D55" s="496">
        <v>1</v>
      </c>
      <c r="E55" s="342">
        <v>1231904</v>
      </c>
      <c r="F55" s="340">
        <f t="shared" si="2"/>
        <v>1231904</v>
      </c>
    </row>
    <row r="56" spans="1:6">
      <c r="A56" s="337" t="s">
        <v>1487</v>
      </c>
      <c r="B56" s="359" t="s">
        <v>369</v>
      </c>
      <c r="C56" s="337" t="s">
        <v>7</v>
      </c>
      <c r="D56" s="496">
        <v>4</v>
      </c>
      <c r="E56" s="342">
        <v>1474784</v>
      </c>
      <c r="F56" s="340">
        <f t="shared" si="2"/>
        <v>5899136</v>
      </c>
    </row>
    <row r="57" spans="1:6">
      <c r="A57" s="337" t="s">
        <v>1488</v>
      </c>
      <c r="B57" s="359" t="s">
        <v>371</v>
      </c>
      <c r="C57" s="337" t="s">
        <v>7</v>
      </c>
      <c r="D57" s="496">
        <v>6</v>
      </c>
      <c r="E57" s="342">
        <v>2997632</v>
      </c>
      <c r="F57" s="340">
        <f t="shared" si="2"/>
        <v>17985792</v>
      </c>
    </row>
    <row r="58" spans="1:6">
      <c r="A58" s="337" t="s">
        <v>1489</v>
      </c>
      <c r="B58" s="359" t="s">
        <v>370</v>
      </c>
      <c r="C58" s="337" t="s">
        <v>7</v>
      </c>
      <c r="D58" s="496">
        <v>8</v>
      </c>
      <c r="E58" s="342">
        <v>705392</v>
      </c>
      <c r="F58" s="340">
        <f t="shared" si="2"/>
        <v>5643136</v>
      </c>
    </row>
    <row r="59" spans="1:6">
      <c r="A59" s="337" t="s">
        <v>1490</v>
      </c>
      <c r="B59" s="359" t="s">
        <v>372</v>
      </c>
      <c r="C59" s="337" t="s">
        <v>7</v>
      </c>
      <c r="D59" s="496">
        <v>2</v>
      </c>
      <c r="E59" s="342">
        <v>2014912</v>
      </c>
      <c r="F59" s="340">
        <f t="shared" si="2"/>
        <v>4029824</v>
      </c>
    </row>
    <row r="60" spans="1:6">
      <c r="A60" s="337" t="s">
        <v>1491</v>
      </c>
      <c r="B60" s="359" t="s">
        <v>373</v>
      </c>
      <c r="C60" s="337" t="s">
        <v>7</v>
      </c>
      <c r="D60" s="496">
        <v>4</v>
      </c>
      <c r="E60" s="342">
        <v>749904</v>
      </c>
      <c r="F60" s="340">
        <f t="shared" si="2"/>
        <v>2999616</v>
      </c>
    </row>
    <row r="61" spans="1:6">
      <c r="A61" s="337" t="s">
        <v>1492</v>
      </c>
      <c r="B61" s="359" t="s">
        <v>368</v>
      </c>
      <c r="C61" s="337" t="s">
        <v>7</v>
      </c>
      <c r="D61" s="496">
        <v>24</v>
      </c>
      <c r="E61" s="342">
        <v>33962</v>
      </c>
      <c r="F61" s="340">
        <f t="shared" si="2"/>
        <v>815088</v>
      </c>
    </row>
    <row r="62" spans="1:6">
      <c r="A62" s="337" t="s">
        <v>1493</v>
      </c>
      <c r="B62" s="359" t="s">
        <v>366</v>
      </c>
      <c r="C62" s="337" t="s">
        <v>7</v>
      </c>
      <c r="D62" s="496">
        <v>16</v>
      </c>
      <c r="E62" s="342">
        <v>425424</v>
      </c>
      <c r="F62" s="340">
        <f t="shared" si="2"/>
        <v>6806784</v>
      </c>
    </row>
    <row r="63" spans="1:6">
      <c r="A63" s="337" t="s">
        <v>1494</v>
      </c>
      <c r="B63" s="359" t="s">
        <v>367</v>
      </c>
      <c r="C63" s="337" t="s">
        <v>7</v>
      </c>
      <c r="D63" s="496">
        <v>14</v>
      </c>
      <c r="E63" s="342">
        <v>469166</v>
      </c>
      <c r="F63" s="340">
        <f t="shared" si="2"/>
        <v>6568324</v>
      </c>
    </row>
    <row r="64" spans="1:6">
      <c r="A64" s="337" t="s">
        <v>1495</v>
      </c>
      <c r="B64" s="359" t="s">
        <v>343</v>
      </c>
      <c r="C64" s="337" t="s">
        <v>7</v>
      </c>
      <c r="D64" s="496">
        <v>3</v>
      </c>
      <c r="E64" s="342">
        <v>316496</v>
      </c>
      <c r="F64" s="340">
        <f t="shared" si="2"/>
        <v>949488</v>
      </c>
    </row>
    <row r="65" spans="1:6">
      <c r="A65" s="337" t="s">
        <v>1496</v>
      </c>
      <c r="B65" s="359" t="s">
        <v>350</v>
      </c>
      <c r="C65" s="337" t="s">
        <v>7</v>
      </c>
      <c r="D65" s="496">
        <v>1</v>
      </c>
      <c r="E65" s="342">
        <v>340262</v>
      </c>
      <c r="F65" s="340">
        <f t="shared" si="2"/>
        <v>340262</v>
      </c>
    </row>
    <row r="66" spans="1:6">
      <c r="A66" s="337" t="s">
        <v>1497</v>
      </c>
      <c r="B66" s="359" t="s">
        <v>346</v>
      </c>
      <c r="C66" s="337" t="s">
        <v>7</v>
      </c>
      <c r="D66" s="496">
        <v>2</v>
      </c>
      <c r="E66" s="342">
        <v>100993</v>
      </c>
      <c r="F66" s="340">
        <f t="shared" si="2"/>
        <v>201986</v>
      </c>
    </row>
    <row r="67" spans="1:6">
      <c r="A67" s="337" t="s">
        <v>1498</v>
      </c>
      <c r="B67" s="359" t="s">
        <v>345</v>
      </c>
      <c r="C67" s="337" t="s">
        <v>7</v>
      </c>
      <c r="D67" s="496">
        <v>6</v>
      </c>
      <c r="E67" s="342">
        <v>131744</v>
      </c>
      <c r="F67" s="340">
        <f t="shared" si="2"/>
        <v>790464</v>
      </c>
    </row>
    <row r="68" spans="1:6">
      <c r="A68" s="337" t="s">
        <v>1499</v>
      </c>
      <c r="B68" s="359" t="s">
        <v>347</v>
      </c>
      <c r="C68" s="337" t="s">
        <v>7</v>
      </c>
      <c r="D68" s="496">
        <v>9</v>
      </c>
      <c r="E68" s="342">
        <v>166680</v>
      </c>
      <c r="F68" s="340">
        <f t="shared" si="2"/>
        <v>1500120</v>
      </c>
    </row>
    <row r="69" spans="1:6">
      <c r="A69" s="337" t="s">
        <v>1500</v>
      </c>
      <c r="B69" s="359" t="s">
        <v>349</v>
      </c>
      <c r="C69" s="337" t="s">
        <v>7</v>
      </c>
      <c r="D69" s="496">
        <v>4</v>
      </c>
      <c r="E69" s="342">
        <v>199216</v>
      </c>
      <c r="F69" s="340">
        <f t="shared" si="2"/>
        <v>796864</v>
      </c>
    </row>
    <row r="70" spans="1:6">
      <c r="A70" s="337" t="s">
        <v>1501</v>
      </c>
      <c r="B70" s="359" t="s">
        <v>348</v>
      </c>
      <c r="C70" s="337" t="s">
        <v>7</v>
      </c>
      <c r="D70" s="496">
        <v>6</v>
      </c>
      <c r="E70" s="342">
        <v>260288</v>
      </c>
      <c r="F70" s="340">
        <f t="shared" si="2"/>
        <v>1561728</v>
      </c>
    </row>
    <row r="71" spans="1:6">
      <c r="A71" s="337" t="s">
        <v>1502</v>
      </c>
      <c r="B71" s="359" t="s">
        <v>344</v>
      </c>
      <c r="C71" s="337" t="s">
        <v>7</v>
      </c>
      <c r="D71" s="496">
        <v>12</v>
      </c>
      <c r="E71" s="342">
        <v>321360</v>
      </c>
      <c r="F71" s="340">
        <f t="shared" si="2"/>
        <v>3856320</v>
      </c>
    </row>
    <row r="72" spans="1:6">
      <c r="A72" s="337" t="s">
        <v>1503</v>
      </c>
      <c r="B72" s="359" t="s">
        <v>351</v>
      </c>
      <c r="C72" s="337" t="s">
        <v>7</v>
      </c>
      <c r="D72" s="496">
        <v>1</v>
      </c>
      <c r="E72" s="342">
        <v>614720</v>
      </c>
      <c r="F72" s="340">
        <f t="shared" si="2"/>
        <v>614720</v>
      </c>
    </row>
    <row r="73" spans="1:6" ht="15.95" customHeight="1">
      <c r="A73" s="337" t="s">
        <v>1504</v>
      </c>
      <c r="B73" s="370" t="s">
        <v>306</v>
      </c>
      <c r="C73" s="382" t="s">
        <v>8</v>
      </c>
      <c r="D73" s="496">
        <v>83.28</v>
      </c>
      <c r="E73" s="342">
        <v>94924</v>
      </c>
      <c r="F73" s="340">
        <f t="shared" si="2"/>
        <v>7905271</v>
      </c>
    </row>
    <row r="74" spans="1:6" ht="15.95" customHeight="1">
      <c r="A74" s="337" t="s">
        <v>1505</v>
      </c>
      <c r="B74" s="370" t="s">
        <v>364</v>
      </c>
      <c r="C74" s="382" t="s">
        <v>8</v>
      </c>
      <c r="D74" s="496">
        <v>46.4</v>
      </c>
      <c r="E74" s="342">
        <v>97147</v>
      </c>
      <c r="F74" s="340">
        <f t="shared" si="2"/>
        <v>4507621</v>
      </c>
    </row>
    <row r="75" spans="1:6" ht="15.95" customHeight="1">
      <c r="A75" s="337" t="s">
        <v>1506</v>
      </c>
      <c r="B75" s="370" t="s">
        <v>310</v>
      </c>
      <c r="C75" s="382" t="s">
        <v>8</v>
      </c>
      <c r="D75" s="496">
        <v>64.099999999999994</v>
      </c>
      <c r="E75" s="342">
        <v>208775</v>
      </c>
      <c r="F75" s="340">
        <f t="shared" si="2"/>
        <v>13382478</v>
      </c>
    </row>
    <row r="76" spans="1:6">
      <c r="A76" s="337" t="s">
        <v>1507</v>
      </c>
      <c r="B76" s="370" t="s">
        <v>311</v>
      </c>
      <c r="C76" s="382" t="s">
        <v>8</v>
      </c>
      <c r="D76" s="496">
        <v>109.98</v>
      </c>
      <c r="E76" s="342">
        <v>300745</v>
      </c>
      <c r="F76" s="340">
        <f t="shared" si="2"/>
        <v>33075935</v>
      </c>
    </row>
    <row r="77" spans="1:6" ht="15.95" customHeight="1">
      <c r="A77" s="608" t="s">
        <v>958</v>
      </c>
      <c r="B77" s="609"/>
      <c r="C77" s="609"/>
      <c r="D77" s="609"/>
      <c r="E77" s="610"/>
      <c r="F77" s="479">
        <f>+SUM(F43:F76)</f>
        <v>417834093</v>
      </c>
    </row>
    <row r="78" spans="1:6" ht="15.95" customHeight="1">
      <c r="A78" s="476" t="s">
        <v>15</v>
      </c>
      <c r="B78" s="334" t="s">
        <v>174</v>
      </c>
      <c r="C78" s="477"/>
      <c r="D78" s="476"/>
      <c r="E78" s="476"/>
      <c r="F78" s="476"/>
    </row>
    <row r="79" spans="1:6" ht="15.95" customHeight="1">
      <c r="A79" s="337" t="s">
        <v>1508</v>
      </c>
      <c r="B79" s="204" t="s">
        <v>307</v>
      </c>
      <c r="C79" s="382" t="s">
        <v>7</v>
      </c>
      <c r="D79" s="337">
        <v>16</v>
      </c>
      <c r="E79" s="342">
        <f>+'APU Suministros'!H474</f>
        <v>4735200</v>
      </c>
      <c r="F79" s="340">
        <f t="shared" ref="F79:F82" si="3">+ROUND(D79*E79,0)</f>
        <v>75763200</v>
      </c>
    </row>
    <row r="80" spans="1:6" ht="15.95" customHeight="1">
      <c r="A80" s="337" t="s">
        <v>150</v>
      </c>
      <c r="B80" s="204" t="s">
        <v>308</v>
      </c>
      <c r="C80" s="382" t="s">
        <v>7</v>
      </c>
      <c r="D80" s="337">
        <v>2</v>
      </c>
      <c r="E80" s="342">
        <f>+'APU Suministros'!H1769</f>
        <v>1213088</v>
      </c>
      <c r="F80" s="340">
        <f t="shared" si="3"/>
        <v>2426176</v>
      </c>
    </row>
    <row r="81" spans="1:6" ht="15.95" customHeight="1">
      <c r="A81" s="337" t="s">
        <v>151</v>
      </c>
      <c r="B81" s="204" t="s">
        <v>309</v>
      </c>
      <c r="C81" s="382" t="s">
        <v>7</v>
      </c>
      <c r="D81" s="337">
        <v>3</v>
      </c>
      <c r="E81" s="342">
        <f>+'APU Suministros'!H499</f>
        <v>337872</v>
      </c>
      <c r="F81" s="340">
        <f t="shared" si="3"/>
        <v>1013616</v>
      </c>
    </row>
    <row r="82" spans="1:6" ht="15.95" customHeight="1">
      <c r="A82" s="337" t="s">
        <v>152</v>
      </c>
      <c r="B82" s="207" t="s">
        <v>766</v>
      </c>
      <c r="C82" s="363" t="s">
        <v>7</v>
      </c>
      <c r="D82" s="337">
        <v>8</v>
      </c>
      <c r="E82" s="342">
        <f>+'APU Suministros'!H524</f>
        <v>266880</v>
      </c>
      <c r="F82" s="340">
        <f t="shared" si="3"/>
        <v>2135040</v>
      </c>
    </row>
    <row r="83" spans="1:6" ht="15.95" customHeight="1">
      <c r="A83" s="692" t="s">
        <v>958</v>
      </c>
      <c r="B83" s="693"/>
      <c r="C83" s="693"/>
      <c r="D83" s="693"/>
      <c r="E83" s="694"/>
      <c r="F83" s="478">
        <f>+SUM(F79:F82)</f>
        <v>81338032</v>
      </c>
    </row>
    <row r="84" spans="1:6">
      <c r="A84" s="476">
        <v>7</v>
      </c>
      <c r="B84" s="576" t="s">
        <v>17</v>
      </c>
      <c r="C84" s="577"/>
      <c r="D84" s="577"/>
      <c r="E84" s="577"/>
      <c r="F84" s="578"/>
    </row>
    <row r="85" spans="1:6" ht="15.95" customHeight="1">
      <c r="A85" s="476" t="s">
        <v>82</v>
      </c>
      <c r="B85" s="371" t="s">
        <v>10</v>
      </c>
      <c r="C85" s="335"/>
      <c r="D85" s="470"/>
      <c r="E85" s="335"/>
      <c r="F85" s="336"/>
    </row>
    <row r="86" spans="1:6">
      <c r="A86" s="337" t="s">
        <v>1509</v>
      </c>
      <c r="B86" s="207" t="s">
        <v>383</v>
      </c>
      <c r="C86" s="337" t="s">
        <v>7</v>
      </c>
      <c r="D86" s="496">
        <v>9</v>
      </c>
      <c r="E86" s="342">
        <v>266880</v>
      </c>
      <c r="F86" s="340">
        <f t="shared" ref="F86:F90" si="4">+ROUND(D86*E86,0)</f>
        <v>2401920</v>
      </c>
    </row>
    <row r="87" spans="1:6">
      <c r="A87" s="337" t="s">
        <v>1510</v>
      </c>
      <c r="B87" s="207" t="s">
        <v>384</v>
      </c>
      <c r="C87" s="337" t="s">
        <v>7</v>
      </c>
      <c r="D87" s="496">
        <v>3</v>
      </c>
      <c r="E87" s="342">
        <v>337872</v>
      </c>
      <c r="F87" s="340">
        <f t="shared" si="4"/>
        <v>1013616</v>
      </c>
    </row>
    <row r="88" spans="1:6" ht="33">
      <c r="A88" s="337" t="s">
        <v>1511</v>
      </c>
      <c r="B88" s="204" t="s">
        <v>315</v>
      </c>
      <c r="C88" s="337" t="s">
        <v>7</v>
      </c>
      <c r="D88" s="496">
        <v>4</v>
      </c>
      <c r="E88" s="342">
        <v>915200</v>
      </c>
      <c r="F88" s="340">
        <f t="shared" si="4"/>
        <v>3660800</v>
      </c>
    </row>
    <row r="89" spans="1:6">
      <c r="A89" s="337" t="s">
        <v>1512</v>
      </c>
      <c r="B89" s="204" t="s">
        <v>385</v>
      </c>
      <c r="C89" s="337" t="s">
        <v>7</v>
      </c>
      <c r="D89" s="496">
        <v>2</v>
      </c>
      <c r="E89" s="342">
        <v>94924</v>
      </c>
      <c r="F89" s="340">
        <f t="shared" si="4"/>
        <v>189848</v>
      </c>
    </row>
    <row r="90" spans="1:6">
      <c r="A90" s="337" t="s">
        <v>1513</v>
      </c>
      <c r="B90" s="204" t="s">
        <v>386</v>
      </c>
      <c r="C90" s="337" t="s">
        <v>7</v>
      </c>
      <c r="D90" s="496">
        <v>1</v>
      </c>
      <c r="E90" s="342">
        <v>103972</v>
      </c>
      <c r="F90" s="340">
        <f t="shared" si="4"/>
        <v>103972</v>
      </c>
    </row>
    <row r="91" spans="1:6">
      <c r="A91" s="608" t="s">
        <v>958</v>
      </c>
      <c r="B91" s="609"/>
      <c r="C91" s="609"/>
      <c r="D91" s="609"/>
      <c r="E91" s="610"/>
      <c r="F91" s="478">
        <f>+SUM(F86:F90)</f>
        <v>7370156</v>
      </c>
    </row>
    <row r="92" spans="1:6">
      <c r="A92" s="476">
        <v>10</v>
      </c>
      <c r="B92" s="576" t="s">
        <v>1447</v>
      </c>
      <c r="C92" s="577"/>
      <c r="D92" s="577"/>
      <c r="E92" s="577"/>
      <c r="F92" s="578"/>
    </row>
    <row r="93" spans="1:6" ht="15.95" customHeight="1">
      <c r="A93" s="476"/>
      <c r="B93" s="371" t="s">
        <v>77</v>
      </c>
      <c r="C93" s="335"/>
      <c r="D93" s="470"/>
      <c r="E93" s="335"/>
      <c r="F93" s="336"/>
    </row>
    <row r="94" spans="1:6">
      <c r="A94" s="423" t="s">
        <v>1390</v>
      </c>
      <c r="B94" s="424" t="s">
        <v>837</v>
      </c>
      <c r="C94" s="437"/>
      <c r="D94" s="438"/>
      <c r="E94" s="439"/>
      <c r="F94" s="440"/>
    </row>
    <row r="95" spans="1:6">
      <c r="A95" s="423"/>
      <c r="B95" s="424" t="s">
        <v>838</v>
      </c>
      <c r="C95" s="437"/>
      <c r="D95" s="438"/>
      <c r="E95" s="439"/>
      <c r="F95" s="440"/>
    </row>
    <row r="96" spans="1:6">
      <c r="A96" s="429" t="s">
        <v>1391</v>
      </c>
      <c r="B96" s="430" t="s">
        <v>839</v>
      </c>
      <c r="C96" s="546" t="s">
        <v>157</v>
      </c>
      <c r="D96" s="497">
        <v>1</v>
      </c>
      <c r="E96" s="351">
        <v>117963</v>
      </c>
      <c r="F96" s="340">
        <f t="shared" ref="F96:F97" si="5">+ROUND(D96*E96,0)</f>
        <v>117963</v>
      </c>
    </row>
    <row r="97" spans="1:6">
      <c r="A97" s="429" t="s">
        <v>1392</v>
      </c>
      <c r="B97" s="430" t="s">
        <v>840</v>
      </c>
      <c r="C97" s="546" t="s">
        <v>157</v>
      </c>
      <c r="D97" s="497">
        <v>3</v>
      </c>
      <c r="E97" s="351">
        <v>80054</v>
      </c>
      <c r="F97" s="340">
        <f t="shared" si="5"/>
        <v>240162</v>
      </c>
    </row>
    <row r="98" spans="1:6">
      <c r="A98" s="429"/>
      <c r="B98" s="430"/>
      <c r="C98" s="431"/>
      <c r="D98" s="432"/>
      <c r="E98" s="435" t="s">
        <v>958</v>
      </c>
      <c r="F98" s="517">
        <f>SUM(F96:F97)</f>
        <v>358125</v>
      </c>
    </row>
    <row r="99" spans="1:6" ht="33">
      <c r="A99" s="423" t="s">
        <v>1393</v>
      </c>
      <c r="B99" s="424" t="s">
        <v>1670</v>
      </c>
      <c r="C99" s="437"/>
      <c r="D99" s="438"/>
      <c r="E99" s="439"/>
      <c r="F99" s="440"/>
    </row>
    <row r="100" spans="1:6">
      <c r="A100" s="429" t="s">
        <v>1394</v>
      </c>
      <c r="B100" s="430" t="s">
        <v>842</v>
      </c>
      <c r="C100" s="431" t="s">
        <v>157</v>
      </c>
      <c r="D100" s="496">
        <v>2</v>
      </c>
      <c r="E100" s="342">
        <v>309037</v>
      </c>
      <c r="F100" s="340">
        <f t="shared" ref="F100:F101" si="6">+ROUND(D100*E100,0)</f>
        <v>618074</v>
      </c>
    </row>
    <row r="101" spans="1:6">
      <c r="A101" s="429" t="s">
        <v>1395</v>
      </c>
      <c r="B101" s="430" t="s">
        <v>843</v>
      </c>
      <c r="C101" s="431" t="s">
        <v>157</v>
      </c>
      <c r="D101" s="496">
        <v>2</v>
      </c>
      <c r="E101" s="342">
        <v>55753</v>
      </c>
      <c r="F101" s="340">
        <f t="shared" si="6"/>
        <v>111506</v>
      </c>
    </row>
    <row r="102" spans="1:6">
      <c r="A102" s="429"/>
      <c r="B102" s="430"/>
      <c r="C102" s="431"/>
      <c r="D102" s="432"/>
      <c r="E102" s="435" t="s">
        <v>958</v>
      </c>
      <c r="F102" s="517">
        <f>SUM(F100:F101)</f>
        <v>729580</v>
      </c>
    </row>
    <row r="103" spans="1:6">
      <c r="A103" s="423" t="s">
        <v>1396</v>
      </c>
      <c r="B103" s="424" t="s">
        <v>844</v>
      </c>
      <c r="C103" s="437"/>
      <c r="D103" s="438"/>
      <c r="E103" s="439"/>
      <c r="F103" s="440"/>
    </row>
    <row r="104" spans="1:6">
      <c r="A104" s="423"/>
      <c r="B104" s="424" t="s">
        <v>838</v>
      </c>
      <c r="C104" s="437"/>
      <c r="D104" s="438"/>
      <c r="E104" s="439"/>
      <c r="F104" s="440"/>
    </row>
    <row r="105" spans="1:6">
      <c r="A105" s="429" t="s">
        <v>1397</v>
      </c>
      <c r="B105" s="430" t="s">
        <v>845</v>
      </c>
      <c r="C105" s="431" t="s">
        <v>157</v>
      </c>
      <c r="D105" s="496">
        <v>3</v>
      </c>
      <c r="E105" s="342">
        <v>117963</v>
      </c>
      <c r="F105" s="340">
        <f t="shared" ref="F105:F106" si="7">+ROUND(D105*E105,0)</f>
        <v>353889</v>
      </c>
    </row>
    <row r="106" spans="1:6">
      <c r="A106" s="429" t="s">
        <v>1448</v>
      </c>
      <c r="B106" s="430" t="s">
        <v>840</v>
      </c>
      <c r="C106" s="431" t="s">
        <v>157</v>
      </c>
      <c r="D106" s="496">
        <v>24</v>
      </c>
      <c r="E106" s="342">
        <v>80054</v>
      </c>
      <c r="F106" s="340">
        <f t="shared" si="7"/>
        <v>1921296</v>
      </c>
    </row>
    <row r="107" spans="1:6">
      <c r="A107" s="429"/>
      <c r="B107" s="430"/>
      <c r="C107" s="431"/>
      <c r="D107" s="432"/>
      <c r="E107" s="435" t="s">
        <v>958</v>
      </c>
      <c r="F107" s="517">
        <f>SUM(F105:F106)</f>
        <v>2275185</v>
      </c>
    </row>
    <row r="108" spans="1:6">
      <c r="A108" s="423" t="s">
        <v>1398</v>
      </c>
      <c r="B108" s="424" t="s">
        <v>841</v>
      </c>
      <c r="C108" s="437"/>
      <c r="D108" s="438"/>
      <c r="E108" s="439"/>
      <c r="F108" s="440"/>
    </row>
    <row r="109" spans="1:6">
      <c r="A109" s="429" t="s">
        <v>1399</v>
      </c>
      <c r="B109" s="430" t="s">
        <v>842</v>
      </c>
      <c r="C109" s="431" t="s">
        <v>157</v>
      </c>
      <c r="D109" s="496">
        <v>16</v>
      </c>
      <c r="E109" s="342">
        <v>309037</v>
      </c>
      <c r="F109" s="340">
        <f t="shared" ref="F109:F110" si="8">+ROUND(D109*E109,0)</f>
        <v>4944592</v>
      </c>
    </row>
    <row r="110" spans="1:6">
      <c r="A110" s="429" t="s">
        <v>1400</v>
      </c>
      <c r="B110" s="430" t="s">
        <v>843</v>
      </c>
      <c r="C110" s="431" t="s">
        <v>157</v>
      </c>
      <c r="D110" s="496">
        <v>8</v>
      </c>
      <c r="E110" s="342">
        <v>55753</v>
      </c>
      <c r="F110" s="340">
        <f t="shared" si="8"/>
        <v>446024</v>
      </c>
    </row>
    <row r="111" spans="1:6">
      <c r="A111" s="429"/>
      <c r="B111" s="430"/>
      <c r="C111" s="431"/>
      <c r="D111" s="432"/>
      <c r="E111" s="441" t="s">
        <v>958</v>
      </c>
      <c r="F111" s="517">
        <f>SUM(F109:F110)</f>
        <v>5390616</v>
      </c>
    </row>
    <row r="112" spans="1:6" ht="33">
      <c r="A112" s="423" t="s">
        <v>1401</v>
      </c>
      <c r="B112" s="424" t="s">
        <v>846</v>
      </c>
      <c r="C112" s="437"/>
      <c r="D112" s="438"/>
      <c r="E112" s="453"/>
      <c r="F112" s="454"/>
    </row>
    <row r="113" spans="1:6">
      <c r="A113" s="429" t="s">
        <v>1402</v>
      </c>
      <c r="B113" s="430" t="s">
        <v>847</v>
      </c>
      <c r="C113" s="431" t="s">
        <v>157</v>
      </c>
      <c r="D113" s="496">
        <v>1</v>
      </c>
      <c r="E113" s="342">
        <v>1350000</v>
      </c>
      <c r="F113" s="340">
        <f t="shared" ref="F113:F116" si="9">+ROUND(D113*E113,0)</f>
        <v>1350000</v>
      </c>
    </row>
    <row r="114" spans="1:6">
      <c r="A114" s="429" t="s">
        <v>1403</v>
      </c>
      <c r="B114" s="430" t="s">
        <v>848</v>
      </c>
      <c r="C114" s="431" t="s">
        <v>157</v>
      </c>
      <c r="D114" s="496">
        <v>1</v>
      </c>
      <c r="E114" s="342">
        <v>1950000</v>
      </c>
      <c r="F114" s="340">
        <f t="shared" si="9"/>
        <v>1950000</v>
      </c>
    </row>
    <row r="115" spans="1:6">
      <c r="A115" s="429" t="s">
        <v>1404</v>
      </c>
      <c r="B115" s="430" t="s">
        <v>852</v>
      </c>
      <c r="C115" s="431" t="s">
        <v>493</v>
      </c>
      <c r="D115" s="496">
        <v>40</v>
      </c>
      <c r="E115" s="342">
        <v>24500</v>
      </c>
      <c r="F115" s="340">
        <f t="shared" si="9"/>
        <v>980000</v>
      </c>
    </row>
    <row r="116" spans="1:6">
      <c r="A116" s="429" t="s">
        <v>1405</v>
      </c>
      <c r="B116" s="430" t="s">
        <v>850</v>
      </c>
      <c r="C116" s="431" t="s">
        <v>157</v>
      </c>
      <c r="D116" s="496">
        <v>2</v>
      </c>
      <c r="E116" s="342">
        <v>186000</v>
      </c>
      <c r="F116" s="340">
        <f t="shared" si="9"/>
        <v>372000</v>
      </c>
    </row>
    <row r="117" spans="1:6">
      <c r="A117" s="429"/>
      <c r="B117" s="430"/>
      <c r="C117" s="431"/>
      <c r="D117" s="432"/>
      <c r="E117" s="435" t="s">
        <v>958</v>
      </c>
      <c r="F117" s="517">
        <f>SUM(F113:F116)</f>
        <v>4652000</v>
      </c>
    </row>
    <row r="118" spans="1:6" ht="33">
      <c r="A118" s="423" t="s">
        <v>1406</v>
      </c>
      <c r="B118" s="424" t="s">
        <v>851</v>
      </c>
      <c r="C118" s="437"/>
      <c r="D118" s="438"/>
      <c r="E118" s="439"/>
      <c r="F118" s="440"/>
    </row>
    <row r="119" spans="1:6">
      <c r="A119" s="429" t="s">
        <v>1407</v>
      </c>
      <c r="B119" s="430" t="s">
        <v>852</v>
      </c>
      <c r="C119" s="431" t="s">
        <v>157</v>
      </c>
      <c r="D119" s="496">
        <v>25</v>
      </c>
      <c r="E119" s="342">
        <v>94766</v>
      </c>
      <c r="F119" s="340">
        <f t="shared" ref="F119:F145" si="10">+ROUND(D119*E119,0)</f>
        <v>2369150</v>
      </c>
    </row>
    <row r="120" spans="1:6">
      <c r="A120" s="429" t="s">
        <v>1408</v>
      </c>
      <c r="B120" s="430" t="s">
        <v>853</v>
      </c>
      <c r="C120" s="431" t="s">
        <v>157</v>
      </c>
      <c r="D120" s="496">
        <v>2</v>
      </c>
      <c r="E120" s="342">
        <v>949822</v>
      </c>
      <c r="F120" s="340">
        <f t="shared" si="10"/>
        <v>1899644</v>
      </c>
    </row>
    <row r="121" spans="1:6">
      <c r="A121" s="429" t="s">
        <v>1409</v>
      </c>
      <c r="B121" s="430" t="s">
        <v>854</v>
      </c>
      <c r="C121" s="431" t="s">
        <v>157</v>
      </c>
      <c r="D121" s="496">
        <v>2</v>
      </c>
      <c r="E121" s="342">
        <v>1286233</v>
      </c>
      <c r="F121" s="340">
        <f t="shared" si="10"/>
        <v>2572466</v>
      </c>
    </row>
    <row r="122" spans="1:6">
      <c r="A122" s="429" t="s">
        <v>1410</v>
      </c>
      <c r="B122" s="430" t="s">
        <v>855</v>
      </c>
      <c r="C122" s="431" t="s">
        <v>157</v>
      </c>
      <c r="D122" s="496">
        <v>2</v>
      </c>
      <c r="E122" s="342">
        <v>1268453</v>
      </c>
      <c r="F122" s="340">
        <f t="shared" si="10"/>
        <v>2536906</v>
      </c>
    </row>
    <row r="123" spans="1:6">
      <c r="A123" s="429" t="s">
        <v>1411</v>
      </c>
      <c r="B123" s="430" t="s">
        <v>856</v>
      </c>
      <c r="C123" s="431" t="s">
        <v>157</v>
      </c>
      <c r="D123" s="496">
        <v>2</v>
      </c>
      <c r="E123" s="342">
        <v>909275</v>
      </c>
      <c r="F123" s="340">
        <f t="shared" si="10"/>
        <v>1818550</v>
      </c>
    </row>
    <row r="124" spans="1:6">
      <c r="A124" s="429" t="s">
        <v>1412</v>
      </c>
      <c r="B124" s="430" t="s">
        <v>857</v>
      </c>
      <c r="C124" s="431" t="s">
        <v>157</v>
      </c>
      <c r="D124" s="496">
        <v>3</v>
      </c>
      <c r="E124" s="342">
        <v>66793</v>
      </c>
      <c r="F124" s="340">
        <f t="shared" si="10"/>
        <v>200379</v>
      </c>
    </row>
    <row r="125" spans="1:6">
      <c r="A125" s="429" t="s">
        <v>1413</v>
      </c>
      <c r="B125" s="430" t="s">
        <v>858</v>
      </c>
      <c r="C125" s="431" t="s">
        <v>676</v>
      </c>
      <c r="D125" s="496">
        <v>2</v>
      </c>
      <c r="E125" s="342">
        <v>685095</v>
      </c>
      <c r="F125" s="340">
        <f t="shared" si="10"/>
        <v>1370190</v>
      </c>
    </row>
    <row r="126" spans="1:6">
      <c r="A126" s="429" t="s">
        <v>1449</v>
      </c>
      <c r="B126" s="430" t="s">
        <v>859</v>
      </c>
      <c r="C126" s="431" t="s">
        <v>676</v>
      </c>
      <c r="D126" s="496">
        <v>1</v>
      </c>
      <c r="E126" s="342">
        <v>941726</v>
      </c>
      <c r="F126" s="340">
        <f t="shared" si="10"/>
        <v>941726</v>
      </c>
    </row>
    <row r="127" spans="1:6">
      <c r="A127" s="429" t="s">
        <v>1450</v>
      </c>
      <c r="B127" s="430" t="s">
        <v>860</v>
      </c>
      <c r="C127" s="431" t="s">
        <v>493</v>
      </c>
      <c r="D127" s="496">
        <v>231.00000000000003</v>
      </c>
      <c r="E127" s="342">
        <v>11394</v>
      </c>
      <c r="F127" s="340">
        <f t="shared" si="10"/>
        <v>2632014</v>
      </c>
    </row>
    <row r="128" spans="1:6">
      <c r="A128" s="429" t="s">
        <v>1451</v>
      </c>
      <c r="B128" s="430" t="s">
        <v>861</v>
      </c>
      <c r="C128" s="431" t="s">
        <v>157</v>
      </c>
      <c r="D128" s="496">
        <v>4</v>
      </c>
      <c r="E128" s="342">
        <v>269226</v>
      </c>
      <c r="F128" s="340">
        <f t="shared" si="10"/>
        <v>1076904</v>
      </c>
    </row>
    <row r="129" spans="1:6">
      <c r="A129" s="429" t="s">
        <v>1452</v>
      </c>
      <c r="B129" s="430" t="s">
        <v>862</v>
      </c>
      <c r="C129" s="431" t="s">
        <v>157</v>
      </c>
      <c r="D129" s="496">
        <v>1</v>
      </c>
      <c r="E129" s="342">
        <v>1241516</v>
      </c>
      <c r="F129" s="340">
        <f t="shared" si="10"/>
        <v>1241516</v>
      </c>
    </row>
    <row r="130" spans="1:6">
      <c r="A130" s="429" t="s">
        <v>1453</v>
      </c>
      <c r="B130" s="430" t="s">
        <v>863</v>
      </c>
      <c r="C130" s="431" t="s">
        <v>676</v>
      </c>
      <c r="D130" s="496">
        <v>1</v>
      </c>
      <c r="E130" s="342">
        <v>1288620</v>
      </c>
      <c r="F130" s="340">
        <f t="shared" si="10"/>
        <v>1288620</v>
      </c>
    </row>
    <row r="131" spans="1:6">
      <c r="A131" s="429" t="s">
        <v>1454</v>
      </c>
      <c r="B131" s="430" t="s">
        <v>864</v>
      </c>
      <c r="C131" s="431" t="s">
        <v>157</v>
      </c>
      <c r="D131" s="496">
        <v>1</v>
      </c>
      <c r="E131" s="342">
        <v>25427270</v>
      </c>
      <c r="F131" s="340">
        <f t="shared" si="10"/>
        <v>25427270</v>
      </c>
    </row>
    <row r="132" spans="1:6">
      <c r="A132" s="429" t="s">
        <v>1455</v>
      </c>
      <c r="B132" s="430" t="s">
        <v>865</v>
      </c>
      <c r="C132" s="431" t="s">
        <v>493</v>
      </c>
      <c r="D132" s="496">
        <v>75</v>
      </c>
      <c r="E132" s="342">
        <v>94347</v>
      </c>
      <c r="F132" s="340">
        <f t="shared" si="10"/>
        <v>7076025</v>
      </c>
    </row>
    <row r="133" spans="1:6">
      <c r="A133" s="429" t="s">
        <v>1456</v>
      </c>
      <c r="B133" s="430" t="s">
        <v>866</v>
      </c>
      <c r="C133" s="431" t="s">
        <v>676</v>
      </c>
      <c r="D133" s="496">
        <v>1</v>
      </c>
      <c r="E133" s="342">
        <v>1813255</v>
      </c>
      <c r="F133" s="340">
        <f t="shared" si="10"/>
        <v>1813255</v>
      </c>
    </row>
    <row r="134" spans="1:6">
      <c r="A134" s="429" t="s">
        <v>1457</v>
      </c>
      <c r="B134" s="430" t="s">
        <v>867</v>
      </c>
      <c r="C134" s="431" t="s">
        <v>157</v>
      </c>
      <c r="D134" s="496">
        <v>3</v>
      </c>
      <c r="E134" s="342">
        <v>226512</v>
      </c>
      <c r="F134" s="340">
        <f t="shared" si="10"/>
        <v>679536</v>
      </c>
    </row>
    <row r="135" spans="1:6">
      <c r="A135" s="429" t="s">
        <v>1458</v>
      </c>
      <c r="B135" s="430" t="s">
        <v>868</v>
      </c>
      <c r="C135" s="431" t="s">
        <v>157</v>
      </c>
      <c r="D135" s="496">
        <v>1</v>
      </c>
      <c r="E135" s="342">
        <v>4254610</v>
      </c>
      <c r="F135" s="340">
        <f t="shared" si="10"/>
        <v>4254610</v>
      </c>
    </row>
    <row r="136" spans="1:6" ht="33">
      <c r="A136" s="429" t="s">
        <v>1459</v>
      </c>
      <c r="B136" s="430" t="s">
        <v>869</v>
      </c>
      <c r="C136" s="431" t="s">
        <v>157</v>
      </c>
      <c r="D136" s="496">
        <v>1</v>
      </c>
      <c r="E136" s="342">
        <v>124449940</v>
      </c>
      <c r="F136" s="340">
        <f t="shared" si="10"/>
        <v>124449940</v>
      </c>
    </row>
    <row r="137" spans="1:6">
      <c r="A137" s="429" t="s">
        <v>1460</v>
      </c>
      <c r="B137" s="430" t="s">
        <v>870</v>
      </c>
      <c r="C137" s="431" t="s">
        <v>157</v>
      </c>
      <c r="D137" s="496">
        <v>1</v>
      </c>
      <c r="E137" s="342">
        <v>16172604</v>
      </c>
      <c r="F137" s="340">
        <f t="shared" si="10"/>
        <v>16172604</v>
      </c>
    </row>
    <row r="138" spans="1:6">
      <c r="A138" s="429" t="s">
        <v>1461</v>
      </c>
      <c r="B138" s="430" t="s">
        <v>871</v>
      </c>
      <c r="C138" s="431" t="s">
        <v>157</v>
      </c>
      <c r="D138" s="496">
        <v>1</v>
      </c>
      <c r="E138" s="342">
        <v>20804313</v>
      </c>
      <c r="F138" s="340">
        <f t="shared" si="10"/>
        <v>20804313</v>
      </c>
    </row>
    <row r="139" spans="1:6">
      <c r="A139" s="429" t="s">
        <v>1462</v>
      </c>
      <c r="B139" s="430" t="s">
        <v>872</v>
      </c>
      <c r="C139" s="431" t="s">
        <v>157</v>
      </c>
      <c r="D139" s="496">
        <v>4</v>
      </c>
      <c r="E139" s="342">
        <v>1540248</v>
      </c>
      <c r="F139" s="340">
        <f t="shared" si="10"/>
        <v>6160992</v>
      </c>
    </row>
    <row r="140" spans="1:6">
      <c r="A140" s="429" t="s">
        <v>1463</v>
      </c>
      <c r="B140" s="430" t="s">
        <v>873</v>
      </c>
      <c r="C140" s="431" t="s">
        <v>157</v>
      </c>
      <c r="D140" s="496">
        <v>1</v>
      </c>
      <c r="E140" s="342">
        <v>2419991</v>
      </c>
      <c r="F140" s="340">
        <f t="shared" si="10"/>
        <v>2419991</v>
      </c>
    </row>
    <row r="141" spans="1:6">
      <c r="A141" s="429" t="s">
        <v>1464</v>
      </c>
      <c r="B141" s="430" t="s">
        <v>874</v>
      </c>
      <c r="C141" s="431" t="s">
        <v>157</v>
      </c>
      <c r="D141" s="496">
        <v>1</v>
      </c>
      <c r="E141" s="342">
        <v>274173</v>
      </c>
      <c r="F141" s="340">
        <f t="shared" si="10"/>
        <v>274173</v>
      </c>
    </row>
    <row r="142" spans="1:6">
      <c r="A142" s="429" t="s">
        <v>1465</v>
      </c>
      <c r="B142" s="430" t="s">
        <v>875</v>
      </c>
      <c r="C142" s="431" t="s">
        <v>157</v>
      </c>
      <c r="D142" s="496">
        <v>1</v>
      </c>
      <c r="E142" s="342">
        <v>9775049</v>
      </c>
      <c r="F142" s="340">
        <f t="shared" si="10"/>
        <v>9775049</v>
      </c>
    </row>
    <row r="143" spans="1:6" ht="33">
      <c r="A143" s="429" t="s">
        <v>1466</v>
      </c>
      <c r="B143" s="430" t="s">
        <v>876</v>
      </c>
      <c r="C143" s="473" t="s">
        <v>157</v>
      </c>
      <c r="D143" s="496">
        <v>1</v>
      </c>
      <c r="E143" s="342">
        <v>4800000</v>
      </c>
      <c r="F143" s="340">
        <f t="shared" si="10"/>
        <v>4800000</v>
      </c>
    </row>
    <row r="144" spans="1:6" ht="33">
      <c r="A144" s="429" t="s">
        <v>1467</v>
      </c>
      <c r="B144" s="430" t="s">
        <v>877</v>
      </c>
      <c r="C144" s="473" t="s">
        <v>157</v>
      </c>
      <c r="D144" s="496">
        <v>4</v>
      </c>
      <c r="E144" s="342">
        <v>9780000</v>
      </c>
      <c r="F144" s="340">
        <f t="shared" si="10"/>
        <v>39120000</v>
      </c>
    </row>
    <row r="145" spans="1:6" ht="33">
      <c r="A145" s="429" t="s">
        <v>1468</v>
      </c>
      <c r="B145" s="430" t="s">
        <v>878</v>
      </c>
      <c r="C145" s="473" t="s">
        <v>157</v>
      </c>
      <c r="D145" s="496">
        <v>12</v>
      </c>
      <c r="E145" s="342">
        <v>1375000</v>
      </c>
      <c r="F145" s="340">
        <f t="shared" si="10"/>
        <v>16500000</v>
      </c>
    </row>
    <row r="146" spans="1:6">
      <c r="A146" s="429"/>
      <c r="B146" s="430"/>
      <c r="C146" s="473"/>
      <c r="D146" s="432"/>
      <c r="E146" s="441" t="s">
        <v>958</v>
      </c>
      <c r="F146" s="517">
        <f>SUM(F119:F145)</f>
        <v>299675823</v>
      </c>
    </row>
    <row r="147" spans="1:6">
      <c r="A147" s="423" t="s">
        <v>1414</v>
      </c>
      <c r="B147" s="424" t="s">
        <v>886</v>
      </c>
      <c r="C147" s="437"/>
      <c r="D147" s="438"/>
      <c r="E147" s="439"/>
      <c r="F147" s="440"/>
    </row>
    <row r="148" spans="1:6">
      <c r="A148" s="429" t="s">
        <v>1415</v>
      </c>
      <c r="B148" s="430" t="s">
        <v>886</v>
      </c>
      <c r="C148" s="474" t="s">
        <v>887</v>
      </c>
      <c r="D148" s="496">
        <v>1</v>
      </c>
      <c r="E148" s="342">
        <v>19341439</v>
      </c>
      <c r="F148" s="340">
        <f t="shared" ref="F148" si="11">+ROUND(D148*E148,0)</f>
        <v>19341439</v>
      </c>
    </row>
    <row r="149" spans="1:6">
      <c r="A149" s="429"/>
      <c r="B149" s="430"/>
      <c r="C149" s="431"/>
      <c r="D149" s="432"/>
      <c r="E149" s="435" t="s">
        <v>958</v>
      </c>
      <c r="F149" s="517">
        <f>F148</f>
        <v>19341439</v>
      </c>
    </row>
    <row r="150" spans="1:6" ht="33">
      <c r="A150" s="423" t="s">
        <v>1416</v>
      </c>
      <c r="B150" s="424" t="s">
        <v>891</v>
      </c>
      <c r="C150" s="437"/>
      <c r="D150" s="438"/>
      <c r="E150" s="439"/>
      <c r="F150" s="440"/>
    </row>
    <row r="151" spans="1:6">
      <c r="A151" s="429" t="s">
        <v>1417</v>
      </c>
      <c r="B151" s="430" t="s">
        <v>892</v>
      </c>
      <c r="C151" s="431" t="s">
        <v>493</v>
      </c>
      <c r="D151" s="496">
        <v>120</v>
      </c>
      <c r="E151" s="342">
        <v>221516</v>
      </c>
      <c r="F151" s="340">
        <f t="shared" ref="F151:F152" si="12">+ROUND(D151*E151,0)</f>
        <v>26581920</v>
      </c>
    </row>
    <row r="152" spans="1:6">
      <c r="A152" s="429" t="s">
        <v>1418</v>
      </c>
      <c r="B152" s="430" t="s">
        <v>893</v>
      </c>
      <c r="C152" s="431" t="s">
        <v>493</v>
      </c>
      <c r="D152" s="496">
        <v>10</v>
      </c>
      <c r="E152" s="342">
        <v>85062</v>
      </c>
      <c r="F152" s="340">
        <f t="shared" si="12"/>
        <v>850620</v>
      </c>
    </row>
    <row r="153" spans="1:6">
      <c r="A153" s="429"/>
      <c r="B153" s="430"/>
      <c r="C153" s="431"/>
      <c r="D153" s="432"/>
      <c r="E153" s="435" t="s">
        <v>958</v>
      </c>
      <c r="F153" s="517">
        <f>SUM(F151:F152)</f>
        <v>27432540</v>
      </c>
    </row>
    <row r="154" spans="1:6" ht="33">
      <c r="A154" s="423" t="s">
        <v>1419</v>
      </c>
      <c r="B154" s="424" t="s">
        <v>894</v>
      </c>
      <c r="C154" s="437"/>
      <c r="D154" s="438"/>
      <c r="E154" s="439"/>
      <c r="F154" s="440"/>
    </row>
    <row r="155" spans="1:6">
      <c r="A155" s="429" t="s">
        <v>1420</v>
      </c>
      <c r="B155" s="430" t="s">
        <v>895</v>
      </c>
      <c r="C155" s="431" t="s">
        <v>493</v>
      </c>
      <c r="D155" s="496">
        <v>120</v>
      </c>
      <c r="E155" s="342">
        <v>108361</v>
      </c>
      <c r="F155" s="340">
        <f t="shared" ref="F155:F156" si="13">+ROUND(D155*E155,0)</f>
        <v>13003320</v>
      </c>
    </row>
    <row r="156" spans="1:6">
      <c r="A156" s="429" t="s">
        <v>1421</v>
      </c>
      <c r="B156" s="430" t="s">
        <v>893</v>
      </c>
      <c r="C156" s="431" t="s">
        <v>493</v>
      </c>
      <c r="D156" s="496">
        <v>10</v>
      </c>
      <c r="E156" s="342">
        <v>85062</v>
      </c>
      <c r="F156" s="340">
        <f t="shared" si="13"/>
        <v>850620</v>
      </c>
    </row>
    <row r="157" spans="1:6">
      <c r="A157" s="429"/>
      <c r="B157" s="430"/>
      <c r="C157" s="431"/>
      <c r="D157" s="432"/>
      <c r="E157" s="435" t="s">
        <v>958</v>
      </c>
      <c r="F157" s="517">
        <f>SUM(F155:F156)</f>
        <v>13853940</v>
      </c>
    </row>
    <row r="158" spans="1:6" ht="33">
      <c r="A158" s="423" t="s">
        <v>1422</v>
      </c>
      <c r="B158" s="424" t="s">
        <v>896</v>
      </c>
      <c r="C158" s="437"/>
      <c r="D158" s="438"/>
      <c r="E158" s="439"/>
      <c r="F158" s="440"/>
    </row>
    <row r="159" spans="1:6">
      <c r="A159" s="429" t="s">
        <v>1423</v>
      </c>
      <c r="B159" s="430" t="s">
        <v>897</v>
      </c>
      <c r="C159" s="431" t="s">
        <v>493</v>
      </c>
      <c r="D159" s="496">
        <v>40</v>
      </c>
      <c r="E159" s="342">
        <v>44458</v>
      </c>
      <c r="F159" s="340">
        <f t="shared" ref="F159:F160" si="14">+ROUND(D159*E159,0)</f>
        <v>1778320</v>
      </c>
    </row>
    <row r="160" spans="1:6">
      <c r="A160" s="429" t="s">
        <v>1424</v>
      </c>
      <c r="B160" s="430" t="s">
        <v>829</v>
      </c>
      <c r="C160" s="431" t="s">
        <v>493</v>
      </c>
      <c r="D160" s="496">
        <v>10</v>
      </c>
      <c r="E160" s="342">
        <v>11836</v>
      </c>
      <c r="F160" s="340">
        <f t="shared" si="14"/>
        <v>118360</v>
      </c>
    </row>
    <row r="161" spans="1:6">
      <c r="A161" s="429"/>
      <c r="B161" s="430"/>
      <c r="C161" s="431"/>
      <c r="D161" s="432"/>
      <c r="E161" s="435" t="s">
        <v>958</v>
      </c>
      <c r="F161" s="517">
        <f>SUM(F159:F160)</f>
        <v>1896680</v>
      </c>
    </row>
    <row r="162" spans="1:6" ht="16.5" customHeight="1">
      <c r="A162" s="475"/>
      <c r="B162" s="475"/>
      <c r="C162" s="689" t="s">
        <v>1469</v>
      </c>
      <c r="D162" s="690"/>
      <c r="E162" s="691"/>
      <c r="F162" s="480">
        <f>F98+F102+F107+F111+F117+F146+F149+F153+F157+F161</f>
        <v>375605928</v>
      </c>
    </row>
    <row r="163" spans="1:6" ht="16.5" customHeight="1">
      <c r="A163" s="476">
        <v>11</v>
      </c>
      <c r="B163" s="576" t="s">
        <v>1660</v>
      </c>
      <c r="C163" s="577"/>
      <c r="D163" s="577"/>
      <c r="E163" s="577"/>
      <c r="F163" s="578"/>
    </row>
    <row r="164" spans="1:6" ht="15.95" customHeight="1">
      <c r="A164" s="476" t="s">
        <v>1523</v>
      </c>
      <c r="B164" s="371" t="s">
        <v>1522</v>
      </c>
      <c r="C164" s="335"/>
      <c r="D164" s="335"/>
      <c r="E164" s="335"/>
      <c r="F164" s="336"/>
    </row>
    <row r="165" spans="1:6" ht="33">
      <c r="A165" s="337" t="s">
        <v>1540</v>
      </c>
      <c r="B165" s="204" t="s">
        <v>1631</v>
      </c>
      <c r="C165" s="361" t="s">
        <v>8</v>
      </c>
      <c r="D165" s="526">
        <v>220.86</v>
      </c>
      <c r="E165" s="342">
        <v>17002</v>
      </c>
      <c r="F165" s="340">
        <f t="shared" ref="F165:F171" si="15">+ROUND(D165*E165,0)</f>
        <v>3755062</v>
      </c>
    </row>
    <row r="166" spans="1:6" ht="33">
      <c r="A166" s="337" t="s">
        <v>1541</v>
      </c>
      <c r="B166" s="204" t="s">
        <v>1632</v>
      </c>
      <c r="C166" s="361" t="s">
        <v>8</v>
      </c>
      <c r="D166" s="526">
        <v>82.44</v>
      </c>
      <c r="E166" s="342">
        <v>40006</v>
      </c>
      <c r="F166" s="340">
        <f t="shared" si="15"/>
        <v>3298095</v>
      </c>
    </row>
    <row r="167" spans="1:6" ht="33">
      <c r="A167" s="337" t="s">
        <v>1542</v>
      </c>
      <c r="B167" s="204" t="s">
        <v>1633</v>
      </c>
      <c r="C167" s="361" t="s">
        <v>8</v>
      </c>
      <c r="D167" s="526">
        <v>32.94</v>
      </c>
      <c r="E167" s="342">
        <v>59578</v>
      </c>
      <c r="F167" s="340">
        <f t="shared" si="15"/>
        <v>1962499</v>
      </c>
    </row>
    <row r="168" spans="1:6" ht="33">
      <c r="A168" s="337" t="s">
        <v>1543</v>
      </c>
      <c r="B168" s="204" t="s">
        <v>1644</v>
      </c>
      <c r="C168" s="361" t="s">
        <v>8</v>
      </c>
      <c r="D168" s="526">
        <v>24.82</v>
      </c>
      <c r="E168" s="342">
        <v>101249</v>
      </c>
      <c r="F168" s="340">
        <f t="shared" si="15"/>
        <v>2513000</v>
      </c>
    </row>
    <row r="169" spans="1:6" ht="33">
      <c r="A169" s="337" t="s">
        <v>1544</v>
      </c>
      <c r="B169" s="204" t="s">
        <v>1645</v>
      </c>
      <c r="C169" s="361" t="s">
        <v>8</v>
      </c>
      <c r="D169" s="526">
        <v>62.11</v>
      </c>
      <c r="E169" s="342">
        <v>128774</v>
      </c>
      <c r="F169" s="340">
        <f t="shared" si="15"/>
        <v>7998153</v>
      </c>
    </row>
    <row r="170" spans="1:6" ht="33">
      <c r="A170" s="337" t="s">
        <v>1642</v>
      </c>
      <c r="B170" s="204" t="s">
        <v>1634</v>
      </c>
      <c r="C170" s="361" t="s">
        <v>8</v>
      </c>
      <c r="D170" s="526">
        <v>74.619999999999976</v>
      </c>
      <c r="E170" s="342">
        <v>286761</v>
      </c>
      <c r="F170" s="340">
        <f t="shared" si="15"/>
        <v>21398106</v>
      </c>
    </row>
    <row r="171" spans="1:6" ht="33">
      <c r="A171" s="337" t="s">
        <v>1643</v>
      </c>
      <c r="B171" s="204" t="s">
        <v>1635</v>
      </c>
      <c r="C171" s="361" t="s">
        <v>8</v>
      </c>
      <c r="D171" s="526">
        <v>50</v>
      </c>
      <c r="E171" s="342">
        <v>383158</v>
      </c>
      <c r="F171" s="340">
        <f t="shared" si="15"/>
        <v>19157900</v>
      </c>
    </row>
    <row r="172" spans="1:6">
      <c r="A172" s="608" t="s">
        <v>958</v>
      </c>
      <c r="B172" s="609"/>
      <c r="C172" s="609"/>
      <c r="D172" s="609"/>
      <c r="E172" s="610"/>
      <c r="F172" s="478">
        <f>+SUM(F165:F171)</f>
        <v>60082815</v>
      </c>
    </row>
    <row r="173" spans="1:6" ht="6" customHeight="1">
      <c r="A173" s="695"/>
      <c r="B173" s="696"/>
      <c r="C173" s="696"/>
      <c r="D173" s="696"/>
      <c r="E173" s="696"/>
      <c r="F173" s="697"/>
    </row>
    <row r="174" spans="1:6" ht="16.5" customHeight="1">
      <c r="A174" s="689" t="s">
        <v>1674</v>
      </c>
      <c r="B174" s="690"/>
      <c r="C174" s="690"/>
      <c r="D174" s="690"/>
      <c r="E174" s="691"/>
      <c r="F174" s="544">
        <f>+F172+F162+F91+F83+F77+F40+F20</f>
        <v>1401569030</v>
      </c>
    </row>
    <row r="175" spans="1:6">
      <c r="A175" s="525"/>
      <c r="B175" s="530"/>
      <c r="C175" s="530"/>
      <c r="D175" s="531" t="s">
        <v>1673</v>
      </c>
      <c r="E175" s="545">
        <v>0.15</v>
      </c>
      <c r="F175" s="532">
        <f>+ROUND(F174*E175,0)</f>
        <v>210235355</v>
      </c>
    </row>
    <row r="176" spans="1:6" ht="6.75" customHeight="1">
      <c r="A176" s="695"/>
      <c r="B176" s="696"/>
      <c r="C176" s="696"/>
      <c r="D176" s="696"/>
      <c r="E176" s="696"/>
      <c r="F176" s="697"/>
    </row>
    <row r="177" spans="1:6" ht="16.5" customHeight="1">
      <c r="A177" s="689" t="s">
        <v>1671</v>
      </c>
      <c r="B177" s="690"/>
      <c r="C177" s="690"/>
      <c r="D177" s="690"/>
      <c r="E177" s="691"/>
      <c r="F177" s="544">
        <f>+F174+F175</f>
        <v>1611804385</v>
      </c>
    </row>
  </sheetData>
  <sheetProtection password="DF72" sheet="1" objects="1" scenarios="1"/>
  <mergeCells count="25">
    <mergeCell ref="A177:E177"/>
    <mergeCell ref="A173:F173"/>
    <mergeCell ref="A176:F176"/>
    <mergeCell ref="A77:E77"/>
    <mergeCell ref="A1:F1"/>
    <mergeCell ref="A4:A5"/>
    <mergeCell ref="B4:B5"/>
    <mergeCell ref="C4:C5"/>
    <mergeCell ref="D4:D5"/>
    <mergeCell ref="E4:E5"/>
    <mergeCell ref="F4:F5"/>
    <mergeCell ref="B6:F6"/>
    <mergeCell ref="A20:E20"/>
    <mergeCell ref="B21:F21"/>
    <mergeCell ref="A40:E40"/>
    <mergeCell ref="B41:F41"/>
    <mergeCell ref="A2:F2"/>
    <mergeCell ref="A174:E174"/>
    <mergeCell ref="A172:E172"/>
    <mergeCell ref="A83:E83"/>
    <mergeCell ref="B84:F84"/>
    <mergeCell ref="A91:E91"/>
    <mergeCell ref="B92:F92"/>
    <mergeCell ref="C162:E162"/>
    <mergeCell ref="B163:F163"/>
  </mergeCells>
  <pageMargins left="0.31496062992125984" right="0.31496062992125984" top="0.74803149606299213" bottom="0.74803149606299213" header="0.31496062992125984" footer="0.31496062992125984"/>
  <pageSetup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9"/>
  <sheetViews>
    <sheetView topLeftCell="A166" workbookViewId="0">
      <selection activeCell="D180" sqref="D180"/>
    </sheetView>
  </sheetViews>
  <sheetFormatPr baseColWidth="10" defaultColWidth="10.85546875" defaultRowHeight="16.5"/>
  <cols>
    <col min="1" max="1" width="15.42578125" style="329" bestFit="1" customWidth="1"/>
    <col min="2" max="2" width="44.42578125" style="329" customWidth="1"/>
    <col min="3" max="4" width="10.85546875" style="329"/>
    <col min="5" max="5" width="18.140625" style="329" bestFit="1" customWidth="1"/>
    <col min="6" max="6" width="21.85546875" style="329" bestFit="1" customWidth="1"/>
    <col min="7" max="7" width="10.85546875" style="329"/>
    <col min="8" max="8" width="12.42578125" style="329" bestFit="1" customWidth="1"/>
    <col min="9" max="9" width="17.7109375" style="329" customWidth="1"/>
    <col min="10" max="16384" width="10.85546875" style="329"/>
  </cols>
  <sheetData>
    <row r="1" spans="1:6">
      <c r="A1" s="619" t="s">
        <v>1656</v>
      </c>
      <c r="B1" s="620"/>
      <c r="C1" s="620"/>
      <c r="D1" s="620"/>
      <c r="E1" s="620"/>
      <c r="F1" s="621"/>
    </row>
    <row r="3" spans="1:6">
      <c r="A3" s="599" t="s">
        <v>0</v>
      </c>
      <c r="B3" s="600" t="s">
        <v>1</v>
      </c>
      <c r="C3" s="599" t="s">
        <v>157</v>
      </c>
      <c r="D3" s="599" t="s">
        <v>155</v>
      </c>
      <c r="E3" s="602" t="s">
        <v>156</v>
      </c>
      <c r="F3" s="604" t="s">
        <v>154</v>
      </c>
    </row>
    <row r="4" spans="1:6">
      <c r="A4" s="599"/>
      <c r="B4" s="600"/>
      <c r="C4" s="599"/>
      <c r="D4" s="599"/>
      <c r="E4" s="603"/>
      <c r="F4" s="604"/>
    </row>
    <row r="5" spans="1:6" ht="68.25" customHeight="1">
      <c r="A5" s="333">
        <v>2</v>
      </c>
      <c r="B5" s="576" t="s">
        <v>78</v>
      </c>
      <c r="C5" s="577"/>
      <c r="D5" s="577"/>
      <c r="E5" s="577"/>
      <c r="F5" s="578"/>
    </row>
    <row r="6" spans="1:6" ht="15.95" customHeight="1">
      <c r="A6" s="333" t="s">
        <v>9</v>
      </c>
      <c r="B6" s="345" t="s">
        <v>10</v>
      </c>
      <c r="C6" s="465"/>
      <c r="D6" s="465"/>
      <c r="E6" s="465"/>
      <c r="F6" s="466"/>
    </row>
    <row r="7" spans="1:6" ht="33">
      <c r="A7" s="337" t="s">
        <v>105</v>
      </c>
      <c r="B7" s="207" t="s">
        <v>159</v>
      </c>
      <c r="C7" s="338" t="s">
        <v>7</v>
      </c>
      <c r="D7" s="337">
        <v>2</v>
      </c>
      <c r="E7" s="342">
        <f>+'APU Suministros'!H900</f>
        <v>6304000</v>
      </c>
      <c r="F7" s="340">
        <f t="shared" ref="F7:F18" si="0">D7*E7</f>
        <v>12608000</v>
      </c>
    </row>
    <row r="8" spans="1:6">
      <c r="A8" s="337" t="s">
        <v>106</v>
      </c>
      <c r="B8" s="207" t="s">
        <v>14</v>
      </c>
      <c r="C8" s="338" t="s">
        <v>7</v>
      </c>
      <c r="D8" s="337">
        <v>2</v>
      </c>
      <c r="E8" s="342">
        <f>+'APU Suministros'!H825</f>
        <v>582296</v>
      </c>
      <c r="F8" s="340">
        <f t="shared" si="0"/>
        <v>1164592</v>
      </c>
    </row>
    <row r="9" spans="1:6" ht="33">
      <c r="A9" s="337" t="s">
        <v>107</v>
      </c>
      <c r="B9" s="207" t="s">
        <v>243</v>
      </c>
      <c r="C9" s="338" t="s">
        <v>7</v>
      </c>
      <c r="D9" s="337">
        <v>2</v>
      </c>
      <c r="E9" s="342">
        <f>+'APU Suministros'!H725</f>
        <v>4752000</v>
      </c>
      <c r="F9" s="340">
        <f t="shared" si="0"/>
        <v>9504000</v>
      </c>
    </row>
    <row r="10" spans="1:6">
      <c r="A10" s="337" t="s">
        <v>281</v>
      </c>
      <c r="B10" s="207" t="s">
        <v>167</v>
      </c>
      <c r="C10" s="338" t="s">
        <v>7</v>
      </c>
      <c r="D10" s="337">
        <v>1</v>
      </c>
      <c r="E10" s="342">
        <f>+'APU Suministros'!H750</f>
        <v>315580</v>
      </c>
      <c r="F10" s="340">
        <f t="shared" si="0"/>
        <v>315580</v>
      </c>
    </row>
    <row r="11" spans="1:6" ht="33">
      <c r="A11" s="337" t="s">
        <v>108</v>
      </c>
      <c r="B11" s="359" t="s">
        <v>72</v>
      </c>
      <c r="C11" s="337" t="s">
        <v>7</v>
      </c>
      <c r="D11" s="337">
        <v>2</v>
      </c>
      <c r="E11" s="342">
        <f>+'APU Suministros'!H775</f>
        <v>766048</v>
      </c>
      <c r="F11" s="340">
        <f t="shared" si="0"/>
        <v>1532096</v>
      </c>
    </row>
    <row r="12" spans="1:6" ht="18" customHeight="1">
      <c r="A12" s="337" t="s">
        <v>109</v>
      </c>
      <c r="B12" s="359" t="s">
        <v>60</v>
      </c>
      <c r="C12" s="337" t="s">
        <v>7</v>
      </c>
      <c r="D12" s="337">
        <v>2</v>
      </c>
      <c r="E12" s="342">
        <f>+'APU Suministros'!H850</f>
        <v>566296</v>
      </c>
      <c r="F12" s="340">
        <f t="shared" si="0"/>
        <v>1132592</v>
      </c>
    </row>
    <row r="13" spans="1:6">
      <c r="A13" s="337" t="s">
        <v>110</v>
      </c>
      <c r="B13" s="359" t="s">
        <v>168</v>
      </c>
      <c r="C13" s="337" t="s">
        <v>7</v>
      </c>
      <c r="D13" s="337">
        <v>1</v>
      </c>
      <c r="E13" s="342">
        <f>+'APU Suministros'!H875</f>
        <v>301360</v>
      </c>
      <c r="F13" s="340">
        <f t="shared" si="0"/>
        <v>301360</v>
      </c>
    </row>
    <row r="14" spans="1:6" ht="33">
      <c r="A14" s="337" t="s">
        <v>111</v>
      </c>
      <c r="B14" s="359" t="s">
        <v>162</v>
      </c>
      <c r="C14" s="337" t="s">
        <v>7</v>
      </c>
      <c r="D14" s="337">
        <v>2</v>
      </c>
      <c r="E14" s="342">
        <f>+'APU Suministros'!H800</f>
        <v>4457280</v>
      </c>
      <c r="F14" s="340">
        <f t="shared" si="0"/>
        <v>8914560</v>
      </c>
    </row>
    <row r="15" spans="1:6" ht="49.5">
      <c r="A15" s="337" t="s">
        <v>112</v>
      </c>
      <c r="B15" s="359" t="s">
        <v>786</v>
      </c>
      <c r="C15" s="337" t="s">
        <v>7</v>
      </c>
      <c r="D15" s="337">
        <v>1</v>
      </c>
      <c r="E15" s="342">
        <f>+'APU Suministros'!H1127</f>
        <v>9181152</v>
      </c>
      <c r="F15" s="340">
        <f t="shared" si="0"/>
        <v>9181152</v>
      </c>
    </row>
    <row r="16" spans="1:6" ht="33">
      <c r="A16" s="337" t="s">
        <v>113</v>
      </c>
      <c r="B16" s="362" t="s">
        <v>904</v>
      </c>
      <c r="C16" s="363" t="s">
        <v>8</v>
      </c>
      <c r="D16" s="337">
        <v>6</v>
      </c>
      <c r="E16" s="342">
        <f>+'APU Suministros'!H24</f>
        <v>17002</v>
      </c>
      <c r="F16" s="340">
        <f t="shared" si="0"/>
        <v>102012</v>
      </c>
    </row>
    <row r="17" spans="1:6" ht="49.5">
      <c r="A17" s="337" t="s">
        <v>114</v>
      </c>
      <c r="B17" s="467" t="s">
        <v>787</v>
      </c>
      <c r="C17" s="361" t="s">
        <v>8</v>
      </c>
      <c r="D17" s="360">
        <f>14.67+4.55+4.27+11.37</f>
        <v>34.86</v>
      </c>
      <c r="E17" s="342">
        <f>+'APU Suministros'!H49</f>
        <v>286761</v>
      </c>
      <c r="F17" s="340">
        <f t="shared" si="0"/>
        <v>9996488.459999999</v>
      </c>
    </row>
    <row r="18" spans="1:6" ht="49.5">
      <c r="A18" s="337" t="s">
        <v>115</v>
      </c>
      <c r="B18" s="467" t="s">
        <v>788</v>
      </c>
      <c r="C18" s="361" t="s">
        <v>8</v>
      </c>
      <c r="D18" s="360">
        <f>4.163+2.731+(0.427*2)</f>
        <v>7.7480000000000002</v>
      </c>
      <c r="E18" s="342">
        <f>+'APU Suministros'!H74</f>
        <v>40006</v>
      </c>
      <c r="F18" s="340">
        <f t="shared" si="0"/>
        <v>309966.48800000001</v>
      </c>
    </row>
    <row r="19" spans="1:6">
      <c r="A19" s="702" t="s">
        <v>958</v>
      </c>
      <c r="B19" s="702"/>
      <c r="C19" s="702"/>
      <c r="D19" s="702"/>
      <c r="E19" s="702"/>
      <c r="F19" s="478">
        <f>+SUM(F7:F18)</f>
        <v>55062398.947999999</v>
      </c>
    </row>
    <row r="20" spans="1:6" ht="32.25" customHeight="1">
      <c r="A20" s="333">
        <v>3</v>
      </c>
      <c r="B20" s="576" t="s">
        <v>74</v>
      </c>
      <c r="C20" s="577"/>
      <c r="D20" s="577"/>
      <c r="E20" s="577"/>
      <c r="F20" s="578"/>
    </row>
    <row r="21" spans="1:6" ht="15.95" customHeight="1">
      <c r="A21" s="333" t="s">
        <v>81</v>
      </c>
      <c r="B21" s="371" t="s">
        <v>790</v>
      </c>
      <c r="C21" s="335"/>
      <c r="D21" s="335"/>
      <c r="E21" s="335"/>
      <c r="F21" s="336"/>
    </row>
    <row r="22" spans="1:6">
      <c r="A22" s="337" t="s">
        <v>1470</v>
      </c>
      <c r="B22" s="207" t="s">
        <v>316</v>
      </c>
      <c r="C22" s="337" t="s">
        <v>7</v>
      </c>
      <c r="D22" s="337">
        <v>5</v>
      </c>
      <c r="E22" s="342">
        <f>+'APU Suministros'!H399</f>
        <v>468542</v>
      </c>
      <c r="F22" s="340">
        <f t="shared" ref="F22:F37" si="1">D22*E22</f>
        <v>2342710</v>
      </c>
    </row>
    <row r="23" spans="1:6">
      <c r="A23" s="337" t="s">
        <v>1471</v>
      </c>
      <c r="B23" s="468" t="s">
        <v>317</v>
      </c>
      <c r="C23" s="337" t="s">
        <v>7</v>
      </c>
      <c r="D23" s="337">
        <v>2</v>
      </c>
      <c r="E23" s="342">
        <f>+'APU Suministros'!H424</f>
        <v>3583374</v>
      </c>
      <c r="F23" s="340">
        <f t="shared" si="1"/>
        <v>7166748</v>
      </c>
    </row>
    <row r="24" spans="1:6" ht="33">
      <c r="A24" s="337" t="s">
        <v>1472</v>
      </c>
      <c r="B24" s="207" t="s">
        <v>318</v>
      </c>
      <c r="C24" s="337" t="s">
        <v>7</v>
      </c>
      <c r="D24" s="337">
        <v>5</v>
      </c>
      <c r="E24" s="342">
        <f>+'APU Suministros'!H925</f>
        <v>291200</v>
      </c>
      <c r="F24" s="340">
        <f t="shared" si="1"/>
        <v>1456000</v>
      </c>
    </row>
    <row r="25" spans="1:6">
      <c r="A25" s="337" t="s">
        <v>129</v>
      </c>
      <c r="B25" s="207" t="s">
        <v>319</v>
      </c>
      <c r="C25" s="337" t="s">
        <v>7</v>
      </c>
      <c r="D25" s="337">
        <v>2</v>
      </c>
      <c r="E25" s="342">
        <f>+'APU Suministros'!H950</f>
        <v>2251200</v>
      </c>
      <c r="F25" s="340">
        <f t="shared" si="1"/>
        <v>4502400</v>
      </c>
    </row>
    <row r="26" spans="1:6">
      <c r="A26" s="337" t="s">
        <v>130</v>
      </c>
      <c r="B26" s="204" t="s">
        <v>322</v>
      </c>
      <c r="C26" s="337" t="s">
        <v>7</v>
      </c>
      <c r="D26" s="337">
        <v>2</v>
      </c>
      <c r="E26" s="342">
        <f>+'APU Suministros'!H550</f>
        <v>44676</v>
      </c>
      <c r="F26" s="340">
        <f t="shared" si="1"/>
        <v>89352</v>
      </c>
    </row>
    <row r="27" spans="1:6">
      <c r="A27" s="337" t="s">
        <v>282</v>
      </c>
      <c r="B27" s="204" t="s">
        <v>320</v>
      </c>
      <c r="C27" s="337" t="s">
        <v>7</v>
      </c>
      <c r="D27" s="337">
        <v>1</v>
      </c>
      <c r="E27" s="342">
        <f>+'APU Suministros'!H575</f>
        <v>192484</v>
      </c>
      <c r="F27" s="340">
        <f t="shared" si="1"/>
        <v>192484</v>
      </c>
    </row>
    <row r="28" spans="1:6">
      <c r="A28" s="337" t="s">
        <v>131</v>
      </c>
      <c r="B28" s="204" t="s">
        <v>321</v>
      </c>
      <c r="C28" s="337" t="s">
        <v>7</v>
      </c>
      <c r="D28" s="337">
        <v>10</v>
      </c>
      <c r="E28" s="342">
        <f>+'APU Suministros'!H600</f>
        <v>147808</v>
      </c>
      <c r="F28" s="340">
        <f t="shared" si="1"/>
        <v>1478080</v>
      </c>
    </row>
    <row r="29" spans="1:6" ht="41.25" customHeight="1">
      <c r="A29" s="337" t="s">
        <v>132</v>
      </c>
      <c r="B29" s="204" t="s">
        <v>323</v>
      </c>
      <c r="C29" s="337" t="s">
        <v>7</v>
      </c>
      <c r="D29" s="337">
        <v>2</v>
      </c>
      <c r="E29" s="342">
        <f>+'APU Suministros'!H625</f>
        <v>178981</v>
      </c>
      <c r="F29" s="340">
        <f t="shared" si="1"/>
        <v>357962</v>
      </c>
    </row>
    <row r="30" spans="1:6" ht="30.75" customHeight="1">
      <c r="A30" s="337" t="s">
        <v>133</v>
      </c>
      <c r="B30" s="207" t="s">
        <v>292</v>
      </c>
      <c r="C30" s="337" t="s">
        <v>7</v>
      </c>
      <c r="D30" s="337">
        <v>7</v>
      </c>
      <c r="E30" s="342">
        <f>+'APU Suministros'!H975</f>
        <v>442480</v>
      </c>
      <c r="F30" s="340">
        <f t="shared" si="1"/>
        <v>3097360</v>
      </c>
    </row>
    <row r="31" spans="1:6" ht="33">
      <c r="A31" s="337" t="s">
        <v>1473</v>
      </c>
      <c r="B31" s="204" t="s">
        <v>293</v>
      </c>
      <c r="C31" s="337" t="s">
        <v>7</v>
      </c>
      <c r="D31" s="337">
        <v>5</v>
      </c>
      <c r="E31" s="342">
        <f>+'APU Suministros'!H1000</f>
        <v>1822982</v>
      </c>
      <c r="F31" s="340">
        <f t="shared" si="1"/>
        <v>9114910</v>
      </c>
    </row>
    <row r="32" spans="1:6" ht="33">
      <c r="A32" s="337" t="s">
        <v>134</v>
      </c>
      <c r="B32" s="204" t="s">
        <v>294</v>
      </c>
      <c r="C32" s="337" t="s">
        <v>7</v>
      </c>
      <c r="D32" s="337">
        <v>7</v>
      </c>
      <c r="E32" s="342">
        <f>+'APU Suministros'!H449</f>
        <v>4736000</v>
      </c>
      <c r="F32" s="340">
        <f t="shared" si="1"/>
        <v>33152000</v>
      </c>
    </row>
    <row r="33" spans="1:6">
      <c r="A33" s="337" t="s">
        <v>135</v>
      </c>
      <c r="B33" s="207" t="s">
        <v>169</v>
      </c>
      <c r="C33" s="337" t="s">
        <v>7</v>
      </c>
      <c r="D33" s="337">
        <v>6</v>
      </c>
      <c r="E33" s="342">
        <f>+'APU Suministros'!H1025</f>
        <v>2307232</v>
      </c>
      <c r="F33" s="340">
        <f t="shared" si="1"/>
        <v>13843392</v>
      </c>
    </row>
    <row r="34" spans="1:6" ht="33">
      <c r="A34" s="337" t="s">
        <v>136</v>
      </c>
      <c r="B34" s="207" t="s">
        <v>324</v>
      </c>
      <c r="C34" s="337" t="s">
        <v>7</v>
      </c>
      <c r="D34" s="337">
        <v>1</v>
      </c>
      <c r="E34" s="342">
        <f>+'APU Suministros'!H1050</f>
        <v>847712</v>
      </c>
      <c r="F34" s="340">
        <f t="shared" si="1"/>
        <v>847712</v>
      </c>
    </row>
    <row r="35" spans="1:6">
      <c r="A35" s="337" t="s">
        <v>283</v>
      </c>
      <c r="B35" s="207" t="s">
        <v>325</v>
      </c>
      <c r="C35" s="337" t="s">
        <v>7</v>
      </c>
      <c r="D35" s="337">
        <v>4</v>
      </c>
      <c r="E35" s="342">
        <f>+'APU Suministros'!H1075</f>
        <v>8318900</v>
      </c>
      <c r="F35" s="340">
        <f t="shared" si="1"/>
        <v>33275600</v>
      </c>
    </row>
    <row r="36" spans="1:6" ht="115.5">
      <c r="A36" s="337" t="s">
        <v>1474</v>
      </c>
      <c r="B36" s="370" t="s">
        <v>789</v>
      </c>
      <c r="C36" s="337" t="s">
        <v>7</v>
      </c>
      <c r="D36" s="337">
        <v>5</v>
      </c>
      <c r="E36" s="342">
        <f>+'APU Suministros'!H1102</f>
        <v>51670640</v>
      </c>
      <c r="F36" s="340">
        <f t="shared" si="1"/>
        <v>258353200</v>
      </c>
    </row>
    <row r="37" spans="1:6" ht="33">
      <c r="A37" s="348" t="s">
        <v>1475</v>
      </c>
      <c r="B37" s="204" t="s">
        <v>748</v>
      </c>
      <c r="C37" s="382" t="s">
        <v>8</v>
      </c>
      <c r="D37" s="382">
        <f>4.9+3.61+3.59+2.83+3.72+3.72+3.3+4+4+5.4+4+4</f>
        <v>47.07</v>
      </c>
      <c r="E37" s="469">
        <f>+'APU Suministros'!H124</f>
        <v>144475</v>
      </c>
      <c r="F37" s="340">
        <f t="shared" si="1"/>
        <v>6800438.25</v>
      </c>
    </row>
    <row r="38" spans="1:6" ht="33">
      <c r="A38" s="348" t="s">
        <v>284</v>
      </c>
      <c r="B38" s="204" t="s">
        <v>299</v>
      </c>
      <c r="C38" s="348" t="s">
        <v>8</v>
      </c>
      <c r="D38" s="348">
        <f>2.35+2.35+1.82+2.35+2.35+27.99+6.69+28+6.9</f>
        <v>80.800000000000011</v>
      </c>
      <c r="E38" s="351">
        <f>+'APU Suministros'!H149</f>
        <v>349074</v>
      </c>
      <c r="F38" s="352">
        <f>D38*E38</f>
        <v>28205179.200000003</v>
      </c>
    </row>
    <row r="39" spans="1:6">
      <c r="A39" s="703" t="s">
        <v>958</v>
      </c>
      <c r="B39" s="703"/>
      <c r="C39" s="703"/>
      <c r="D39" s="703"/>
      <c r="E39" s="703"/>
      <c r="F39" s="479">
        <f>+SUM(F22:F38)</f>
        <v>404275527.44999999</v>
      </c>
    </row>
    <row r="40" spans="1:6">
      <c r="A40" s="333">
        <v>4</v>
      </c>
      <c r="B40" s="576" t="s">
        <v>16</v>
      </c>
      <c r="C40" s="577"/>
      <c r="D40" s="577"/>
      <c r="E40" s="577"/>
      <c r="F40" s="578"/>
    </row>
    <row r="41" spans="1:6">
      <c r="A41" s="333" t="s">
        <v>13</v>
      </c>
      <c r="B41" s="371" t="s">
        <v>790</v>
      </c>
      <c r="C41" s="335"/>
      <c r="D41" s="470"/>
      <c r="E41" s="335"/>
      <c r="F41" s="335"/>
    </row>
    <row r="42" spans="1:6">
      <c r="A42" s="337" t="s">
        <v>1476</v>
      </c>
      <c r="B42" s="359" t="s">
        <v>337</v>
      </c>
      <c r="C42" s="337" t="s">
        <v>7</v>
      </c>
      <c r="D42" s="339">
        <v>2</v>
      </c>
      <c r="E42" s="342">
        <f>+'APU Suministros'!H1227</f>
        <v>3738176</v>
      </c>
      <c r="F42" s="340">
        <f>+D42*E42</f>
        <v>7476352</v>
      </c>
    </row>
    <row r="43" spans="1:6" ht="33">
      <c r="A43" s="337" t="s">
        <v>134</v>
      </c>
      <c r="B43" s="204" t="s">
        <v>294</v>
      </c>
      <c r="C43" s="337" t="s">
        <v>7</v>
      </c>
      <c r="D43" s="339">
        <v>8</v>
      </c>
      <c r="E43" s="342">
        <f>+'APU Suministros'!H449</f>
        <v>4736000</v>
      </c>
      <c r="F43" s="340">
        <f t="shared" ref="F43" si="2">D43*E43</f>
        <v>37888000</v>
      </c>
    </row>
    <row r="44" spans="1:6" ht="33">
      <c r="A44" s="337" t="s">
        <v>134</v>
      </c>
      <c r="B44" s="204" t="s">
        <v>779</v>
      </c>
      <c r="C44" s="337" t="s">
        <v>7</v>
      </c>
      <c r="D44" s="339">
        <v>2</v>
      </c>
      <c r="E44" s="342">
        <f>+'APU Suministros'!H650</f>
        <v>6425422</v>
      </c>
      <c r="F44" s="340">
        <f t="shared" ref="F44" si="3">D44*E44</f>
        <v>12850844</v>
      </c>
    </row>
    <row r="45" spans="1:6" ht="33">
      <c r="A45" s="337" t="s">
        <v>1477</v>
      </c>
      <c r="B45" s="204" t="s">
        <v>1655</v>
      </c>
      <c r="C45" s="337" t="s">
        <v>7</v>
      </c>
      <c r="D45" s="339">
        <v>1</v>
      </c>
      <c r="E45" s="342">
        <f>+'APU Suministros'!H675</f>
        <v>6852800</v>
      </c>
      <c r="F45" s="340">
        <f t="shared" ref="F45:F75" si="4">+D45*E45</f>
        <v>6852800</v>
      </c>
    </row>
    <row r="46" spans="1:6" ht="33">
      <c r="A46" s="337" t="s">
        <v>1478</v>
      </c>
      <c r="B46" s="204" t="s">
        <v>781</v>
      </c>
      <c r="C46" s="337" t="s">
        <v>7</v>
      </c>
      <c r="D46" s="339">
        <v>16</v>
      </c>
      <c r="E46" s="342">
        <f>+'APU Suministros'!H700</f>
        <v>8102171</v>
      </c>
      <c r="F46" s="340">
        <f t="shared" si="4"/>
        <v>129634736</v>
      </c>
    </row>
    <row r="47" spans="1:6">
      <c r="A47" s="337" t="s">
        <v>1479</v>
      </c>
      <c r="B47" s="204" t="s">
        <v>300</v>
      </c>
      <c r="C47" s="337" t="s">
        <v>7</v>
      </c>
      <c r="D47" s="339">
        <v>2</v>
      </c>
      <c r="E47" s="342">
        <f>+'APU Suministros'!H1152</f>
        <v>4617456</v>
      </c>
      <c r="F47" s="340">
        <f t="shared" si="4"/>
        <v>9234912</v>
      </c>
    </row>
    <row r="48" spans="1:6" ht="33">
      <c r="A48" s="337" t="s">
        <v>1480</v>
      </c>
      <c r="B48" s="204" t="s">
        <v>301</v>
      </c>
      <c r="C48" s="337" t="s">
        <v>7</v>
      </c>
      <c r="D48" s="339">
        <v>19</v>
      </c>
      <c r="E48" s="342">
        <f>+'APU Suministros'!H1202</f>
        <v>1972800</v>
      </c>
      <c r="F48" s="340">
        <f t="shared" si="4"/>
        <v>37483200</v>
      </c>
    </row>
    <row r="49" spans="1:6" ht="33">
      <c r="A49" s="337" t="s">
        <v>1481</v>
      </c>
      <c r="B49" s="204" t="s">
        <v>338</v>
      </c>
      <c r="C49" s="337" t="s">
        <v>7</v>
      </c>
      <c r="D49" s="339">
        <v>1</v>
      </c>
      <c r="E49" s="342">
        <f>+'APU Suministros'!H1177</f>
        <v>1694400</v>
      </c>
      <c r="F49" s="340">
        <f t="shared" si="4"/>
        <v>1694400</v>
      </c>
    </row>
    <row r="50" spans="1:6">
      <c r="A50" s="337" t="s">
        <v>1482</v>
      </c>
      <c r="B50" s="359" t="s">
        <v>363</v>
      </c>
      <c r="C50" s="337" t="s">
        <v>7</v>
      </c>
      <c r="D50" s="339">
        <v>24</v>
      </c>
      <c r="E50" s="342">
        <f>+'APU Suministros'!H399</f>
        <v>468542</v>
      </c>
      <c r="F50" s="340">
        <f t="shared" si="4"/>
        <v>11245008</v>
      </c>
    </row>
    <row r="51" spans="1:6">
      <c r="A51" s="337" t="s">
        <v>1483</v>
      </c>
      <c r="B51" s="359" t="s">
        <v>339</v>
      </c>
      <c r="C51" s="337" t="s">
        <v>7</v>
      </c>
      <c r="D51" s="339">
        <v>8</v>
      </c>
      <c r="E51" s="342">
        <f>+'APU Suministros'!H1252</f>
        <v>1310238</v>
      </c>
      <c r="F51" s="340">
        <f t="shared" si="4"/>
        <v>10481904</v>
      </c>
    </row>
    <row r="52" spans="1:6">
      <c r="A52" s="337" t="s">
        <v>1484</v>
      </c>
      <c r="B52" s="359" t="s">
        <v>340</v>
      </c>
      <c r="C52" s="337" t="s">
        <v>7</v>
      </c>
      <c r="D52" s="339">
        <v>6</v>
      </c>
      <c r="E52" s="342">
        <f>+'APU Suministros'!H1277</f>
        <v>2408526</v>
      </c>
      <c r="F52" s="340">
        <f t="shared" si="4"/>
        <v>14451156</v>
      </c>
    </row>
    <row r="53" spans="1:6">
      <c r="A53" s="337" t="s">
        <v>1485</v>
      </c>
      <c r="B53" s="204" t="s">
        <v>341</v>
      </c>
      <c r="C53" s="337" t="s">
        <v>7</v>
      </c>
      <c r="D53" s="339">
        <v>5</v>
      </c>
      <c r="E53" s="342">
        <f>+'APU Suministros'!H1302</f>
        <v>3415584</v>
      </c>
      <c r="F53" s="340">
        <f t="shared" si="4"/>
        <v>17077920</v>
      </c>
    </row>
    <row r="54" spans="1:6">
      <c r="A54" s="337" t="s">
        <v>1486</v>
      </c>
      <c r="B54" s="359" t="s">
        <v>342</v>
      </c>
      <c r="C54" s="337" t="s">
        <v>7</v>
      </c>
      <c r="D54" s="339">
        <v>1</v>
      </c>
      <c r="E54" s="342">
        <f>+'APU Suministros'!H1327</f>
        <v>1231904</v>
      </c>
      <c r="F54" s="340">
        <f t="shared" si="4"/>
        <v>1231904</v>
      </c>
    </row>
    <row r="55" spans="1:6">
      <c r="A55" s="337" t="s">
        <v>1487</v>
      </c>
      <c r="B55" s="359" t="s">
        <v>369</v>
      </c>
      <c r="C55" s="337" t="s">
        <v>7</v>
      </c>
      <c r="D55" s="339">
        <v>4</v>
      </c>
      <c r="E55" s="342">
        <f>+'APU Suministros'!H1428</f>
        <v>1474784</v>
      </c>
      <c r="F55" s="340">
        <f t="shared" si="4"/>
        <v>5899136</v>
      </c>
    </row>
    <row r="56" spans="1:6">
      <c r="A56" s="337" t="s">
        <v>1488</v>
      </c>
      <c r="B56" s="359" t="s">
        <v>371</v>
      </c>
      <c r="C56" s="337" t="s">
        <v>7</v>
      </c>
      <c r="D56" s="339">
        <v>6</v>
      </c>
      <c r="E56" s="342">
        <f>+'APU Suministros'!H1453</f>
        <v>2997632</v>
      </c>
      <c r="F56" s="340">
        <f t="shared" si="4"/>
        <v>17985792</v>
      </c>
    </row>
    <row r="57" spans="1:6">
      <c r="A57" s="337" t="s">
        <v>1489</v>
      </c>
      <c r="B57" s="359" t="s">
        <v>370</v>
      </c>
      <c r="C57" s="337" t="s">
        <v>7</v>
      </c>
      <c r="D57" s="339">
        <v>8</v>
      </c>
      <c r="E57" s="342">
        <f>+'APU Suministros'!H1377</f>
        <v>705392</v>
      </c>
      <c r="F57" s="340">
        <f t="shared" si="4"/>
        <v>5643136</v>
      </c>
    </row>
    <row r="58" spans="1:6">
      <c r="A58" s="337" t="s">
        <v>1490</v>
      </c>
      <c r="B58" s="359" t="s">
        <v>372</v>
      </c>
      <c r="C58" s="337" t="s">
        <v>7</v>
      </c>
      <c r="D58" s="339">
        <v>2</v>
      </c>
      <c r="E58" s="342">
        <f>+'APU Suministros'!H1352</f>
        <v>2014912</v>
      </c>
      <c r="F58" s="340">
        <f t="shared" si="4"/>
        <v>4029824</v>
      </c>
    </row>
    <row r="59" spans="1:6">
      <c r="A59" s="337" t="s">
        <v>1491</v>
      </c>
      <c r="B59" s="359" t="s">
        <v>373</v>
      </c>
      <c r="C59" s="337" t="s">
        <v>7</v>
      </c>
      <c r="D59" s="339">
        <v>4</v>
      </c>
      <c r="E59" s="342">
        <f>+'APU Suministros'!H1402</f>
        <v>749904</v>
      </c>
      <c r="F59" s="340">
        <f t="shared" si="4"/>
        <v>2999616</v>
      </c>
    </row>
    <row r="60" spans="1:6">
      <c r="A60" s="337" t="s">
        <v>1492</v>
      </c>
      <c r="B60" s="359" t="s">
        <v>368</v>
      </c>
      <c r="C60" s="337" t="s">
        <v>7</v>
      </c>
      <c r="D60" s="339">
        <v>24</v>
      </c>
      <c r="E60" s="342">
        <f>+'APU Suministros'!H1478</f>
        <v>33962</v>
      </c>
      <c r="F60" s="340">
        <f t="shared" si="4"/>
        <v>815088</v>
      </c>
    </row>
    <row r="61" spans="1:6">
      <c r="A61" s="337" t="s">
        <v>1493</v>
      </c>
      <c r="B61" s="359" t="s">
        <v>366</v>
      </c>
      <c r="C61" s="337" t="s">
        <v>7</v>
      </c>
      <c r="D61" s="339">
        <v>16</v>
      </c>
      <c r="E61" s="342">
        <f>+'APU Suministros'!H1503</f>
        <v>425424</v>
      </c>
      <c r="F61" s="340">
        <f t="shared" si="4"/>
        <v>6806784</v>
      </c>
    </row>
    <row r="62" spans="1:6">
      <c r="A62" s="337" t="s">
        <v>1494</v>
      </c>
      <c r="B62" s="359" t="s">
        <v>367</v>
      </c>
      <c r="C62" s="337" t="s">
        <v>7</v>
      </c>
      <c r="D62" s="339">
        <v>14</v>
      </c>
      <c r="E62" s="342">
        <f>+'APU Suministros'!H1528</f>
        <v>469166</v>
      </c>
      <c r="F62" s="340">
        <f t="shared" si="4"/>
        <v>6568324</v>
      </c>
    </row>
    <row r="63" spans="1:6">
      <c r="A63" s="337" t="s">
        <v>1495</v>
      </c>
      <c r="B63" s="359" t="s">
        <v>343</v>
      </c>
      <c r="C63" s="337" t="s">
        <v>7</v>
      </c>
      <c r="D63" s="339">
        <v>3</v>
      </c>
      <c r="E63" s="342">
        <f>+'APU Suministros'!H1552</f>
        <v>316496</v>
      </c>
      <c r="F63" s="340">
        <f t="shared" si="4"/>
        <v>949488</v>
      </c>
    </row>
    <row r="64" spans="1:6">
      <c r="A64" s="337" t="s">
        <v>1496</v>
      </c>
      <c r="B64" s="359" t="s">
        <v>350</v>
      </c>
      <c r="C64" s="337" t="s">
        <v>7</v>
      </c>
      <c r="D64" s="339">
        <v>1</v>
      </c>
      <c r="E64" s="342">
        <f>+'APU Suministros'!H1576</f>
        <v>340262</v>
      </c>
      <c r="F64" s="340">
        <f t="shared" si="4"/>
        <v>340262</v>
      </c>
    </row>
    <row r="65" spans="1:9">
      <c r="A65" s="337" t="s">
        <v>1497</v>
      </c>
      <c r="B65" s="359" t="s">
        <v>346</v>
      </c>
      <c r="C65" s="337" t="s">
        <v>7</v>
      </c>
      <c r="D65" s="339">
        <v>2</v>
      </c>
      <c r="E65" s="342">
        <f>+'APU Suministros'!H1601</f>
        <v>100993</v>
      </c>
      <c r="F65" s="340">
        <f t="shared" si="4"/>
        <v>201986</v>
      </c>
    </row>
    <row r="66" spans="1:9">
      <c r="A66" s="337" t="s">
        <v>1498</v>
      </c>
      <c r="B66" s="359" t="s">
        <v>345</v>
      </c>
      <c r="C66" s="337" t="s">
        <v>7</v>
      </c>
      <c r="D66" s="339">
        <v>6</v>
      </c>
      <c r="E66" s="342">
        <f>+'APU Suministros'!H1625</f>
        <v>131744</v>
      </c>
      <c r="F66" s="340">
        <f t="shared" si="4"/>
        <v>790464</v>
      </c>
    </row>
    <row r="67" spans="1:9">
      <c r="A67" s="337" t="s">
        <v>1499</v>
      </c>
      <c r="B67" s="359" t="s">
        <v>347</v>
      </c>
      <c r="C67" s="337" t="s">
        <v>7</v>
      </c>
      <c r="D67" s="339">
        <v>9</v>
      </c>
      <c r="E67" s="342">
        <f>+'APU Suministros'!H1649</f>
        <v>166680</v>
      </c>
      <c r="F67" s="340">
        <f t="shared" si="4"/>
        <v>1500120</v>
      </c>
    </row>
    <row r="68" spans="1:9">
      <c r="A68" s="337" t="s">
        <v>1500</v>
      </c>
      <c r="B68" s="359" t="s">
        <v>349</v>
      </c>
      <c r="C68" s="337" t="s">
        <v>7</v>
      </c>
      <c r="D68" s="339">
        <v>4</v>
      </c>
      <c r="E68" s="342">
        <f>+'APU Suministros'!H1673</f>
        <v>199216</v>
      </c>
      <c r="F68" s="340">
        <f t="shared" si="4"/>
        <v>796864</v>
      </c>
    </row>
    <row r="69" spans="1:9">
      <c r="A69" s="337" t="s">
        <v>1501</v>
      </c>
      <c r="B69" s="359" t="s">
        <v>348</v>
      </c>
      <c r="C69" s="337" t="s">
        <v>7</v>
      </c>
      <c r="D69" s="339">
        <v>6</v>
      </c>
      <c r="E69" s="342">
        <f>+'APU Suministros'!H1697</f>
        <v>260288</v>
      </c>
      <c r="F69" s="340">
        <f t="shared" si="4"/>
        <v>1561728</v>
      </c>
    </row>
    <row r="70" spans="1:9">
      <c r="A70" s="337" t="s">
        <v>1502</v>
      </c>
      <c r="B70" s="359" t="s">
        <v>344</v>
      </c>
      <c r="C70" s="337" t="s">
        <v>7</v>
      </c>
      <c r="D70" s="339">
        <v>12</v>
      </c>
      <c r="E70" s="342">
        <f>+'APU Suministros'!H1721</f>
        <v>321360</v>
      </c>
      <c r="F70" s="340">
        <f t="shared" si="4"/>
        <v>3856320</v>
      </c>
    </row>
    <row r="71" spans="1:9">
      <c r="A71" s="337" t="s">
        <v>1503</v>
      </c>
      <c r="B71" s="359" t="s">
        <v>351</v>
      </c>
      <c r="C71" s="337" t="s">
        <v>7</v>
      </c>
      <c r="D71" s="339">
        <v>1</v>
      </c>
      <c r="E71" s="342">
        <f>+'APU Suministros'!H1745</f>
        <v>614720</v>
      </c>
      <c r="F71" s="340">
        <f t="shared" si="4"/>
        <v>614720</v>
      </c>
    </row>
    <row r="72" spans="1:9" ht="15.95" customHeight="1">
      <c r="A72" s="337" t="s">
        <v>1504</v>
      </c>
      <c r="B72" s="370" t="s">
        <v>306</v>
      </c>
      <c r="C72" s="382" t="s">
        <v>8</v>
      </c>
      <c r="D72" s="337">
        <v>83.28</v>
      </c>
      <c r="E72" s="342">
        <f>+'APU Suministros'!H174</f>
        <v>94924</v>
      </c>
      <c r="F72" s="340">
        <f t="shared" si="4"/>
        <v>7905270.7199999997</v>
      </c>
    </row>
    <row r="73" spans="1:9" ht="15.95" customHeight="1">
      <c r="A73" s="337" t="s">
        <v>1505</v>
      </c>
      <c r="B73" s="370" t="s">
        <v>364</v>
      </c>
      <c r="C73" s="382" t="s">
        <v>8</v>
      </c>
      <c r="D73" s="337">
        <v>46.4</v>
      </c>
      <c r="E73" s="342">
        <f>+'APU Suministros'!H199</f>
        <v>97147</v>
      </c>
      <c r="F73" s="340">
        <f t="shared" si="4"/>
        <v>4507620.8</v>
      </c>
    </row>
    <row r="74" spans="1:9" ht="15.95" customHeight="1">
      <c r="A74" s="337" t="s">
        <v>1506</v>
      </c>
      <c r="B74" s="370" t="s">
        <v>310</v>
      </c>
      <c r="C74" s="382" t="s">
        <v>8</v>
      </c>
      <c r="D74" s="337">
        <v>64.099999999999994</v>
      </c>
      <c r="E74" s="342">
        <f>+'APU Suministros'!H224</f>
        <v>208775</v>
      </c>
      <c r="F74" s="340">
        <f t="shared" si="4"/>
        <v>13382477.499999998</v>
      </c>
      <c r="I74" s="471"/>
    </row>
    <row r="75" spans="1:9">
      <c r="A75" s="337" t="s">
        <v>1507</v>
      </c>
      <c r="B75" s="370" t="s">
        <v>311</v>
      </c>
      <c r="C75" s="382" t="s">
        <v>8</v>
      </c>
      <c r="D75" s="337">
        <v>109.98</v>
      </c>
      <c r="E75" s="342">
        <f>+'APU Suministros'!H249</f>
        <v>300745</v>
      </c>
      <c r="F75" s="340">
        <f t="shared" si="4"/>
        <v>33075935.100000001</v>
      </c>
    </row>
    <row r="76" spans="1:9" ht="15.95" customHeight="1">
      <c r="A76" s="608" t="s">
        <v>958</v>
      </c>
      <c r="B76" s="609"/>
      <c r="C76" s="609"/>
      <c r="D76" s="609"/>
      <c r="E76" s="610"/>
      <c r="F76" s="479">
        <f>+SUM(F42:F75)</f>
        <v>417834092.12000006</v>
      </c>
    </row>
    <row r="77" spans="1:9" ht="15.95" customHeight="1">
      <c r="A77" s="333" t="s">
        <v>15</v>
      </c>
      <c r="B77" s="334" t="s">
        <v>174</v>
      </c>
      <c r="C77" s="472"/>
      <c r="D77" s="333"/>
      <c r="E77" s="333"/>
      <c r="F77" s="333"/>
      <c r="I77" s="344"/>
    </row>
    <row r="78" spans="1:9" ht="15.95" customHeight="1">
      <c r="A78" s="337" t="s">
        <v>1508</v>
      </c>
      <c r="B78" s="204" t="s">
        <v>307</v>
      </c>
      <c r="C78" s="382" t="s">
        <v>7</v>
      </c>
      <c r="D78" s="337">
        <v>16</v>
      </c>
      <c r="E78" s="342">
        <f>+'APU Suministros'!H474</f>
        <v>4735200</v>
      </c>
      <c r="F78" s="340">
        <f>D78*E78</f>
        <v>75763200</v>
      </c>
    </row>
    <row r="79" spans="1:9" ht="15.95" customHeight="1">
      <c r="A79" s="337" t="s">
        <v>150</v>
      </c>
      <c r="B79" s="204" t="s">
        <v>308</v>
      </c>
      <c r="C79" s="382" t="s">
        <v>7</v>
      </c>
      <c r="D79" s="337">
        <v>2</v>
      </c>
      <c r="E79" s="342">
        <f>+'APU Suministros'!H1769</f>
        <v>1213088</v>
      </c>
      <c r="F79" s="340">
        <f>D79*E79</f>
        <v>2426176</v>
      </c>
    </row>
    <row r="80" spans="1:9" ht="15.95" customHeight="1">
      <c r="A80" s="337" t="s">
        <v>151</v>
      </c>
      <c r="B80" s="204" t="s">
        <v>309</v>
      </c>
      <c r="C80" s="382" t="s">
        <v>7</v>
      </c>
      <c r="D80" s="337">
        <v>3</v>
      </c>
      <c r="E80" s="342">
        <f>+'APU Suministros'!H499</f>
        <v>337872</v>
      </c>
      <c r="F80" s="340">
        <f>D80*E80</f>
        <v>1013616</v>
      </c>
    </row>
    <row r="81" spans="1:6" ht="15.95" customHeight="1">
      <c r="A81" s="337" t="s">
        <v>152</v>
      </c>
      <c r="B81" s="207" t="s">
        <v>766</v>
      </c>
      <c r="C81" s="363" t="s">
        <v>7</v>
      </c>
      <c r="D81" s="337">
        <v>8</v>
      </c>
      <c r="E81" s="342">
        <f>+'APU Suministros'!H524</f>
        <v>266880</v>
      </c>
      <c r="F81" s="340">
        <f>D81*E81</f>
        <v>2135040</v>
      </c>
    </row>
    <row r="82" spans="1:6" ht="15.95" customHeight="1">
      <c r="A82" s="692" t="s">
        <v>958</v>
      </c>
      <c r="B82" s="693"/>
      <c r="C82" s="693"/>
      <c r="D82" s="693"/>
      <c r="E82" s="694"/>
      <c r="F82" s="478">
        <f>+SUM(F78:F81)</f>
        <v>81338032</v>
      </c>
    </row>
    <row r="83" spans="1:6">
      <c r="A83" s="333">
        <v>7</v>
      </c>
      <c r="B83" s="576" t="s">
        <v>17</v>
      </c>
      <c r="C83" s="577"/>
      <c r="D83" s="577"/>
      <c r="E83" s="577"/>
      <c r="F83" s="578"/>
    </row>
    <row r="84" spans="1:6" ht="15.95" customHeight="1">
      <c r="A84" s="333" t="s">
        <v>82</v>
      </c>
      <c r="B84" s="371" t="s">
        <v>10</v>
      </c>
      <c r="C84" s="335"/>
      <c r="D84" s="470"/>
      <c r="E84" s="335"/>
      <c r="F84" s="336"/>
    </row>
    <row r="85" spans="1:6">
      <c r="A85" s="337" t="s">
        <v>1509</v>
      </c>
      <c r="B85" s="207" t="s">
        <v>383</v>
      </c>
      <c r="C85" s="337" t="s">
        <v>7</v>
      </c>
      <c r="D85" s="339">
        <v>9</v>
      </c>
      <c r="E85" s="342">
        <f>+'APU Suministros'!H524</f>
        <v>266880</v>
      </c>
      <c r="F85" s="340">
        <f t="shared" ref="F85:F89" si="5">D85*E85</f>
        <v>2401920</v>
      </c>
    </row>
    <row r="86" spans="1:6">
      <c r="A86" s="337" t="s">
        <v>1510</v>
      </c>
      <c r="B86" s="207" t="s">
        <v>384</v>
      </c>
      <c r="C86" s="337" t="s">
        <v>7</v>
      </c>
      <c r="D86" s="339">
        <v>3</v>
      </c>
      <c r="E86" s="342">
        <f>+'APU Suministros'!H499</f>
        <v>337872</v>
      </c>
      <c r="F86" s="340">
        <f t="shared" si="5"/>
        <v>1013616</v>
      </c>
    </row>
    <row r="87" spans="1:6" ht="33">
      <c r="A87" s="337" t="s">
        <v>1511</v>
      </c>
      <c r="B87" s="204" t="s">
        <v>315</v>
      </c>
      <c r="C87" s="337" t="s">
        <v>7</v>
      </c>
      <c r="D87" s="339">
        <v>4</v>
      </c>
      <c r="E87" s="342">
        <f>+'APU Suministros'!H2433</f>
        <v>915200</v>
      </c>
      <c r="F87" s="340">
        <f t="shared" si="5"/>
        <v>3660800</v>
      </c>
    </row>
    <row r="88" spans="1:6">
      <c r="A88" s="337" t="s">
        <v>1512</v>
      </c>
      <c r="B88" s="204" t="s">
        <v>385</v>
      </c>
      <c r="C88" s="337" t="s">
        <v>7</v>
      </c>
      <c r="D88" s="339">
        <v>2</v>
      </c>
      <c r="E88" s="342">
        <f>+'APU Suministros'!H2458</f>
        <v>94924</v>
      </c>
      <c r="F88" s="340">
        <f t="shared" si="5"/>
        <v>189848</v>
      </c>
    </row>
    <row r="89" spans="1:6">
      <c r="A89" s="337" t="s">
        <v>1513</v>
      </c>
      <c r="B89" s="204" t="s">
        <v>386</v>
      </c>
      <c r="C89" s="337" t="s">
        <v>7</v>
      </c>
      <c r="D89" s="339">
        <v>1</v>
      </c>
      <c r="E89" s="342">
        <f>+'APU Suministros'!H2482</f>
        <v>103972</v>
      </c>
      <c r="F89" s="340">
        <f t="shared" si="5"/>
        <v>103972</v>
      </c>
    </row>
    <row r="90" spans="1:6">
      <c r="A90" s="608" t="s">
        <v>958</v>
      </c>
      <c r="B90" s="609"/>
      <c r="C90" s="609"/>
      <c r="D90" s="609"/>
      <c r="E90" s="610"/>
      <c r="F90" s="478">
        <f>+SUM(F85:F89)</f>
        <v>7370156</v>
      </c>
    </row>
    <row r="91" spans="1:6">
      <c r="A91" s="333">
        <v>10</v>
      </c>
      <c r="B91" s="576" t="s">
        <v>1447</v>
      </c>
      <c r="C91" s="577"/>
      <c r="D91" s="577"/>
      <c r="E91" s="577"/>
      <c r="F91" s="578"/>
    </row>
    <row r="92" spans="1:6" ht="15.95" customHeight="1">
      <c r="A92" s="333"/>
      <c r="B92" s="371" t="s">
        <v>77</v>
      </c>
      <c r="C92" s="335"/>
      <c r="D92" s="470"/>
      <c r="E92" s="335"/>
      <c r="F92" s="336"/>
    </row>
    <row r="93" spans="1:6">
      <c r="A93" s="423" t="s">
        <v>1390</v>
      </c>
      <c r="B93" s="424" t="s">
        <v>837</v>
      </c>
      <c r="C93" s="437"/>
      <c r="D93" s="438"/>
      <c r="E93" s="439"/>
      <c r="F93" s="440"/>
    </row>
    <row r="94" spans="1:6">
      <c r="A94" s="423"/>
      <c r="B94" s="424" t="s">
        <v>838</v>
      </c>
      <c r="C94" s="437"/>
      <c r="D94" s="438"/>
      <c r="E94" s="439"/>
      <c r="F94" s="440"/>
    </row>
    <row r="95" spans="1:6" ht="33">
      <c r="A95" s="429" t="s">
        <v>1391</v>
      </c>
      <c r="B95" s="430" t="s">
        <v>839</v>
      </c>
      <c r="C95" s="431" t="s">
        <v>157</v>
      </c>
      <c r="D95" s="432">
        <v>5</v>
      </c>
      <c r="E95" s="433">
        <v>117963</v>
      </c>
      <c r="F95" s="434">
        <v>117963</v>
      </c>
    </row>
    <row r="96" spans="1:6">
      <c r="A96" s="429" t="s">
        <v>1392</v>
      </c>
      <c r="B96" s="430" t="s">
        <v>840</v>
      </c>
      <c r="C96" s="431" t="s">
        <v>157</v>
      </c>
      <c r="D96" s="432">
        <v>10</v>
      </c>
      <c r="E96" s="433">
        <v>80054</v>
      </c>
      <c r="F96" s="434">
        <v>240162</v>
      </c>
    </row>
    <row r="97" spans="1:6">
      <c r="A97" s="429"/>
      <c r="B97" s="430"/>
      <c r="C97" s="431"/>
      <c r="D97" s="432"/>
      <c r="E97" s="435" t="s">
        <v>958</v>
      </c>
      <c r="F97" s="436">
        <f>SUM(F95:F96)</f>
        <v>358125</v>
      </c>
    </row>
    <row r="98" spans="1:6" ht="33">
      <c r="A98" s="423" t="s">
        <v>1393</v>
      </c>
      <c r="B98" s="424" t="s">
        <v>841</v>
      </c>
      <c r="C98" s="437"/>
      <c r="D98" s="438"/>
      <c r="E98" s="439"/>
      <c r="F98" s="440"/>
    </row>
    <row r="99" spans="1:6">
      <c r="A99" s="429" t="s">
        <v>1394</v>
      </c>
      <c r="B99" s="430" t="s">
        <v>842</v>
      </c>
      <c r="C99" s="431" t="s">
        <v>157</v>
      </c>
      <c r="D99" s="432">
        <v>2</v>
      </c>
      <c r="E99" s="433">
        <v>309037</v>
      </c>
      <c r="F99" s="434">
        <f>D99*E99</f>
        <v>618074</v>
      </c>
    </row>
    <row r="100" spans="1:6">
      <c r="A100" s="429" t="s">
        <v>1395</v>
      </c>
      <c r="B100" s="430" t="s">
        <v>843</v>
      </c>
      <c r="C100" s="431" t="s">
        <v>157</v>
      </c>
      <c r="D100" s="432">
        <v>2</v>
      </c>
      <c r="E100" s="433">
        <v>55753</v>
      </c>
      <c r="F100" s="434">
        <v>111506</v>
      </c>
    </row>
    <row r="101" spans="1:6">
      <c r="A101" s="429"/>
      <c r="B101" s="430"/>
      <c r="C101" s="431"/>
      <c r="D101" s="432"/>
      <c r="E101" s="435" t="s">
        <v>958</v>
      </c>
      <c r="F101" s="436">
        <f>SUM(F99:F100)</f>
        <v>729580</v>
      </c>
    </row>
    <row r="102" spans="1:6">
      <c r="A102" s="423" t="s">
        <v>1396</v>
      </c>
      <c r="B102" s="424" t="s">
        <v>844</v>
      </c>
      <c r="C102" s="437"/>
      <c r="D102" s="438"/>
      <c r="E102" s="439"/>
      <c r="F102" s="440"/>
    </row>
    <row r="103" spans="1:6">
      <c r="A103" s="423"/>
      <c r="B103" s="424" t="s">
        <v>838</v>
      </c>
      <c r="C103" s="437"/>
      <c r="D103" s="438"/>
      <c r="E103" s="439"/>
      <c r="F103" s="440"/>
    </row>
    <row r="104" spans="1:6">
      <c r="A104" s="429" t="s">
        <v>1397</v>
      </c>
      <c r="B104" s="430" t="s">
        <v>845</v>
      </c>
      <c r="C104" s="431" t="s">
        <v>157</v>
      </c>
      <c r="D104" s="432">
        <v>3</v>
      </c>
      <c r="E104" s="433">
        <v>117963</v>
      </c>
      <c r="F104" s="434">
        <v>353889</v>
      </c>
    </row>
    <row r="105" spans="1:6">
      <c r="A105" s="429" t="s">
        <v>1448</v>
      </c>
      <c r="B105" s="430" t="s">
        <v>840</v>
      </c>
      <c r="C105" s="431" t="s">
        <v>157</v>
      </c>
      <c r="D105" s="432">
        <v>24</v>
      </c>
      <c r="E105" s="433">
        <v>80054</v>
      </c>
      <c r="F105" s="434">
        <v>1921296</v>
      </c>
    </row>
    <row r="106" spans="1:6">
      <c r="A106" s="429"/>
      <c r="B106" s="430"/>
      <c r="C106" s="431"/>
      <c r="D106" s="432"/>
      <c r="E106" s="435" t="s">
        <v>958</v>
      </c>
      <c r="F106" s="436">
        <f>SUM(F104:F105)</f>
        <v>2275185</v>
      </c>
    </row>
    <row r="107" spans="1:6" ht="33">
      <c r="A107" s="423" t="s">
        <v>1398</v>
      </c>
      <c r="B107" s="424" t="s">
        <v>841</v>
      </c>
      <c r="C107" s="437"/>
      <c r="D107" s="438"/>
      <c r="E107" s="439"/>
      <c r="F107" s="440"/>
    </row>
    <row r="108" spans="1:6">
      <c r="A108" s="429" t="s">
        <v>1399</v>
      </c>
      <c r="B108" s="430" t="s">
        <v>842</v>
      </c>
      <c r="C108" s="431" t="s">
        <v>157</v>
      </c>
      <c r="D108" s="432">
        <v>16</v>
      </c>
      <c r="E108" s="433">
        <v>309037</v>
      </c>
      <c r="F108" s="434">
        <f>D108*E108</f>
        <v>4944592</v>
      </c>
    </row>
    <row r="109" spans="1:6">
      <c r="A109" s="429" t="s">
        <v>1400</v>
      </c>
      <c r="B109" s="430" t="s">
        <v>843</v>
      </c>
      <c r="C109" s="431" t="s">
        <v>157</v>
      </c>
      <c r="D109" s="432">
        <v>8</v>
      </c>
      <c r="E109" s="433">
        <v>55753</v>
      </c>
      <c r="F109" s="434">
        <v>446024</v>
      </c>
    </row>
    <row r="110" spans="1:6">
      <c r="A110" s="429"/>
      <c r="B110" s="430"/>
      <c r="C110" s="431"/>
      <c r="D110" s="432"/>
      <c r="E110" s="441" t="s">
        <v>958</v>
      </c>
      <c r="F110" s="442">
        <f>SUM(F108:F109)</f>
        <v>5390616</v>
      </c>
    </row>
    <row r="111" spans="1:6" ht="33">
      <c r="A111" s="423" t="s">
        <v>1401</v>
      </c>
      <c r="B111" s="424" t="s">
        <v>846</v>
      </c>
      <c r="C111" s="437"/>
      <c r="D111" s="438"/>
      <c r="E111" s="453"/>
      <c r="F111" s="454"/>
    </row>
    <row r="112" spans="1:6">
      <c r="A112" s="429" t="s">
        <v>1402</v>
      </c>
      <c r="B112" s="430" t="s">
        <v>847</v>
      </c>
      <c r="C112" s="431" t="s">
        <v>157</v>
      </c>
      <c r="D112" s="432">
        <v>1</v>
      </c>
      <c r="E112" s="433">
        <v>1350000</v>
      </c>
      <c r="F112" s="434">
        <f>D112*E112</f>
        <v>1350000</v>
      </c>
    </row>
    <row r="113" spans="1:6">
      <c r="A113" s="429" t="s">
        <v>1403</v>
      </c>
      <c r="B113" s="430" t="s">
        <v>848</v>
      </c>
      <c r="C113" s="431" t="s">
        <v>157</v>
      </c>
      <c r="D113" s="432">
        <v>1</v>
      </c>
      <c r="E113" s="433">
        <v>1950000</v>
      </c>
      <c r="F113" s="434">
        <f>D113*E113</f>
        <v>1950000</v>
      </c>
    </row>
    <row r="114" spans="1:6" ht="33">
      <c r="A114" s="429" t="s">
        <v>1404</v>
      </c>
      <c r="B114" s="430" t="s">
        <v>849</v>
      </c>
      <c r="C114" s="431" t="s">
        <v>493</v>
      </c>
      <c r="D114" s="432">
        <v>40</v>
      </c>
      <c r="E114" s="433">
        <v>24500</v>
      </c>
      <c r="F114" s="434">
        <f>D114*E114</f>
        <v>980000</v>
      </c>
    </row>
    <row r="115" spans="1:6">
      <c r="A115" s="429" t="s">
        <v>1405</v>
      </c>
      <c r="B115" s="430" t="s">
        <v>850</v>
      </c>
      <c r="C115" s="431" t="s">
        <v>157</v>
      </c>
      <c r="D115" s="432">
        <v>2</v>
      </c>
      <c r="E115" s="433">
        <v>186000</v>
      </c>
      <c r="F115" s="434">
        <f>D115*E115</f>
        <v>372000</v>
      </c>
    </row>
    <row r="116" spans="1:6">
      <c r="A116" s="429"/>
      <c r="B116" s="430"/>
      <c r="C116" s="431"/>
      <c r="D116" s="432"/>
      <c r="E116" s="435" t="s">
        <v>958</v>
      </c>
      <c r="F116" s="436">
        <f>SUM(F112:F115)</f>
        <v>4652000</v>
      </c>
    </row>
    <row r="117" spans="1:6" ht="33">
      <c r="A117" s="423" t="s">
        <v>1406</v>
      </c>
      <c r="B117" s="424" t="s">
        <v>851</v>
      </c>
      <c r="C117" s="437"/>
      <c r="D117" s="438"/>
      <c r="E117" s="439"/>
      <c r="F117" s="440"/>
    </row>
    <row r="118" spans="1:6">
      <c r="A118" s="429" t="s">
        <v>1407</v>
      </c>
      <c r="B118" s="430" t="s">
        <v>852</v>
      </c>
      <c r="C118" s="431" t="s">
        <v>157</v>
      </c>
      <c r="D118" s="432">
        <v>25</v>
      </c>
      <c r="E118" s="433">
        <v>94766</v>
      </c>
      <c r="F118" s="434">
        <f t="shared" ref="F118:F144" si="6">D118*E118</f>
        <v>2369150</v>
      </c>
    </row>
    <row r="119" spans="1:6">
      <c r="A119" s="429" t="s">
        <v>1408</v>
      </c>
      <c r="B119" s="430" t="s">
        <v>853</v>
      </c>
      <c r="C119" s="431" t="s">
        <v>157</v>
      </c>
      <c r="D119" s="432">
        <v>2</v>
      </c>
      <c r="E119" s="433">
        <v>949822</v>
      </c>
      <c r="F119" s="434">
        <f t="shared" si="6"/>
        <v>1899644</v>
      </c>
    </row>
    <row r="120" spans="1:6">
      <c r="A120" s="429" t="s">
        <v>1409</v>
      </c>
      <c r="B120" s="430" t="s">
        <v>854</v>
      </c>
      <c r="C120" s="431" t="s">
        <v>157</v>
      </c>
      <c r="D120" s="432">
        <v>2</v>
      </c>
      <c r="E120" s="433">
        <v>1286233</v>
      </c>
      <c r="F120" s="434">
        <f t="shared" si="6"/>
        <v>2572466</v>
      </c>
    </row>
    <row r="121" spans="1:6">
      <c r="A121" s="429" t="s">
        <v>1410</v>
      </c>
      <c r="B121" s="430" t="s">
        <v>855</v>
      </c>
      <c r="C121" s="431" t="s">
        <v>157</v>
      </c>
      <c r="D121" s="432">
        <v>2</v>
      </c>
      <c r="E121" s="433">
        <v>1268453</v>
      </c>
      <c r="F121" s="434">
        <f t="shared" si="6"/>
        <v>2536906</v>
      </c>
    </row>
    <row r="122" spans="1:6">
      <c r="A122" s="429" t="s">
        <v>1411</v>
      </c>
      <c r="B122" s="430" t="s">
        <v>856</v>
      </c>
      <c r="C122" s="431" t="s">
        <v>157</v>
      </c>
      <c r="D122" s="432">
        <v>2</v>
      </c>
      <c r="E122" s="433">
        <v>909275</v>
      </c>
      <c r="F122" s="434">
        <f t="shared" si="6"/>
        <v>1818550</v>
      </c>
    </row>
    <row r="123" spans="1:6">
      <c r="A123" s="429" t="s">
        <v>1412</v>
      </c>
      <c r="B123" s="430" t="s">
        <v>857</v>
      </c>
      <c r="C123" s="431" t="s">
        <v>157</v>
      </c>
      <c r="D123" s="432">
        <v>3</v>
      </c>
      <c r="E123" s="433">
        <v>66793</v>
      </c>
      <c r="F123" s="434">
        <f t="shared" si="6"/>
        <v>200379</v>
      </c>
    </row>
    <row r="124" spans="1:6">
      <c r="A124" s="429" t="s">
        <v>1413</v>
      </c>
      <c r="B124" s="430" t="s">
        <v>858</v>
      </c>
      <c r="C124" s="431" t="s">
        <v>676</v>
      </c>
      <c r="D124" s="432">
        <v>2</v>
      </c>
      <c r="E124" s="433">
        <v>685095</v>
      </c>
      <c r="F124" s="434">
        <f t="shared" si="6"/>
        <v>1370190</v>
      </c>
    </row>
    <row r="125" spans="1:6">
      <c r="A125" s="429" t="s">
        <v>1449</v>
      </c>
      <c r="B125" s="430" t="s">
        <v>859</v>
      </c>
      <c r="C125" s="431" t="s">
        <v>676</v>
      </c>
      <c r="D125" s="432">
        <v>1</v>
      </c>
      <c r="E125" s="433">
        <v>941726</v>
      </c>
      <c r="F125" s="434">
        <f t="shared" si="6"/>
        <v>941726</v>
      </c>
    </row>
    <row r="126" spans="1:6">
      <c r="A126" s="429" t="s">
        <v>1450</v>
      </c>
      <c r="B126" s="430" t="s">
        <v>860</v>
      </c>
      <c r="C126" s="431" t="s">
        <v>493</v>
      </c>
      <c r="D126" s="432">
        <v>231.00000000000003</v>
      </c>
      <c r="E126" s="433">
        <v>11394</v>
      </c>
      <c r="F126" s="434">
        <f t="shared" si="6"/>
        <v>2632014.0000000005</v>
      </c>
    </row>
    <row r="127" spans="1:6">
      <c r="A127" s="429" t="s">
        <v>1451</v>
      </c>
      <c r="B127" s="430" t="s">
        <v>861</v>
      </c>
      <c r="C127" s="431" t="s">
        <v>157</v>
      </c>
      <c r="D127" s="432">
        <v>4</v>
      </c>
      <c r="E127" s="433">
        <v>269226</v>
      </c>
      <c r="F127" s="434">
        <f t="shared" si="6"/>
        <v>1076904</v>
      </c>
    </row>
    <row r="128" spans="1:6">
      <c r="A128" s="429" t="s">
        <v>1452</v>
      </c>
      <c r="B128" s="430" t="s">
        <v>862</v>
      </c>
      <c r="C128" s="431" t="s">
        <v>157</v>
      </c>
      <c r="D128" s="432">
        <v>1</v>
      </c>
      <c r="E128" s="433">
        <v>1241516</v>
      </c>
      <c r="F128" s="434">
        <f t="shared" si="6"/>
        <v>1241516</v>
      </c>
    </row>
    <row r="129" spans="1:6">
      <c r="A129" s="429" t="s">
        <v>1453</v>
      </c>
      <c r="B129" s="430" t="s">
        <v>863</v>
      </c>
      <c r="C129" s="431" t="s">
        <v>676</v>
      </c>
      <c r="D129" s="432">
        <v>1</v>
      </c>
      <c r="E129" s="433">
        <v>1288620</v>
      </c>
      <c r="F129" s="434">
        <f t="shared" si="6"/>
        <v>1288620</v>
      </c>
    </row>
    <row r="130" spans="1:6">
      <c r="A130" s="429" t="s">
        <v>1454</v>
      </c>
      <c r="B130" s="430" t="s">
        <v>864</v>
      </c>
      <c r="C130" s="431" t="s">
        <v>157</v>
      </c>
      <c r="D130" s="432">
        <v>1</v>
      </c>
      <c r="E130" s="433">
        <v>25427270</v>
      </c>
      <c r="F130" s="434">
        <f t="shared" si="6"/>
        <v>25427270</v>
      </c>
    </row>
    <row r="131" spans="1:6">
      <c r="A131" s="429" t="s">
        <v>1455</v>
      </c>
      <c r="B131" s="430" t="s">
        <v>865</v>
      </c>
      <c r="C131" s="431" t="s">
        <v>493</v>
      </c>
      <c r="D131" s="432">
        <v>75</v>
      </c>
      <c r="E131" s="433">
        <v>94347</v>
      </c>
      <c r="F131" s="434">
        <f t="shared" si="6"/>
        <v>7076025</v>
      </c>
    </row>
    <row r="132" spans="1:6">
      <c r="A132" s="429" t="s">
        <v>1456</v>
      </c>
      <c r="B132" s="430" t="s">
        <v>866</v>
      </c>
      <c r="C132" s="431" t="s">
        <v>676</v>
      </c>
      <c r="D132" s="432">
        <v>1</v>
      </c>
      <c r="E132" s="433">
        <v>1813255</v>
      </c>
      <c r="F132" s="434">
        <f t="shared" si="6"/>
        <v>1813255</v>
      </c>
    </row>
    <row r="133" spans="1:6">
      <c r="A133" s="429" t="s">
        <v>1457</v>
      </c>
      <c r="B133" s="430" t="s">
        <v>867</v>
      </c>
      <c r="C133" s="431" t="s">
        <v>157</v>
      </c>
      <c r="D133" s="432">
        <v>3</v>
      </c>
      <c r="E133" s="433">
        <v>226512</v>
      </c>
      <c r="F133" s="434">
        <f t="shared" si="6"/>
        <v>679536</v>
      </c>
    </row>
    <row r="134" spans="1:6">
      <c r="A134" s="429" t="s">
        <v>1458</v>
      </c>
      <c r="B134" s="430" t="s">
        <v>868</v>
      </c>
      <c r="C134" s="431" t="s">
        <v>157</v>
      </c>
      <c r="D134" s="432">
        <v>1</v>
      </c>
      <c r="E134" s="433">
        <v>4254610</v>
      </c>
      <c r="F134" s="434">
        <f t="shared" si="6"/>
        <v>4254610</v>
      </c>
    </row>
    <row r="135" spans="1:6" ht="33">
      <c r="A135" s="429" t="s">
        <v>1459</v>
      </c>
      <c r="B135" s="430" t="s">
        <v>869</v>
      </c>
      <c r="C135" s="431" t="s">
        <v>157</v>
      </c>
      <c r="D135" s="432">
        <v>1</v>
      </c>
      <c r="E135" s="433">
        <v>124449940</v>
      </c>
      <c r="F135" s="434">
        <f t="shared" si="6"/>
        <v>124449940</v>
      </c>
    </row>
    <row r="136" spans="1:6">
      <c r="A136" s="429" t="s">
        <v>1460</v>
      </c>
      <c r="B136" s="430" t="s">
        <v>870</v>
      </c>
      <c r="C136" s="431" t="s">
        <v>157</v>
      </c>
      <c r="D136" s="432">
        <v>1</v>
      </c>
      <c r="E136" s="433">
        <v>16172604</v>
      </c>
      <c r="F136" s="434">
        <f t="shared" si="6"/>
        <v>16172604</v>
      </c>
    </row>
    <row r="137" spans="1:6">
      <c r="A137" s="429" t="s">
        <v>1461</v>
      </c>
      <c r="B137" s="430" t="s">
        <v>871</v>
      </c>
      <c r="C137" s="431" t="s">
        <v>157</v>
      </c>
      <c r="D137" s="432">
        <v>1</v>
      </c>
      <c r="E137" s="433">
        <v>20804313</v>
      </c>
      <c r="F137" s="434">
        <f t="shared" si="6"/>
        <v>20804313</v>
      </c>
    </row>
    <row r="138" spans="1:6">
      <c r="A138" s="429" t="s">
        <v>1462</v>
      </c>
      <c r="B138" s="430" t="s">
        <v>872</v>
      </c>
      <c r="C138" s="431" t="s">
        <v>157</v>
      </c>
      <c r="D138" s="432">
        <v>4</v>
      </c>
      <c r="E138" s="433">
        <v>1540248</v>
      </c>
      <c r="F138" s="434">
        <f t="shared" si="6"/>
        <v>6160992</v>
      </c>
    </row>
    <row r="139" spans="1:6">
      <c r="A139" s="429" t="s">
        <v>1463</v>
      </c>
      <c r="B139" s="430" t="s">
        <v>873</v>
      </c>
      <c r="C139" s="431" t="s">
        <v>157</v>
      </c>
      <c r="D139" s="432">
        <v>1</v>
      </c>
      <c r="E139" s="433">
        <v>2419991</v>
      </c>
      <c r="F139" s="434">
        <f t="shared" si="6"/>
        <v>2419991</v>
      </c>
    </row>
    <row r="140" spans="1:6">
      <c r="A140" s="429" t="s">
        <v>1464</v>
      </c>
      <c r="B140" s="430" t="s">
        <v>874</v>
      </c>
      <c r="C140" s="431" t="s">
        <v>157</v>
      </c>
      <c r="D140" s="432">
        <v>1</v>
      </c>
      <c r="E140" s="433">
        <v>274173</v>
      </c>
      <c r="F140" s="434">
        <f t="shared" si="6"/>
        <v>274173</v>
      </c>
    </row>
    <row r="141" spans="1:6" ht="33">
      <c r="A141" s="429" t="s">
        <v>1465</v>
      </c>
      <c r="B141" s="430" t="s">
        <v>875</v>
      </c>
      <c r="C141" s="431" t="s">
        <v>157</v>
      </c>
      <c r="D141" s="432">
        <v>1</v>
      </c>
      <c r="E141" s="433">
        <v>9775049</v>
      </c>
      <c r="F141" s="434">
        <f t="shared" si="6"/>
        <v>9775049</v>
      </c>
    </row>
    <row r="142" spans="1:6" ht="33">
      <c r="A142" s="429" t="s">
        <v>1466</v>
      </c>
      <c r="B142" s="430" t="s">
        <v>876</v>
      </c>
      <c r="C142" s="473" t="s">
        <v>157</v>
      </c>
      <c r="D142" s="432">
        <v>1</v>
      </c>
      <c r="E142" s="433">
        <v>4800000</v>
      </c>
      <c r="F142" s="434">
        <f t="shared" si="6"/>
        <v>4800000</v>
      </c>
    </row>
    <row r="143" spans="1:6" ht="33">
      <c r="A143" s="429" t="s">
        <v>1467</v>
      </c>
      <c r="B143" s="430" t="s">
        <v>877</v>
      </c>
      <c r="C143" s="473" t="s">
        <v>157</v>
      </c>
      <c r="D143" s="432">
        <v>4</v>
      </c>
      <c r="E143" s="433">
        <v>9780000</v>
      </c>
      <c r="F143" s="434">
        <f t="shared" si="6"/>
        <v>39120000</v>
      </c>
    </row>
    <row r="144" spans="1:6" ht="33">
      <c r="A144" s="429" t="s">
        <v>1468</v>
      </c>
      <c r="B144" s="430" t="s">
        <v>878</v>
      </c>
      <c r="C144" s="473" t="s">
        <v>157</v>
      </c>
      <c r="D144" s="432">
        <v>12</v>
      </c>
      <c r="E144" s="433">
        <v>1375000</v>
      </c>
      <c r="F144" s="434">
        <f t="shared" si="6"/>
        <v>16500000</v>
      </c>
    </row>
    <row r="145" spans="1:6">
      <c r="A145" s="429"/>
      <c r="B145" s="430"/>
      <c r="C145" s="473"/>
      <c r="D145" s="432"/>
      <c r="E145" s="441" t="s">
        <v>958</v>
      </c>
      <c r="F145" s="442">
        <f>SUM(F118:F144)</f>
        <v>299675823</v>
      </c>
    </row>
    <row r="146" spans="1:6">
      <c r="A146" s="423" t="s">
        <v>1414</v>
      </c>
      <c r="B146" s="424" t="s">
        <v>886</v>
      </c>
      <c r="C146" s="437"/>
      <c r="D146" s="438"/>
      <c r="E146" s="439"/>
      <c r="F146" s="440"/>
    </row>
    <row r="147" spans="1:6">
      <c r="A147" s="429" t="s">
        <v>1415</v>
      </c>
      <c r="B147" s="430" t="s">
        <v>886</v>
      </c>
      <c r="C147" s="474" t="s">
        <v>887</v>
      </c>
      <c r="D147" s="432">
        <v>1</v>
      </c>
      <c r="E147" s="433">
        <v>19341439</v>
      </c>
      <c r="F147" s="434">
        <v>19341439</v>
      </c>
    </row>
    <row r="148" spans="1:6">
      <c r="A148" s="429"/>
      <c r="B148" s="430"/>
      <c r="C148" s="431"/>
      <c r="D148" s="432"/>
      <c r="E148" s="435" t="s">
        <v>958</v>
      </c>
      <c r="F148" s="436">
        <f>F147</f>
        <v>19341439</v>
      </c>
    </row>
    <row r="149" spans="1:6" ht="33">
      <c r="A149" s="423" t="s">
        <v>1416</v>
      </c>
      <c r="B149" s="424" t="s">
        <v>891</v>
      </c>
      <c r="C149" s="437"/>
      <c r="D149" s="438"/>
      <c r="E149" s="439"/>
      <c r="F149" s="440"/>
    </row>
    <row r="150" spans="1:6">
      <c r="A150" s="429" t="s">
        <v>1417</v>
      </c>
      <c r="B150" s="430" t="s">
        <v>892</v>
      </c>
      <c r="C150" s="431" t="s">
        <v>493</v>
      </c>
      <c r="D150" s="432">
        <v>120</v>
      </c>
      <c r="E150" s="433">
        <v>221516</v>
      </c>
      <c r="F150" s="434">
        <v>26581920</v>
      </c>
    </row>
    <row r="151" spans="1:6">
      <c r="A151" s="429" t="s">
        <v>1418</v>
      </c>
      <c r="B151" s="430" t="s">
        <v>893</v>
      </c>
      <c r="C151" s="431" t="s">
        <v>493</v>
      </c>
      <c r="D151" s="432">
        <v>10</v>
      </c>
      <c r="E151" s="433">
        <v>85062</v>
      </c>
      <c r="F151" s="434">
        <v>850620</v>
      </c>
    </row>
    <row r="152" spans="1:6">
      <c r="A152" s="429"/>
      <c r="B152" s="430"/>
      <c r="C152" s="431"/>
      <c r="D152" s="432"/>
      <c r="E152" s="435" t="s">
        <v>958</v>
      </c>
      <c r="F152" s="436">
        <f>SUM(F150:F151)</f>
        <v>27432540</v>
      </c>
    </row>
    <row r="153" spans="1:6" ht="33">
      <c r="A153" s="423" t="s">
        <v>1419</v>
      </c>
      <c r="B153" s="424" t="s">
        <v>894</v>
      </c>
      <c r="C153" s="437"/>
      <c r="D153" s="438"/>
      <c r="E153" s="439"/>
      <c r="F153" s="440"/>
    </row>
    <row r="154" spans="1:6">
      <c r="A154" s="429" t="s">
        <v>1420</v>
      </c>
      <c r="B154" s="430" t="s">
        <v>895</v>
      </c>
      <c r="C154" s="431" t="s">
        <v>493</v>
      </c>
      <c r="D154" s="432">
        <v>120</v>
      </c>
      <c r="E154" s="433">
        <v>108361</v>
      </c>
      <c r="F154" s="434">
        <v>13003320</v>
      </c>
    </row>
    <row r="155" spans="1:6">
      <c r="A155" s="429" t="s">
        <v>1421</v>
      </c>
      <c r="B155" s="430" t="s">
        <v>893</v>
      </c>
      <c r="C155" s="431" t="s">
        <v>493</v>
      </c>
      <c r="D155" s="432">
        <v>10</v>
      </c>
      <c r="E155" s="433">
        <v>85062</v>
      </c>
      <c r="F155" s="434">
        <v>850620</v>
      </c>
    </row>
    <row r="156" spans="1:6">
      <c r="A156" s="429"/>
      <c r="B156" s="430"/>
      <c r="C156" s="431"/>
      <c r="D156" s="432"/>
      <c r="E156" s="435" t="s">
        <v>958</v>
      </c>
      <c r="F156" s="436">
        <f>SUM(F154:F155)</f>
        <v>13853940</v>
      </c>
    </row>
    <row r="157" spans="1:6" ht="33">
      <c r="A157" s="423" t="s">
        <v>1422</v>
      </c>
      <c r="B157" s="424" t="s">
        <v>896</v>
      </c>
      <c r="C157" s="437"/>
      <c r="D157" s="438"/>
      <c r="E157" s="439"/>
      <c r="F157" s="440"/>
    </row>
    <row r="158" spans="1:6">
      <c r="A158" s="429" t="s">
        <v>1423</v>
      </c>
      <c r="B158" s="430" t="s">
        <v>897</v>
      </c>
      <c r="C158" s="431" t="s">
        <v>493</v>
      </c>
      <c r="D158" s="432">
        <v>40</v>
      </c>
      <c r="E158" s="433">
        <v>44458</v>
      </c>
      <c r="F158" s="434">
        <v>1778320</v>
      </c>
    </row>
    <row r="159" spans="1:6">
      <c r="A159" s="429" t="s">
        <v>1424</v>
      </c>
      <c r="B159" s="430" t="s">
        <v>829</v>
      </c>
      <c r="C159" s="431" t="s">
        <v>493</v>
      </c>
      <c r="D159" s="432">
        <v>10</v>
      </c>
      <c r="E159" s="433">
        <v>11836</v>
      </c>
      <c r="F159" s="434">
        <v>118360</v>
      </c>
    </row>
    <row r="160" spans="1:6">
      <c r="A160" s="429"/>
      <c r="B160" s="430"/>
      <c r="C160" s="431"/>
      <c r="D160" s="432"/>
      <c r="E160" s="435" t="s">
        <v>958</v>
      </c>
      <c r="F160" s="436">
        <f>SUM(F158:F159)</f>
        <v>1896680</v>
      </c>
    </row>
    <row r="161" spans="1:8">
      <c r="A161" s="475"/>
      <c r="B161" s="475"/>
      <c r="C161" s="689" t="s">
        <v>1469</v>
      </c>
      <c r="D161" s="690"/>
      <c r="E161" s="691"/>
      <c r="F161" s="480">
        <f>F97+F101+F106+F110+F116+F145+F148+F152+F156+F160</f>
        <v>375605928</v>
      </c>
      <c r="H161" s="455">
        <f>+F160+F156+F152+F148+F145+F116+F110+F106+F101+F97</f>
        <v>375605928</v>
      </c>
    </row>
    <row r="162" spans="1:8">
      <c r="A162" s="333">
        <v>11</v>
      </c>
      <c r="B162" s="576" t="s">
        <v>1514</v>
      </c>
      <c r="C162" s="577"/>
      <c r="D162" s="577"/>
      <c r="E162" s="577"/>
      <c r="F162" s="578"/>
    </row>
    <row r="163" spans="1:8" ht="15.95" customHeight="1">
      <c r="A163" s="333" t="s">
        <v>1523</v>
      </c>
      <c r="B163" s="371" t="s">
        <v>1522</v>
      </c>
      <c r="C163" s="335"/>
      <c r="D163" s="335"/>
      <c r="E163" s="335"/>
      <c r="F163" s="336"/>
    </row>
    <row r="164" spans="1:8" ht="33">
      <c r="A164" s="337" t="s">
        <v>1540</v>
      </c>
      <c r="B164" s="204" t="s">
        <v>1631</v>
      </c>
      <c r="C164" s="361" t="s">
        <v>8</v>
      </c>
      <c r="D164" s="337">
        <f>4.63+4.08+5.5+11.2+16.23+3.66+4.32+19.15+6.57+24.71+8.33+9.81+26.21+11.66+8.37+5.58+11.05+39.8</f>
        <v>220.86</v>
      </c>
      <c r="E164" s="342">
        <v>17002</v>
      </c>
      <c r="F164" s="340">
        <f t="shared" ref="F164:F170" si="7">D164*E164</f>
        <v>3755061.72</v>
      </c>
      <c r="G164" s="329">
        <f>100/25.4</f>
        <v>3.9370078740157481</v>
      </c>
    </row>
    <row r="165" spans="1:8" ht="33">
      <c r="A165" s="337" t="s">
        <v>1541</v>
      </c>
      <c r="B165" s="204" t="s">
        <v>1632</v>
      </c>
      <c r="C165" s="361" t="s">
        <v>8</v>
      </c>
      <c r="D165" s="337">
        <f>25.34+57.1</f>
        <v>82.44</v>
      </c>
      <c r="E165" s="342">
        <v>40006</v>
      </c>
      <c r="F165" s="340">
        <f t="shared" si="7"/>
        <v>3298094.64</v>
      </c>
      <c r="G165" s="329">
        <f>200/25.4</f>
        <v>7.8740157480314963</v>
      </c>
    </row>
    <row r="166" spans="1:8" ht="33">
      <c r="A166" s="337" t="s">
        <v>1542</v>
      </c>
      <c r="B166" s="204" t="s">
        <v>1633</v>
      </c>
      <c r="C166" s="361" t="s">
        <v>8</v>
      </c>
      <c r="D166" s="337">
        <v>32.94</v>
      </c>
      <c r="E166" s="342">
        <v>59578</v>
      </c>
      <c r="F166" s="340">
        <f t="shared" si="7"/>
        <v>1962499.3199999998</v>
      </c>
      <c r="G166" s="329">
        <f>250/25.4</f>
        <v>9.8425196850393704</v>
      </c>
    </row>
    <row r="167" spans="1:8" ht="33">
      <c r="A167" s="337" t="s">
        <v>1543</v>
      </c>
      <c r="B167" s="204" t="s">
        <v>1644</v>
      </c>
      <c r="C167" s="361" t="s">
        <v>8</v>
      </c>
      <c r="D167" s="337">
        <f>'PPTO Obra Civil'!D422</f>
        <v>24.82</v>
      </c>
      <c r="E167" s="342">
        <v>101249</v>
      </c>
      <c r="F167" s="340">
        <f t="shared" si="7"/>
        <v>2513000.1800000002</v>
      </c>
      <c r="G167" s="329">
        <f>315/25.4</f>
        <v>12.401574803149607</v>
      </c>
    </row>
    <row r="168" spans="1:8" ht="33">
      <c r="A168" s="337" t="s">
        <v>1544</v>
      </c>
      <c r="B168" s="204" t="s">
        <v>1645</v>
      </c>
      <c r="C168" s="361" t="s">
        <v>8</v>
      </c>
      <c r="D168" s="337">
        <f>'PPTO Obra Civil'!D423</f>
        <v>62.11</v>
      </c>
      <c r="E168" s="342">
        <v>128774</v>
      </c>
      <c r="F168" s="340">
        <f t="shared" si="7"/>
        <v>7998153.1399999997</v>
      </c>
      <c r="G168" s="329">
        <f>400/25.4</f>
        <v>15.748031496062993</v>
      </c>
    </row>
    <row r="169" spans="1:8" ht="33">
      <c r="A169" s="337" t="s">
        <v>1642</v>
      </c>
      <c r="B169" s="204" t="s">
        <v>1634</v>
      </c>
      <c r="C169" s="361" t="s">
        <v>8</v>
      </c>
      <c r="D169" s="337">
        <f>4.27+4.2+11.37+14.7+27.48+57.9+47.8+32.12+35.53+15.62+3.63</f>
        <v>254.61999999999998</v>
      </c>
      <c r="E169" s="342">
        <v>286761</v>
      </c>
      <c r="F169" s="340">
        <f t="shared" si="7"/>
        <v>73015085.819999993</v>
      </c>
    </row>
    <row r="170" spans="1:8" ht="33">
      <c r="A170" s="337" t="s">
        <v>1643</v>
      </c>
      <c r="B170" s="204" t="s">
        <v>1635</v>
      </c>
      <c r="C170" s="361" t="s">
        <v>8</v>
      </c>
      <c r="D170" s="337">
        <f>28.2+59.17+44.76+41.61+65.56+107.8+73.91+7.46</f>
        <v>428.46999999999997</v>
      </c>
      <c r="E170" s="342">
        <v>383158</v>
      </c>
      <c r="F170" s="340">
        <f t="shared" si="7"/>
        <v>164171708.25999999</v>
      </c>
    </row>
    <row r="171" spans="1:8">
      <c r="A171" s="608" t="s">
        <v>958</v>
      </c>
      <c r="B171" s="609"/>
      <c r="C171" s="609"/>
      <c r="D171" s="609"/>
      <c r="E171" s="610"/>
      <c r="F171" s="478">
        <f>+SUM(F164:F170)</f>
        <v>256713603.07999998</v>
      </c>
    </row>
    <row r="173" spans="1:8">
      <c r="C173" s="329">
        <v>24</v>
      </c>
      <c r="D173" s="329">
        <f>14.7+27.48+57.9+47.8+32.12</f>
        <v>180</v>
      </c>
      <c r="E173" s="329">
        <f>28.2+60.36+45.96+42.81+65.56+107.8+74</f>
        <v>424.69</v>
      </c>
      <c r="F173" s="481">
        <f>+F171+F161+F90+F82+F76+F39+F19</f>
        <v>1598199737.598</v>
      </c>
    </row>
    <row r="174" spans="1:8">
      <c r="C174" s="329">
        <v>30</v>
      </c>
      <c r="D174" s="329">
        <v>35.53</v>
      </c>
    </row>
    <row r="175" spans="1:8">
      <c r="F175" s="471">
        <f>+F171*0.15</f>
        <v>38507040.461999997</v>
      </c>
    </row>
    <row r="176" spans="1:8">
      <c r="F176" s="329">
        <f>+F171*0.04</f>
        <v>10268544.123199999</v>
      </c>
    </row>
    <row r="177" spans="6:6">
      <c r="F177" s="489">
        <f>+F171+F175+F176</f>
        <v>305489187.6652</v>
      </c>
    </row>
    <row r="178" spans="6:6">
      <c r="F178" s="471">
        <f>+F177/0.98*0.02</f>
        <v>6234473.2176571433</v>
      </c>
    </row>
    <row r="179" spans="6:6">
      <c r="F179" s="493">
        <f>+F177+F178</f>
        <v>311723660.88285714</v>
      </c>
    </row>
  </sheetData>
  <mergeCells count="20">
    <mergeCell ref="A1:F1"/>
    <mergeCell ref="B5:F5"/>
    <mergeCell ref="A3:A4"/>
    <mergeCell ref="B3:B4"/>
    <mergeCell ref="C3:C4"/>
    <mergeCell ref="D3:D4"/>
    <mergeCell ref="E3:E4"/>
    <mergeCell ref="F3:F4"/>
    <mergeCell ref="B162:F162"/>
    <mergeCell ref="A171:E171"/>
    <mergeCell ref="A19:E19"/>
    <mergeCell ref="A39:E39"/>
    <mergeCell ref="A76:E76"/>
    <mergeCell ref="A82:E82"/>
    <mergeCell ref="A90:E90"/>
    <mergeCell ref="B20:F20"/>
    <mergeCell ref="B40:F40"/>
    <mergeCell ref="B91:F91"/>
    <mergeCell ref="C161:E161"/>
    <mergeCell ref="B83:F83"/>
  </mergeCells>
  <phoneticPr fontId="49" type="noConversion"/>
  <pageMargins left="0.31496062992125984" right="0.31496062992125984" top="0.74803149606299213" bottom="0.74803149606299213" header="0.31496062992125984" footer="0.31496062992125984"/>
  <pageSetup scale="70"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18"/>
  <sheetViews>
    <sheetView topLeftCell="A975" zoomScale="70" zoomScaleNormal="70" zoomScalePageLayoutView="70" workbookViewId="0">
      <selection activeCell="B628" sqref="B628:H629"/>
    </sheetView>
  </sheetViews>
  <sheetFormatPr baseColWidth="10" defaultRowHeight="15"/>
  <cols>
    <col min="1" max="1" width="24.28515625" customWidth="1"/>
    <col min="2" max="2" width="36.42578125" customWidth="1"/>
    <col min="3" max="3" width="12.85546875" customWidth="1"/>
    <col min="4" max="4" width="16.28515625" customWidth="1"/>
    <col min="5" max="5" width="19.42578125" customWidth="1"/>
    <col min="6" max="6" width="21.28515625" customWidth="1"/>
    <col min="7" max="7" width="17.28515625" customWidth="1"/>
    <col min="8" max="8" width="23.42578125" customWidth="1"/>
    <col min="9" max="9" width="14" customWidth="1"/>
    <col min="11" max="11" width="13.140625" customWidth="1"/>
    <col min="12" max="12" width="12" customWidth="1"/>
    <col min="15" max="15" width="12" bestFit="1" customWidth="1"/>
    <col min="18" max="18" width="16.42578125" bestFit="1" customWidth="1"/>
  </cols>
  <sheetData>
    <row r="1" spans="1:9" s="65" customFormat="1" ht="15.75" thickBot="1">
      <c r="A1" s="633"/>
      <c r="B1" s="633"/>
      <c r="C1" s="633"/>
      <c r="D1" s="633"/>
      <c r="E1" s="633"/>
      <c r="F1" s="633"/>
      <c r="G1" s="633"/>
    </row>
    <row r="2" spans="1:9" s="65" customFormat="1">
      <c r="A2" s="627"/>
      <c r="B2" s="629" t="s">
        <v>947</v>
      </c>
      <c r="C2" s="630"/>
      <c r="D2" s="630"/>
      <c r="E2" s="630"/>
      <c r="F2" s="630"/>
      <c r="G2" s="630"/>
      <c r="H2" s="643"/>
      <c r="I2" s="66" t="s">
        <v>389</v>
      </c>
    </row>
    <row r="3" spans="1:9" s="65" customFormat="1">
      <c r="A3" s="628"/>
      <c r="B3" s="631"/>
      <c r="C3" s="632"/>
      <c r="D3" s="632"/>
      <c r="E3" s="632"/>
      <c r="F3" s="632"/>
      <c r="G3" s="632"/>
      <c r="H3" s="644"/>
      <c r="I3" s="67" t="s">
        <v>493</v>
      </c>
    </row>
    <row r="4" spans="1:9" s="65" customFormat="1">
      <c r="A4" s="68"/>
      <c r="B4" s="69"/>
      <c r="C4" s="69"/>
      <c r="D4" s="69"/>
      <c r="E4" s="69"/>
      <c r="F4" s="70"/>
      <c r="G4" s="70"/>
      <c r="H4" s="70"/>
      <c r="I4" s="71"/>
    </row>
    <row r="5" spans="1:9" s="65" customFormat="1">
      <c r="A5" s="72" t="s">
        <v>390</v>
      </c>
      <c r="B5" s="73"/>
      <c r="C5" s="73"/>
      <c r="D5" s="73"/>
      <c r="E5" s="73"/>
      <c r="F5" s="74"/>
      <c r="G5" s="74"/>
      <c r="H5" s="70"/>
      <c r="I5" s="71"/>
    </row>
    <row r="6" spans="1:9" s="65" customFormat="1">
      <c r="A6" s="75" t="s">
        <v>391</v>
      </c>
      <c r="B6" s="76" t="s">
        <v>392</v>
      </c>
      <c r="C6" s="76" t="s">
        <v>393</v>
      </c>
      <c r="D6" s="76" t="s">
        <v>394</v>
      </c>
      <c r="E6" s="76" t="s">
        <v>395</v>
      </c>
      <c r="F6" s="76" t="s">
        <v>396</v>
      </c>
      <c r="G6" s="76" t="s">
        <v>397</v>
      </c>
      <c r="H6" s="74"/>
      <c r="I6" s="71"/>
    </row>
    <row r="7" spans="1:9" s="65" customFormat="1">
      <c r="A7" s="77"/>
      <c r="B7" s="79"/>
      <c r="C7" s="79"/>
      <c r="D7" s="107"/>
      <c r="E7" s="79"/>
      <c r="F7" s="79"/>
      <c r="G7" s="107"/>
      <c r="H7" s="74"/>
      <c r="I7" s="71"/>
    </row>
    <row r="8" spans="1:9" s="65" customFormat="1">
      <c r="A8" s="82"/>
      <c r="B8" s="83"/>
      <c r="C8" s="84"/>
      <c r="D8" s="84"/>
      <c r="E8" s="84"/>
      <c r="F8"/>
      <c r="G8" s="93" t="s">
        <v>407</v>
      </c>
      <c r="H8" s="107">
        <f>SUM(G7:G7)</f>
        <v>0</v>
      </c>
      <c r="I8" s="71"/>
    </row>
    <row r="9" spans="1:9" s="65" customFormat="1">
      <c r="A9" s="72" t="s">
        <v>408</v>
      </c>
      <c r="B9" s="73"/>
      <c r="C9" s="73"/>
      <c r="D9" s="73"/>
      <c r="E9" s="73"/>
      <c r="F9"/>
      <c r="G9" s="74"/>
      <c r="H9" s="108"/>
      <c r="I9" s="71"/>
    </row>
    <row r="10" spans="1:9" s="65" customFormat="1">
      <c r="A10" s="75" t="s">
        <v>391</v>
      </c>
      <c r="B10" s="76" t="s">
        <v>392</v>
      </c>
      <c r="C10" s="76" t="s">
        <v>393</v>
      </c>
      <c r="D10" s="76" t="s">
        <v>394</v>
      </c>
      <c r="E10" s="76" t="s">
        <v>395</v>
      </c>
      <c r="F10" s="76" t="s">
        <v>396</v>
      </c>
      <c r="G10" s="76" t="s">
        <v>397</v>
      </c>
      <c r="H10" s="108"/>
      <c r="I10" s="71"/>
    </row>
    <row r="11" spans="1:9" s="65" customFormat="1">
      <c r="A11" s="135"/>
      <c r="B11" s="78" t="s">
        <v>1650</v>
      </c>
      <c r="C11" s="127" t="s">
        <v>493</v>
      </c>
      <c r="D11" s="107">
        <f>62786*1.2/6</f>
        <v>12557.199999999999</v>
      </c>
      <c r="E11" s="79">
        <v>1</v>
      </c>
      <c r="F11" s="79">
        <v>0</v>
      </c>
      <c r="G11" s="107">
        <f>(D11*E11)+((D11*E11)*F11/100)</f>
        <v>12557.199999999999</v>
      </c>
      <c r="H11" s="108"/>
      <c r="I11" s="71"/>
    </row>
    <row r="12" spans="1:9" s="65" customFormat="1">
      <c r="A12" s="90"/>
      <c r="B12" s="91"/>
      <c r="C12" s="91"/>
      <c r="D12" s="91"/>
      <c r="E12" s="91"/>
      <c r="F12"/>
      <c r="G12" s="85" t="s">
        <v>407</v>
      </c>
      <c r="H12" s="107">
        <f>SUM(G11:G11)</f>
        <v>12557.199999999999</v>
      </c>
      <c r="I12" s="71"/>
    </row>
    <row r="13" spans="1:9" s="65" customFormat="1">
      <c r="A13" s="72" t="s">
        <v>410</v>
      </c>
      <c r="B13" s="73"/>
      <c r="C13" s="73"/>
      <c r="D13" s="73"/>
      <c r="E13" s="73"/>
      <c r="F13"/>
      <c r="G13" s="74"/>
      <c r="H13" s="108"/>
      <c r="I13" s="71"/>
    </row>
    <row r="14" spans="1:9" s="65" customFormat="1">
      <c r="A14" s="75" t="s">
        <v>391</v>
      </c>
      <c r="B14" s="76" t="s">
        <v>392</v>
      </c>
      <c r="C14" s="76" t="s">
        <v>393</v>
      </c>
      <c r="D14" s="76" t="s">
        <v>394</v>
      </c>
      <c r="E14" s="76" t="s">
        <v>395</v>
      </c>
      <c r="F14" s="76" t="s">
        <v>396</v>
      </c>
      <c r="G14" s="76" t="s">
        <v>397</v>
      </c>
      <c r="H14" s="108"/>
      <c r="I14" s="71"/>
    </row>
    <row r="15" spans="1:9" s="65" customFormat="1">
      <c r="A15" s="77"/>
      <c r="B15" s="78"/>
      <c r="C15" s="79"/>
      <c r="D15" s="107"/>
      <c r="E15" s="79"/>
      <c r="F15" s="79"/>
      <c r="G15" s="107"/>
      <c r="H15" s="108"/>
      <c r="I15" s="71"/>
    </row>
    <row r="16" spans="1:9" s="65" customFormat="1">
      <c r="A16" s="90"/>
      <c r="B16" s="91"/>
      <c r="C16" s="91"/>
      <c r="D16" s="91"/>
      <c r="E16" s="91"/>
      <c r="F16"/>
      <c r="G16" s="93" t="s">
        <v>407</v>
      </c>
      <c r="H16" s="107">
        <f>SUM(G15:G15)</f>
        <v>0</v>
      </c>
      <c r="I16" s="71"/>
    </row>
    <row r="17" spans="1:9" s="65" customFormat="1">
      <c r="A17" s="72" t="s">
        <v>411</v>
      </c>
      <c r="B17" s="73"/>
      <c r="C17" s="73"/>
      <c r="D17" s="73"/>
      <c r="E17" s="73"/>
      <c r="F17"/>
      <c r="G17" s="74"/>
      <c r="H17" s="108"/>
      <c r="I17" s="71"/>
    </row>
    <row r="18" spans="1:9" s="65" customFormat="1">
      <c r="A18" s="75" t="s">
        <v>391</v>
      </c>
      <c r="B18" s="76" t="s">
        <v>392</v>
      </c>
      <c r="C18" s="76" t="s">
        <v>393</v>
      </c>
      <c r="D18" s="76" t="s">
        <v>394</v>
      </c>
      <c r="E18" s="76" t="s">
        <v>395</v>
      </c>
      <c r="F18" s="76" t="s">
        <v>396</v>
      </c>
      <c r="G18" s="76" t="s">
        <v>397</v>
      </c>
      <c r="H18" s="108"/>
      <c r="I18" s="71"/>
    </row>
    <row r="19" spans="1:9" s="65" customFormat="1">
      <c r="A19" s="87" t="s">
        <v>409</v>
      </c>
      <c r="B19" s="114" t="s">
        <v>747</v>
      </c>
      <c r="C19" s="114" t="s">
        <v>437</v>
      </c>
      <c r="D19" s="114">
        <v>800000</v>
      </c>
      <c r="E19" s="215">
        <v>5.5555555555555558E-3</v>
      </c>
      <c r="F19" s="79">
        <v>0</v>
      </c>
      <c r="G19" s="107">
        <f>(D19*E19)+((D19*E19)*F19/100)</f>
        <v>4444.4444444444443</v>
      </c>
      <c r="H19" s="108"/>
      <c r="I19" s="71"/>
    </row>
    <row r="20" spans="1:9" s="65" customFormat="1">
      <c r="A20" s="94"/>
      <c r="B20" s="95"/>
      <c r="C20" s="95"/>
      <c r="D20" s="95"/>
      <c r="E20" s="95"/>
      <c r="F20"/>
      <c r="G20" s="93" t="s">
        <v>407</v>
      </c>
      <c r="H20" s="107">
        <f>SUM(G18:G19)</f>
        <v>4444.4444444444443</v>
      </c>
      <c r="I20" s="71"/>
    </row>
    <row r="21" spans="1:9" s="65" customFormat="1">
      <c r="A21" s="94"/>
      <c r="B21" s="95"/>
      <c r="C21" s="95"/>
      <c r="D21" s="95"/>
      <c r="E21" s="95"/>
      <c r="F21"/>
      <c r="G21" s="74"/>
      <c r="H21" s="74"/>
      <c r="I21" s="71"/>
    </row>
    <row r="22" spans="1:9" s="65" customFormat="1">
      <c r="A22" s="96"/>
      <c r="B22" s="97"/>
      <c r="C22" s="98"/>
      <c r="D22" s="98"/>
      <c r="E22" s="98"/>
      <c r="F22"/>
      <c r="G22" s="99" t="s">
        <v>412</v>
      </c>
      <c r="H22" s="115">
        <f>SUM(H8:H20)</f>
        <v>17001.644444444442</v>
      </c>
      <c r="I22" s="71"/>
    </row>
    <row r="23" spans="1:9" s="65" customFormat="1">
      <c r="A23" s="96"/>
      <c r="B23" s="97"/>
      <c r="C23" s="98"/>
      <c r="D23" s="98"/>
      <c r="E23" s="98"/>
      <c r="F23" s="101"/>
      <c r="G23" s="116"/>
      <c r="H23" s="70"/>
      <c r="I23" s="71"/>
    </row>
    <row r="24" spans="1:9" s="65" customFormat="1" ht="15.75" thickBot="1">
      <c r="A24" s="624" t="s">
        <v>746</v>
      </c>
      <c r="B24" s="625"/>
      <c r="C24" s="625"/>
      <c r="D24" s="625"/>
      <c r="E24" s="625"/>
      <c r="F24" s="625"/>
      <c r="G24" s="626"/>
      <c r="H24" s="117">
        <f>+ROUND(H22,0)</f>
        <v>17002</v>
      </c>
      <c r="I24" s="103"/>
    </row>
    <row r="25" spans="1:9" s="65" customFormat="1">
      <c r="A25" s="123"/>
      <c r="B25" s="95"/>
      <c r="C25" s="95"/>
      <c r="D25" s="95"/>
      <c r="E25" s="95"/>
      <c r="G25" s="104"/>
      <c r="H25" s="121"/>
    </row>
    <row r="26" spans="1:9" s="65" customFormat="1" ht="15.75" thickBot="1">
      <c r="A26" s="91"/>
      <c r="B26" s="91"/>
      <c r="C26" s="91"/>
      <c r="D26" s="91"/>
      <c r="E26" s="91"/>
      <c r="G26" s="104"/>
      <c r="H26" s="140"/>
    </row>
    <row r="27" spans="1:9" s="65" customFormat="1">
      <c r="A27" s="627"/>
      <c r="B27" s="629" t="s">
        <v>948</v>
      </c>
      <c r="C27" s="630"/>
      <c r="D27" s="630"/>
      <c r="E27" s="630"/>
      <c r="F27" s="630"/>
      <c r="G27" s="630"/>
      <c r="H27" s="643"/>
      <c r="I27" s="66" t="s">
        <v>389</v>
      </c>
    </row>
    <row r="28" spans="1:9" s="65" customFormat="1">
      <c r="A28" s="628"/>
      <c r="B28" s="631"/>
      <c r="C28" s="632"/>
      <c r="D28" s="632"/>
      <c r="E28" s="632"/>
      <c r="F28" s="632"/>
      <c r="G28" s="632"/>
      <c r="H28" s="644"/>
      <c r="I28" s="67" t="s">
        <v>493</v>
      </c>
    </row>
    <row r="29" spans="1:9" s="65" customFormat="1">
      <c r="A29" s="68"/>
      <c r="B29" s="69"/>
      <c r="C29" s="69"/>
      <c r="D29" s="69"/>
      <c r="E29" s="69"/>
      <c r="F29" s="70"/>
      <c r="G29" s="70"/>
      <c r="H29" s="70"/>
      <c r="I29" s="71"/>
    </row>
    <row r="30" spans="1:9" s="65" customFormat="1">
      <c r="A30" s="72" t="s">
        <v>390</v>
      </c>
      <c r="B30" s="73"/>
      <c r="C30" s="73"/>
      <c r="D30" s="73"/>
      <c r="E30" s="73"/>
      <c r="F30" s="74"/>
      <c r="G30" s="74"/>
      <c r="H30" s="70"/>
      <c r="I30" s="71"/>
    </row>
    <row r="31" spans="1:9" s="65" customFormat="1">
      <c r="A31" s="75" t="s">
        <v>391</v>
      </c>
      <c r="B31" s="76" t="s">
        <v>392</v>
      </c>
      <c r="C31" s="76" t="s">
        <v>393</v>
      </c>
      <c r="D31" s="76" t="s">
        <v>394</v>
      </c>
      <c r="E31" s="76" t="s">
        <v>395</v>
      </c>
      <c r="F31" s="76" t="s">
        <v>396</v>
      </c>
      <c r="G31" s="76" t="s">
        <v>397</v>
      </c>
      <c r="H31" s="74"/>
      <c r="I31" s="71"/>
    </row>
    <row r="32" spans="1:9" s="65" customFormat="1">
      <c r="A32" s="77"/>
      <c r="B32" s="79"/>
      <c r="C32" s="79"/>
      <c r="D32" s="107"/>
      <c r="E32" s="79"/>
      <c r="F32" s="79"/>
      <c r="G32" s="107"/>
      <c r="H32" s="74"/>
      <c r="I32" s="71"/>
    </row>
    <row r="33" spans="1:9" s="65" customFormat="1">
      <c r="A33" s="82"/>
      <c r="B33" s="83"/>
      <c r="C33" s="84"/>
      <c r="D33" s="84"/>
      <c r="E33" s="84"/>
      <c r="F33"/>
      <c r="G33" s="93" t="s">
        <v>407</v>
      </c>
      <c r="H33" s="107">
        <f>SUM(G32:G32)</f>
        <v>0</v>
      </c>
      <c r="I33" s="71"/>
    </row>
    <row r="34" spans="1:9" s="65" customFormat="1">
      <c r="A34" s="72" t="s">
        <v>408</v>
      </c>
      <c r="B34" s="73"/>
      <c r="C34" s="73"/>
      <c r="D34" s="73"/>
      <c r="E34" s="73"/>
      <c r="F34"/>
      <c r="G34" s="74"/>
      <c r="H34" s="108"/>
      <c r="I34" s="71"/>
    </row>
    <row r="35" spans="1:9" s="65" customFormat="1">
      <c r="A35" s="75" t="s">
        <v>391</v>
      </c>
      <c r="B35" s="76" t="s">
        <v>392</v>
      </c>
      <c r="C35" s="76" t="s">
        <v>393</v>
      </c>
      <c r="D35" s="76" t="s">
        <v>394</v>
      </c>
      <c r="E35" s="76" t="s">
        <v>395</v>
      </c>
      <c r="F35" s="76" t="s">
        <v>396</v>
      </c>
      <c r="G35" s="76" t="s">
        <v>397</v>
      </c>
      <c r="H35" s="108"/>
      <c r="I35" s="71"/>
    </row>
    <row r="36" spans="1:9" s="65" customFormat="1">
      <c r="A36" s="135"/>
      <c r="B36" s="78" t="s">
        <v>1649</v>
      </c>
      <c r="C36" s="127" t="s">
        <v>493</v>
      </c>
      <c r="D36" s="107">
        <f>+(1408842*1.2)/6.5</f>
        <v>260093.90769230766</v>
      </c>
      <c r="E36" s="79">
        <v>1</v>
      </c>
      <c r="F36" s="79">
        <v>0</v>
      </c>
      <c r="G36" s="107">
        <f>(D36*E36)+((D36*E36)*F36/100)</f>
        <v>260093.90769230766</v>
      </c>
      <c r="H36" s="108"/>
      <c r="I36" s="71"/>
    </row>
    <row r="37" spans="1:9" s="65" customFormat="1">
      <c r="A37" s="90"/>
      <c r="B37" s="91"/>
      <c r="C37" s="91"/>
      <c r="D37" s="91"/>
      <c r="E37" s="91"/>
      <c r="F37"/>
      <c r="G37" s="85" t="s">
        <v>407</v>
      </c>
      <c r="H37" s="107">
        <f>SUM(G36:G36)</f>
        <v>260093.90769230766</v>
      </c>
      <c r="I37" s="71"/>
    </row>
    <row r="38" spans="1:9" s="65" customFormat="1">
      <c r="A38" s="72" t="s">
        <v>410</v>
      </c>
      <c r="B38" s="73"/>
      <c r="C38" s="73"/>
      <c r="D38" s="73"/>
      <c r="E38" s="73"/>
      <c r="F38"/>
      <c r="G38" s="74"/>
      <c r="H38" s="108"/>
      <c r="I38" s="71"/>
    </row>
    <row r="39" spans="1:9" s="65" customFormat="1">
      <c r="A39" s="75" t="s">
        <v>391</v>
      </c>
      <c r="B39" s="76" t="s">
        <v>392</v>
      </c>
      <c r="C39" s="76" t="s">
        <v>393</v>
      </c>
      <c r="D39" s="76" t="s">
        <v>394</v>
      </c>
      <c r="E39" s="76" t="s">
        <v>395</v>
      </c>
      <c r="F39" s="76" t="s">
        <v>396</v>
      </c>
      <c r="G39" s="76" t="s">
        <v>397</v>
      </c>
      <c r="H39" s="108"/>
      <c r="I39" s="71"/>
    </row>
    <row r="40" spans="1:9" s="65" customFormat="1">
      <c r="A40" s="77"/>
      <c r="B40" s="78"/>
      <c r="C40" s="79"/>
      <c r="D40" s="107"/>
      <c r="E40" s="79"/>
      <c r="F40" s="79"/>
      <c r="G40" s="107"/>
      <c r="H40" s="108"/>
      <c r="I40" s="71"/>
    </row>
    <row r="41" spans="1:9" s="65" customFormat="1">
      <c r="A41" s="90"/>
      <c r="B41" s="91"/>
      <c r="C41" s="91"/>
      <c r="D41" s="91"/>
      <c r="E41" s="91"/>
      <c r="F41"/>
      <c r="G41" s="93" t="s">
        <v>407</v>
      </c>
      <c r="H41" s="107">
        <f>SUM(G40:G40)</f>
        <v>0</v>
      </c>
      <c r="I41" s="71"/>
    </row>
    <row r="42" spans="1:9" s="65" customFormat="1">
      <c r="A42" s="72" t="s">
        <v>411</v>
      </c>
      <c r="B42" s="73"/>
      <c r="C42" s="73"/>
      <c r="D42" s="73"/>
      <c r="E42" s="73"/>
      <c r="F42"/>
      <c r="G42" s="74"/>
      <c r="H42" s="108"/>
      <c r="I42" s="71"/>
    </row>
    <row r="43" spans="1:9" s="65" customFormat="1">
      <c r="A43" s="75" t="s">
        <v>391</v>
      </c>
      <c r="B43" s="76" t="s">
        <v>392</v>
      </c>
      <c r="C43" s="76" t="s">
        <v>393</v>
      </c>
      <c r="D43" s="76" t="s">
        <v>394</v>
      </c>
      <c r="E43" s="76" t="s">
        <v>395</v>
      </c>
      <c r="F43" s="76" t="s">
        <v>396</v>
      </c>
      <c r="G43" s="76" t="s">
        <v>397</v>
      </c>
      <c r="H43" s="108"/>
      <c r="I43" s="71"/>
    </row>
    <row r="44" spans="1:9" s="65" customFormat="1">
      <c r="A44" s="87" t="s">
        <v>409</v>
      </c>
      <c r="B44" s="114" t="s">
        <v>747</v>
      </c>
      <c r="C44" s="114" t="s">
        <v>437</v>
      </c>
      <c r="D44" s="114">
        <v>800000</v>
      </c>
      <c r="E44" s="215">
        <v>3.3333333333333333E-2</v>
      </c>
      <c r="F44" s="79">
        <v>0</v>
      </c>
      <c r="G44" s="107">
        <f>(D44*E44)+((D44*E44)*F44/100)</f>
        <v>26666.666666666668</v>
      </c>
      <c r="H44" s="108"/>
      <c r="I44" s="71"/>
    </row>
    <row r="45" spans="1:9" s="65" customFormat="1">
      <c r="A45" s="94"/>
      <c r="B45" s="95"/>
      <c r="C45" s="95"/>
      <c r="D45" s="95"/>
      <c r="E45" s="95"/>
      <c r="F45"/>
      <c r="G45" s="93" t="s">
        <v>407</v>
      </c>
      <c r="H45" s="107">
        <f>SUM(G43:G44)</f>
        <v>26666.666666666668</v>
      </c>
      <c r="I45" s="71"/>
    </row>
    <row r="46" spans="1:9" s="65" customFormat="1">
      <c r="A46" s="94"/>
      <c r="B46" s="95"/>
      <c r="C46" s="95"/>
      <c r="D46" s="95"/>
      <c r="E46" s="95"/>
      <c r="F46"/>
      <c r="G46" s="74"/>
      <c r="H46" s="74"/>
      <c r="I46" s="71"/>
    </row>
    <row r="47" spans="1:9" s="65" customFormat="1">
      <c r="A47" s="96"/>
      <c r="B47" s="97"/>
      <c r="C47" s="98"/>
      <c r="D47" s="98"/>
      <c r="E47" s="98"/>
      <c r="F47"/>
      <c r="G47" s="99" t="s">
        <v>412</v>
      </c>
      <c r="H47" s="115">
        <f>SUM(H33:H45)</f>
        <v>286760.57435897435</v>
      </c>
      <c r="I47" s="71"/>
    </row>
    <row r="48" spans="1:9" s="65" customFormat="1">
      <c r="A48" s="96"/>
      <c r="B48" s="97"/>
      <c r="C48" s="98"/>
      <c r="D48" s="98"/>
      <c r="E48" s="98"/>
      <c r="F48" s="101"/>
      <c r="G48" s="116"/>
      <c r="H48" s="70"/>
      <c r="I48" s="71"/>
    </row>
    <row r="49" spans="1:9" s="65" customFormat="1" ht="15.75" thickBot="1">
      <c r="A49" s="624" t="s">
        <v>746</v>
      </c>
      <c r="B49" s="625"/>
      <c r="C49" s="625"/>
      <c r="D49" s="625"/>
      <c r="E49" s="625"/>
      <c r="F49" s="625"/>
      <c r="G49" s="626"/>
      <c r="H49" s="117">
        <f>+ROUND(H47,0)</f>
        <v>286761</v>
      </c>
      <c r="I49" s="103"/>
    </row>
    <row r="50" spans="1:9" s="65" customFormat="1">
      <c r="A50" s="150"/>
      <c r="B50" s="83"/>
      <c r="C50" s="148"/>
      <c r="D50" s="84"/>
      <c r="E50" s="84"/>
      <c r="F50" s="84"/>
      <c r="G50" s="144"/>
      <c r="H50" s="140"/>
    </row>
    <row r="51" spans="1:9" s="65" customFormat="1" ht="15.75" thickBot="1">
      <c r="A51" s="150"/>
      <c r="B51" s="83"/>
      <c r="C51" s="148"/>
      <c r="D51" s="84"/>
      <c r="E51" s="84"/>
      <c r="F51" s="84"/>
      <c r="G51" s="144"/>
      <c r="H51" s="145"/>
    </row>
    <row r="52" spans="1:9" s="65" customFormat="1">
      <c r="A52" s="627"/>
      <c r="B52" s="629" t="s">
        <v>949</v>
      </c>
      <c r="C52" s="630"/>
      <c r="D52" s="630"/>
      <c r="E52" s="630"/>
      <c r="F52" s="630"/>
      <c r="G52" s="630"/>
      <c r="H52" s="643"/>
      <c r="I52" s="66" t="s">
        <v>389</v>
      </c>
    </row>
    <row r="53" spans="1:9" s="65" customFormat="1">
      <c r="A53" s="628"/>
      <c r="B53" s="631"/>
      <c r="C53" s="632"/>
      <c r="D53" s="632"/>
      <c r="E53" s="632"/>
      <c r="F53" s="632"/>
      <c r="G53" s="632"/>
      <c r="H53" s="644"/>
      <c r="I53" s="67" t="s">
        <v>493</v>
      </c>
    </row>
    <row r="54" spans="1:9" s="65" customFormat="1">
      <c r="A54" s="68"/>
      <c r="B54" s="69"/>
      <c r="C54" s="69"/>
      <c r="D54" s="69"/>
      <c r="E54" s="69"/>
      <c r="F54" s="70"/>
      <c r="G54" s="70"/>
      <c r="H54" s="70"/>
      <c r="I54" s="71"/>
    </row>
    <row r="55" spans="1:9" s="65" customFormat="1">
      <c r="A55" s="72" t="s">
        <v>390</v>
      </c>
      <c r="B55" s="73"/>
      <c r="C55" s="73"/>
      <c r="D55" s="73"/>
      <c r="E55" s="73"/>
      <c r="F55" s="74"/>
      <c r="G55" s="74"/>
      <c r="H55" s="70"/>
      <c r="I55" s="71"/>
    </row>
    <row r="56" spans="1:9" s="65" customFormat="1">
      <c r="A56" s="75" t="s">
        <v>391</v>
      </c>
      <c r="B56" s="76" t="s">
        <v>392</v>
      </c>
      <c r="C56" s="76" t="s">
        <v>393</v>
      </c>
      <c r="D56" s="76" t="s">
        <v>394</v>
      </c>
      <c r="E56" s="76" t="s">
        <v>395</v>
      </c>
      <c r="F56" s="76" t="s">
        <v>396</v>
      </c>
      <c r="G56" s="76" t="s">
        <v>397</v>
      </c>
      <c r="H56" s="74"/>
      <c r="I56" s="71"/>
    </row>
    <row r="57" spans="1:9" s="65" customFormat="1" ht="38.25" customHeight="1">
      <c r="A57" s="77"/>
      <c r="B57" s="79"/>
      <c r="C57" s="79"/>
      <c r="D57" s="107"/>
      <c r="E57" s="79"/>
      <c r="F57" s="79"/>
      <c r="G57" s="107"/>
      <c r="H57" s="74"/>
      <c r="I57" s="71"/>
    </row>
    <row r="58" spans="1:9" s="65" customFormat="1">
      <c r="A58" s="82"/>
      <c r="B58" s="83"/>
      <c r="C58" s="84"/>
      <c r="D58" s="84"/>
      <c r="E58" s="84"/>
      <c r="F58"/>
      <c r="G58" s="93" t="s">
        <v>407</v>
      </c>
      <c r="H58" s="107">
        <f>SUM(G57:G57)</f>
        <v>0</v>
      </c>
      <c r="I58" s="71"/>
    </row>
    <row r="59" spans="1:9" s="65" customFormat="1">
      <c r="A59" s="72" t="s">
        <v>408</v>
      </c>
      <c r="B59" s="73"/>
      <c r="C59" s="73"/>
      <c r="D59" s="73"/>
      <c r="E59" s="73"/>
      <c r="F59"/>
      <c r="G59" s="74"/>
      <c r="H59" s="108"/>
      <c r="I59" s="71"/>
    </row>
    <row r="60" spans="1:9" s="65" customFormat="1">
      <c r="A60" s="75" t="s">
        <v>391</v>
      </c>
      <c r="B60" s="76" t="s">
        <v>392</v>
      </c>
      <c r="C60" s="76" t="s">
        <v>393</v>
      </c>
      <c r="D60" s="76" t="s">
        <v>394</v>
      </c>
      <c r="E60" s="76" t="s">
        <v>395</v>
      </c>
      <c r="F60" s="76" t="s">
        <v>396</v>
      </c>
      <c r="G60" s="76" t="s">
        <v>397</v>
      </c>
      <c r="H60" s="108"/>
      <c r="I60" s="71"/>
    </row>
    <row r="61" spans="1:9" s="65" customFormat="1">
      <c r="A61" s="135"/>
      <c r="B61" s="78" t="s">
        <v>1647</v>
      </c>
      <c r="C61" s="127" t="s">
        <v>493</v>
      </c>
      <c r="D61" s="107">
        <f>+(166698*1.2)/6</f>
        <v>33339.599999999999</v>
      </c>
      <c r="E61" s="79">
        <v>1</v>
      </c>
      <c r="F61" s="79">
        <v>0</v>
      </c>
      <c r="G61" s="107">
        <f>(D61*E61)+((D61*E61)*F61/100)</f>
        <v>33339.599999999999</v>
      </c>
      <c r="H61" s="108"/>
      <c r="I61" s="71"/>
    </row>
    <row r="62" spans="1:9" s="65" customFormat="1">
      <c r="A62" s="90"/>
      <c r="B62" s="91"/>
      <c r="C62" s="91"/>
      <c r="D62" s="91"/>
      <c r="E62" s="91"/>
      <c r="F62"/>
      <c r="G62" s="85" t="s">
        <v>407</v>
      </c>
      <c r="H62" s="107">
        <f>SUM(G61:G61)</f>
        <v>33339.599999999999</v>
      </c>
      <c r="I62" s="71"/>
    </row>
    <row r="63" spans="1:9" s="65" customFormat="1">
      <c r="A63" s="72" t="s">
        <v>410</v>
      </c>
      <c r="B63" s="73"/>
      <c r="C63" s="73"/>
      <c r="D63" s="73"/>
      <c r="E63" s="73"/>
      <c r="F63"/>
      <c r="G63" s="74"/>
      <c r="H63" s="108"/>
      <c r="I63" s="71"/>
    </row>
    <row r="64" spans="1:9" s="65" customFormat="1">
      <c r="A64" s="75" t="s">
        <v>391</v>
      </c>
      <c r="B64" s="76" t="s">
        <v>392</v>
      </c>
      <c r="C64" s="76" t="s">
        <v>393</v>
      </c>
      <c r="D64" s="76" t="s">
        <v>394</v>
      </c>
      <c r="E64" s="76" t="s">
        <v>395</v>
      </c>
      <c r="F64" s="76" t="s">
        <v>396</v>
      </c>
      <c r="G64" s="76" t="s">
        <v>397</v>
      </c>
      <c r="H64" s="108"/>
      <c r="I64" s="71"/>
    </row>
    <row r="65" spans="1:19" s="65" customFormat="1">
      <c r="A65" s="77"/>
      <c r="B65" s="78"/>
      <c r="C65" s="79"/>
      <c r="D65" s="107"/>
      <c r="E65" s="79"/>
      <c r="F65" s="79"/>
      <c r="G65" s="107"/>
      <c r="H65" s="108"/>
      <c r="I65" s="71"/>
    </row>
    <row r="66" spans="1:19" s="65" customFormat="1">
      <c r="A66" s="90"/>
      <c r="B66" s="91"/>
      <c r="C66" s="91"/>
      <c r="D66" s="91"/>
      <c r="E66" s="91"/>
      <c r="F66"/>
      <c r="G66" s="93" t="s">
        <v>407</v>
      </c>
      <c r="H66" s="107">
        <f>SUM(G65:G65)</f>
        <v>0</v>
      </c>
      <c r="I66" s="71"/>
    </row>
    <row r="67" spans="1:19" s="65" customFormat="1">
      <c r="A67" s="72" t="s">
        <v>411</v>
      </c>
      <c r="B67" s="73"/>
      <c r="C67" s="73"/>
      <c r="D67" s="73"/>
      <c r="E67" s="73"/>
      <c r="F67"/>
      <c r="G67" s="74"/>
      <c r="H67" s="108"/>
      <c r="I67" s="71"/>
    </row>
    <row r="68" spans="1:19" s="65" customFormat="1">
      <c r="A68" s="75" t="s">
        <v>391</v>
      </c>
      <c r="B68" s="76" t="s">
        <v>392</v>
      </c>
      <c r="C68" s="76" t="s">
        <v>393</v>
      </c>
      <c r="D68" s="76" t="s">
        <v>394</v>
      </c>
      <c r="E68" s="76" t="s">
        <v>395</v>
      </c>
      <c r="F68" s="76" t="s">
        <v>396</v>
      </c>
      <c r="G68" s="76" t="s">
        <v>397</v>
      </c>
      <c r="H68" s="108"/>
      <c r="I68" s="71"/>
      <c r="K68" s="645"/>
      <c r="L68" s="646"/>
      <c r="M68" s="646"/>
      <c r="N68" s="646"/>
      <c r="O68" s="646"/>
      <c r="P68" s="646"/>
      <c r="Q68" s="646"/>
      <c r="R68" s="646"/>
      <c r="S68" s="151"/>
    </row>
    <row r="69" spans="1:19" s="65" customFormat="1">
      <c r="A69" s="87" t="s">
        <v>409</v>
      </c>
      <c r="B69" s="114" t="s">
        <v>747</v>
      </c>
      <c r="C69" s="114" t="s">
        <v>437</v>
      </c>
      <c r="D69" s="114">
        <v>800000</v>
      </c>
      <c r="E69" s="215">
        <v>8.3333333333333332E-3</v>
      </c>
      <c r="F69" s="79">
        <v>0</v>
      </c>
      <c r="G69" s="107">
        <f>(D69*E69)+((D69*E69)*F69/100)</f>
        <v>6666.666666666667</v>
      </c>
      <c r="H69" s="108"/>
      <c r="I69" s="71"/>
      <c r="K69" s="645"/>
      <c r="L69" s="646"/>
      <c r="M69" s="646"/>
      <c r="N69" s="646"/>
      <c r="O69" s="646"/>
      <c r="P69" s="646"/>
      <c r="Q69" s="646"/>
      <c r="R69" s="646"/>
      <c r="S69" s="152"/>
    </row>
    <row r="70" spans="1:19" s="65" customFormat="1">
      <c r="A70" s="94"/>
      <c r="B70" s="95"/>
      <c r="C70" s="95"/>
      <c r="D70" s="95"/>
      <c r="E70" s="95"/>
      <c r="F70"/>
      <c r="G70" s="93" t="s">
        <v>407</v>
      </c>
      <c r="H70" s="107">
        <f>SUM(G68:G69)</f>
        <v>6666.666666666667</v>
      </c>
      <c r="I70" s="71"/>
      <c r="K70" s="69"/>
      <c r="L70" s="69"/>
      <c r="M70" s="69"/>
      <c r="N70" s="69"/>
      <c r="O70" s="69"/>
    </row>
    <row r="71" spans="1:19" s="65" customFormat="1">
      <c r="A71" s="94"/>
      <c r="B71" s="95"/>
      <c r="C71" s="95"/>
      <c r="D71" s="95"/>
      <c r="E71" s="95"/>
      <c r="F71"/>
      <c r="G71" s="74"/>
      <c r="H71" s="74"/>
      <c r="I71" s="71"/>
      <c r="K71" s="120"/>
      <c r="L71" s="73"/>
      <c r="M71" s="73"/>
      <c r="N71" s="73"/>
      <c r="O71" s="73"/>
      <c r="P71" s="121"/>
      <c r="Q71" s="121"/>
    </row>
    <row r="72" spans="1:19" s="65" customFormat="1">
      <c r="A72" s="96"/>
      <c r="B72" s="97"/>
      <c r="C72" s="98"/>
      <c r="D72" s="98"/>
      <c r="E72" s="98"/>
      <c r="F72"/>
      <c r="G72" s="99" t="s">
        <v>412</v>
      </c>
      <c r="H72" s="115">
        <f>SUM(H58:H70)</f>
        <v>40006.266666666663</v>
      </c>
      <c r="I72" s="71"/>
      <c r="K72" s="128"/>
      <c r="L72" s="141"/>
      <c r="M72" s="141"/>
      <c r="N72" s="141"/>
      <c r="O72" s="141"/>
      <c r="P72" s="141"/>
      <c r="Q72" s="141"/>
      <c r="R72" s="121"/>
    </row>
    <row r="73" spans="1:19" s="65" customFormat="1">
      <c r="A73" s="96"/>
      <c r="B73" s="97"/>
      <c r="C73" s="98"/>
      <c r="D73" s="98"/>
      <c r="E73" s="98"/>
      <c r="F73" s="101"/>
      <c r="G73" s="116"/>
      <c r="H73" s="70"/>
      <c r="I73" s="71"/>
      <c r="K73" s="150"/>
      <c r="L73" s="83"/>
      <c r="M73" s="148"/>
      <c r="N73" s="84"/>
      <c r="O73" s="84"/>
      <c r="P73" s="84"/>
      <c r="Q73" s="154"/>
      <c r="R73" s="121"/>
    </row>
    <row r="74" spans="1:19" s="65" customFormat="1" ht="15.75" thickBot="1">
      <c r="A74" s="624" t="s">
        <v>746</v>
      </c>
      <c r="B74" s="625"/>
      <c r="C74" s="625"/>
      <c r="D74" s="625"/>
      <c r="E74" s="625"/>
      <c r="F74" s="625"/>
      <c r="G74" s="626"/>
      <c r="H74" s="117">
        <f>+ROUND(H72,0)</f>
        <v>40006</v>
      </c>
      <c r="I74" s="103"/>
      <c r="K74" s="84"/>
      <c r="L74" s="83"/>
      <c r="M74" s="84"/>
      <c r="N74" s="84"/>
      <c r="O74" s="84"/>
      <c r="Q74" s="104"/>
      <c r="R74" s="145"/>
    </row>
    <row r="75" spans="1:19" s="65" customFormat="1">
      <c r="A75" s="120"/>
      <c r="B75" s="73"/>
      <c r="C75" s="73"/>
      <c r="D75" s="73"/>
      <c r="E75" s="73"/>
      <c r="G75" s="121"/>
      <c r="H75" s="140"/>
      <c r="K75" s="120"/>
      <c r="L75" s="73"/>
      <c r="M75" s="73"/>
      <c r="N75" s="73"/>
      <c r="O75" s="73"/>
      <c r="Q75" s="121"/>
      <c r="R75" s="140"/>
    </row>
    <row r="76" spans="1:19" s="65" customFormat="1" ht="15.75" thickBot="1">
      <c r="A76" s="128"/>
      <c r="B76" s="141"/>
      <c r="C76" s="141"/>
      <c r="D76" s="141"/>
      <c r="E76" s="141"/>
      <c r="F76" s="141"/>
      <c r="G76" s="141"/>
      <c r="H76" s="140"/>
      <c r="K76" s="128"/>
      <c r="L76" s="141"/>
      <c r="M76" s="141"/>
      <c r="N76" s="141"/>
      <c r="O76" s="141"/>
      <c r="P76" s="141"/>
      <c r="Q76" s="141"/>
      <c r="R76" s="140"/>
    </row>
    <row r="77" spans="1:19" s="65" customFormat="1">
      <c r="A77" s="627"/>
      <c r="B77" s="629" t="s">
        <v>1646</v>
      </c>
      <c r="C77" s="630"/>
      <c r="D77" s="630"/>
      <c r="E77" s="630"/>
      <c r="F77" s="630"/>
      <c r="G77" s="630"/>
      <c r="H77" s="643"/>
      <c r="I77" s="66" t="s">
        <v>389</v>
      </c>
    </row>
    <row r="78" spans="1:19" s="65" customFormat="1">
      <c r="A78" s="628"/>
      <c r="B78" s="631"/>
      <c r="C78" s="632"/>
      <c r="D78" s="632"/>
      <c r="E78" s="632"/>
      <c r="F78" s="632"/>
      <c r="G78" s="632"/>
      <c r="H78" s="644"/>
      <c r="I78" s="67" t="s">
        <v>493</v>
      </c>
    </row>
    <row r="79" spans="1:19" s="65" customFormat="1">
      <c r="A79" s="68"/>
      <c r="B79" s="69"/>
      <c r="C79" s="69"/>
      <c r="D79" s="69"/>
      <c r="E79" s="69"/>
      <c r="F79" s="70"/>
      <c r="G79" s="70"/>
      <c r="H79" s="70"/>
      <c r="I79" s="71"/>
    </row>
    <row r="80" spans="1:19" s="65" customFormat="1">
      <c r="A80" s="72" t="s">
        <v>390</v>
      </c>
      <c r="B80" s="73"/>
      <c r="C80" s="73"/>
      <c r="D80" s="73"/>
      <c r="E80" s="73"/>
      <c r="F80" s="74"/>
      <c r="G80" s="74"/>
      <c r="H80" s="70"/>
      <c r="I80" s="71"/>
    </row>
    <row r="81" spans="1:11" s="65" customFormat="1">
      <c r="A81" s="75" t="s">
        <v>391</v>
      </c>
      <c r="B81" s="76" t="s">
        <v>392</v>
      </c>
      <c r="C81" s="76" t="s">
        <v>393</v>
      </c>
      <c r="D81" s="76" t="s">
        <v>394</v>
      </c>
      <c r="E81" s="76" t="s">
        <v>395</v>
      </c>
      <c r="F81" s="76" t="s">
        <v>396</v>
      </c>
      <c r="G81" s="76" t="s">
        <v>397</v>
      </c>
      <c r="H81" s="74"/>
      <c r="I81" s="71"/>
    </row>
    <row r="82" spans="1:11" s="65" customFormat="1" ht="38.25" customHeight="1">
      <c r="A82" s="77"/>
      <c r="B82" s="79"/>
      <c r="C82" s="79"/>
      <c r="D82" s="107"/>
      <c r="E82" s="79"/>
      <c r="F82" s="79"/>
      <c r="G82" s="107"/>
      <c r="H82" s="74"/>
      <c r="I82" s="71"/>
    </row>
    <row r="83" spans="1:11" s="65" customFormat="1">
      <c r="A83" s="82"/>
      <c r="B83" s="83"/>
      <c r="C83" s="84"/>
      <c r="D83" s="84"/>
      <c r="E83" s="84"/>
      <c r="F83"/>
      <c r="G83" s="93" t="s">
        <v>407</v>
      </c>
      <c r="H83" s="107">
        <f>SUM(G82:G82)</f>
        <v>0</v>
      </c>
      <c r="I83" s="71"/>
    </row>
    <row r="84" spans="1:11" s="65" customFormat="1">
      <c r="A84" s="72" t="s">
        <v>408</v>
      </c>
      <c r="B84" s="73"/>
      <c r="C84" s="73"/>
      <c r="D84" s="73"/>
      <c r="E84" s="73"/>
      <c r="F84"/>
      <c r="G84" s="74"/>
      <c r="H84" s="108"/>
      <c r="I84" s="71"/>
    </row>
    <row r="85" spans="1:11" s="65" customFormat="1">
      <c r="A85" s="75" t="s">
        <v>391</v>
      </c>
      <c r="B85" s="76" t="s">
        <v>392</v>
      </c>
      <c r="C85" s="76" t="s">
        <v>393</v>
      </c>
      <c r="D85" s="76" t="s">
        <v>394</v>
      </c>
      <c r="E85" s="76" t="s">
        <v>395</v>
      </c>
      <c r="F85" s="76" t="s">
        <v>396</v>
      </c>
      <c r="G85" s="76" t="s">
        <v>397</v>
      </c>
      <c r="H85" s="108"/>
      <c r="I85" s="71"/>
    </row>
    <row r="86" spans="1:11" s="65" customFormat="1">
      <c r="A86" s="135"/>
      <c r="B86" s="327" t="s">
        <v>1648</v>
      </c>
      <c r="C86" s="127" t="s">
        <v>493</v>
      </c>
      <c r="D86" s="107">
        <f>+(473466*1.2)/6.5</f>
        <v>87409.107692307691</v>
      </c>
      <c r="E86" s="79">
        <v>1</v>
      </c>
      <c r="F86" s="79">
        <v>0</v>
      </c>
      <c r="G86" s="107">
        <f>(D86*E86)+((D86*E86)*F86/100)</f>
        <v>87409.107692307691</v>
      </c>
      <c r="H86" s="108"/>
      <c r="I86" s="71"/>
    </row>
    <row r="87" spans="1:11" s="65" customFormat="1">
      <c r="A87" s="90"/>
      <c r="B87" s="91"/>
      <c r="C87" s="91"/>
      <c r="D87" s="91"/>
      <c r="E87" s="91"/>
      <c r="F87"/>
      <c r="G87" s="85" t="s">
        <v>407</v>
      </c>
      <c r="H87" s="107">
        <f>SUM(G86:G86)</f>
        <v>87409.107692307691</v>
      </c>
      <c r="I87" s="71"/>
    </row>
    <row r="88" spans="1:11" s="65" customFormat="1">
      <c r="A88" s="72" t="s">
        <v>410</v>
      </c>
      <c r="B88" s="73"/>
      <c r="C88" s="73"/>
      <c r="D88" s="73"/>
      <c r="E88" s="73"/>
      <c r="F88"/>
      <c r="G88" s="74"/>
      <c r="H88" s="108"/>
      <c r="I88" s="71"/>
    </row>
    <row r="89" spans="1:11" s="65" customFormat="1">
      <c r="A89" s="75" t="s">
        <v>391</v>
      </c>
      <c r="B89" s="76" t="s">
        <v>392</v>
      </c>
      <c r="C89" s="76" t="s">
        <v>393</v>
      </c>
      <c r="D89" s="76" t="s">
        <v>394</v>
      </c>
      <c r="E89" s="76" t="s">
        <v>395</v>
      </c>
      <c r="F89" s="76" t="s">
        <v>396</v>
      </c>
      <c r="G89" s="76" t="s">
        <v>397</v>
      </c>
      <c r="H89" s="108"/>
      <c r="I89" s="71"/>
    </row>
    <row r="90" spans="1:11" s="65" customFormat="1">
      <c r="A90" s="77"/>
      <c r="B90" s="327"/>
      <c r="C90" s="79"/>
      <c r="D90" s="107"/>
      <c r="E90" s="79"/>
      <c r="F90" s="79"/>
      <c r="G90" s="107"/>
      <c r="H90" s="108"/>
      <c r="I90" s="71"/>
    </row>
    <row r="91" spans="1:11" s="65" customFormat="1">
      <c r="A91" s="90"/>
      <c r="B91" s="91"/>
      <c r="C91" s="91"/>
      <c r="D91" s="91"/>
      <c r="E91" s="91"/>
      <c r="F91"/>
      <c r="G91" s="93" t="s">
        <v>407</v>
      </c>
      <c r="H91" s="107">
        <f>SUM(G90:G90)</f>
        <v>0</v>
      </c>
      <c r="I91" s="71"/>
    </row>
    <row r="92" spans="1:11" s="65" customFormat="1">
      <c r="A92" s="72" t="s">
        <v>411</v>
      </c>
      <c r="B92" s="73"/>
      <c r="C92" s="73"/>
      <c r="D92" s="73"/>
      <c r="E92" s="73"/>
      <c r="F92"/>
      <c r="G92" s="74"/>
      <c r="H92" s="108"/>
      <c r="I92" s="71"/>
    </row>
    <row r="93" spans="1:11" s="65" customFormat="1">
      <c r="A93" s="75" t="s">
        <v>391</v>
      </c>
      <c r="B93" s="76" t="s">
        <v>392</v>
      </c>
      <c r="C93" s="76" t="s">
        <v>393</v>
      </c>
      <c r="D93" s="76" t="s">
        <v>394</v>
      </c>
      <c r="E93" s="76" t="s">
        <v>395</v>
      </c>
      <c r="F93" s="76" t="s">
        <v>396</v>
      </c>
      <c r="G93" s="76" t="s">
        <v>397</v>
      </c>
      <c r="H93" s="108"/>
      <c r="I93" s="71"/>
      <c r="K93" s="151"/>
    </row>
    <row r="94" spans="1:11" s="65" customFormat="1">
      <c r="A94" s="87" t="s">
        <v>409</v>
      </c>
      <c r="B94" s="114" t="s">
        <v>747</v>
      </c>
      <c r="C94" s="114" t="s">
        <v>437</v>
      </c>
      <c r="D94" s="114">
        <v>800000</v>
      </c>
      <c r="E94" s="215">
        <v>1.7299999999999999E-2</v>
      </c>
      <c r="F94" s="79">
        <v>0</v>
      </c>
      <c r="G94" s="107">
        <f>(D94*E94)+((D94*E94)*F94/100)</f>
        <v>13840</v>
      </c>
      <c r="H94" s="108"/>
      <c r="I94" s="71"/>
      <c r="K94" s="152"/>
    </row>
    <row r="95" spans="1:11" s="65" customFormat="1">
      <c r="A95" s="94"/>
      <c r="B95" s="95"/>
      <c r="C95" s="95"/>
      <c r="D95" s="95"/>
      <c r="E95" s="95"/>
      <c r="F95"/>
      <c r="G95" s="93" t="s">
        <v>407</v>
      </c>
      <c r="H95" s="107">
        <f>SUM(G93:G94)</f>
        <v>13840</v>
      </c>
      <c r="I95" s="71"/>
    </row>
    <row r="96" spans="1:11" s="65" customFormat="1">
      <c r="A96" s="94"/>
      <c r="B96" s="95"/>
      <c r="C96" s="95"/>
      <c r="D96" s="95"/>
      <c r="E96" s="95"/>
      <c r="F96"/>
      <c r="G96" s="74"/>
      <c r="H96" s="74"/>
      <c r="I96" s="71"/>
    </row>
    <row r="97" spans="1:18" s="65" customFormat="1">
      <c r="A97" s="96"/>
      <c r="B97" s="97"/>
      <c r="C97" s="98"/>
      <c r="D97" s="98"/>
      <c r="E97" s="98"/>
      <c r="F97"/>
      <c r="G97" s="99" t="s">
        <v>412</v>
      </c>
      <c r="H97" s="115">
        <f>SUM(H83:H95)</f>
        <v>101249.10769230769</v>
      </c>
      <c r="I97" s="71"/>
    </row>
    <row r="98" spans="1:18" s="65" customFormat="1">
      <c r="A98" s="96"/>
      <c r="B98" s="97"/>
      <c r="C98" s="98"/>
      <c r="D98" s="98"/>
      <c r="E98" s="98"/>
      <c r="F98" s="101"/>
      <c r="G98" s="116"/>
      <c r="H98" s="70"/>
      <c r="I98" s="71"/>
    </row>
    <row r="99" spans="1:18" s="65" customFormat="1" ht="15.75" thickBot="1">
      <c r="A99" s="624" t="s">
        <v>746</v>
      </c>
      <c r="B99" s="625"/>
      <c r="C99" s="625"/>
      <c r="D99" s="625"/>
      <c r="E99" s="625"/>
      <c r="F99" s="625"/>
      <c r="G99" s="626"/>
      <c r="H99" s="117">
        <f>+ROUND(H97,0)</f>
        <v>101249</v>
      </c>
      <c r="I99" s="103"/>
      <c r="K99" s="84"/>
      <c r="L99" s="83"/>
      <c r="M99" s="84"/>
      <c r="N99" s="84"/>
      <c r="O99" s="84"/>
      <c r="Q99" s="104"/>
      <c r="R99" s="145"/>
    </row>
    <row r="100" spans="1:18" s="65" customFormat="1">
      <c r="A100" s="120"/>
      <c r="B100" s="73"/>
      <c r="C100" s="73"/>
      <c r="D100" s="73"/>
      <c r="E100" s="73"/>
      <c r="G100" s="121"/>
      <c r="H100" s="140"/>
      <c r="K100" s="120"/>
      <c r="L100" s="73"/>
      <c r="M100" s="73"/>
      <c r="N100" s="73"/>
      <c r="O100" s="73"/>
      <c r="Q100" s="121"/>
      <c r="R100" s="140"/>
    </row>
    <row r="101" spans="1:18" s="65" customFormat="1" ht="15.75" thickBot="1">
      <c r="A101" s="128"/>
      <c r="B101" s="141"/>
      <c r="C101" s="141"/>
      <c r="D101" s="141"/>
      <c r="E101" s="141"/>
      <c r="F101" s="141"/>
      <c r="G101" s="141"/>
      <c r="H101" s="140"/>
      <c r="K101" s="128"/>
      <c r="L101" s="141"/>
      <c r="M101" s="141"/>
      <c r="N101" s="141"/>
      <c r="O101" s="141"/>
      <c r="P101" s="141"/>
      <c r="Q101" s="141"/>
      <c r="R101" s="140"/>
    </row>
    <row r="102" spans="1:18" s="65" customFormat="1">
      <c r="A102" s="627"/>
      <c r="B102" s="629" t="s">
        <v>754</v>
      </c>
      <c r="C102" s="630"/>
      <c r="D102" s="630"/>
      <c r="E102" s="630"/>
      <c r="F102" s="630"/>
      <c r="G102" s="630"/>
      <c r="H102" s="643"/>
      <c r="I102" s="66" t="s">
        <v>389</v>
      </c>
      <c r="K102" s="150"/>
      <c r="L102" s="83"/>
      <c r="M102" s="148"/>
      <c r="N102" s="84"/>
      <c r="O102" s="84"/>
      <c r="P102" s="84"/>
      <c r="Q102" s="154"/>
      <c r="R102" s="140"/>
    </row>
    <row r="103" spans="1:18" s="65" customFormat="1">
      <c r="A103" s="628"/>
      <c r="B103" s="631"/>
      <c r="C103" s="632"/>
      <c r="D103" s="632"/>
      <c r="E103" s="632"/>
      <c r="F103" s="632"/>
      <c r="G103" s="632"/>
      <c r="H103" s="644"/>
      <c r="I103" s="67" t="s">
        <v>493</v>
      </c>
      <c r="K103" s="91"/>
      <c r="L103" s="91"/>
      <c r="M103" s="91"/>
      <c r="N103" s="91"/>
      <c r="O103" s="91"/>
      <c r="Q103" s="104"/>
      <c r="R103" s="145"/>
    </row>
    <row r="104" spans="1:18" s="65" customFormat="1">
      <c r="A104" s="68"/>
      <c r="B104" s="69"/>
      <c r="C104" s="69"/>
      <c r="D104" s="69"/>
      <c r="E104" s="69"/>
      <c r="F104" s="70"/>
      <c r="G104" s="70"/>
      <c r="H104" s="70"/>
      <c r="I104" s="71"/>
      <c r="K104" s="120"/>
      <c r="L104" s="73"/>
      <c r="M104" s="73"/>
      <c r="N104" s="73"/>
      <c r="O104" s="73"/>
      <c r="Q104" s="121"/>
      <c r="R104" s="140"/>
    </row>
    <row r="105" spans="1:18" s="65" customFormat="1">
      <c r="A105" s="72" t="s">
        <v>390</v>
      </c>
      <c r="B105" s="73"/>
      <c r="C105" s="73"/>
      <c r="D105" s="73"/>
      <c r="E105" s="73"/>
      <c r="F105" s="74"/>
      <c r="G105" s="74"/>
      <c r="H105" s="70"/>
      <c r="I105" s="71"/>
      <c r="K105" s="128"/>
      <c r="L105" s="141"/>
      <c r="M105" s="141"/>
      <c r="N105" s="141"/>
      <c r="O105" s="141"/>
      <c r="P105" s="141"/>
      <c r="Q105" s="141"/>
      <c r="R105" s="140"/>
    </row>
    <row r="106" spans="1:18" s="65" customFormat="1">
      <c r="A106" s="75" t="s">
        <v>391</v>
      </c>
      <c r="B106" s="76" t="s">
        <v>392</v>
      </c>
      <c r="C106" s="76" t="s">
        <v>393</v>
      </c>
      <c r="D106" s="76" t="s">
        <v>394</v>
      </c>
      <c r="E106" s="76" t="s">
        <v>395</v>
      </c>
      <c r="F106" s="76" t="s">
        <v>396</v>
      </c>
      <c r="G106" s="76" t="s">
        <v>397</v>
      </c>
      <c r="H106" s="74"/>
      <c r="I106" s="71"/>
      <c r="K106" s="146"/>
      <c r="L106" s="83"/>
      <c r="M106" s="148"/>
      <c r="N106" s="84"/>
      <c r="O106" s="84"/>
      <c r="P106" s="84"/>
      <c r="Q106" s="154"/>
      <c r="R106" s="140"/>
    </row>
    <row r="107" spans="1:18" s="65" customFormat="1">
      <c r="A107" s="77"/>
      <c r="B107" s="79"/>
      <c r="C107" s="79"/>
      <c r="D107" s="107"/>
      <c r="E107" s="79"/>
      <c r="F107" s="79"/>
      <c r="G107" s="107"/>
      <c r="H107" s="74"/>
      <c r="I107" s="71"/>
      <c r="K107" s="91"/>
      <c r="L107" s="91"/>
      <c r="M107" s="91"/>
      <c r="N107" s="91"/>
      <c r="O107" s="91"/>
      <c r="Q107" s="104"/>
      <c r="R107" s="145"/>
    </row>
    <row r="108" spans="1:18" s="65" customFormat="1">
      <c r="A108" s="82"/>
      <c r="B108" s="83"/>
      <c r="C108" s="84"/>
      <c r="D108" s="84"/>
      <c r="E108" s="84"/>
      <c r="F108"/>
      <c r="G108" s="93" t="s">
        <v>407</v>
      </c>
      <c r="H108" s="107">
        <f>SUM(G107:G107)</f>
        <v>0</v>
      </c>
      <c r="I108" s="71"/>
      <c r="K108" s="120"/>
      <c r="L108" s="73"/>
      <c r="M108" s="73"/>
      <c r="N108" s="73"/>
      <c r="O108" s="73"/>
      <c r="Q108" s="121"/>
      <c r="R108" s="140"/>
    </row>
    <row r="109" spans="1:18" s="65" customFormat="1">
      <c r="A109" s="72" t="s">
        <v>408</v>
      </c>
      <c r="B109" s="73"/>
      <c r="C109" s="73"/>
      <c r="D109" s="73"/>
      <c r="E109" s="73"/>
      <c r="F109"/>
      <c r="G109" s="74"/>
      <c r="H109" s="108"/>
      <c r="I109" s="71"/>
      <c r="K109" s="128"/>
      <c r="L109" s="141"/>
      <c r="M109" s="141"/>
      <c r="N109" s="141"/>
      <c r="O109" s="141"/>
      <c r="P109" s="141"/>
      <c r="Q109" s="141"/>
      <c r="R109" s="140"/>
    </row>
    <row r="110" spans="1:18" s="65" customFormat="1">
      <c r="A110" s="75" t="s">
        <v>391</v>
      </c>
      <c r="B110" s="76" t="s">
        <v>392</v>
      </c>
      <c r="C110" s="76" t="s">
        <v>393</v>
      </c>
      <c r="D110" s="76" t="s">
        <v>394</v>
      </c>
      <c r="E110" s="76" t="s">
        <v>395</v>
      </c>
      <c r="F110" s="76" t="s">
        <v>396</v>
      </c>
      <c r="G110" s="76" t="s">
        <v>397</v>
      </c>
      <c r="H110" s="108"/>
      <c r="I110" s="71"/>
      <c r="K110" s="142"/>
      <c r="L110" s="143"/>
      <c r="M110" s="143"/>
      <c r="N110" s="143"/>
      <c r="O110" s="143"/>
      <c r="P110" s="84"/>
      <c r="Q110" s="144"/>
      <c r="R110" s="140"/>
    </row>
    <row r="111" spans="1:18" s="65" customFormat="1">
      <c r="A111" s="135"/>
      <c r="B111" s="78" t="s">
        <v>749</v>
      </c>
      <c r="C111" s="127" t="s">
        <v>493</v>
      </c>
      <c r="D111" s="107">
        <f>99000*1.16*1.2</f>
        <v>137807.99999999997</v>
      </c>
      <c r="E111" s="79">
        <v>1</v>
      </c>
      <c r="F111" s="79">
        <v>0</v>
      </c>
      <c r="G111" s="107">
        <f>(D111*E111)+((D111*E111)*F111/100)</f>
        <v>137807.99999999997</v>
      </c>
      <c r="H111" s="108"/>
      <c r="I111" s="71"/>
      <c r="K111" s="123"/>
      <c r="L111" s="95"/>
      <c r="M111" s="95"/>
      <c r="N111" s="95"/>
      <c r="O111" s="95"/>
      <c r="Q111" s="104"/>
      <c r="R111" s="145"/>
    </row>
    <row r="112" spans="1:18" s="65" customFormat="1">
      <c r="A112" s="90"/>
      <c r="B112" s="91"/>
      <c r="C112" s="91"/>
      <c r="D112" s="91"/>
      <c r="E112" s="91"/>
      <c r="F112"/>
      <c r="G112" s="85" t="s">
        <v>407</v>
      </c>
      <c r="H112" s="107">
        <f>SUM(G111:G111)</f>
        <v>137807.99999999997</v>
      </c>
      <c r="I112" s="71"/>
      <c r="K112" s="123"/>
      <c r="L112" s="95"/>
      <c r="M112" s="95"/>
      <c r="N112" s="95"/>
      <c r="O112" s="95"/>
      <c r="Q112" s="121"/>
      <c r="R112" s="121"/>
    </row>
    <row r="113" spans="1:18" s="65" customFormat="1">
      <c r="A113" s="72" t="s">
        <v>410</v>
      </c>
      <c r="B113" s="73"/>
      <c r="C113" s="73"/>
      <c r="D113" s="73"/>
      <c r="E113" s="73"/>
      <c r="F113"/>
      <c r="G113" s="74"/>
      <c r="H113" s="108"/>
      <c r="I113" s="71"/>
      <c r="L113" s="97"/>
      <c r="M113" s="98"/>
      <c r="N113" s="98"/>
      <c r="O113" s="98"/>
      <c r="Q113" s="128"/>
      <c r="R113" s="133"/>
    </row>
    <row r="114" spans="1:18" s="65" customFormat="1">
      <c r="A114" s="75" t="s">
        <v>391</v>
      </c>
      <c r="B114" s="76" t="s">
        <v>392</v>
      </c>
      <c r="C114" s="76" t="s">
        <v>393</v>
      </c>
      <c r="D114" s="76" t="s">
        <v>394</v>
      </c>
      <c r="E114" s="76" t="s">
        <v>395</v>
      </c>
      <c r="F114" s="76" t="s">
        <v>396</v>
      </c>
      <c r="G114" s="76" t="s">
        <v>397</v>
      </c>
      <c r="H114" s="108"/>
      <c r="I114" s="71"/>
      <c r="L114" s="97"/>
      <c r="M114" s="98"/>
      <c r="N114" s="98"/>
      <c r="O114" s="98"/>
      <c r="P114" s="128"/>
      <c r="Q114" s="133"/>
    </row>
    <row r="115" spans="1:18" s="65" customFormat="1">
      <c r="A115" s="77"/>
      <c r="B115" s="78"/>
      <c r="C115" s="79"/>
      <c r="D115" s="107"/>
      <c r="E115" s="79"/>
      <c r="F115" s="79"/>
      <c r="G115" s="107"/>
      <c r="H115" s="108"/>
      <c r="I115" s="71"/>
      <c r="K115" s="633"/>
      <c r="L115" s="633"/>
      <c r="M115" s="633"/>
      <c r="N115" s="633"/>
      <c r="O115" s="633"/>
      <c r="P115" s="633"/>
      <c r="Q115" s="633"/>
      <c r="R115" s="134"/>
    </row>
    <row r="116" spans="1:18" s="65" customFormat="1">
      <c r="A116" s="90"/>
      <c r="B116" s="91"/>
      <c r="C116" s="91"/>
      <c r="D116" s="91"/>
      <c r="E116" s="91"/>
      <c r="F116"/>
      <c r="G116" s="93" t="s">
        <v>407</v>
      </c>
      <c r="H116" s="107">
        <f>SUM(G115:G115)</f>
        <v>0</v>
      </c>
      <c r="I116" s="71"/>
    </row>
    <row r="117" spans="1:18" s="65" customFormat="1">
      <c r="A117" s="72" t="s">
        <v>411</v>
      </c>
      <c r="B117" s="73"/>
      <c r="C117" s="73"/>
      <c r="D117" s="73"/>
      <c r="E117" s="73"/>
      <c r="F117"/>
      <c r="G117" s="74"/>
      <c r="H117" s="108"/>
      <c r="I117" s="71"/>
    </row>
    <row r="118" spans="1:18" s="65" customFormat="1">
      <c r="A118" s="75" t="s">
        <v>391</v>
      </c>
      <c r="B118" s="76" t="s">
        <v>392</v>
      </c>
      <c r="C118" s="76" t="s">
        <v>393</v>
      </c>
      <c r="D118" s="76" t="s">
        <v>394</v>
      </c>
      <c r="E118" s="76" t="s">
        <v>395</v>
      </c>
      <c r="F118" s="76" t="s">
        <v>396</v>
      </c>
      <c r="G118" s="76" t="s">
        <v>397</v>
      </c>
      <c r="H118" s="108"/>
      <c r="I118" s="71"/>
    </row>
    <row r="119" spans="1:18" s="65" customFormat="1">
      <c r="A119" s="87" t="s">
        <v>409</v>
      </c>
      <c r="B119" s="114" t="s">
        <v>747</v>
      </c>
      <c r="C119" s="114" t="s">
        <v>437</v>
      </c>
      <c r="D119" s="114">
        <v>800000</v>
      </c>
      <c r="E119" s="215">
        <v>8.3333333333333332E-3</v>
      </c>
      <c r="F119" s="79">
        <v>0</v>
      </c>
      <c r="G119" s="107">
        <f>(D119*E119)+((D119*E119)*F119/100)</f>
        <v>6666.666666666667</v>
      </c>
      <c r="H119" s="108"/>
      <c r="I119" s="71"/>
    </row>
    <row r="120" spans="1:18" s="65" customFormat="1">
      <c r="A120" s="94"/>
      <c r="B120" s="95"/>
      <c r="C120" s="95"/>
      <c r="D120" s="95"/>
      <c r="E120" s="95"/>
      <c r="F120"/>
      <c r="G120" s="93" t="s">
        <v>407</v>
      </c>
      <c r="H120" s="107">
        <f>SUM(G118:G119)</f>
        <v>6666.666666666667</v>
      </c>
      <c r="I120" s="71"/>
    </row>
    <row r="121" spans="1:18" s="65" customFormat="1">
      <c r="A121" s="94"/>
      <c r="B121" s="95"/>
      <c r="C121" s="95"/>
      <c r="D121" s="95"/>
      <c r="E121" s="95"/>
      <c r="F121"/>
      <c r="G121" s="74"/>
      <c r="H121" s="74"/>
      <c r="I121" s="71"/>
    </row>
    <row r="122" spans="1:18" s="65" customFormat="1">
      <c r="A122" s="96"/>
      <c r="B122" s="97"/>
      <c r="C122" s="98"/>
      <c r="D122" s="98"/>
      <c r="E122" s="98"/>
      <c r="F122"/>
      <c r="G122" s="99" t="s">
        <v>412</v>
      </c>
      <c r="H122" s="115">
        <f>SUM(H108:H120)</f>
        <v>144474.66666666663</v>
      </c>
      <c r="I122" s="71"/>
    </row>
    <row r="123" spans="1:18" s="65" customFormat="1">
      <c r="A123" s="96"/>
      <c r="B123" s="97"/>
      <c r="C123" s="98"/>
      <c r="D123" s="98"/>
      <c r="E123" s="98"/>
      <c r="F123" s="101"/>
      <c r="G123" s="116"/>
      <c r="H123" s="70"/>
      <c r="I123" s="71"/>
    </row>
    <row r="124" spans="1:18" s="65" customFormat="1" ht="15.75" thickBot="1">
      <c r="A124" s="624" t="s">
        <v>746</v>
      </c>
      <c r="B124" s="625"/>
      <c r="C124" s="625"/>
      <c r="D124" s="625"/>
      <c r="E124" s="625"/>
      <c r="F124" s="625"/>
      <c r="G124" s="626"/>
      <c r="H124" s="117">
        <f>+ROUND(H122,0)</f>
        <v>144475</v>
      </c>
      <c r="I124" s="103"/>
    </row>
    <row r="125" spans="1:18" s="65" customFormat="1">
      <c r="A125" s="120"/>
      <c r="B125" s="73"/>
      <c r="C125" s="73"/>
      <c r="D125" s="73"/>
      <c r="E125" s="73"/>
      <c r="F125" s="121"/>
      <c r="G125" s="121"/>
      <c r="H125" s="121"/>
    </row>
    <row r="126" spans="1:18" s="65" customFormat="1" ht="15.75" thickBot="1">
      <c r="A126" s="128"/>
      <c r="B126" s="141"/>
      <c r="C126" s="141"/>
      <c r="D126" s="141"/>
      <c r="E126" s="141"/>
      <c r="F126" s="141"/>
      <c r="G126" s="141"/>
      <c r="H126" s="121"/>
    </row>
    <row r="127" spans="1:18" s="65" customFormat="1">
      <c r="A127" s="627"/>
      <c r="B127" s="629" t="s">
        <v>753</v>
      </c>
      <c r="C127" s="630"/>
      <c r="D127" s="630"/>
      <c r="E127" s="630"/>
      <c r="F127" s="630"/>
      <c r="G127" s="630"/>
      <c r="H127" s="643"/>
      <c r="I127" s="66" t="s">
        <v>389</v>
      </c>
    </row>
    <row r="128" spans="1:18" s="65" customFormat="1">
      <c r="A128" s="628"/>
      <c r="B128" s="631"/>
      <c r="C128" s="632"/>
      <c r="D128" s="632"/>
      <c r="E128" s="632"/>
      <c r="F128" s="632"/>
      <c r="G128" s="632"/>
      <c r="H128" s="644"/>
      <c r="I128" s="67" t="s">
        <v>493</v>
      </c>
    </row>
    <row r="129" spans="1:9" s="65" customFormat="1">
      <c r="A129" s="68"/>
      <c r="B129" s="69"/>
      <c r="C129" s="69"/>
      <c r="D129" s="69"/>
      <c r="E129" s="69"/>
      <c r="F129" s="70"/>
      <c r="G129" s="70"/>
      <c r="H129" s="70"/>
      <c r="I129" s="71"/>
    </row>
    <row r="130" spans="1:9" s="65" customFormat="1">
      <c r="A130" s="72" t="s">
        <v>390</v>
      </c>
      <c r="B130" s="73"/>
      <c r="C130" s="73"/>
      <c r="D130" s="73"/>
      <c r="E130" s="73"/>
      <c r="F130" s="74"/>
      <c r="G130" s="74"/>
      <c r="H130" s="70"/>
      <c r="I130" s="71"/>
    </row>
    <row r="131" spans="1:9" s="65" customFormat="1">
      <c r="A131" s="75" t="s">
        <v>391</v>
      </c>
      <c r="B131" s="76" t="s">
        <v>392</v>
      </c>
      <c r="C131" s="76" t="s">
        <v>393</v>
      </c>
      <c r="D131" s="76" t="s">
        <v>394</v>
      </c>
      <c r="E131" s="76" t="s">
        <v>395</v>
      </c>
      <c r="F131" s="76" t="s">
        <v>396</v>
      </c>
      <c r="G131" s="76" t="s">
        <v>397</v>
      </c>
      <c r="H131" s="74"/>
      <c r="I131" s="71"/>
    </row>
    <row r="132" spans="1:9" s="65" customFormat="1">
      <c r="A132" s="77"/>
      <c r="B132" s="79"/>
      <c r="C132" s="79"/>
      <c r="D132" s="107"/>
      <c r="E132" s="79"/>
      <c r="F132" s="79"/>
      <c r="G132" s="107"/>
      <c r="H132" s="74"/>
      <c r="I132" s="71"/>
    </row>
    <row r="133" spans="1:9" s="65" customFormat="1">
      <c r="A133" s="82"/>
      <c r="B133" s="83"/>
      <c r="C133" s="84"/>
      <c r="D133" s="84"/>
      <c r="E133" s="84"/>
      <c r="F133"/>
      <c r="G133" s="93" t="s">
        <v>407</v>
      </c>
      <c r="H133" s="107">
        <f>SUM(G132:G132)</f>
        <v>0</v>
      </c>
      <c r="I133" s="71"/>
    </row>
    <row r="134" spans="1:9" s="65" customFormat="1">
      <c r="A134" s="72" t="s">
        <v>408</v>
      </c>
      <c r="B134" s="73"/>
      <c r="C134" s="73"/>
      <c r="D134" s="73"/>
      <c r="E134" s="73"/>
      <c r="F134"/>
      <c r="G134" s="74"/>
      <c r="H134" s="108"/>
      <c r="I134" s="71"/>
    </row>
    <row r="135" spans="1:9" s="65" customFormat="1">
      <c r="A135" s="75" t="s">
        <v>391</v>
      </c>
      <c r="B135" s="76" t="s">
        <v>392</v>
      </c>
      <c r="C135" s="76" t="s">
        <v>393</v>
      </c>
      <c r="D135" s="76" t="s">
        <v>394</v>
      </c>
      <c r="E135" s="76" t="s">
        <v>395</v>
      </c>
      <c r="F135" s="76" t="s">
        <v>396</v>
      </c>
      <c r="G135" s="76" t="s">
        <v>397</v>
      </c>
      <c r="H135" s="108"/>
      <c r="I135" s="71"/>
    </row>
    <row r="136" spans="1:9" s="65" customFormat="1">
      <c r="A136" s="135"/>
      <c r="B136" s="78" t="s">
        <v>750</v>
      </c>
      <c r="C136" s="127" t="s">
        <v>493</v>
      </c>
      <c r="D136" s="107">
        <f>238000*1.16*1.2</f>
        <v>331296</v>
      </c>
      <c r="E136" s="79">
        <v>1</v>
      </c>
      <c r="F136" s="79">
        <v>0</v>
      </c>
      <c r="G136" s="107">
        <f>(D136*E136)+((D136*E136)*F136/100)</f>
        <v>331296</v>
      </c>
      <c r="H136" s="108"/>
      <c r="I136" s="71"/>
    </row>
    <row r="137" spans="1:9" s="65" customFormat="1">
      <c r="A137" s="90"/>
      <c r="B137" s="91"/>
      <c r="C137" s="91"/>
      <c r="D137" s="91"/>
      <c r="E137" s="91"/>
      <c r="F137"/>
      <c r="G137" s="85" t="s">
        <v>407</v>
      </c>
      <c r="H137" s="107">
        <f>SUM(G136:G136)</f>
        <v>331296</v>
      </c>
      <c r="I137" s="71"/>
    </row>
    <row r="138" spans="1:9" s="65" customFormat="1">
      <c r="A138" s="72" t="s">
        <v>410</v>
      </c>
      <c r="B138" s="73"/>
      <c r="C138" s="73"/>
      <c r="D138" s="73"/>
      <c r="E138" s="73"/>
      <c r="F138"/>
      <c r="G138" s="74"/>
      <c r="H138" s="108"/>
      <c r="I138" s="71"/>
    </row>
    <row r="139" spans="1:9" s="65" customFormat="1">
      <c r="A139" s="75" t="s">
        <v>391</v>
      </c>
      <c r="B139" s="76" t="s">
        <v>392</v>
      </c>
      <c r="C139" s="76" t="s">
        <v>393</v>
      </c>
      <c r="D139" s="76" t="s">
        <v>394</v>
      </c>
      <c r="E139" s="76" t="s">
        <v>395</v>
      </c>
      <c r="F139" s="76" t="s">
        <v>396</v>
      </c>
      <c r="G139" s="76" t="s">
        <v>397</v>
      </c>
      <c r="H139" s="108"/>
      <c r="I139" s="71"/>
    </row>
    <row r="140" spans="1:9" s="65" customFormat="1">
      <c r="A140" s="77"/>
      <c r="B140" s="78"/>
      <c r="C140" s="79"/>
      <c r="D140" s="107"/>
      <c r="E140" s="79"/>
      <c r="F140" s="79"/>
      <c r="G140" s="107"/>
      <c r="H140" s="108"/>
      <c r="I140" s="71"/>
    </row>
    <row r="141" spans="1:9" s="65" customFormat="1">
      <c r="A141" s="90"/>
      <c r="B141" s="91"/>
      <c r="C141" s="91"/>
      <c r="D141" s="91"/>
      <c r="E141" s="91"/>
      <c r="F141"/>
      <c r="G141" s="93" t="s">
        <v>407</v>
      </c>
      <c r="H141" s="107">
        <f>SUM(G140:G140)</f>
        <v>0</v>
      </c>
      <c r="I141" s="71"/>
    </row>
    <row r="142" spans="1:9" s="65" customFormat="1">
      <c r="A142" s="72" t="s">
        <v>411</v>
      </c>
      <c r="B142" s="73"/>
      <c r="C142" s="73"/>
      <c r="D142" s="73"/>
      <c r="E142" s="73"/>
      <c r="F142"/>
      <c r="G142" s="74"/>
      <c r="H142" s="108"/>
      <c r="I142" s="71"/>
    </row>
    <row r="143" spans="1:9" s="65" customFormat="1">
      <c r="A143" s="75" t="s">
        <v>391</v>
      </c>
      <c r="B143" s="76" t="s">
        <v>392</v>
      </c>
      <c r="C143" s="76" t="s">
        <v>393</v>
      </c>
      <c r="D143" s="76" t="s">
        <v>394</v>
      </c>
      <c r="E143" s="76" t="s">
        <v>395</v>
      </c>
      <c r="F143" s="76" t="s">
        <v>396</v>
      </c>
      <c r="G143" s="76" t="s">
        <v>397</v>
      </c>
      <c r="H143" s="108"/>
      <c r="I143" s="71"/>
    </row>
    <row r="144" spans="1:9" s="65" customFormat="1">
      <c r="A144" s="87" t="s">
        <v>409</v>
      </c>
      <c r="B144" s="114" t="s">
        <v>747</v>
      </c>
      <c r="C144" s="114" t="s">
        <v>437</v>
      </c>
      <c r="D144" s="114">
        <v>800000</v>
      </c>
      <c r="E144" s="215">
        <v>2.2222222222222223E-2</v>
      </c>
      <c r="F144" s="79">
        <v>0</v>
      </c>
      <c r="G144" s="107">
        <f>(D144*E144)+((D144*E144)*F144/100)</f>
        <v>17777.777777777777</v>
      </c>
      <c r="H144" s="108"/>
      <c r="I144" s="71"/>
    </row>
    <row r="145" spans="1:9" s="65" customFormat="1">
      <c r="A145" s="94"/>
      <c r="B145" s="95"/>
      <c r="C145" s="95"/>
      <c r="D145" s="95"/>
      <c r="E145" s="95"/>
      <c r="F145"/>
      <c r="G145" s="93" t="s">
        <v>407</v>
      </c>
      <c r="H145" s="107">
        <f>SUM(G143:G144)</f>
        <v>17777.777777777777</v>
      </c>
      <c r="I145" s="71"/>
    </row>
    <row r="146" spans="1:9" s="65" customFormat="1">
      <c r="A146" s="94"/>
      <c r="B146" s="95"/>
      <c r="C146" s="95"/>
      <c r="D146" s="95"/>
      <c r="E146" s="95"/>
      <c r="F146"/>
      <c r="G146" s="74"/>
      <c r="H146" s="74"/>
      <c r="I146" s="71"/>
    </row>
    <row r="147" spans="1:9" s="65" customFormat="1">
      <c r="A147" s="96"/>
      <c r="B147" s="97"/>
      <c r="C147" s="98"/>
      <c r="D147" s="98"/>
      <c r="E147" s="98"/>
      <c r="F147"/>
      <c r="G147" s="99" t="s">
        <v>412</v>
      </c>
      <c r="H147" s="115">
        <f>SUM(H133:H145)</f>
        <v>349073.77777777775</v>
      </c>
      <c r="I147" s="71"/>
    </row>
    <row r="148" spans="1:9" s="65" customFormat="1">
      <c r="A148" s="96"/>
      <c r="B148" s="97"/>
      <c r="C148" s="98"/>
      <c r="D148" s="98"/>
      <c r="E148" s="98"/>
      <c r="F148" s="101"/>
      <c r="G148" s="116"/>
      <c r="H148" s="70"/>
      <c r="I148" s="71"/>
    </row>
    <row r="149" spans="1:9" s="65" customFormat="1" ht="15.75" thickBot="1">
      <c r="A149" s="624" t="s">
        <v>746</v>
      </c>
      <c r="B149" s="625"/>
      <c r="C149" s="625"/>
      <c r="D149" s="625"/>
      <c r="E149" s="625"/>
      <c r="F149" s="625"/>
      <c r="G149" s="626"/>
      <c r="H149" s="117">
        <f>+ROUND(H147,0)</f>
        <v>349074</v>
      </c>
      <c r="I149" s="103"/>
    </row>
    <row r="150" spans="1:9" s="65" customFormat="1">
      <c r="A150" s="128"/>
      <c r="B150" s="141"/>
      <c r="C150" s="141"/>
      <c r="D150" s="141"/>
      <c r="E150" s="141"/>
      <c r="F150" s="141"/>
      <c r="G150" s="141"/>
      <c r="H150" s="121"/>
    </row>
    <row r="151" spans="1:9" s="65" customFormat="1" ht="15.75" thickBot="1">
      <c r="A151" s="150"/>
      <c r="B151" s="83"/>
      <c r="C151" s="148"/>
      <c r="D151" s="84"/>
      <c r="E151" s="84"/>
      <c r="F151" s="84"/>
      <c r="G151" s="154"/>
      <c r="H151" s="145"/>
    </row>
    <row r="152" spans="1:9" s="65" customFormat="1">
      <c r="A152" s="627"/>
      <c r="B152" s="629" t="s">
        <v>306</v>
      </c>
      <c r="C152" s="630"/>
      <c r="D152" s="630"/>
      <c r="E152" s="630"/>
      <c r="F152" s="630"/>
      <c r="G152" s="630"/>
      <c r="H152" s="643"/>
      <c r="I152" s="66" t="s">
        <v>389</v>
      </c>
    </row>
    <row r="153" spans="1:9" s="65" customFormat="1">
      <c r="A153" s="628"/>
      <c r="B153" s="631"/>
      <c r="C153" s="632"/>
      <c r="D153" s="632"/>
      <c r="E153" s="632"/>
      <c r="F153" s="632"/>
      <c r="G153" s="632"/>
      <c r="H153" s="644"/>
      <c r="I153" s="67" t="s">
        <v>493</v>
      </c>
    </row>
    <row r="154" spans="1:9" s="65" customFormat="1">
      <c r="A154" s="68"/>
      <c r="B154" s="69"/>
      <c r="C154" s="69"/>
      <c r="D154" s="69"/>
      <c r="E154" s="69"/>
      <c r="F154" s="70"/>
      <c r="G154" s="70"/>
      <c r="H154" s="70"/>
      <c r="I154" s="71"/>
    </row>
    <row r="155" spans="1:9" s="65" customFormat="1">
      <c r="A155" s="72" t="s">
        <v>390</v>
      </c>
      <c r="B155" s="73"/>
      <c r="C155" s="73"/>
      <c r="D155" s="73"/>
      <c r="E155" s="73"/>
      <c r="F155" s="74"/>
      <c r="G155" s="74"/>
      <c r="H155" s="70"/>
      <c r="I155" s="71"/>
    </row>
    <row r="156" spans="1:9" s="65" customFormat="1">
      <c r="A156" s="75" t="s">
        <v>391</v>
      </c>
      <c r="B156" s="76" t="s">
        <v>392</v>
      </c>
      <c r="C156" s="76" t="s">
        <v>393</v>
      </c>
      <c r="D156" s="76" t="s">
        <v>394</v>
      </c>
      <c r="E156" s="76" t="s">
        <v>395</v>
      </c>
      <c r="F156" s="76" t="s">
        <v>396</v>
      </c>
      <c r="G156" s="76" t="s">
        <v>397</v>
      </c>
      <c r="H156" s="74"/>
      <c r="I156" s="71"/>
    </row>
    <row r="157" spans="1:9" s="65" customFormat="1">
      <c r="A157" s="77"/>
      <c r="B157" s="79"/>
      <c r="C157" s="79"/>
      <c r="D157" s="107"/>
      <c r="E157" s="79"/>
      <c r="F157" s="79"/>
      <c r="G157" s="107"/>
      <c r="H157" s="74"/>
      <c r="I157" s="71"/>
    </row>
    <row r="158" spans="1:9" s="65" customFormat="1">
      <c r="A158" s="82"/>
      <c r="B158" s="83"/>
      <c r="C158" s="84"/>
      <c r="D158" s="84"/>
      <c r="E158" s="84"/>
      <c r="F158"/>
      <c r="G158" s="93" t="s">
        <v>407</v>
      </c>
      <c r="H158" s="107">
        <f>SUM(G157:G157)</f>
        <v>0</v>
      </c>
      <c r="I158" s="71"/>
    </row>
    <row r="159" spans="1:9" s="65" customFormat="1">
      <c r="A159" s="72" t="s">
        <v>408</v>
      </c>
      <c r="B159" s="73"/>
      <c r="C159" s="73"/>
      <c r="D159" s="73"/>
      <c r="E159" s="73"/>
      <c r="F159"/>
      <c r="G159" s="74"/>
      <c r="H159" s="108"/>
      <c r="I159" s="71"/>
    </row>
    <row r="160" spans="1:9" s="65" customFormat="1">
      <c r="A160" s="75" t="s">
        <v>391</v>
      </c>
      <c r="B160" s="76" t="s">
        <v>392</v>
      </c>
      <c r="C160" s="76" t="s">
        <v>393</v>
      </c>
      <c r="D160" s="76" t="s">
        <v>394</v>
      </c>
      <c r="E160" s="76" t="s">
        <v>395</v>
      </c>
      <c r="F160" s="76" t="s">
        <v>396</v>
      </c>
      <c r="G160" s="76" t="s">
        <v>397</v>
      </c>
      <c r="H160" s="108"/>
      <c r="I160" s="71"/>
    </row>
    <row r="161" spans="1:9" s="65" customFormat="1">
      <c r="A161" s="135"/>
      <c r="B161" s="78" t="s">
        <v>751</v>
      </c>
      <c r="C161" s="127" t="s">
        <v>493</v>
      </c>
      <c r="D161" s="107">
        <f>65000*1.16*1.2</f>
        <v>90480</v>
      </c>
      <c r="E161" s="79">
        <v>1</v>
      </c>
      <c r="F161" s="79">
        <v>0</v>
      </c>
      <c r="G161" s="107">
        <f>(D161*E161)+((D161*E161)*F161/100)</f>
        <v>90480</v>
      </c>
      <c r="H161" s="108"/>
      <c r="I161" s="71"/>
    </row>
    <row r="162" spans="1:9" s="65" customFormat="1">
      <c r="A162" s="90"/>
      <c r="B162" s="91"/>
      <c r="C162" s="91"/>
      <c r="D162" s="91"/>
      <c r="E162" s="91"/>
      <c r="F162"/>
      <c r="G162" s="85" t="s">
        <v>407</v>
      </c>
      <c r="H162" s="107">
        <f>SUM(G161:G161)</f>
        <v>90480</v>
      </c>
      <c r="I162" s="71"/>
    </row>
    <row r="163" spans="1:9" s="65" customFormat="1">
      <c r="A163" s="72" t="s">
        <v>410</v>
      </c>
      <c r="B163" s="73"/>
      <c r="C163" s="73"/>
      <c r="D163" s="73"/>
      <c r="E163" s="73"/>
      <c r="F163"/>
      <c r="G163" s="74"/>
      <c r="H163" s="108"/>
      <c r="I163" s="71"/>
    </row>
    <row r="164" spans="1:9" s="65" customFormat="1">
      <c r="A164" s="75" t="s">
        <v>391</v>
      </c>
      <c r="B164" s="76" t="s">
        <v>392</v>
      </c>
      <c r="C164" s="76" t="s">
        <v>393</v>
      </c>
      <c r="D164" s="76" t="s">
        <v>394</v>
      </c>
      <c r="E164" s="76" t="s">
        <v>395</v>
      </c>
      <c r="F164" s="76" t="s">
        <v>396</v>
      </c>
      <c r="G164" s="76" t="s">
        <v>397</v>
      </c>
      <c r="H164" s="108"/>
      <c r="I164" s="71"/>
    </row>
    <row r="165" spans="1:9" s="65" customFormat="1">
      <c r="A165" s="77"/>
      <c r="B165" s="78"/>
      <c r="C165" s="79"/>
      <c r="D165" s="107"/>
      <c r="E165" s="79"/>
      <c r="F165" s="79"/>
      <c r="G165" s="107"/>
      <c r="H165" s="108"/>
      <c r="I165" s="71"/>
    </row>
    <row r="166" spans="1:9" s="65" customFormat="1">
      <c r="A166" s="90"/>
      <c r="B166" s="91"/>
      <c r="C166" s="91"/>
      <c r="D166" s="91"/>
      <c r="E166" s="91"/>
      <c r="F166"/>
      <c r="G166" s="93" t="s">
        <v>407</v>
      </c>
      <c r="H166" s="107">
        <f>SUM(G165:G165)</f>
        <v>0</v>
      </c>
      <c r="I166" s="71"/>
    </row>
    <row r="167" spans="1:9" s="65" customFormat="1">
      <c r="A167" s="72" t="s">
        <v>411</v>
      </c>
      <c r="B167" s="73"/>
      <c r="C167" s="73"/>
      <c r="D167" s="73"/>
      <c r="E167" s="73"/>
      <c r="F167"/>
      <c r="G167" s="74"/>
      <c r="H167" s="108"/>
      <c r="I167" s="71"/>
    </row>
    <row r="168" spans="1:9" s="65" customFormat="1">
      <c r="A168" s="75" t="s">
        <v>391</v>
      </c>
      <c r="B168" s="76" t="s">
        <v>392</v>
      </c>
      <c r="C168" s="76" t="s">
        <v>393</v>
      </c>
      <c r="D168" s="76" t="s">
        <v>394</v>
      </c>
      <c r="E168" s="76" t="s">
        <v>395</v>
      </c>
      <c r="F168" s="76" t="s">
        <v>396</v>
      </c>
      <c r="G168" s="76" t="s">
        <v>397</v>
      </c>
      <c r="H168" s="108"/>
      <c r="I168" s="71"/>
    </row>
    <row r="169" spans="1:9" s="65" customFormat="1">
      <c r="A169" s="87" t="s">
        <v>409</v>
      </c>
      <c r="B169" s="114" t="s">
        <v>747</v>
      </c>
      <c r="C169" s="114" t="s">
        <v>437</v>
      </c>
      <c r="D169" s="114">
        <v>800000</v>
      </c>
      <c r="E169" s="215">
        <v>5.5555555555555558E-3</v>
      </c>
      <c r="F169" s="79">
        <v>0</v>
      </c>
      <c r="G169" s="107">
        <f>(D169*E169)+((D169*E169)*F169/100)</f>
        <v>4444.4444444444443</v>
      </c>
      <c r="H169" s="108"/>
      <c r="I169" s="71"/>
    </row>
    <row r="170" spans="1:9" s="65" customFormat="1">
      <c r="A170" s="94"/>
      <c r="B170" s="95"/>
      <c r="C170" s="95"/>
      <c r="D170" s="95"/>
      <c r="E170" s="95"/>
      <c r="F170"/>
      <c r="G170" s="93" t="s">
        <v>407</v>
      </c>
      <c r="H170" s="107">
        <f>SUM(G168:G169)</f>
        <v>4444.4444444444443</v>
      </c>
      <c r="I170" s="71"/>
    </row>
    <row r="171" spans="1:9" s="65" customFormat="1">
      <c r="A171" s="94"/>
      <c r="B171" s="95"/>
      <c r="C171" s="95"/>
      <c r="D171" s="95"/>
      <c r="E171" s="95"/>
      <c r="F171"/>
      <c r="G171" s="74"/>
      <c r="H171" s="74"/>
      <c r="I171" s="71"/>
    </row>
    <row r="172" spans="1:9" s="65" customFormat="1">
      <c r="A172" s="96"/>
      <c r="B172" s="97"/>
      <c r="C172" s="98"/>
      <c r="D172" s="98"/>
      <c r="E172" s="98"/>
      <c r="F172"/>
      <c r="G172" s="99" t="s">
        <v>412</v>
      </c>
      <c r="H172" s="115">
        <f>SUM(H158:H170)</f>
        <v>94924.444444444438</v>
      </c>
      <c r="I172" s="71"/>
    </row>
    <row r="173" spans="1:9" s="65" customFormat="1">
      <c r="A173" s="96"/>
      <c r="B173" s="97"/>
      <c r="C173" s="98"/>
      <c r="D173" s="98"/>
      <c r="E173" s="98"/>
      <c r="F173" s="101"/>
      <c r="G173" s="116"/>
      <c r="H173" s="70"/>
      <c r="I173" s="71"/>
    </row>
    <row r="174" spans="1:9" s="65" customFormat="1" ht="15.75" thickBot="1">
      <c r="A174" s="624" t="s">
        <v>746</v>
      </c>
      <c r="B174" s="625"/>
      <c r="C174" s="625"/>
      <c r="D174" s="625"/>
      <c r="E174" s="625"/>
      <c r="F174" s="625"/>
      <c r="G174" s="626"/>
      <c r="H174" s="117">
        <f>+ROUND(H172,0)</f>
        <v>94924</v>
      </c>
      <c r="I174" s="103"/>
    </row>
    <row r="175" spans="1:9" s="65" customFormat="1">
      <c r="A175" s="150"/>
      <c r="B175" s="83"/>
      <c r="C175" s="148"/>
      <c r="D175" s="84"/>
      <c r="E175" s="84"/>
      <c r="F175" s="84"/>
      <c r="G175" s="154"/>
      <c r="H175" s="145"/>
    </row>
    <row r="176" spans="1:9" s="65" customFormat="1" ht="15.75" thickBot="1">
      <c r="A176" s="84"/>
      <c r="B176" s="83"/>
      <c r="C176" s="84"/>
      <c r="D176" s="84"/>
      <c r="E176" s="84"/>
      <c r="G176" s="104"/>
      <c r="H176" s="140"/>
    </row>
    <row r="177" spans="1:9" s="65" customFormat="1">
      <c r="A177" s="627"/>
      <c r="B177" s="629" t="s">
        <v>364</v>
      </c>
      <c r="C177" s="630"/>
      <c r="D177" s="630"/>
      <c r="E177" s="630"/>
      <c r="F177" s="630"/>
      <c r="G177" s="630"/>
      <c r="H177" s="643"/>
      <c r="I177" s="66" t="s">
        <v>389</v>
      </c>
    </row>
    <row r="178" spans="1:9" s="65" customFormat="1">
      <c r="A178" s="628"/>
      <c r="B178" s="631"/>
      <c r="C178" s="632"/>
      <c r="D178" s="632"/>
      <c r="E178" s="632"/>
      <c r="F178" s="632"/>
      <c r="G178" s="632"/>
      <c r="H178" s="644"/>
      <c r="I178" s="67" t="s">
        <v>493</v>
      </c>
    </row>
    <row r="179" spans="1:9" s="65" customFormat="1">
      <c r="A179" s="68"/>
      <c r="B179" s="69"/>
      <c r="C179" s="69"/>
      <c r="D179" s="69"/>
      <c r="E179" s="69"/>
      <c r="F179" s="70"/>
      <c r="G179" s="70"/>
      <c r="H179" s="70"/>
      <c r="I179" s="71"/>
    </row>
    <row r="180" spans="1:9" s="65" customFormat="1">
      <c r="A180" s="72" t="s">
        <v>390</v>
      </c>
      <c r="B180" s="73"/>
      <c r="C180" s="73"/>
      <c r="D180" s="73"/>
      <c r="E180" s="73"/>
      <c r="F180" s="74"/>
      <c r="G180" s="74"/>
      <c r="H180" s="70"/>
      <c r="I180" s="71"/>
    </row>
    <row r="181" spans="1:9" s="65" customFormat="1">
      <c r="A181" s="75" t="s">
        <v>391</v>
      </c>
      <c r="B181" s="76" t="s">
        <v>392</v>
      </c>
      <c r="C181" s="76" t="s">
        <v>393</v>
      </c>
      <c r="D181" s="76" t="s">
        <v>394</v>
      </c>
      <c r="E181" s="76" t="s">
        <v>395</v>
      </c>
      <c r="F181" s="76" t="s">
        <v>396</v>
      </c>
      <c r="G181" s="76" t="s">
        <v>397</v>
      </c>
      <c r="H181" s="74"/>
      <c r="I181" s="71"/>
    </row>
    <row r="182" spans="1:9" s="65" customFormat="1">
      <c r="A182" s="77"/>
      <c r="B182" s="79"/>
      <c r="C182" s="79"/>
      <c r="D182" s="107"/>
      <c r="E182" s="79"/>
      <c r="F182" s="79"/>
      <c r="G182" s="107"/>
      <c r="H182" s="74"/>
      <c r="I182" s="71"/>
    </row>
    <row r="183" spans="1:9" s="65" customFormat="1">
      <c r="A183" s="82"/>
      <c r="B183" s="83"/>
      <c r="C183" s="84"/>
      <c r="D183" s="84"/>
      <c r="E183" s="84"/>
      <c r="F183"/>
      <c r="G183" s="93" t="s">
        <v>407</v>
      </c>
      <c r="H183" s="107">
        <f>SUM(G182:G182)</f>
        <v>0</v>
      </c>
      <c r="I183" s="71"/>
    </row>
    <row r="184" spans="1:9" s="65" customFormat="1">
      <c r="A184" s="72" t="s">
        <v>408</v>
      </c>
      <c r="B184" s="73"/>
      <c r="C184" s="73"/>
      <c r="D184" s="73"/>
      <c r="E184" s="73"/>
      <c r="F184"/>
      <c r="G184" s="74"/>
      <c r="H184" s="108"/>
      <c r="I184" s="71"/>
    </row>
    <row r="185" spans="1:9" s="65" customFormat="1">
      <c r="A185" s="75" t="s">
        <v>391</v>
      </c>
      <c r="B185" s="76" t="s">
        <v>392</v>
      </c>
      <c r="C185" s="76" t="s">
        <v>393</v>
      </c>
      <c r="D185" s="76" t="s">
        <v>394</v>
      </c>
      <c r="E185" s="76" t="s">
        <v>395</v>
      </c>
      <c r="F185" s="76" t="s">
        <v>396</v>
      </c>
      <c r="G185" s="76" t="s">
        <v>397</v>
      </c>
      <c r="H185" s="108"/>
      <c r="I185" s="71"/>
    </row>
    <row r="186" spans="1:9" s="65" customFormat="1">
      <c r="A186" s="135"/>
      <c r="B186" s="78" t="s">
        <v>749</v>
      </c>
      <c r="C186" s="127" t="s">
        <v>493</v>
      </c>
      <c r="D186" s="107">
        <f>65000*1.16*1.2</f>
        <v>90480</v>
      </c>
      <c r="E186" s="79">
        <v>1</v>
      </c>
      <c r="F186" s="79">
        <v>0</v>
      </c>
      <c r="G186" s="107">
        <f>(D186*E186)+((D186*E186)*F186/100)</f>
        <v>90480</v>
      </c>
      <c r="H186" s="108"/>
      <c r="I186" s="71"/>
    </row>
    <row r="187" spans="1:9" s="65" customFormat="1">
      <c r="A187" s="90"/>
      <c r="B187" s="91"/>
      <c r="C187" s="91"/>
      <c r="D187" s="91"/>
      <c r="E187" s="91"/>
      <c r="F187"/>
      <c r="G187" s="85" t="s">
        <v>407</v>
      </c>
      <c r="H187" s="107">
        <f>SUM(G186:G186)</f>
        <v>90480</v>
      </c>
      <c r="I187" s="71"/>
    </row>
    <row r="188" spans="1:9" s="65" customFormat="1">
      <c r="A188" s="72" t="s">
        <v>410</v>
      </c>
      <c r="B188" s="73"/>
      <c r="C188" s="73"/>
      <c r="D188" s="73"/>
      <c r="E188" s="73"/>
      <c r="F188"/>
      <c r="G188" s="74"/>
      <c r="H188" s="108"/>
      <c r="I188" s="71"/>
    </row>
    <row r="189" spans="1:9" s="65" customFormat="1">
      <c r="A189" s="75" t="s">
        <v>391</v>
      </c>
      <c r="B189" s="76" t="s">
        <v>392</v>
      </c>
      <c r="C189" s="76" t="s">
        <v>393</v>
      </c>
      <c r="D189" s="76" t="s">
        <v>394</v>
      </c>
      <c r="E189" s="76" t="s">
        <v>395</v>
      </c>
      <c r="F189" s="76" t="s">
        <v>396</v>
      </c>
      <c r="G189" s="76" t="s">
        <v>397</v>
      </c>
      <c r="H189" s="108"/>
      <c r="I189" s="71"/>
    </row>
    <row r="190" spans="1:9" s="65" customFormat="1">
      <c r="A190" s="77"/>
      <c r="B190" s="78"/>
      <c r="C190" s="79"/>
      <c r="D190" s="107"/>
      <c r="E190" s="79"/>
      <c r="F190" s="79"/>
      <c r="G190" s="107"/>
      <c r="H190" s="108"/>
      <c r="I190" s="71"/>
    </row>
    <row r="191" spans="1:9" s="65" customFormat="1">
      <c r="A191" s="90"/>
      <c r="B191" s="91"/>
      <c r="C191" s="91"/>
      <c r="D191" s="91"/>
      <c r="E191" s="91"/>
      <c r="F191"/>
      <c r="G191" s="93" t="s">
        <v>407</v>
      </c>
      <c r="H191" s="107">
        <f>SUM(G190:G190)</f>
        <v>0</v>
      </c>
      <c r="I191" s="71"/>
    </row>
    <row r="192" spans="1:9" s="65" customFormat="1">
      <c r="A192" s="72" t="s">
        <v>411</v>
      </c>
      <c r="B192" s="73"/>
      <c r="C192" s="73"/>
      <c r="D192" s="73"/>
      <c r="E192" s="73"/>
      <c r="F192"/>
      <c r="G192" s="74"/>
      <c r="H192" s="108"/>
      <c r="I192" s="71"/>
    </row>
    <row r="193" spans="1:9" s="65" customFormat="1">
      <c r="A193" s="75" t="s">
        <v>391</v>
      </c>
      <c r="B193" s="76" t="s">
        <v>392</v>
      </c>
      <c r="C193" s="76" t="s">
        <v>393</v>
      </c>
      <c r="D193" s="76" t="s">
        <v>394</v>
      </c>
      <c r="E193" s="76" t="s">
        <v>395</v>
      </c>
      <c r="F193" s="76" t="s">
        <v>396</v>
      </c>
      <c r="G193" s="76" t="s">
        <v>397</v>
      </c>
      <c r="H193" s="108"/>
      <c r="I193" s="71"/>
    </row>
    <row r="194" spans="1:9" s="65" customFormat="1">
      <c r="A194" s="87" t="s">
        <v>409</v>
      </c>
      <c r="B194" s="114" t="s">
        <v>747</v>
      </c>
      <c r="C194" s="114" t="s">
        <v>437</v>
      </c>
      <c r="D194" s="114">
        <v>800000</v>
      </c>
      <c r="E194" s="215">
        <v>8.3333333333333332E-3</v>
      </c>
      <c r="F194" s="79">
        <v>0</v>
      </c>
      <c r="G194" s="107">
        <f>(D194*E194)+((D194*E194)*F194/100)</f>
        <v>6666.666666666667</v>
      </c>
      <c r="H194" s="108"/>
      <c r="I194" s="71"/>
    </row>
    <row r="195" spans="1:9" s="65" customFormat="1">
      <c r="A195" s="94"/>
      <c r="B195" s="95"/>
      <c r="C195" s="95"/>
      <c r="D195" s="95"/>
      <c r="E195" s="95"/>
      <c r="F195"/>
      <c r="G195" s="93" t="s">
        <v>407</v>
      </c>
      <c r="H195" s="107">
        <f>SUM(G193:G194)</f>
        <v>6666.666666666667</v>
      </c>
      <c r="I195" s="71"/>
    </row>
    <row r="196" spans="1:9" s="65" customFormat="1">
      <c r="A196" s="94"/>
      <c r="B196" s="95"/>
      <c r="C196" s="95"/>
      <c r="D196" s="95"/>
      <c r="E196" s="95"/>
      <c r="F196"/>
      <c r="G196" s="74"/>
      <c r="H196" s="74"/>
      <c r="I196" s="71"/>
    </row>
    <row r="197" spans="1:9" s="65" customFormat="1">
      <c r="A197" s="96"/>
      <c r="B197" s="97"/>
      <c r="C197" s="98"/>
      <c r="D197" s="98"/>
      <c r="E197" s="98"/>
      <c r="F197"/>
      <c r="G197" s="99" t="s">
        <v>412</v>
      </c>
      <c r="H197" s="115">
        <f>SUM(H183:H195)</f>
        <v>97146.666666666672</v>
      </c>
      <c r="I197" s="71"/>
    </row>
    <row r="198" spans="1:9" s="65" customFormat="1">
      <c r="A198" s="96"/>
      <c r="B198" s="97"/>
      <c r="C198" s="98"/>
      <c r="D198" s="98"/>
      <c r="E198" s="98"/>
      <c r="F198" s="101"/>
      <c r="G198" s="116"/>
      <c r="H198" s="70"/>
      <c r="I198" s="71"/>
    </row>
    <row r="199" spans="1:9" s="65" customFormat="1" ht="15.75" thickBot="1">
      <c r="A199" s="624" t="s">
        <v>746</v>
      </c>
      <c r="B199" s="625"/>
      <c r="C199" s="625"/>
      <c r="D199" s="625"/>
      <c r="E199" s="625"/>
      <c r="F199" s="625"/>
      <c r="G199" s="626"/>
      <c r="H199" s="117">
        <f>+ROUND(H197,0)</f>
        <v>97147</v>
      </c>
      <c r="I199" s="103"/>
    </row>
    <row r="200" spans="1:9" s="65" customFormat="1">
      <c r="A200" s="84"/>
      <c r="B200" s="83"/>
      <c r="C200" s="84"/>
      <c r="D200" s="84"/>
      <c r="E200" s="84"/>
      <c r="G200" s="104"/>
      <c r="H200" s="140"/>
    </row>
    <row r="201" spans="1:9" s="65" customFormat="1" ht="15.75" thickBot="1">
      <c r="A201" s="120"/>
      <c r="B201" s="73"/>
      <c r="C201" s="73"/>
      <c r="D201" s="73"/>
      <c r="E201" s="73"/>
      <c r="G201" s="121"/>
      <c r="H201" s="140"/>
    </row>
    <row r="202" spans="1:9" s="65" customFormat="1">
      <c r="A202" s="627"/>
      <c r="B202" s="629" t="s">
        <v>310</v>
      </c>
      <c r="C202" s="630"/>
      <c r="D202" s="630"/>
      <c r="E202" s="630"/>
      <c r="F202" s="630"/>
      <c r="G202" s="630"/>
      <c r="H202" s="643"/>
      <c r="I202" s="66" t="s">
        <v>389</v>
      </c>
    </row>
    <row r="203" spans="1:9" s="65" customFormat="1">
      <c r="A203" s="628"/>
      <c r="B203" s="631"/>
      <c r="C203" s="632"/>
      <c r="D203" s="632"/>
      <c r="E203" s="632"/>
      <c r="F203" s="632"/>
      <c r="G203" s="632"/>
      <c r="H203" s="644"/>
      <c r="I203" s="67" t="s">
        <v>493</v>
      </c>
    </row>
    <row r="204" spans="1:9" s="65" customFormat="1">
      <c r="A204" s="68"/>
      <c r="B204" s="69"/>
      <c r="C204" s="69"/>
      <c r="D204" s="69"/>
      <c r="E204" s="69"/>
      <c r="F204" s="70"/>
      <c r="G204" s="70"/>
      <c r="H204" s="70"/>
      <c r="I204" s="71"/>
    </row>
    <row r="205" spans="1:9" s="65" customFormat="1">
      <c r="A205" s="72" t="s">
        <v>390</v>
      </c>
      <c r="B205" s="73"/>
      <c r="C205" s="73"/>
      <c r="D205" s="73"/>
      <c r="E205" s="73"/>
      <c r="F205" s="74"/>
      <c r="G205" s="74"/>
      <c r="H205" s="70"/>
      <c r="I205" s="71"/>
    </row>
    <row r="206" spans="1:9" s="65" customFormat="1">
      <c r="A206" s="75" t="s">
        <v>391</v>
      </c>
      <c r="B206" s="76" t="s">
        <v>392</v>
      </c>
      <c r="C206" s="76" t="s">
        <v>393</v>
      </c>
      <c r="D206" s="76" t="s">
        <v>394</v>
      </c>
      <c r="E206" s="76" t="s">
        <v>395</v>
      </c>
      <c r="F206" s="76" t="s">
        <v>396</v>
      </c>
      <c r="G206" s="76" t="s">
        <v>397</v>
      </c>
      <c r="H206" s="74"/>
      <c r="I206" s="71"/>
    </row>
    <row r="207" spans="1:9" s="65" customFormat="1">
      <c r="A207" s="77"/>
      <c r="B207" s="79"/>
      <c r="C207" s="79"/>
      <c r="D207" s="107"/>
      <c r="E207" s="79"/>
      <c r="F207" s="79"/>
      <c r="G207" s="107"/>
      <c r="H207" s="74"/>
      <c r="I207" s="71"/>
    </row>
    <row r="208" spans="1:9" s="65" customFormat="1">
      <c r="A208" s="82"/>
      <c r="B208" s="83"/>
      <c r="C208" s="84"/>
      <c r="D208" s="84"/>
      <c r="E208" s="84"/>
      <c r="F208"/>
      <c r="G208" s="93" t="s">
        <v>407</v>
      </c>
      <c r="H208" s="107">
        <f>SUM(G207:G207)</f>
        <v>0</v>
      </c>
      <c r="I208" s="71"/>
    </row>
    <row r="209" spans="1:9" s="65" customFormat="1">
      <c r="A209" s="72" t="s">
        <v>408</v>
      </c>
      <c r="B209" s="73"/>
      <c r="C209" s="73"/>
      <c r="D209" s="73"/>
      <c r="E209" s="73"/>
      <c r="F209"/>
      <c r="G209" s="74"/>
      <c r="H209" s="108"/>
      <c r="I209" s="71"/>
    </row>
    <row r="210" spans="1:9" s="65" customFormat="1">
      <c r="A210" s="75" t="s">
        <v>391</v>
      </c>
      <c r="B210" s="76" t="s">
        <v>392</v>
      </c>
      <c r="C210" s="76" t="s">
        <v>393</v>
      </c>
      <c r="D210" s="76" t="s">
        <v>394</v>
      </c>
      <c r="E210" s="76" t="s">
        <v>395</v>
      </c>
      <c r="F210" s="76" t="s">
        <v>396</v>
      </c>
      <c r="G210" s="76" t="s">
        <v>397</v>
      </c>
      <c r="H210" s="108"/>
      <c r="I210" s="71"/>
    </row>
    <row r="211" spans="1:9" s="65" customFormat="1">
      <c r="A211" s="135"/>
      <c r="B211" s="78" t="s">
        <v>755</v>
      </c>
      <c r="C211" s="127" t="s">
        <v>493</v>
      </c>
      <c r="D211" s="107">
        <f>142000*1.16*1.2</f>
        <v>197664</v>
      </c>
      <c r="E211" s="79">
        <v>1</v>
      </c>
      <c r="F211" s="79">
        <v>0</v>
      </c>
      <c r="G211" s="107">
        <f>(D211*E211)+((D211*E211)*F211/100)</f>
        <v>197664</v>
      </c>
      <c r="H211" s="108"/>
      <c r="I211" s="71"/>
    </row>
    <row r="212" spans="1:9" s="65" customFormat="1">
      <c r="A212" s="90"/>
      <c r="B212" s="91"/>
      <c r="C212" s="91"/>
      <c r="D212" s="91"/>
      <c r="E212" s="91"/>
      <c r="F212"/>
      <c r="G212" s="85" t="s">
        <v>407</v>
      </c>
      <c r="H212" s="107">
        <f>SUM(G211:G211)</f>
        <v>197664</v>
      </c>
      <c r="I212" s="71"/>
    </row>
    <row r="213" spans="1:9" s="65" customFormat="1">
      <c r="A213" s="72" t="s">
        <v>410</v>
      </c>
      <c r="B213" s="73"/>
      <c r="C213" s="73"/>
      <c r="D213" s="73"/>
      <c r="E213" s="73"/>
      <c r="F213"/>
      <c r="G213" s="74"/>
      <c r="H213" s="108"/>
      <c r="I213" s="71"/>
    </row>
    <row r="214" spans="1:9" s="65" customFormat="1">
      <c r="A214" s="75" t="s">
        <v>391</v>
      </c>
      <c r="B214" s="76" t="s">
        <v>392</v>
      </c>
      <c r="C214" s="76" t="s">
        <v>393</v>
      </c>
      <c r="D214" s="76" t="s">
        <v>394</v>
      </c>
      <c r="E214" s="76" t="s">
        <v>395</v>
      </c>
      <c r="F214" s="76" t="s">
        <v>396</v>
      </c>
      <c r="G214" s="76" t="s">
        <v>397</v>
      </c>
      <c r="H214" s="108"/>
      <c r="I214" s="71"/>
    </row>
    <row r="215" spans="1:9" s="65" customFormat="1">
      <c r="A215" s="77"/>
      <c r="B215" s="78"/>
      <c r="C215" s="79"/>
      <c r="D215" s="107"/>
      <c r="E215" s="79"/>
      <c r="F215" s="79"/>
      <c r="G215" s="107"/>
      <c r="H215" s="108"/>
      <c r="I215" s="71"/>
    </row>
    <row r="216" spans="1:9" s="65" customFormat="1">
      <c r="A216" s="90"/>
      <c r="B216" s="91"/>
      <c r="C216" s="91"/>
      <c r="D216" s="91"/>
      <c r="E216" s="91"/>
      <c r="F216"/>
      <c r="G216" s="93" t="s">
        <v>407</v>
      </c>
      <c r="H216" s="107">
        <f>SUM(G215:G215)</f>
        <v>0</v>
      </c>
      <c r="I216" s="71"/>
    </row>
    <row r="217" spans="1:9" s="65" customFormat="1">
      <c r="A217" s="72" t="s">
        <v>411</v>
      </c>
      <c r="B217" s="73"/>
      <c r="C217" s="73"/>
      <c r="D217" s="73"/>
      <c r="E217" s="73"/>
      <c r="F217"/>
      <c r="G217" s="74"/>
      <c r="H217" s="108"/>
      <c r="I217" s="71"/>
    </row>
    <row r="218" spans="1:9" s="65" customFormat="1">
      <c r="A218" s="75" t="s">
        <v>391</v>
      </c>
      <c r="B218" s="76" t="s">
        <v>392</v>
      </c>
      <c r="C218" s="76" t="s">
        <v>393</v>
      </c>
      <c r="D218" s="76" t="s">
        <v>394</v>
      </c>
      <c r="E218" s="76" t="s">
        <v>395</v>
      </c>
      <c r="F218" s="76" t="s">
        <v>396</v>
      </c>
      <c r="G218" s="76" t="s">
        <v>397</v>
      </c>
      <c r="H218" s="108"/>
      <c r="I218" s="71"/>
    </row>
    <row r="219" spans="1:9" s="65" customFormat="1">
      <c r="A219" s="87" t="s">
        <v>409</v>
      </c>
      <c r="B219" s="114" t="s">
        <v>747</v>
      </c>
      <c r="C219" s="114" t="s">
        <v>437</v>
      </c>
      <c r="D219" s="114">
        <v>800000</v>
      </c>
      <c r="E219" s="215">
        <v>1.3888888888888888E-2</v>
      </c>
      <c r="F219" s="79">
        <v>0</v>
      </c>
      <c r="G219" s="107">
        <f>(D219*E219)+((D219*E219)*F219/100)</f>
        <v>11111.111111111111</v>
      </c>
      <c r="H219" s="108"/>
      <c r="I219" s="71"/>
    </row>
    <row r="220" spans="1:9" s="65" customFormat="1">
      <c r="A220" s="94"/>
      <c r="B220" s="95"/>
      <c r="C220" s="95"/>
      <c r="D220" s="95"/>
      <c r="E220" s="95"/>
      <c r="F220"/>
      <c r="G220" s="93" t="s">
        <v>407</v>
      </c>
      <c r="H220" s="107">
        <f>SUM(G218:G219)</f>
        <v>11111.111111111111</v>
      </c>
      <c r="I220" s="71"/>
    </row>
    <row r="221" spans="1:9" s="65" customFormat="1">
      <c r="A221" s="94"/>
      <c r="B221" s="95"/>
      <c r="C221" s="95"/>
      <c r="D221" s="95"/>
      <c r="E221" s="95"/>
      <c r="F221"/>
      <c r="G221" s="74"/>
      <c r="H221" s="74"/>
      <c r="I221" s="71"/>
    </row>
    <row r="222" spans="1:9" s="65" customFormat="1">
      <c r="A222" s="96"/>
      <c r="B222" s="97"/>
      <c r="C222" s="98"/>
      <c r="D222" s="98"/>
      <c r="E222" s="98"/>
      <c r="F222"/>
      <c r="G222" s="99" t="s">
        <v>412</v>
      </c>
      <c r="H222" s="115">
        <f>SUM(H208:H220)</f>
        <v>208775.11111111112</v>
      </c>
      <c r="I222" s="71"/>
    </row>
    <row r="223" spans="1:9" s="65" customFormat="1">
      <c r="A223" s="96"/>
      <c r="B223" s="97"/>
      <c r="C223" s="98"/>
      <c r="D223" s="98"/>
      <c r="E223" s="98"/>
      <c r="F223" s="101"/>
      <c r="G223" s="116"/>
      <c r="H223" s="70"/>
      <c r="I223" s="71"/>
    </row>
    <row r="224" spans="1:9" s="65" customFormat="1" ht="15.75" thickBot="1">
      <c r="A224" s="624" t="s">
        <v>746</v>
      </c>
      <c r="B224" s="625"/>
      <c r="C224" s="625"/>
      <c r="D224" s="625"/>
      <c r="E224" s="625"/>
      <c r="F224" s="625"/>
      <c r="G224" s="626"/>
      <c r="H224" s="117">
        <f>+ROUND(H222,0)</f>
        <v>208775</v>
      </c>
      <c r="I224" s="103"/>
    </row>
    <row r="225" spans="1:9" s="65" customFormat="1">
      <c r="A225" s="150"/>
      <c r="B225" s="83"/>
      <c r="C225" s="148"/>
      <c r="D225" s="84"/>
      <c r="E225" s="84"/>
      <c r="F225" s="84"/>
      <c r="G225" s="144"/>
      <c r="H225" s="145"/>
    </row>
    <row r="226" spans="1:9" s="65" customFormat="1" ht="15.75" thickBot="1">
      <c r="A226" s="84"/>
      <c r="B226" s="83"/>
      <c r="C226" s="84"/>
      <c r="D226" s="84"/>
      <c r="E226" s="84"/>
      <c r="G226" s="104"/>
      <c r="H226" s="140"/>
    </row>
    <row r="227" spans="1:9" s="65" customFormat="1">
      <c r="A227" s="627"/>
      <c r="B227" s="629" t="s">
        <v>311</v>
      </c>
      <c r="C227" s="630"/>
      <c r="D227" s="630"/>
      <c r="E227" s="630"/>
      <c r="F227" s="630"/>
      <c r="G227" s="630"/>
      <c r="H227" s="643"/>
      <c r="I227" s="66" t="s">
        <v>389</v>
      </c>
    </row>
    <row r="228" spans="1:9" s="65" customFormat="1">
      <c r="A228" s="628"/>
      <c r="B228" s="631"/>
      <c r="C228" s="632"/>
      <c r="D228" s="632"/>
      <c r="E228" s="632"/>
      <c r="F228" s="632"/>
      <c r="G228" s="632"/>
      <c r="H228" s="644"/>
      <c r="I228" s="67" t="s">
        <v>493</v>
      </c>
    </row>
    <row r="229" spans="1:9" s="65" customFormat="1">
      <c r="A229" s="68"/>
      <c r="B229" s="69"/>
      <c r="C229" s="69"/>
      <c r="D229" s="69"/>
      <c r="E229" s="69"/>
      <c r="F229" s="70"/>
      <c r="G229" s="70"/>
      <c r="H229" s="70"/>
      <c r="I229" s="71"/>
    </row>
    <row r="230" spans="1:9" s="65" customFormat="1">
      <c r="A230" s="72" t="s">
        <v>390</v>
      </c>
      <c r="B230" s="73"/>
      <c r="C230" s="73"/>
      <c r="D230" s="73"/>
      <c r="E230" s="73"/>
      <c r="F230" s="74"/>
      <c r="G230" s="74"/>
      <c r="H230" s="70"/>
      <c r="I230" s="71"/>
    </row>
    <row r="231" spans="1:9" s="65" customFormat="1">
      <c r="A231" s="75" t="s">
        <v>391</v>
      </c>
      <c r="B231" s="76" t="s">
        <v>392</v>
      </c>
      <c r="C231" s="76" t="s">
        <v>393</v>
      </c>
      <c r="D231" s="76" t="s">
        <v>394</v>
      </c>
      <c r="E231" s="76" t="s">
        <v>395</v>
      </c>
      <c r="F231" s="76" t="s">
        <v>396</v>
      </c>
      <c r="G231" s="76" t="s">
        <v>397</v>
      </c>
      <c r="H231" s="74"/>
      <c r="I231" s="71"/>
    </row>
    <row r="232" spans="1:9" s="65" customFormat="1">
      <c r="A232" s="77"/>
      <c r="B232" s="79"/>
      <c r="C232" s="79"/>
      <c r="D232" s="107"/>
      <c r="E232" s="79"/>
      <c r="F232" s="79"/>
      <c r="G232" s="107"/>
      <c r="H232" s="74"/>
      <c r="I232" s="71"/>
    </row>
    <row r="233" spans="1:9" s="65" customFormat="1">
      <c r="A233" s="82"/>
      <c r="B233" s="83"/>
      <c r="C233" s="84"/>
      <c r="D233" s="84"/>
      <c r="E233" s="84"/>
      <c r="F233"/>
      <c r="G233" s="93" t="s">
        <v>407</v>
      </c>
      <c r="H233" s="107">
        <f>SUM(G232:G232)</f>
        <v>0</v>
      </c>
      <c r="I233" s="71"/>
    </row>
    <row r="234" spans="1:9" s="65" customFormat="1">
      <c r="A234" s="72" t="s">
        <v>408</v>
      </c>
      <c r="B234" s="73"/>
      <c r="C234" s="73"/>
      <c r="D234" s="73"/>
      <c r="E234" s="73"/>
      <c r="F234"/>
      <c r="G234" s="74"/>
      <c r="H234" s="108"/>
      <c r="I234" s="71"/>
    </row>
    <row r="235" spans="1:9" s="65" customFormat="1">
      <c r="A235" s="75" t="s">
        <v>391</v>
      </c>
      <c r="B235" s="76" t="s">
        <v>392</v>
      </c>
      <c r="C235" s="76" t="s">
        <v>393</v>
      </c>
      <c r="D235" s="76" t="s">
        <v>394</v>
      </c>
      <c r="E235" s="76" t="s">
        <v>395</v>
      </c>
      <c r="F235" s="76" t="s">
        <v>396</v>
      </c>
      <c r="G235" s="76" t="s">
        <v>397</v>
      </c>
      <c r="H235" s="108"/>
      <c r="I235" s="71"/>
    </row>
    <row r="236" spans="1:9" s="65" customFormat="1">
      <c r="A236" s="135"/>
      <c r="B236" s="78" t="s">
        <v>756</v>
      </c>
      <c r="C236" s="127" t="s">
        <v>493</v>
      </c>
      <c r="D236" s="107">
        <f>205000*1.16*1.2</f>
        <v>285359.99999999994</v>
      </c>
      <c r="E236" s="79">
        <v>1</v>
      </c>
      <c r="F236" s="79">
        <v>0</v>
      </c>
      <c r="G236" s="107">
        <f>(D236*E236)+((D236*E236)*F236/100)</f>
        <v>285359.99999999994</v>
      </c>
      <c r="H236" s="108"/>
      <c r="I236" s="71"/>
    </row>
    <row r="237" spans="1:9" s="65" customFormat="1">
      <c r="A237" s="90"/>
      <c r="B237" s="91"/>
      <c r="C237" s="91"/>
      <c r="D237" s="91"/>
      <c r="E237" s="91"/>
      <c r="F237"/>
      <c r="G237" s="85" t="s">
        <v>407</v>
      </c>
      <c r="H237" s="107">
        <f>SUM(G236:G236)</f>
        <v>285359.99999999994</v>
      </c>
      <c r="I237" s="71"/>
    </row>
    <row r="238" spans="1:9" s="65" customFormat="1">
      <c r="A238" s="72" t="s">
        <v>410</v>
      </c>
      <c r="B238" s="73"/>
      <c r="C238" s="73"/>
      <c r="D238" s="73"/>
      <c r="E238" s="73"/>
      <c r="F238"/>
      <c r="G238" s="74"/>
      <c r="H238" s="108"/>
      <c r="I238" s="71"/>
    </row>
    <row r="239" spans="1:9" s="65" customFormat="1">
      <c r="A239" s="75" t="s">
        <v>391</v>
      </c>
      <c r="B239" s="76" t="s">
        <v>392</v>
      </c>
      <c r="C239" s="76" t="s">
        <v>393</v>
      </c>
      <c r="D239" s="76" t="s">
        <v>394</v>
      </c>
      <c r="E239" s="76" t="s">
        <v>395</v>
      </c>
      <c r="F239" s="76" t="s">
        <v>396</v>
      </c>
      <c r="G239" s="76" t="s">
        <v>397</v>
      </c>
      <c r="H239" s="108"/>
      <c r="I239" s="71"/>
    </row>
    <row r="240" spans="1:9" s="65" customFormat="1">
      <c r="A240" s="77"/>
      <c r="B240" s="78"/>
      <c r="C240" s="79"/>
      <c r="D240" s="107"/>
      <c r="E240" s="79"/>
      <c r="F240" s="79"/>
      <c r="G240" s="107"/>
      <c r="H240" s="108"/>
      <c r="I240" s="71"/>
    </row>
    <row r="241" spans="1:9" s="65" customFormat="1">
      <c r="A241" s="90"/>
      <c r="B241" s="91"/>
      <c r="C241" s="91"/>
      <c r="D241" s="91"/>
      <c r="E241" s="91"/>
      <c r="F241"/>
      <c r="G241" s="93" t="s">
        <v>407</v>
      </c>
      <c r="H241" s="107">
        <f>SUM(G240:G240)</f>
        <v>0</v>
      </c>
      <c r="I241" s="71"/>
    </row>
    <row r="242" spans="1:9" s="65" customFormat="1">
      <c r="A242" s="72" t="s">
        <v>411</v>
      </c>
      <c r="B242" s="73"/>
      <c r="C242" s="73"/>
      <c r="D242" s="73"/>
      <c r="E242" s="73"/>
      <c r="F242"/>
      <c r="G242" s="74"/>
      <c r="H242" s="108"/>
      <c r="I242" s="71"/>
    </row>
    <row r="243" spans="1:9" s="65" customFormat="1">
      <c r="A243" s="75" t="s">
        <v>391</v>
      </c>
      <c r="B243" s="76" t="s">
        <v>392</v>
      </c>
      <c r="C243" s="76" t="s">
        <v>393</v>
      </c>
      <c r="D243" s="76" t="s">
        <v>394</v>
      </c>
      <c r="E243" s="76" t="s">
        <v>395</v>
      </c>
      <c r="F243" s="76" t="s">
        <v>396</v>
      </c>
      <c r="G243" s="76" t="s">
        <v>397</v>
      </c>
      <c r="H243" s="108"/>
      <c r="I243" s="71"/>
    </row>
    <row r="244" spans="1:9" s="65" customFormat="1">
      <c r="A244" s="87" t="s">
        <v>409</v>
      </c>
      <c r="B244" s="114" t="s">
        <v>747</v>
      </c>
      <c r="C244" s="114" t="s">
        <v>437</v>
      </c>
      <c r="D244" s="114">
        <v>800000</v>
      </c>
      <c r="E244" s="215">
        <v>1.9230769230769232E-2</v>
      </c>
      <c r="F244" s="79">
        <v>0</v>
      </c>
      <c r="G244" s="107">
        <f>(D244*E244)+((D244*E244)*F244/100)</f>
        <v>15384.615384615385</v>
      </c>
      <c r="H244" s="108"/>
      <c r="I244" s="71"/>
    </row>
    <row r="245" spans="1:9" s="65" customFormat="1">
      <c r="A245" s="94"/>
      <c r="B245" s="95"/>
      <c r="C245" s="95"/>
      <c r="D245" s="95"/>
      <c r="E245" s="95"/>
      <c r="F245"/>
      <c r="G245" s="93" t="s">
        <v>407</v>
      </c>
      <c r="H245" s="107">
        <f>SUM(G243:G244)</f>
        <v>15384.615384615385</v>
      </c>
      <c r="I245" s="71"/>
    </row>
    <row r="246" spans="1:9" s="65" customFormat="1">
      <c r="A246" s="94"/>
      <c r="B246" s="95"/>
      <c r="C246" s="95"/>
      <c r="D246" s="95"/>
      <c r="E246" s="95"/>
      <c r="F246"/>
      <c r="G246" s="74"/>
      <c r="H246" s="74"/>
      <c r="I246" s="71"/>
    </row>
    <row r="247" spans="1:9" s="65" customFormat="1">
      <c r="A247" s="96"/>
      <c r="B247" s="97"/>
      <c r="C247" s="98"/>
      <c r="D247" s="98"/>
      <c r="E247" s="98"/>
      <c r="F247"/>
      <c r="G247" s="99" t="s">
        <v>412</v>
      </c>
      <c r="H247" s="115">
        <f>SUM(H233:H245)</f>
        <v>300744.61538461532</v>
      </c>
      <c r="I247" s="71"/>
    </row>
    <row r="248" spans="1:9" s="65" customFormat="1">
      <c r="A248" s="96"/>
      <c r="B248" s="97"/>
      <c r="C248" s="98"/>
      <c r="D248" s="98"/>
      <c r="E248" s="98"/>
      <c r="F248" s="101"/>
      <c r="G248" s="116"/>
      <c r="H248" s="70"/>
      <c r="I248" s="71"/>
    </row>
    <row r="249" spans="1:9" s="65" customFormat="1" ht="15.75" thickBot="1">
      <c r="A249" s="624" t="s">
        <v>746</v>
      </c>
      <c r="B249" s="625"/>
      <c r="C249" s="625"/>
      <c r="D249" s="625"/>
      <c r="E249" s="625"/>
      <c r="F249" s="625"/>
      <c r="G249" s="626"/>
      <c r="H249" s="117">
        <f>+ROUND(H247,0)</f>
        <v>300745</v>
      </c>
      <c r="I249" s="103"/>
    </row>
    <row r="250" spans="1:9" s="65" customFormat="1">
      <c r="A250" s="84"/>
      <c r="B250" s="83"/>
      <c r="C250" s="84"/>
      <c r="D250" s="84"/>
      <c r="E250" s="84"/>
      <c r="G250" s="104"/>
      <c r="H250" s="140"/>
    </row>
    <row r="251" spans="1:9" s="65" customFormat="1" ht="15.75" thickBot="1">
      <c r="A251" s="120"/>
      <c r="B251" s="73"/>
      <c r="C251" s="73"/>
      <c r="D251" s="73"/>
      <c r="E251" s="73"/>
      <c r="G251" s="121"/>
      <c r="H251" s="140"/>
    </row>
    <row r="252" spans="1:9" s="65" customFormat="1">
      <c r="A252" s="627"/>
      <c r="B252" s="629" t="s">
        <v>757</v>
      </c>
      <c r="C252" s="630"/>
      <c r="D252" s="630"/>
      <c r="E252" s="630"/>
      <c r="F252" s="630"/>
      <c r="G252" s="630"/>
      <c r="H252" s="643"/>
      <c r="I252" s="66" t="s">
        <v>389</v>
      </c>
    </row>
    <row r="253" spans="1:9" s="65" customFormat="1">
      <c r="A253" s="628"/>
      <c r="B253" s="631"/>
      <c r="C253" s="632"/>
      <c r="D253" s="632"/>
      <c r="E253" s="632"/>
      <c r="F253" s="632"/>
      <c r="G253" s="632"/>
      <c r="H253" s="644"/>
      <c r="I253" s="67" t="s">
        <v>493</v>
      </c>
    </row>
    <row r="254" spans="1:9" s="65" customFormat="1">
      <c r="A254" s="68"/>
      <c r="B254" s="69"/>
      <c r="C254" s="69"/>
      <c r="D254" s="69"/>
      <c r="E254" s="69"/>
      <c r="F254" s="70"/>
      <c r="G254" s="70"/>
      <c r="H254" s="70"/>
      <c r="I254" s="71"/>
    </row>
    <row r="255" spans="1:9" s="65" customFormat="1">
      <c r="A255" s="72" t="s">
        <v>390</v>
      </c>
      <c r="B255" s="73"/>
      <c r="C255" s="73"/>
      <c r="D255" s="73"/>
      <c r="E255" s="73"/>
      <c r="F255" s="74"/>
      <c r="G255" s="74"/>
      <c r="H255" s="70"/>
      <c r="I255" s="71"/>
    </row>
    <row r="256" spans="1:9" s="65" customFormat="1">
      <c r="A256" s="75" t="s">
        <v>391</v>
      </c>
      <c r="B256" s="76" t="s">
        <v>392</v>
      </c>
      <c r="C256" s="76" t="s">
        <v>393</v>
      </c>
      <c r="D256" s="76" t="s">
        <v>394</v>
      </c>
      <c r="E256" s="76" t="s">
        <v>395</v>
      </c>
      <c r="F256" s="76" t="s">
        <v>396</v>
      </c>
      <c r="G256" s="76" t="s">
        <v>397</v>
      </c>
      <c r="H256" s="74"/>
      <c r="I256" s="71"/>
    </row>
    <row r="257" spans="1:9" s="65" customFormat="1">
      <c r="A257" s="77"/>
      <c r="B257" s="79"/>
      <c r="C257" s="79"/>
      <c r="D257" s="107"/>
      <c r="E257" s="79"/>
      <c r="F257" s="79"/>
      <c r="G257" s="107"/>
      <c r="H257" s="74"/>
      <c r="I257" s="71"/>
    </row>
    <row r="258" spans="1:9" s="65" customFormat="1">
      <c r="A258" s="82"/>
      <c r="B258" s="83"/>
      <c r="C258" s="84"/>
      <c r="D258" s="84"/>
      <c r="E258" s="84"/>
      <c r="F258"/>
      <c r="G258" s="93" t="s">
        <v>407</v>
      </c>
      <c r="H258" s="107">
        <f>SUM(G257:G257)</f>
        <v>0</v>
      </c>
      <c r="I258" s="71"/>
    </row>
    <row r="259" spans="1:9" s="65" customFormat="1">
      <c r="A259" s="72" t="s">
        <v>408</v>
      </c>
      <c r="B259" s="73"/>
      <c r="C259" s="73"/>
      <c r="D259" s="73"/>
      <c r="E259" s="73"/>
      <c r="F259"/>
      <c r="G259" s="74"/>
      <c r="H259" s="108"/>
      <c r="I259" s="71"/>
    </row>
    <row r="260" spans="1:9" s="65" customFormat="1">
      <c r="A260" s="75" t="s">
        <v>391</v>
      </c>
      <c r="B260" s="76" t="s">
        <v>392</v>
      </c>
      <c r="C260" s="76" t="s">
        <v>393</v>
      </c>
      <c r="D260" s="76" t="s">
        <v>394</v>
      </c>
      <c r="E260" s="76" t="s">
        <v>395</v>
      </c>
      <c r="F260" s="76" t="s">
        <v>396</v>
      </c>
      <c r="G260" s="76" t="s">
        <v>397</v>
      </c>
      <c r="H260" s="108"/>
      <c r="I260" s="71"/>
    </row>
    <row r="261" spans="1:9" s="65" customFormat="1">
      <c r="A261" s="135"/>
      <c r="B261" s="78" t="s">
        <v>758</v>
      </c>
      <c r="C261" s="127" t="s">
        <v>493</v>
      </c>
      <c r="D261" s="107">
        <f>35000*1.16*1.2</f>
        <v>48720</v>
      </c>
      <c r="E261" s="79">
        <v>1</v>
      </c>
      <c r="F261" s="79">
        <v>0</v>
      </c>
      <c r="G261" s="107">
        <f>(D261*E261)+((D261*E261)*F261/100)</f>
        <v>48720</v>
      </c>
      <c r="H261" s="108"/>
      <c r="I261" s="71"/>
    </row>
    <row r="262" spans="1:9" s="65" customFormat="1">
      <c r="A262" s="90"/>
      <c r="B262" s="91"/>
      <c r="C262" s="91"/>
      <c r="D262" s="91"/>
      <c r="E262" s="91"/>
      <c r="F262"/>
      <c r="G262" s="85" t="s">
        <v>407</v>
      </c>
      <c r="H262" s="107">
        <f>SUM(G261:G261)</f>
        <v>48720</v>
      </c>
      <c r="I262" s="71"/>
    </row>
    <row r="263" spans="1:9" s="65" customFormat="1">
      <c r="A263" s="72" t="s">
        <v>410</v>
      </c>
      <c r="B263" s="73"/>
      <c r="C263" s="73"/>
      <c r="D263" s="73"/>
      <c r="E263" s="73"/>
      <c r="F263"/>
      <c r="G263" s="74"/>
      <c r="H263" s="108"/>
      <c r="I263" s="71"/>
    </row>
    <row r="264" spans="1:9" s="65" customFormat="1">
      <c r="A264" s="75" t="s">
        <v>391</v>
      </c>
      <c r="B264" s="76" t="s">
        <v>392</v>
      </c>
      <c r="C264" s="76" t="s">
        <v>393</v>
      </c>
      <c r="D264" s="76" t="s">
        <v>394</v>
      </c>
      <c r="E264" s="76" t="s">
        <v>395</v>
      </c>
      <c r="F264" s="76" t="s">
        <v>396</v>
      </c>
      <c r="G264" s="76" t="s">
        <v>397</v>
      </c>
      <c r="H264" s="108"/>
      <c r="I264" s="71"/>
    </row>
    <row r="265" spans="1:9" s="65" customFormat="1">
      <c r="A265" s="77"/>
      <c r="B265" s="78"/>
      <c r="C265" s="79"/>
      <c r="D265" s="107"/>
      <c r="E265" s="79"/>
      <c r="F265" s="79"/>
      <c r="G265" s="107"/>
      <c r="H265" s="108"/>
      <c r="I265" s="71"/>
    </row>
    <row r="266" spans="1:9" s="65" customFormat="1">
      <c r="A266" s="90"/>
      <c r="B266" s="91"/>
      <c r="C266" s="91"/>
      <c r="D266" s="91"/>
      <c r="E266" s="91"/>
      <c r="F266"/>
      <c r="G266" s="93" t="s">
        <v>407</v>
      </c>
      <c r="H266" s="107">
        <f>SUM(G265:G265)</f>
        <v>0</v>
      </c>
      <c r="I266" s="71"/>
    </row>
    <row r="267" spans="1:9" s="65" customFormat="1">
      <c r="A267" s="72" t="s">
        <v>411</v>
      </c>
      <c r="B267" s="73"/>
      <c r="C267" s="73"/>
      <c r="D267" s="73"/>
      <c r="E267" s="73"/>
      <c r="F267"/>
      <c r="G267" s="74"/>
      <c r="H267" s="108"/>
      <c r="I267" s="71"/>
    </row>
    <row r="268" spans="1:9" s="65" customFormat="1">
      <c r="A268" s="75" t="s">
        <v>391</v>
      </c>
      <c r="B268" s="76" t="s">
        <v>392</v>
      </c>
      <c r="C268" s="76" t="s">
        <v>393</v>
      </c>
      <c r="D268" s="76" t="s">
        <v>394</v>
      </c>
      <c r="E268" s="76" t="s">
        <v>395</v>
      </c>
      <c r="F268" s="76" t="s">
        <v>396</v>
      </c>
      <c r="G268" s="76" t="s">
        <v>397</v>
      </c>
      <c r="H268" s="108"/>
      <c r="I268" s="71"/>
    </row>
    <row r="269" spans="1:9" s="65" customFormat="1">
      <c r="A269" s="87" t="s">
        <v>409</v>
      </c>
      <c r="B269" s="114" t="s">
        <v>747</v>
      </c>
      <c r="C269" s="114" t="s">
        <v>437</v>
      </c>
      <c r="D269" s="114">
        <v>800000</v>
      </c>
      <c r="E269" s="215">
        <v>4.1666666666666666E-3</v>
      </c>
      <c r="F269" s="79">
        <v>0</v>
      </c>
      <c r="G269" s="107">
        <f>(D269*E269)+((D269*E269)*F269/100)</f>
        <v>3333.3333333333335</v>
      </c>
      <c r="H269" s="108"/>
      <c r="I269" s="71"/>
    </row>
    <row r="270" spans="1:9" s="65" customFormat="1">
      <c r="A270" s="94"/>
      <c r="B270" s="95"/>
      <c r="C270" s="95"/>
      <c r="D270" s="95"/>
      <c r="E270" s="95"/>
      <c r="F270"/>
      <c r="G270" s="93" t="s">
        <v>407</v>
      </c>
      <c r="H270" s="107">
        <f>SUM(G268:G269)</f>
        <v>3333.3333333333335</v>
      </c>
      <c r="I270" s="71"/>
    </row>
    <row r="271" spans="1:9" s="65" customFormat="1">
      <c r="A271" s="94"/>
      <c r="B271" s="95"/>
      <c r="C271" s="95"/>
      <c r="D271" s="95"/>
      <c r="E271" s="95"/>
      <c r="F271"/>
      <c r="G271" s="74"/>
      <c r="H271" s="74"/>
      <c r="I271" s="71"/>
    </row>
    <row r="272" spans="1:9" s="65" customFormat="1">
      <c r="A272" s="96"/>
      <c r="B272" s="97"/>
      <c r="C272" s="98"/>
      <c r="D272" s="98"/>
      <c r="E272" s="98"/>
      <c r="F272"/>
      <c r="G272" s="99" t="s">
        <v>412</v>
      </c>
      <c r="H272" s="115">
        <f>SUM(H258:H270)</f>
        <v>52053.333333333336</v>
      </c>
      <c r="I272" s="71"/>
    </row>
    <row r="273" spans="1:9" s="65" customFormat="1">
      <c r="A273" s="96"/>
      <c r="B273" s="97"/>
      <c r="C273" s="98"/>
      <c r="D273" s="98"/>
      <c r="E273" s="98"/>
      <c r="F273" s="101"/>
      <c r="G273" s="116"/>
      <c r="H273" s="70"/>
      <c r="I273" s="71"/>
    </row>
    <row r="274" spans="1:9" s="65" customFormat="1" ht="15.75" thickBot="1">
      <c r="A274" s="624" t="s">
        <v>746</v>
      </c>
      <c r="B274" s="625"/>
      <c r="C274" s="625"/>
      <c r="D274" s="625"/>
      <c r="E274" s="625"/>
      <c r="F274" s="625"/>
      <c r="G274" s="626"/>
      <c r="H274" s="117">
        <f>+ROUND(H272,0)</f>
        <v>52053</v>
      </c>
      <c r="I274" s="103"/>
    </row>
    <row r="275" spans="1:9" s="65" customFormat="1">
      <c r="A275" s="120"/>
      <c r="B275" s="73"/>
      <c r="C275" s="73"/>
      <c r="D275" s="73"/>
      <c r="E275" s="73"/>
      <c r="G275" s="121"/>
      <c r="H275" s="140"/>
    </row>
    <row r="276" spans="1:9" s="65" customFormat="1" ht="15.75" thickBot="1">
      <c r="A276" s="128"/>
      <c r="B276" s="141"/>
      <c r="C276" s="141"/>
      <c r="D276" s="141"/>
      <c r="E276" s="141"/>
      <c r="F276" s="141"/>
      <c r="G276" s="141"/>
      <c r="H276" s="140"/>
    </row>
    <row r="277" spans="1:9" s="65" customFormat="1">
      <c r="A277" s="627"/>
      <c r="B277" s="629" t="s">
        <v>759</v>
      </c>
      <c r="C277" s="630"/>
      <c r="D277" s="630"/>
      <c r="E277" s="630"/>
      <c r="F277" s="630"/>
      <c r="G277" s="630"/>
      <c r="H277" s="643"/>
      <c r="I277" s="66" t="s">
        <v>389</v>
      </c>
    </row>
    <row r="278" spans="1:9" s="65" customFormat="1">
      <c r="A278" s="628"/>
      <c r="B278" s="631"/>
      <c r="C278" s="632"/>
      <c r="D278" s="632"/>
      <c r="E278" s="632"/>
      <c r="F278" s="632"/>
      <c r="G278" s="632"/>
      <c r="H278" s="644"/>
      <c r="I278" s="67" t="s">
        <v>493</v>
      </c>
    </row>
    <row r="279" spans="1:9" s="65" customFormat="1">
      <c r="A279" s="68"/>
      <c r="B279" s="69"/>
      <c r="C279" s="69"/>
      <c r="D279" s="69"/>
      <c r="E279" s="69"/>
      <c r="F279" s="70"/>
      <c r="G279" s="70"/>
      <c r="H279" s="70"/>
      <c r="I279" s="71"/>
    </row>
    <row r="280" spans="1:9" s="65" customFormat="1">
      <c r="A280" s="72" t="s">
        <v>390</v>
      </c>
      <c r="B280" s="73"/>
      <c r="C280" s="73"/>
      <c r="D280" s="73"/>
      <c r="E280" s="73"/>
      <c r="F280" s="74"/>
      <c r="G280" s="74"/>
      <c r="H280" s="70"/>
      <c r="I280" s="71"/>
    </row>
    <row r="281" spans="1:9" s="65" customFormat="1">
      <c r="A281" s="75" t="s">
        <v>391</v>
      </c>
      <c r="B281" s="76" t="s">
        <v>392</v>
      </c>
      <c r="C281" s="76" t="s">
        <v>393</v>
      </c>
      <c r="D281" s="76" t="s">
        <v>394</v>
      </c>
      <c r="E281" s="76" t="s">
        <v>395</v>
      </c>
      <c r="F281" s="76" t="s">
        <v>396</v>
      </c>
      <c r="G281" s="76" t="s">
        <v>397</v>
      </c>
      <c r="H281" s="74"/>
      <c r="I281" s="71"/>
    </row>
    <row r="282" spans="1:9" s="65" customFormat="1">
      <c r="A282" s="77"/>
      <c r="B282" s="79"/>
      <c r="C282" s="79"/>
      <c r="D282" s="107"/>
      <c r="E282" s="79"/>
      <c r="F282" s="79"/>
      <c r="G282" s="107"/>
      <c r="H282" s="74"/>
      <c r="I282" s="71"/>
    </row>
    <row r="283" spans="1:9" s="65" customFormat="1">
      <c r="A283" s="82"/>
      <c r="B283" s="83"/>
      <c r="C283" s="84"/>
      <c r="D283" s="84"/>
      <c r="E283" s="84"/>
      <c r="F283"/>
      <c r="G283" s="93" t="s">
        <v>407</v>
      </c>
      <c r="H283" s="107">
        <f>SUM(G282:G282)</f>
        <v>0</v>
      </c>
      <c r="I283" s="71"/>
    </row>
    <row r="284" spans="1:9" s="65" customFormat="1">
      <c r="A284" s="72" t="s">
        <v>408</v>
      </c>
      <c r="B284" s="73"/>
      <c r="C284" s="73"/>
      <c r="D284" s="73"/>
      <c r="E284" s="73"/>
      <c r="F284"/>
      <c r="G284" s="74"/>
      <c r="H284" s="108"/>
      <c r="I284" s="71"/>
    </row>
    <row r="285" spans="1:9" s="65" customFormat="1">
      <c r="A285" s="75" t="s">
        <v>391</v>
      </c>
      <c r="B285" s="76" t="s">
        <v>392</v>
      </c>
      <c r="C285" s="76" t="s">
        <v>393</v>
      </c>
      <c r="D285" s="76" t="s">
        <v>394</v>
      </c>
      <c r="E285" s="76" t="s">
        <v>395</v>
      </c>
      <c r="F285" s="76" t="s">
        <v>396</v>
      </c>
      <c r="G285" s="76" t="s">
        <v>397</v>
      </c>
      <c r="H285" s="108"/>
      <c r="I285" s="71"/>
    </row>
    <row r="286" spans="1:9" s="65" customFormat="1">
      <c r="A286" s="135"/>
      <c r="B286" s="78" t="s">
        <v>760</v>
      </c>
      <c r="C286" s="127" t="s">
        <v>493</v>
      </c>
      <c r="D286" s="107">
        <f>167000*1.16*1.2</f>
        <v>232464</v>
      </c>
      <c r="E286" s="79">
        <v>1</v>
      </c>
      <c r="F286" s="79">
        <v>0</v>
      </c>
      <c r="G286" s="107">
        <f>(D286*E286)+((D286*E286)*F286/100)</f>
        <v>232464</v>
      </c>
      <c r="H286" s="108"/>
      <c r="I286" s="71"/>
    </row>
    <row r="287" spans="1:9" s="65" customFormat="1">
      <c r="A287" s="90"/>
      <c r="B287" s="91"/>
      <c r="C287" s="91"/>
      <c r="D287" s="91"/>
      <c r="E287" s="91"/>
      <c r="F287"/>
      <c r="G287" s="85" t="s">
        <v>407</v>
      </c>
      <c r="H287" s="107">
        <f>SUM(G286:G286)</f>
        <v>232464</v>
      </c>
      <c r="I287" s="71"/>
    </row>
    <row r="288" spans="1:9" s="65" customFormat="1">
      <c r="A288" s="72" t="s">
        <v>410</v>
      </c>
      <c r="B288" s="73"/>
      <c r="C288" s="73"/>
      <c r="D288" s="73"/>
      <c r="E288" s="73"/>
      <c r="F288"/>
      <c r="G288" s="74"/>
      <c r="H288" s="108"/>
      <c r="I288" s="71"/>
    </row>
    <row r="289" spans="1:9" s="65" customFormat="1">
      <c r="A289" s="75" t="s">
        <v>391</v>
      </c>
      <c r="B289" s="76" t="s">
        <v>392</v>
      </c>
      <c r="C289" s="76" t="s">
        <v>393</v>
      </c>
      <c r="D289" s="76" t="s">
        <v>394</v>
      </c>
      <c r="E289" s="76" t="s">
        <v>395</v>
      </c>
      <c r="F289" s="76" t="s">
        <v>396</v>
      </c>
      <c r="G289" s="76" t="s">
        <v>397</v>
      </c>
      <c r="H289" s="108"/>
      <c r="I289" s="71"/>
    </row>
    <row r="290" spans="1:9" s="65" customFormat="1">
      <c r="A290" s="77"/>
      <c r="B290" s="78"/>
      <c r="C290" s="79"/>
      <c r="D290" s="107"/>
      <c r="E290" s="79"/>
      <c r="F290" s="79"/>
      <c r="G290" s="107"/>
      <c r="H290" s="108"/>
      <c r="I290" s="71"/>
    </row>
    <row r="291" spans="1:9" s="65" customFormat="1">
      <c r="A291" s="90"/>
      <c r="B291" s="91"/>
      <c r="C291" s="91"/>
      <c r="D291" s="91"/>
      <c r="E291" s="91"/>
      <c r="F291"/>
      <c r="G291" s="93" t="s">
        <v>407</v>
      </c>
      <c r="H291" s="107">
        <f>SUM(G290:G290)</f>
        <v>0</v>
      </c>
      <c r="I291" s="71"/>
    </row>
    <row r="292" spans="1:9" s="65" customFormat="1">
      <c r="A292" s="72" t="s">
        <v>411</v>
      </c>
      <c r="B292" s="73"/>
      <c r="C292" s="73"/>
      <c r="D292" s="73"/>
      <c r="E292" s="73"/>
      <c r="F292"/>
      <c r="G292" s="74"/>
      <c r="H292" s="108"/>
      <c r="I292" s="71"/>
    </row>
    <row r="293" spans="1:9" s="65" customFormat="1">
      <c r="A293" s="75" t="s">
        <v>391</v>
      </c>
      <c r="B293" s="76" t="s">
        <v>392</v>
      </c>
      <c r="C293" s="76" t="s">
        <v>393</v>
      </c>
      <c r="D293" s="76" t="s">
        <v>394</v>
      </c>
      <c r="E293" s="76" t="s">
        <v>395</v>
      </c>
      <c r="F293" s="76" t="s">
        <v>396</v>
      </c>
      <c r="G293" s="76" t="s">
        <v>397</v>
      </c>
      <c r="H293" s="108"/>
      <c r="I293" s="71"/>
    </row>
    <row r="294" spans="1:9" s="65" customFormat="1">
      <c r="A294" s="87" t="s">
        <v>409</v>
      </c>
      <c r="B294" s="114" t="s">
        <v>747</v>
      </c>
      <c r="C294" s="114" t="s">
        <v>437</v>
      </c>
      <c r="D294" s="114">
        <v>800000</v>
      </c>
      <c r="E294" s="215">
        <v>1.6666666666666666E-2</v>
      </c>
      <c r="F294" s="79">
        <v>0</v>
      </c>
      <c r="G294" s="107">
        <f>(D294*E294)+((D294*E294)*F294/100)</f>
        <v>13333.333333333334</v>
      </c>
      <c r="H294" s="108"/>
      <c r="I294" s="71"/>
    </row>
    <row r="295" spans="1:9" s="65" customFormat="1">
      <c r="A295" s="94"/>
      <c r="B295" s="95"/>
      <c r="C295" s="95"/>
      <c r="D295" s="95"/>
      <c r="E295" s="95"/>
      <c r="F295"/>
      <c r="G295" s="93" t="s">
        <v>407</v>
      </c>
      <c r="H295" s="107">
        <f>SUM(G293:G294)</f>
        <v>13333.333333333334</v>
      </c>
      <c r="I295" s="71"/>
    </row>
    <row r="296" spans="1:9" s="65" customFormat="1">
      <c r="A296" s="94"/>
      <c r="B296" s="95"/>
      <c r="C296" s="95"/>
      <c r="D296" s="95"/>
      <c r="E296" s="95"/>
      <c r="F296"/>
      <c r="G296" s="74"/>
      <c r="H296" s="74"/>
      <c r="I296" s="71"/>
    </row>
    <row r="297" spans="1:9" s="65" customFormat="1">
      <c r="A297" s="96"/>
      <c r="B297" s="97"/>
      <c r="C297" s="98"/>
      <c r="D297" s="98"/>
      <c r="E297" s="98"/>
      <c r="F297"/>
      <c r="G297" s="99" t="s">
        <v>412</v>
      </c>
      <c r="H297" s="115">
        <f>SUM(H283:H295)</f>
        <v>245797.33333333334</v>
      </c>
      <c r="I297" s="71"/>
    </row>
    <row r="298" spans="1:9" s="65" customFormat="1">
      <c r="A298" s="96"/>
      <c r="B298" s="97"/>
      <c r="C298" s="98"/>
      <c r="D298" s="98"/>
      <c r="E298" s="98"/>
      <c r="F298" s="101"/>
      <c r="G298" s="116"/>
      <c r="H298" s="70"/>
      <c r="I298" s="71"/>
    </row>
    <row r="299" spans="1:9" s="65" customFormat="1" ht="15.75" thickBot="1">
      <c r="A299" s="624" t="s">
        <v>746</v>
      </c>
      <c r="B299" s="625"/>
      <c r="C299" s="625"/>
      <c r="D299" s="625"/>
      <c r="E299" s="625"/>
      <c r="F299" s="625"/>
      <c r="G299" s="626"/>
      <c r="H299" s="117">
        <f>+ROUND(H297,0)</f>
        <v>245797</v>
      </c>
      <c r="I299" s="103"/>
    </row>
    <row r="300" spans="1:9" s="65" customFormat="1">
      <c r="A300" s="128"/>
      <c r="B300" s="141"/>
      <c r="C300" s="141"/>
      <c r="D300" s="141"/>
      <c r="E300" s="141"/>
      <c r="F300" s="141"/>
      <c r="G300" s="141"/>
      <c r="H300" s="140"/>
    </row>
    <row r="301" spans="1:9" s="65" customFormat="1" ht="15.75" thickBot="1">
      <c r="A301" s="150"/>
      <c r="B301" s="83"/>
      <c r="C301" s="148"/>
      <c r="D301" s="84"/>
      <c r="E301" s="84"/>
      <c r="F301" s="84"/>
      <c r="G301" s="144"/>
      <c r="H301" s="145"/>
    </row>
    <row r="302" spans="1:9" s="65" customFormat="1">
      <c r="A302" s="627"/>
      <c r="B302" s="629" t="s">
        <v>952</v>
      </c>
      <c r="C302" s="630"/>
      <c r="D302" s="630"/>
      <c r="E302" s="630"/>
      <c r="F302" s="630"/>
      <c r="G302" s="630"/>
      <c r="H302" s="643"/>
      <c r="I302" s="66" t="s">
        <v>389</v>
      </c>
    </row>
    <row r="303" spans="1:9" s="65" customFormat="1">
      <c r="A303" s="628"/>
      <c r="B303" s="631"/>
      <c r="C303" s="632"/>
      <c r="D303" s="632"/>
      <c r="E303" s="632"/>
      <c r="F303" s="632"/>
      <c r="G303" s="632"/>
      <c r="H303" s="644"/>
      <c r="I303" s="67" t="s">
        <v>493</v>
      </c>
    </row>
    <row r="304" spans="1:9" s="65" customFormat="1">
      <c r="A304" s="68"/>
      <c r="B304" s="69"/>
      <c r="C304" s="69"/>
      <c r="D304" s="69"/>
      <c r="E304" s="69"/>
      <c r="F304" s="70"/>
      <c r="G304" s="70"/>
      <c r="H304" s="70"/>
      <c r="I304" s="71"/>
    </row>
    <row r="305" spans="1:9" s="65" customFormat="1">
      <c r="A305" s="72" t="s">
        <v>390</v>
      </c>
      <c r="B305" s="73"/>
      <c r="C305" s="73"/>
      <c r="D305" s="73"/>
      <c r="E305" s="73"/>
      <c r="F305" s="74"/>
      <c r="G305" s="74"/>
      <c r="H305" s="70"/>
      <c r="I305" s="71"/>
    </row>
    <row r="306" spans="1:9" s="65" customFormat="1">
      <c r="A306" s="75" t="s">
        <v>391</v>
      </c>
      <c r="B306" s="76" t="s">
        <v>392</v>
      </c>
      <c r="C306" s="76" t="s">
        <v>393</v>
      </c>
      <c r="D306" s="76" t="s">
        <v>394</v>
      </c>
      <c r="E306" s="76" t="s">
        <v>395</v>
      </c>
      <c r="F306" s="76" t="s">
        <v>396</v>
      </c>
      <c r="G306" s="76" t="s">
        <v>397</v>
      </c>
      <c r="H306" s="74"/>
      <c r="I306" s="71"/>
    </row>
    <row r="307" spans="1:9" s="65" customFormat="1">
      <c r="A307" s="77"/>
      <c r="B307" s="79"/>
      <c r="C307" s="79"/>
      <c r="D307" s="107"/>
      <c r="E307" s="79"/>
      <c r="F307" s="79"/>
      <c r="G307" s="107"/>
      <c r="H307" s="74"/>
      <c r="I307" s="71"/>
    </row>
    <row r="308" spans="1:9" s="65" customFormat="1">
      <c r="A308" s="82"/>
      <c r="B308" s="83"/>
      <c r="C308" s="84"/>
      <c r="D308" s="84"/>
      <c r="E308" s="84"/>
      <c r="F308"/>
      <c r="G308" s="93" t="s">
        <v>407</v>
      </c>
      <c r="H308" s="107">
        <f>SUM(G307:G307)</f>
        <v>0</v>
      </c>
      <c r="I308" s="71"/>
    </row>
    <row r="309" spans="1:9" s="65" customFormat="1">
      <c r="A309" s="72" t="s">
        <v>408</v>
      </c>
      <c r="B309" s="73"/>
      <c r="C309" s="73"/>
      <c r="D309" s="73"/>
      <c r="E309" s="73"/>
      <c r="F309"/>
      <c r="G309" s="74"/>
      <c r="H309" s="108"/>
      <c r="I309" s="71"/>
    </row>
    <row r="310" spans="1:9" s="65" customFormat="1">
      <c r="A310" s="75" t="s">
        <v>391</v>
      </c>
      <c r="B310" s="76" t="s">
        <v>392</v>
      </c>
      <c r="C310" s="76" t="s">
        <v>393</v>
      </c>
      <c r="D310" s="76" t="s">
        <v>394</v>
      </c>
      <c r="E310" s="76" t="s">
        <v>395</v>
      </c>
      <c r="F310" s="76" t="s">
        <v>396</v>
      </c>
      <c r="G310" s="76" t="s">
        <v>397</v>
      </c>
      <c r="H310" s="108"/>
      <c r="I310" s="71"/>
    </row>
    <row r="311" spans="1:9" s="65" customFormat="1">
      <c r="A311" s="135"/>
      <c r="B311" s="327" t="s">
        <v>953</v>
      </c>
      <c r="C311" s="127" t="s">
        <v>493</v>
      </c>
      <c r="D311" s="107">
        <f>554979*1.2/6</f>
        <v>110995.79999999999</v>
      </c>
      <c r="E311" s="79">
        <v>1</v>
      </c>
      <c r="F311" s="79">
        <v>0</v>
      </c>
      <c r="G311" s="107">
        <f>(D311*E311)+((D311*E311)*F311/100)</f>
        <v>110995.79999999999</v>
      </c>
      <c r="H311" s="108"/>
      <c r="I311" s="71"/>
    </row>
    <row r="312" spans="1:9" s="65" customFormat="1">
      <c r="A312" s="90"/>
      <c r="B312" s="91"/>
      <c r="C312" s="91"/>
      <c r="D312" s="91"/>
      <c r="E312" s="91"/>
      <c r="F312"/>
      <c r="G312" s="85" t="s">
        <v>407</v>
      </c>
      <c r="H312" s="107">
        <f>SUM(G311:G311)</f>
        <v>110995.79999999999</v>
      </c>
      <c r="I312" s="71"/>
    </row>
    <row r="313" spans="1:9" s="65" customFormat="1">
      <c r="A313" s="72" t="s">
        <v>410</v>
      </c>
      <c r="B313" s="73"/>
      <c r="C313" s="73"/>
      <c r="D313" s="73"/>
      <c r="E313" s="73"/>
      <c r="F313"/>
      <c r="G313" s="74"/>
      <c r="H313" s="108"/>
      <c r="I313" s="71"/>
    </row>
    <row r="314" spans="1:9" s="65" customFormat="1">
      <c r="A314" s="75" t="s">
        <v>391</v>
      </c>
      <c r="B314" s="76" t="s">
        <v>392</v>
      </c>
      <c r="C314" s="76" t="s">
        <v>393</v>
      </c>
      <c r="D314" s="76" t="s">
        <v>394</v>
      </c>
      <c r="E314" s="76" t="s">
        <v>395</v>
      </c>
      <c r="F314" s="76" t="s">
        <v>396</v>
      </c>
      <c r="G314" s="76" t="s">
        <v>397</v>
      </c>
      <c r="H314" s="108"/>
      <c r="I314" s="71"/>
    </row>
    <row r="315" spans="1:9" s="65" customFormat="1">
      <c r="A315" s="77"/>
      <c r="B315" s="327"/>
      <c r="C315" s="79"/>
      <c r="D315" s="107"/>
      <c r="E315" s="79"/>
      <c r="F315" s="79"/>
      <c r="G315" s="107"/>
      <c r="H315" s="108"/>
      <c r="I315" s="71"/>
    </row>
    <row r="316" spans="1:9" s="65" customFormat="1">
      <c r="A316" s="90"/>
      <c r="B316" s="91"/>
      <c r="C316" s="91"/>
      <c r="D316" s="91"/>
      <c r="E316" s="91"/>
      <c r="F316"/>
      <c r="G316" s="93" t="s">
        <v>407</v>
      </c>
      <c r="H316" s="107">
        <f>SUM(G315:G315)</f>
        <v>0</v>
      </c>
      <c r="I316" s="71"/>
    </row>
    <row r="317" spans="1:9" s="65" customFormat="1">
      <c r="A317" s="72" t="s">
        <v>411</v>
      </c>
      <c r="B317" s="73"/>
      <c r="C317" s="73"/>
      <c r="D317" s="73"/>
      <c r="E317" s="73"/>
      <c r="F317"/>
      <c r="G317" s="74"/>
      <c r="H317" s="108"/>
      <c r="I317" s="71"/>
    </row>
    <row r="318" spans="1:9" s="65" customFormat="1">
      <c r="A318" s="75" t="s">
        <v>391</v>
      </c>
      <c r="B318" s="76" t="s">
        <v>392</v>
      </c>
      <c r="C318" s="76" t="s">
        <v>393</v>
      </c>
      <c r="D318" s="76" t="s">
        <v>394</v>
      </c>
      <c r="E318" s="76" t="s">
        <v>395</v>
      </c>
      <c r="F318" s="76" t="s">
        <v>396</v>
      </c>
      <c r="G318" s="76" t="s">
        <v>397</v>
      </c>
      <c r="H318" s="108"/>
      <c r="I318" s="71"/>
    </row>
    <row r="319" spans="1:9" s="65" customFormat="1">
      <c r="A319" s="87" t="s">
        <v>409</v>
      </c>
      <c r="B319" s="114" t="s">
        <v>747</v>
      </c>
      <c r="C319" s="114" t="s">
        <v>437</v>
      </c>
      <c r="D319" s="114">
        <v>800000</v>
      </c>
      <c r="E319" s="215">
        <v>2.2222222222222223E-2</v>
      </c>
      <c r="F319" s="79">
        <v>0</v>
      </c>
      <c r="G319" s="107">
        <f>(D319*E319)+((D319*E319)*F319/100)</f>
        <v>17777.777777777777</v>
      </c>
      <c r="H319" s="108"/>
      <c r="I319" s="71"/>
    </row>
    <row r="320" spans="1:9" s="65" customFormat="1">
      <c r="A320" s="94"/>
      <c r="B320" s="95"/>
      <c r="C320" s="95"/>
      <c r="D320" s="95"/>
      <c r="E320" s="95"/>
      <c r="F320"/>
      <c r="G320" s="93" t="s">
        <v>407</v>
      </c>
      <c r="H320" s="107">
        <f>SUM(G318:G319)</f>
        <v>17777.777777777777</v>
      </c>
      <c r="I320" s="71"/>
    </row>
    <row r="321" spans="1:9" s="65" customFormat="1">
      <c r="A321" s="94"/>
      <c r="B321" s="95"/>
      <c r="C321" s="95"/>
      <c r="D321" s="95"/>
      <c r="E321" s="95"/>
      <c r="F321"/>
      <c r="G321" s="74"/>
      <c r="H321" s="74"/>
      <c r="I321" s="71"/>
    </row>
    <row r="322" spans="1:9" s="65" customFormat="1">
      <c r="A322" s="96"/>
      <c r="B322" s="97"/>
      <c r="C322" s="98"/>
      <c r="D322" s="98"/>
      <c r="E322" s="98"/>
      <c r="F322"/>
      <c r="G322" s="99" t="s">
        <v>412</v>
      </c>
      <c r="H322" s="115">
        <f>SUM(H308:H320)</f>
        <v>128773.57777777777</v>
      </c>
      <c r="I322" s="71"/>
    </row>
    <row r="323" spans="1:9" s="65" customFormat="1">
      <c r="A323" s="96"/>
      <c r="B323" s="97"/>
      <c r="C323" s="98"/>
      <c r="D323" s="98"/>
      <c r="E323" s="98"/>
      <c r="F323" s="101"/>
      <c r="G323" s="116"/>
      <c r="H323" s="70"/>
      <c r="I323" s="71"/>
    </row>
    <row r="324" spans="1:9" s="65" customFormat="1" ht="15.75" thickBot="1">
      <c r="A324" s="624" t="s">
        <v>746</v>
      </c>
      <c r="B324" s="625"/>
      <c r="C324" s="625"/>
      <c r="D324" s="625"/>
      <c r="E324" s="625"/>
      <c r="F324" s="625"/>
      <c r="G324" s="626"/>
      <c r="H324" s="117">
        <f>+ROUND(H322,0)</f>
        <v>128774</v>
      </c>
      <c r="I324" s="103"/>
    </row>
    <row r="325" spans="1:9" s="65" customFormat="1">
      <c r="A325" s="150"/>
      <c r="B325" s="83"/>
      <c r="C325" s="148"/>
      <c r="D325" s="160"/>
      <c r="E325" s="84"/>
      <c r="F325" s="84"/>
      <c r="G325" s="144"/>
      <c r="H325" s="145"/>
    </row>
    <row r="326" spans="1:9" s="65" customFormat="1" ht="15.75" thickBot="1">
      <c r="A326" s="91"/>
      <c r="B326" s="91"/>
      <c r="C326" s="91"/>
      <c r="D326" s="91"/>
      <c r="E326" s="91"/>
      <c r="G326" s="104"/>
      <c r="H326" s="140"/>
    </row>
    <row r="327" spans="1:9" s="65" customFormat="1">
      <c r="A327" s="627"/>
      <c r="B327" s="629" t="s">
        <v>955</v>
      </c>
      <c r="C327" s="630"/>
      <c r="D327" s="630"/>
      <c r="E327" s="630"/>
      <c r="F327" s="630"/>
      <c r="G327" s="630"/>
      <c r="H327" s="643"/>
      <c r="I327" s="66" t="s">
        <v>389</v>
      </c>
    </row>
    <row r="328" spans="1:9" s="65" customFormat="1">
      <c r="A328" s="628"/>
      <c r="B328" s="631"/>
      <c r="C328" s="632"/>
      <c r="D328" s="632"/>
      <c r="E328" s="632"/>
      <c r="F328" s="632"/>
      <c r="G328" s="632"/>
      <c r="H328" s="644"/>
      <c r="I328" s="67" t="s">
        <v>493</v>
      </c>
    </row>
    <row r="329" spans="1:9" s="65" customFormat="1">
      <c r="A329" s="68"/>
      <c r="B329" s="69"/>
      <c r="C329" s="69"/>
      <c r="D329" s="69"/>
      <c r="E329" s="69"/>
      <c r="F329" s="70"/>
      <c r="G329" s="70"/>
      <c r="H329" s="70"/>
      <c r="I329" s="71"/>
    </row>
    <row r="330" spans="1:9" s="65" customFormat="1">
      <c r="A330" s="72" t="s">
        <v>390</v>
      </c>
      <c r="B330" s="73"/>
      <c r="C330" s="73"/>
      <c r="D330" s="73"/>
      <c r="E330" s="73"/>
      <c r="F330" s="74"/>
      <c r="G330" s="74"/>
      <c r="H330" s="70"/>
      <c r="I330" s="71"/>
    </row>
    <row r="331" spans="1:9" s="65" customFormat="1">
      <c r="A331" s="75" t="s">
        <v>391</v>
      </c>
      <c r="B331" s="76" t="s">
        <v>392</v>
      </c>
      <c r="C331" s="76" t="s">
        <v>393</v>
      </c>
      <c r="D331" s="76" t="s">
        <v>394</v>
      </c>
      <c r="E331" s="76" t="s">
        <v>395</v>
      </c>
      <c r="F331" s="76" t="s">
        <v>396</v>
      </c>
      <c r="G331" s="76" t="s">
        <v>397</v>
      </c>
      <c r="H331" s="74"/>
      <c r="I331" s="71"/>
    </row>
    <row r="332" spans="1:9" s="65" customFormat="1">
      <c r="A332" s="77"/>
      <c r="B332" s="79"/>
      <c r="C332" s="79"/>
      <c r="D332" s="107"/>
      <c r="E332" s="79"/>
      <c r="F332" s="79"/>
      <c r="G332" s="107"/>
      <c r="H332" s="74"/>
      <c r="I332" s="71"/>
    </row>
    <row r="333" spans="1:9" s="65" customFormat="1">
      <c r="A333" s="82"/>
      <c r="B333" s="83"/>
      <c r="C333" s="84"/>
      <c r="D333" s="84"/>
      <c r="E333" s="84"/>
      <c r="F333"/>
      <c r="G333" s="93" t="s">
        <v>407</v>
      </c>
      <c r="H333" s="107">
        <f>SUM(G332:G332)</f>
        <v>0</v>
      </c>
      <c r="I333" s="71"/>
    </row>
    <row r="334" spans="1:9" s="65" customFormat="1">
      <c r="A334" s="72" t="s">
        <v>408</v>
      </c>
      <c r="B334" s="73"/>
      <c r="C334" s="73"/>
      <c r="D334" s="73"/>
      <c r="E334" s="73"/>
      <c r="F334"/>
      <c r="G334" s="74"/>
      <c r="H334" s="108"/>
      <c r="I334" s="71"/>
    </row>
    <row r="335" spans="1:9" s="65" customFormat="1">
      <c r="A335" s="75" t="s">
        <v>391</v>
      </c>
      <c r="B335" s="76" t="s">
        <v>392</v>
      </c>
      <c r="C335" s="76" t="s">
        <v>393</v>
      </c>
      <c r="D335" s="76" t="s">
        <v>394</v>
      </c>
      <c r="E335" s="76" t="s">
        <v>395</v>
      </c>
      <c r="F335" s="76" t="s">
        <v>396</v>
      </c>
      <c r="G335" s="76" t="s">
        <v>397</v>
      </c>
      <c r="H335" s="108"/>
      <c r="I335" s="71"/>
    </row>
    <row r="336" spans="1:9" s="65" customFormat="1">
      <c r="A336" s="135"/>
      <c r="B336" s="78" t="s">
        <v>954</v>
      </c>
      <c r="C336" s="127" t="s">
        <v>493</v>
      </c>
      <c r="D336" s="107">
        <f>242336*1.2/6</f>
        <v>48467.200000000004</v>
      </c>
      <c r="E336" s="79">
        <v>1</v>
      </c>
      <c r="F336" s="79">
        <v>0</v>
      </c>
      <c r="G336" s="107">
        <f>(D336*E336)+((D336*E336)*F336/100)</f>
        <v>48467.200000000004</v>
      </c>
      <c r="H336" s="108"/>
      <c r="I336" s="71"/>
    </row>
    <row r="337" spans="1:9" s="65" customFormat="1">
      <c r="A337" s="90"/>
      <c r="B337" s="91"/>
      <c r="C337" s="91"/>
      <c r="D337" s="91"/>
      <c r="E337" s="91"/>
      <c r="F337"/>
      <c r="G337" s="85" t="s">
        <v>407</v>
      </c>
      <c r="H337" s="107">
        <f>SUM(G336:G336)</f>
        <v>48467.200000000004</v>
      </c>
      <c r="I337" s="71"/>
    </row>
    <row r="338" spans="1:9" s="65" customFormat="1">
      <c r="A338" s="72" t="s">
        <v>410</v>
      </c>
      <c r="B338" s="73"/>
      <c r="C338" s="73"/>
      <c r="D338" s="73"/>
      <c r="E338" s="73"/>
      <c r="F338"/>
      <c r="G338" s="74"/>
      <c r="H338" s="108"/>
      <c r="I338" s="71"/>
    </row>
    <row r="339" spans="1:9" s="65" customFormat="1">
      <c r="A339" s="75" t="s">
        <v>391</v>
      </c>
      <c r="B339" s="76" t="s">
        <v>392</v>
      </c>
      <c r="C339" s="76" t="s">
        <v>393</v>
      </c>
      <c r="D339" s="76" t="s">
        <v>394</v>
      </c>
      <c r="E339" s="76" t="s">
        <v>395</v>
      </c>
      <c r="F339" s="76" t="s">
        <v>396</v>
      </c>
      <c r="G339" s="76" t="s">
        <v>397</v>
      </c>
      <c r="H339" s="108"/>
      <c r="I339" s="71"/>
    </row>
    <row r="340" spans="1:9" s="65" customFormat="1">
      <c r="A340" s="77"/>
      <c r="B340" s="78"/>
      <c r="C340" s="79"/>
      <c r="D340" s="107"/>
      <c r="E340" s="79"/>
      <c r="F340" s="79"/>
      <c r="G340" s="107"/>
      <c r="H340" s="108"/>
      <c r="I340" s="71"/>
    </row>
    <row r="341" spans="1:9" s="65" customFormat="1">
      <c r="A341" s="90"/>
      <c r="B341" s="91"/>
      <c r="C341" s="91"/>
      <c r="D341" s="91"/>
      <c r="E341" s="91"/>
      <c r="F341"/>
      <c r="G341" s="93" t="s">
        <v>407</v>
      </c>
      <c r="H341" s="107">
        <f>SUM(G340:G340)</f>
        <v>0</v>
      </c>
      <c r="I341" s="71"/>
    </row>
    <row r="342" spans="1:9" s="65" customFormat="1">
      <c r="A342" s="72" t="s">
        <v>411</v>
      </c>
      <c r="B342" s="73"/>
      <c r="C342" s="73"/>
      <c r="D342" s="73"/>
      <c r="E342" s="73"/>
      <c r="F342"/>
      <c r="G342" s="74"/>
      <c r="H342" s="108"/>
      <c r="I342" s="71"/>
    </row>
    <row r="343" spans="1:9" s="65" customFormat="1">
      <c r="A343" s="75" t="s">
        <v>391</v>
      </c>
      <c r="B343" s="76" t="s">
        <v>392</v>
      </c>
      <c r="C343" s="76" t="s">
        <v>393</v>
      </c>
      <c r="D343" s="76" t="s">
        <v>394</v>
      </c>
      <c r="E343" s="76" t="s">
        <v>395</v>
      </c>
      <c r="F343" s="76" t="s">
        <v>396</v>
      </c>
      <c r="G343" s="76" t="s">
        <v>397</v>
      </c>
      <c r="H343" s="108"/>
      <c r="I343" s="71"/>
    </row>
    <row r="344" spans="1:9" s="65" customFormat="1">
      <c r="A344" s="87" t="s">
        <v>409</v>
      </c>
      <c r="B344" s="114" t="s">
        <v>747</v>
      </c>
      <c r="C344" s="114" t="s">
        <v>437</v>
      </c>
      <c r="D344" s="114">
        <v>800000</v>
      </c>
      <c r="E344" s="215">
        <v>1.3888888888888888E-2</v>
      </c>
      <c r="F344" s="79">
        <v>0</v>
      </c>
      <c r="G344" s="107">
        <f>(D344*E344)+((D344*E344)*F344/100)</f>
        <v>11111.111111111111</v>
      </c>
      <c r="H344" s="108"/>
      <c r="I344" s="71"/>
    </row>
    <row r="345" spans="1:9" s="65" customFormat="1">
      <c r="A345" s="94"/>
      <c r="B345" s="95"/>
      <c r="C345" s="95"/>
      <c r="D345" s="95"/>
      <c r="E345" s="95"/>
      <c r="F345"/>
      <c r="G345" s="93" t="s">
        <v>407</v>
      </c>
      <c r="H345" s="107">
        <f>SUM(G343:G344)</f>
        <v>11111.111111111111</v>
      </c>
      <c r="I345" s="71"/>
    </row>
    <row r="346" spans="1:9" s="65" customFormat="1">
      <c r="A346" s="94"/>
      <c r="B346" s="95"/>
      <c r="C346" s="95"/>
      <c r="D346" s="95"/>
      <c r="E346" s="95"/>
      <c r="F346"/>
      <c r="G346" s="74"/>
      <c r="H346" s="74"/>
      <c r="I346" s="71"/>
    </row>
    <row r="347" spans="1:9" s="65" customFormat="1">
      <c r="A347" s="96"/>
      <c r="B347" s="97"/>
      <c r="C347" s="98"/>
      <c r="D347" s="98"/>
      <c r="E347" s="98"/>
      <c r="F347"/>
      <c r="G347" s="99" t="s">
        <v>412</v>
      </c>
      <c r="H347" s="115">
        <f>SUM(H333:H345)</f>
        <v>59578.311111111114</v>
      </c>
      <c r="I347" s="71"/>
    </row>
    <row r="348" spans="1:9" s="65" customFormat="1">
      <c r="A348" s="96"/>
      <c r="B348" s="97"/>
      <c r="C348" s="98"/>
      <c r="D348" s="98"/>
      <c r="E348" s="98"/>
      <c r="F348" s="101"/>
      <c r="G348" s="116"/>
      <c r="H348" s="70"/>
      <c r="I348" s="71"/>
    </row>
    <row r="349" spans="1:9" s="65" customFormat="1" ht="15.75" thickBot="1">
      <c r="A349" s="624" t="s">
        <v>746</v>
      </c>
      <c r="B349" s="625"/>
      <c r="C349" s="625"/>
      <c r="D349" s="625"/>
      <c r="E349" s="625"/>
      <c r="F349" s="625"/>
      <c r="G349" s="626"/>
      <c r="H349" s="117">
        <f>+ROUND(H347,0)</f>
        <v>59578</v>
      </c>
      <c r="I349" s="103"/>
    </row>
    <row r="350" spans="1:9" s="65" customFormat="1">
      <c r="A350" s="91"/>
      <c r="B350" s="91"/>
      <c r="C350" s="91"/>
      <c r="D350" s="91"/>
      <c r="E350" s="91"/>
      <c r="G350" s="104"/>
      <c r="H350" s="140"/>
    </row>
    <row r="351" spans="1:9" s="65" customFormat="1" ht="15.75" thickBot="1">
      <c r="A351" s="120"/>
      <c r="B351" s="73"/>
      <c r="C351" s="73"/>
      <c r="D351" s="73"/>
      <c r="E351" s="73"/>
      <c r="G351" s="121"/>
      <c r="H351" s="140"/>
    </row>
    <row r="352" spans="1:9" s="65" customFormat="1">
      <c r="A352" s="627"/>
      <c r="B352" s="629" t="s">
        <v>956</v>
      </c>
      <c r="C352" s="630"/>
      <c r="D352" s="630"/>
      <c r="E352" s="630"/>
      <c r="F352" s="630"/>
      <c r="G352" s="630"/>
      <c r="H352" s="643"/>
      <c r="I352" s="66" t="s">
        <v>389</v>
      </c>
    </row>
    <row r="353" spans="1:9" s="65" customFormat="1">
      <c r="A353" s="628"/>
      <c r="B353" s="631"/>
      <c r="C353" s="632"/>
      <c r="D353" s="632"/>
      <c r="E353" s="632"/>
      <c r="F353" s="632"/>
      <c r="G353" s="632"/>
      <c r="H353" s="644"/>
      <c r="I353" s="67" t="s">
        <v>493</v>
      </c>
    </row>
    <row r="354" spans="1:9" s="65" customFormat="1">
      <c r="A354" s="68"/>
      <c r="B354" s="69"/>
      <c r="C354" s="69"/>
      <c r="D354" s="69"/>
      <c r="E354" s="69"/>
      <c r="F354" s="70"/>
      <c r="G354" s="70"/>
      <c r="H354" s="70"/>
      <c r="I354" s="71"/>
    </row>
    <row r="355" spans="1:9" s="65" customFormat="1">
      <c r="A355" s="72" t="s">
        <v>390</v>
      </c>
      <c r="B355" s="73"/>
      <c r="C355" s="73"/>
      <c r="D355" s="73"/>
      <c r="E355" s="73"/>
      <c r="F355" s="74"/>
      <c r="G355" s="74"/>
      <c r="H355" s="70"/>
      <c r="I355" s="71"/>
    </row>
    <row r="356" spans="1:9" s="65" customFormat="1">
      <c r="A356" s="75" t="s">
        <v>391</v>
      </c>
      <c r="B356" s="76" t="s">
        <v>392</v>
      </c>
      <c r="C356" s="76" t="s">
        <v>393</v>
      </c>
      <c r="D356" s="76" t="s">
        <v>394</v>
      </c>
      <c r="E356" s="76" t="s">
        <v>395</v>
      </c>
      <c r="F356" s="76" t="s">
        <v>396</v>
      </c>
      <c r="G356" s="76" t="s">
        <v>397</v>
      </c>
      <c r="H356" s="74"/>
      <c r="I356" s="71"/>
    </row>
    <row r="357" spans="1:9" s="65" customFormat="1">
      <c r="A357" s="77"/>
      <c r="B357" s="79"/>
      <c r="C357" s="79"/>
      <c r="D357" s="107"/>
      <c r="E357" s="79"/>
      <c r="F357" s="79"/>
      <c r="G357" s="107"/>
      <c r="H357" s="74"/>
      <c r="I357" s="71"/>
    </row>
    <row r="358" spans="1:9" s="65" customFormat="1">
      <c r="A358" s="82"/>
      <c r="B358" s="83"/>
      <c r="C358" s="84"/>
      <c r="D358" s="84"/>
      <c r="E358" s="84"/>
      <c r="F358"/>
      <c r="G358" s="93" t="s">
        <v>407</v>
      </c>
      <c r="H358" s="107">
        <f>SUM(G357:G357)</f>
        <v>0</v>
      </c>
      <c r="I358" s="71"/>
    </row>
    <row r="359" spans="1:9" s="65" customFormat="1">
      <c r="A359" s="72" t="s">
        <v>408</v>
      </c>
      <c r="B359" s="73"/>
      <c r="C359" s="73"/>
      <c r="D359" s="73"/>
      <c r="E359" s="73"/>
      <c r="F359"/>
      <c r="G359" s="74"/>
      <c r="H359" s="108"/>
      <c r="I359" s="71"/>
    </row>
    <row r="360" spans="1:9" s="65" customFormat="1">
      <c r="A360" s="75" t="s">
        <v>391</v>
      </c>
      <c r="B360" s="76" t="s">
        <v>392</v>
      </c>
      <c r="C360" s="76" t="s">
        <v>393</v>
      </c>
      <c r="D360" s="76" t="s">
        <v>394</v>
      </c>
      <c r="E360" s="76" t="s">
        <v>395</v>
      </c>
      <c r="F360" s="76" t="s">
        <v>396</v>
      </c>
      <c r="G360" s="76" t="s">
        <v>397</v>
      </c>
      <c r="H360" s="108"/>
      <c r="I360" s="71"/>
    </row>
    <row r="361" spans="1:9" s="65" customFormat="1">
      <c r="A361" s="135"/>
      <c r="B361" s="78" t="s">
        <v>957</v>
      </c>
      <c r="C361" s="127" t="s">
        <v>493</v>
      </c>
      <c r="D361" s="107">
        <f>1894886*1.2/6.5</f>
        <v>349825.10769230768</v>
      </c>
      <c r="E361" s="79">
        <v>1</v>
      </c>
      <c r="F361" s="79">
        <v>0</v>
      </c>
      <c r="G361" s="107">
        <f>(D361*E361)+((D361*E361)*F361/100)</f>
        <v>349825.10769230768</v>
      </c>
      <c r="H361" s="108"/>
      <c r="I361" s="71"/>
    </row>
    <row r="362" spans="1:9" s="65" customFormat="1">
      <c r="A362" s="90"/>
      <c r="B362" s="91"/>
      <c r="C362" s="91"/>
      <c r="D362" s="91"/>
      <c r="E362" s="91"/>
      <c r="F362"/>
      <c r="G362" s="85" t="s">
        <v>407</v>
      </c>
      <c r="H362" s="107">
        <f>SUM(G361:G361)</f>
        <v>349825.10769230768</v>
      </c>
      <c r="I362" s="71"/>
    </row>
    <row r="363" spans="1:9" s="65" customFormat="1">
      <c r="A363" s="72" t="s">
        <v>410</v>
      </c>
      <c r="B363" s="73"/>
      <c r="C363" s="73"/>
      <c r="D363" s="73"/>
      <c r="E363" s="73"/>
      <c r="F363"/>
      <c r="G363" s="74"/>
      <c r="H363" s="108"/>
      <c r="I363" s="71"/>
    </row>
    <row r="364" spans="1:9" s="65" customFormat="1">
      <c r="A364" s="75" t="s">
        <v>391</v>
      </c>
      <c r="B364" s="76" t="s">
        <v>392</v>
      </c>
      <c r="C364" s="76" t="s">
        <v>393</v>
      </c>
      <c r="D364" s="76" t="s">
        <v>394</v>
      </c>
      <c r="E364" s="76" t="s">
        <v>395</v>
      </c>
      <c r="F364" s="76" t="s">
        <v>396</v>
      </c>
      <c r="G364" s="76" t="s">
        <v>397</v>
      </c>
      <c r="H364" s="108"/>
      <c r="I364" s="71"/>
    </row>
    <row r="365" spans="1:9" s="65" customFormat="1">
      <c r="A365" s="77"/>
      <c r="B365" s="78"/>
      <c r="C365" s="79"/>
      <c r="D365" s="107"/>
      <c r="E365" s="79"/>
      <c r="F365" s="79"/>
      <c r="G365" s="107"/>
      <c r="H365" s="108"/>
      <c r="I365" s="71"/>
    </row>
    <row r="366" spans="1:9" s="65" customFormat="1">
      <c r="A366" s="90"/>
      <c r="B366" s="91"/>
      <c r="C366" s="91"/>
      <c r="D366" s="91"/>
      <c r="E366" s="91"/>
      <c r="F366"/>
      <c r="G366" s="93" t="s">
        <v>407</v>
      </c>
      <c r="H366" s="107">
        <f>SUM(G365:G365)</f>
        <v>0</v>
      </c>
      <c r="I366" s="71"/>
    </row>
    <row r="367" spans="1:9" s="65" customFormat="1">
      <c r="A367" s="72" t="s">
        <v>411</v>
      </c>
      <c r="B367" s="73"/>
      <c r="C367" s="73"/>
      <c r="D367" s="73"/>
      <c r="E367" s="73"/>
      <c r="F367"/>
      <c r="G367" s="74"/>
      <c r="H367" s="108"/>
      <c r="I367" s="71"/>
    </row>
    <row r="368" spans="1:9" s="65" customFormat="1" ht="31.5" customHeight="1">
      <c r="A368" s="75" t="s">
        <v>391</v>
      </c>
      <c r="B368" s="76" t="s">
        <v>392</v>
      </c>
      <c r="C368" s="76" t="s">
        <v>393</v>
      </c>
      <c r="D368" s="76" t="s">
        <v>394</v>
      </c>
      <c r="E368" s="76" t="s">
        <v>395</v>
      </c>
      <c r="F368" s="76" t="s">
        <v>396</v>
      </c>
      <c r="G368" s="76" t="s">
        <v>397</v>
      </c>
      <c r="H368" s="108"/>
      <c r="I368" s="71"/>
    </row>
    <row r="369" spans="1:9" s="65" customFormat="1">
      <c r="A369" s="87" t="s">
        <v>409</v>
      </c>
      <c r="B369" s="114" t="s">
        <v>747</v>
      </c>
      <c r="C369" s="114" t="s">
        <v>437</v>
      </c>
      <c r="D369" s="114">
        <v>800000</v>
      </c>
      <c r="E369" s="215">
        <v>4.1666666666666664E-2</v>
      </c>
      <c r="F369" s="79">
        <v>0</v>
      </c>
      <c r="G369" s="107">
        <f>(D369*E369)+((D369*E369)*F369/100)</f>
        <v>33333.333333333328</v>
      </c>
      <c r="H369" s="108"/>
      <c r="I369" s="71"/>
    </row>
    <row r="370" spans="1:9" s="65" customFormat="1">
      <c r="A370" s="94"/>
      <c r="B370" s="95"/>
      <c r="C370" s="95"/>
      <c r="D370" s="95"/>
      <c r="E370" s="95"/>
      <c r="F370"/>
      <c r="G370" s="93" t="s">
        <v>407</v>
      </c>
      <c r="H370" s="107">
        <f>SUM(G368:G369)</f>
        <v>33333.333333333328</v>
      </c>
      <c r="I370" s="71"/>
    </row>
    <row r="371" spans="1:9" s="65" customFormat="1">
      <c r="A371" s="94"/>
      <c r="B371" s="95"/>
      <c r="C371" s="95"/>
      <c r="D371" s="95"/>
      <c r="E371" s="95"/>
      <c r="F371"/>
      <c r="G371" s="74"/>
      <c r="H371" s="74"/>
      <c r="I371" s="71"/>
    </row>
    <row r="372" spans="1:9" s="65" customFormat="1">
      <c r="A372" s="96"/>
      <c r="B372" s="97"/>
      <c r="C372" s="98"/>
      <c r="D372" s="98"/>
      <c r="E372" s="98"/>
      <c r="F372"/>
      <c r="G372" s="99" t="s">
        <v>412</v>
      </c>
      <c r="H372" s="115">
        <f>SUM(H358:H370)</f>
        <v>383158.44102564099</v>
      </c>
      <c r="I372" s="71"/>
    </row>
    <row r="373" spans="1:9" s="65" customFormat="1">
      <c r="A373" s="96"/>
      <c r="B373" s="97"/>
      <c r="C373" s="98"/>
      <c r="D373" s="98"/>
      <c r="E373" s="98"/>
      <c r="F373" s="101"/>
      <c r="G373" s="116"/>
      <c r="H373" s="70"/>
      <c r="I373" s="71"/>
    </row>
    <row r="374" spans="1:9" s="65" customFormat="1" ht="15.75" thickBot="1">
      <c r="A374" s="624" t="s">
        <v>746</v>
      </c>
      <c r="B374" s="625"/>
      <c r="C374" s="625"/>
      <c r="D374" s="625"/>
      <c r="E374" s="625"/>
      <c r="F374" s="625"/>
      <c r="G374" s="626"/>
      <c r="H374" s="117">
        <f>+ROUND(H372,0)</f>
        <v>383158</v>
      </c>
      <c r="I374" s="103"/>
    </row>
    <row r="375" spans="1:9" s="65" customFormat="1">
      <c r="A375" s="120"/>
      <c r="B375" s="73"/>
      <c r="C375" s="73"/>
      <c r="D375" s="73"/>
      <c r="E375" s="73"/>
      <c r="G375" s="121"/>
      <c r="H375" s="140"/>
    </row>
    <row r="376" spans="1:9" s="65" customFormat="1" ht="15.75" thickBot="1">
      <c r="A376" s="128"/>
      <c r="B376" s="141"/>
      <c r="C376" s="141"/>
      <c r="D376" s="141"/>
      <c r="E376" s="141"/>
      <c r="F376" s="141"/>
      <c r="G376" s="141"/>
      <c r="H376" s="140"/>
    </row>
    <row r="377" spans="1:9" s="65" customFormat="1">
      <c r="A377" s="627"/>
      <c r="B377" s="629" t="s">
        <v>316</v>
      </c>
      <c r="C377" s="630"/>
      <c r="D377" s="630"/>
      <c r="E377" s="630"/>
      <c r="F377" s="630"/>
      <c r="G377" s="630"/>
      <c r="H377" s="643"/>
      <c r="I377" s="66" t="s">
        <v>389</v>
      </c>
    </row>
    <row r="378" spans="1:9" s="65" customFormat="1">
      <c r="A378" s="628"/>
      <c r="B378" s="631"/>
      <c r="C378" s="632"/>
      <c r="D378" s="632"/>
      <c r="E378" s="632"/>
      <c r="F378" s="632"/>
      <c r="G378" s="632"/>
      <c r="H378" s="644"/>
      <c r="I378" s="67" t="s">
        <v>157</v>
      </c>
    </row>
    <row r="379" spans="1:9" s="65" customFormat="1">
      <c r="A379" s="68"/>
      <c r="B379" s="69"/>
      <c r="C379" s="69"/>
      <c r="D379" s="69"/>
      <c r="E379" s="69"/>
      <c r="F379" s="70"/>
      <c r="G379" s="70"/>
      <c r="H379" s="70"/>
      <c r="I379" s="71"/>
    </row>
    <row r="380" spans="1:9" s="65" customFormat="1">
      <c r="A380" s="72" t="s">
        <v>390</v>
      </c>
      <c r="B380" s="73"/>
      <c r="C380" s="73"/>
      <c r="D380" s="73"/>
      <c r="E380" s="73"/>
      <c r="F380" s="74"/>
      <c r="G380" s="74"/>
      <c r="H380" s="70"/>
      <c r="I380" s="71"/>
    </row>
    <row r="381" spans="1:9" s="65" customFormat="1">
      <c r="A381" s="75" t="s">
        <v>391</v>
      </c>
      <c r="B381" s="76" t="s">
        <v>392</v>
      </c>
      <c r="C381" s="76" t="s">
        <v>393</v>
      </c>
      <c r="D381" s="76" t="s">
        <v>394</v>
      </c>
      <c r="E381" s="76" t="s">
        <v>395</v>
      </c>
      <c r="F381" s="76" t="s">
        <v>396</v>
      </c>
      <c r="G381" s="76" t="s">
        <v>397</v>
      </c>
      <c r="H381" s="74"/>
      <c r="I381" s="71"/>
    </row>
    <row r="382" spans="1:9" s="65" customFormat="1">
      <c r="A382" s="77"/>
      <c r="B382" s="79"/>
      <c r="C382" s="79"/>
      <c r="D382" s="107"/>
      <c r="E382" s="79"/>
      <c r="F382" s="79"/>
      <c r="G382" s="107"/>
      <c r="H382" s="74"/>
      <c r="I382" s="71"/>
    </row>
    <row r="383" spans="1:9" s="65" customFormat="1">
      <c r="A383" s="82"/>
      <c r="B383" s="83"/>
      <c r="C383" s="84"/>
      <c r="D383" s="84"/>
      <c r="E383" s="84"/>
      <c r="F383"/>
      <c r="G383" s="93" t="s">
        <v>407</v>
      </c>
      <c r="H383" s="107">
        <f>SUM(G382:G382)</f>
        <v>0</v>
      </c>
      <c r="I383" s="71"/>
    </row>
    <row r="384" spans="1:9" s="65" customFormat="1">
      <c r="A384" s="72" t="s">
        <v>408</v>
      </c>
      <c r="B384" s="73"/>
      <c r="C384" s="73"/>
      <c r="D384" s="73"/>
      <c r="E384" s="73"/>
      <c r="F384"/>
      <c r="G384" s="74"/>
      <c r="H384" s="108"/>
      <c r="I384" s="71"/>
    </row>
    <row r="385" spans="1:9" s="65" customFormat="1">
      <c r="A385" s="75" t="s">
        <v>391</v>
      </c>
      <c r="B385" s="76" t="s">
        <v>392</v>
      </c>
      <c r="C385" s="76" t="s">
        <v>393</v>
      </c>
      <c r="D385" s="76" t="s">
        <v>394</v>
      </c>
      <c r="E385" s="76" t="s">
        <v>395</v>
      </c>
      <c r="F385" s="76" t="s">
        <v>396</v>
      </c>
      <c r="G385" s="76" t="s">
        <v>397</v>
      </c>
      <c r="H385" s="108"/>
      <c r="I385" s="71"/>
    </row>
    <row r="386" spans="1:9" s="65" customFormat="1">
      <c r="A386" s="135"/>
      <c r="B386" s="78" t="s">
        <v>762</v>
      </c>
      <c r="C386" s="127" t="s">
        <v>157</v>
      </c>
      <c r="D386" s="107">
        <f>335000*1.16*1.2</f>
        <v>466320</v>
      </c>
      <c r="E386" s="79">
        <v>1</v>
      </c>
      <c r="F386" s="79">
        <v>0</v>
      </c>
      <c r="G386" s="107">
        <f>(D386*E386)+((D386*E386)*F386/100)</f>
        <v>466320</v>
      </c>
      <c r="H386" s="108"/>
      <c r="I386" s="71"/>
    </row>
    <row r="387" spans="1:9" s="65" customFormat="1">
      <c r="A387" s="90"/>
      <c r="B387" s="91"/>
      <c r="C387" s="91"/>
      <c r="D387" s="91"/>
      <c r="E387" s="91"/>
      <c r="F387"/>
      <c r="G387" s="85" t="s">
        <v>407</v>
      </c>
      <c r="H387" s="107">
        <f>SUM(G386:G386)</f>
        <v>466320</v>
      </c>
      <c r="I387" s="71"/>
    </row>
    <row r="388" spans="1:9" s="65" customFormat="1">
      <c r="A388" s="72" t="s">
        <v>410</v>
      </c>
      <c r="B388" s="73"/>
      <c r="C388" s="73"/>
      <c r="D388" s="73"/>
      <c r="E388" s="73"/>
      <c r="F388"/>
      <c r="G388" s="74"/>
      <c r="H388" s="108"/>
      <c r="I388" s="71"/>
    </row>
    <row r="389" spans="1:9" s="65" customFormat="1">
      <c r="A389" s="75" t="s">
        <v>391</v>
      </c>
      <c r="B389" s="76" t="s">
        <v>392</v>
      </c>
      <c r="C389" s="76" t="s">
        <v>393</v>
      </c>
      <c r="D389" s="76" t="s">
        <v>394</v>
      </c>
      <c r="E389" s="76" t="s">
        <v>395</v>
      </c>
      <c r="F389" s="76" t="s">
        <v>396</v>
      </c>
      <c r="G389" s="76" t="s">
        <v>397</v>
      </c>
      <c r="H389" s="108"/>
      <c r="I389" s="71"/>
    </row>
    <row r="390" spans="1:9" s="65" customFormat="1">
      <c r="A390" s="77"/>
      <c r="B390" s="78"/>
      <c r="C390" s="79"/>
      <c r="D390" s="107"/>
      <c r="E390" s="79"/>
      <c r="F390" s="79"/>
      <c r="G390" s="107"/>
      <c r="H390" s="108"/>
      <c r="I390" s="71"/>
    </row>
    <row r="391" spans="1:9" s="65" customFormat="1">
      <c r="A391" s="90"/>
      <c r="B391" s="91"/>
      <c r="C391" s="91"/>
      <c r="D391" s="91"/>
      <c r="E391" s="91"/>
      <c r="F391"/>
      <c r="G391" s="93" t="s">
        <v>407</v>
      </c>
      <c r="H391" s="107">
        <f>SUM(G390:G390)</f>
        <v>0</v>
      </c>
      <c r="I391" s="71"/>
    </row>
    <row r="392" spans="1:9" s="65" customFormat="1">
      <c r="A392" s="72" t="s">
        <v>411</v>
      </c>
      <c r="B392" s="73"/>
      <c r="C392" s="73"/>
      <c r="D392" s="73"/>
      <c r="E392" s="73"/>
      <c r="F392"/>
      <c r="G392" s="74"/>
      <c r="H392" s="108"/>
      <c r="I392" s="71"/>
    </row>
    <row r="393" spans="1:9" s="65" customFormat="1">
      <c r="A393" s="75" t="s">
        <v>391</v>
      </c>
      <c r="B393" s="76" t="s">
        <v>392</v>
      </c>
      <c r="C393" s="76" t="s">
        <v>393</v>
      </c>
      <c r="D393" s="76" t="s">
        <v>394</v>
      </c>
      <c r="E393" s="76" t="s">
        <v>395</v>
      </c>
      <c r="F393" s="76" t="s">
        <v>396</v>
      </c>
      <c r="G393" s="76" t="s">
        <v>397</v>
      </c>
      <c r="H393" s="108"/>
      <c r="I393" s="71"/>
    </row>
    <row r="394" spans="1:9" s="65" customFormat="1">
      <c r="A394" s="87" t="s">
        <v>409</v>
      </c>
      <c r="B394" s="114" t="s">
        <v>747</v>
      </c>
      <c r="C394" s="114" t="s">
        <v>437</v>
      </c>
      <c r="D394" s="114">
        <v>800000</v>
      </c>
      <c r="E394" s="215">
        <v>2.7777777777777779E-3</v>
      </c>
      <c r="F394" s="79">
        <v>0</v>
      </c>
      <c r="G394" s="107">
        <f>(D394*E394)+((D394*E394)*F394/100)</f>
        <v>2222.2222222222222</v>
      </c>
      <c r="H394" s="108"/>
      <c r="I394" s="71"/>
    </row>
    <row r="395" spans="1:9" s="65" customFormat="1">
      <c r="A395" s="94"/>
      <c r="B395" s="95"/>
      <c r="C395" s="95"/>
      <c r="D395" s="95"/>
      <c r="E395" s="95"/>
      <c r="F395"/>
      <c r="G395" s="93" t="s">
        <v>407</v>
      </c>
      <c r="H395" s="107">
        <f>SUM(G393:G394)</f>
        <v>2222.2222222222222</v>
      </c>
      <c r="I395" s="71"/>
    </row>
    <row r="396" spans="1:9" s="65" customFormat="1">
      <c r="A396" s="94"/>
      <c r="B396" s="95"/>
      <c r="C396" s="95"/>
      <c r="D396" s="95"/>
      <c r="E396" s="95"/>
      <c r="F396"/>
      <c r="G396" s="74"/>
      <c r="H396" s="74"/>
      <c r="I396" s="71"/>
    </row>
    <row r="397" spans="1:9" s="65" customFormat="1">
      <c r="A397" s="96"/>
      <c r="B397" s="97"/>
      <c r="C397" s="98"/>
      <c r="D397" s="98"/>
      <c r="E397" s="98"/>
      <c r="F397"/>
      <c r="G397" s="99" t="s">
        <v>412</v>
      </c>
      <c r="H397" s="115">
        <f>SUM(H383:H395)</f>
        <v>468542.22222222225</v>
      </c>
      <c r="I397" s="71"/>
    </row>
    <row r="398" spans="1:9" s="65" customFormat="1">
      <c r="A398" s="96"/>
      <c r="B398" s="97"/>
      <c r="C398" s="98"/>
      <c r="D398" s="98"/>
      <c r="E398" s="98"/>
      <c r="F398" s="101"/>
      <c r="G398" s="116"/>
      <c r="H398" s="70"/>
      <c r="I398" s="71"/>
    </row>
    <row r="399" spans="1:9" s="65" customFormat="1" ht="15.75" thickBot="1">
      <c r="A399" s="624" t="s">
        <v>761</v>
      </c>
      <c r="B399" s="625"/>
      <c r="C399" s="625"/>
      <c r="D399" s="625"/>
      <c r="E399" s="625"/>
      <c r="F399" s="625"/>
      <c r="G399" s="626"/>
      <c r="H399" s="117">
        <f>+ROUND(H397,0)</f>
        <v>468542</v>
      </c>
      <c r="I399" s="103"/>
    </row>
    <row r="400" spans="1:9" s="65" customFormat="1">
      <c r="A400" s="128"/>
      <c r="B400" s="141"/>
      <c r="C400" s="141"/>
      <c r="D400" s="141"/>
      <c r="E400" s="141"/>
      <c r="F400" s="141"/>
      <c r="G400" s="141"/>
      <c r="H400" s="140"/>
    </row>
    <row r="401" spans="1:9" s="65" customFormat="1" ht="15.75" thickBot="1">
      <c r="A401" s="142"/>
      <c r="B401" s="143"/>
      <c r="C401" s="143"/>
      <c r="D401" s="143"/>
      <c r="E401" s="143"/>
      <c r="F401" s="84"/>
      <c r="G401" s="144"/>
      <c r="H401" s="145"/>
    </row>
    <row r="402" spans="1:9" s="65" customFormat="1">
      <c r="A402" s="627"/>
      <c r="B402" s="629" t="s">
        <v>763</v>
      </c>
      <c r="C402" s="630"/>
      <c r="D402" s="630"/>
      <c r="E402" s="630"/>
      <c r="F402" s="630"/>
      <c r="G402" s="630"/>
      <c r="H402" s="643"/>
      <c r="I402" s="66" t="s">
        <v>389</v>
      </c>
    </row>
    <row r="403" spans="1:9" s="65" customFormat="1">
      <c r="A403" s="628"/>
      <c r="B403" s="631"/>
      <c r="C403" s="632"/>
      <c r="D403" s="632"/>
      <c r="E403" s="632"/>
      <c r="F403" s="632"/>
      <c r="G403" s="632"/>
      <c r="H403" s="644"/>
      <c r="I403" s="67" t="s">
        <v>157</v>
      </c>
    </row>
    <row r="404" spans="1:9" s="65" customFormat="1">
      <c r="A404" s="68"/>
      <c r="B404" s="69"/>
      <c r="C404" s="69"/>
      <c r="D404" s="69"/>
      <c r="E404" s="69"/>
      <c r="F404" s="70"/>
      <c r="G404" s="70"/>
      <c r="H404" s="70"/>
      <c r="I404" s="71"/>
    </row>
    <row r="405" spans="1:9" s="65" customFormat="1">
      <c r="A405" s="72" t="s">
        <v>390</v>
      </c>
      <c r="B405" s="73"/>
      <c r="C405" s="73"/>
      <c r="D405" s="73"/>
      <c r="E405" s="73"/>
      <c r="F405" s="74"/>
      <c r="G405" s="74"/>
      <c r="H405" s="70"/>
      <c r="I405" s="71"/>
    </row>
    <row r="406" spans="1:9" s="65" customFormat="1">
      <c r="A406" s="75" t="s">
        <v>391</v>
      </c>
      <c r="B406" s="76" t="s">
        <v>392</v>
      </c>
      <c r="C406" s="76" t="s">
        <v>393</v>
      </c>
      <c r="D406" s="76" t="s">
        <v>394</v>
      </c>
      <c r="E406" s="76" t="s">
        <v>395</v>
      </c>
      <c r="F406" s="76" t="s">
        <v>396</v>
      </c>
      <c r="G406" s="76" t="s">
        <v>397</v>
      </c>
      <c r="H406" s="74"/>
      <c r="I406" s="71"/>
    </row>
    <row r="407" spans="1:9" s="65" customFormat="1">
      <c r="A407" s="77"/>
      <c r="B407" s="79"/>
      <c r="C407" s="79"/>
      <c r="D407" s="107"/>
      <c r="E407" s="79"/>
      <c r="F407" s="79"/>
      <c r="G407" s="107"/>
      <c r="H407" s="74"/>
      <c r="I407" s="71"/>
    </row>
    <row r="408" spans="1:9" s="65" customFormat="1">
      <c r="A408" s="82"/>
      <c r="B408" s="83"/>
      <c r="C408" s="84"/>
      <c r="D408" s="84"/>
      <c r="E408" s="84"/>
      <c r="F408"/>
      <c r="G408" s="93" t="s">
        <v>407</v>
      </c>
      <c r="H408" s="107">
        <f>SUM(G407:G407)</f>
        <v>0</v>
      </c>
      <c r="I408" s="71"/>
    </row>
    <row r="409" spans="1:9" s="65" customFormat="1">
      <c r="A409" s="72" t="s">
        <v>408</v>
      </c>
      <c r="B409" s="73"/>
      <c r="C409" s="73"/>
      <c r="D409" s="73"/>
      <c r="E409" s="73"/>
      <c r="F409"/>
      <c r="G409" s="74"/>
      <c r="H409" s="108"/>
      <c r="I409" s="71"/>
    </row>
    <row r="410" spans="1:9" s="65" customFormat="1">
      <c r="A410" s="75" t="s">
        <v>391</v>
      </c>
      <c r="B410" s="76" t="s">
        <v>392</v>
      </c>
      <c r="C410" s="76" t="s">
        <v>393</v>
      </c>
      <c r="D410" s="76" t="s">
        <v>394</v>
      </c>
      <c r="E410" s="76" t="s">
        <v>395</v>
      </c>
      <c r="F410" s="76" t="s">
        <v>396</v>
      </c>
      <c r="G410" s="76" t="s">
        <v>397</v>
      </c>
      <c r="H410" s="108"/>
      <c r="I410" s="71"/>
    </row>
    <row r="411" spans="1:9" s="65" customFormat="1">
      <c r="A411" s="135"/>
      <c r="B411" s="78" t="s">
        <v>764</v>
      </c>
      <c r="C411" s="127" t="s">
        <v>157</v>
      </c>
      <c r="D411" s="107">
        <f>2564000*1.16*1.2</f>
        <v>3569088</v>
      </c>
      <c r="E411" s="79">
        <v>1</v>
      </c>
      <c r="F411" s="79">
        <v>0</v>
      </c>
      <c r="G411" s="107">
        <f>(D411*E411)+((D411*E411)*F411/100)</f>
        <v>3569088</v>
      </c>
      <c r="H411" s="108"/>
      <c r="I411" s="71"/>
    </row>
    <row r="412" spans="1:9" s="65" customFormat="1">
      <c r="A412" s="90"/>
      <c r="B412" s="91"/>
      <c r="C412" s="91"/>
      <c r="D412" s="91"/>
      <c r="E412" s="91"/>
      <c r="F412"/>
      <c r="G412" s="85" t="s">
        <v>407</v>
      </c>
      <c r="H412" s="107">
        <f>SUM(G411:G411)</f>
        <v>3569088</v>
      </c>
      <c r="I412" s="71"/>
    </row>
    <row r="413" spans="1:9" s="65" customFormat="1">
      <c r="A413" s="72" t="s">
        <v>410</v>
      </c>
      <c r="B413" s="73"/>
      <c r="C413" s="73"/>
      <c r="D413" s="73"/>
      <c r="E413" s="73"/>
      <c r="F413"/>
      <c r="G413" s="74"/>
      <c r="H413" s="108"/>
      <c r="I413" s="71"/>
    </row>
    <row r="414" spans="1:9" s="65" customFormat="1">
      <c r="A414" s="75" t="s">
        <v>391</v>
      </c>
      <c r="B414" s="76" t="s">
        <v>392</v>
      </c>
      <c r="C414" s="76" t="s">
        <v>393</v>
      </c>
      <c r="D414" s="76" t="s">
        <v>394</v>
      </c>
      <c r="E414" s="76" t="s">
        <v>395</v>
      </c>
      <c r="F414" s="76" t="s">
        <v>396</v>
      </c>
      <c r="G414" s="76" t="s">
        <v>397</v>
      </c>
      <c r="H414" s="108"/>
      <c r="I414" s="71"/>
    </row>
    <row r="415" spans="1:9" s="65" customFormat="1">
      <c r="A415" s="77"/>
      <c r="B415" s="78"/>
      <c r="C415" s="79"/>
      <c r="D415" s="107"/>
      <c r="E415" s="79"/>
      <c r="F415" s="79"/>
      <c r="G415" s="107"/>
      <c r="H415" s="108"/>
      <c r="I415" s="71"/>
    </row>
    <row r="416" spans="1:9" s="65" customFormat="1">
      <c r="A416" s="90"/>
      <c r="B416" s="91"/>
      <c r="C416" s="91"/>
      <c r="D416" s="91"/>
      <c r="E416" s="91"/>
      <c r="F416"/>
      <c r="G416" s="93" t="s">
        <v>407</v>
      </c>
      <c r="H416" s="107">
        <f>SUM(G415:G415)</f>
        <v>0</v>
      </c>
      <c r="I416" s="71"/>
    </row>
    <row r="417" spans="1:9" s="65" customFormat="1">
      <c r="A417" s="72" t="s">
        <v>411</v>
      </c>
      <c r="B417" s="73"/>
      <c r="C417" s="73"/>
      <c r="D417" s="73"/>
      <c r="E417" s="73"/>
      <c r="F417"/>
      <c r="G417" s="74"/>
      <c r="H417" s="108"/>
      <c r="I417" s="71"/>
    </row>
    <row r="418" spans="1:9" s="65" customFormat="1">
      <c r="A418" s="75" t="s">
        <v>391</v>
      </c>
      <c r="B418" s="76" t="s">
        <v>392</v>
      </c>
      <c r="C418" s="76" t="s">
        <v>393</v>
      </c>
      <c r="D418" s="76" t="s">
        <v>394</v>
      </c>
      <c r="E418" s="76" t="s">
        <v>395</v>
      </c>
      <c r="F418" s="76" t="s">
        <v>396</v>
      </c>
      <c r="G418" s="76" t="s">
        <v>397</v>
      </c>
      <c r="H418" s="108"/>
      <c r="I418" s="71"/>
    </row>
    <row r="419" spans="1:9" s="65" customFormat="1">
      <c r="A419" s="87" t="s">
        <v>409</v>
      </c>
      <c r="B419" s="114" t="s">
        <v>747</v>
      </c>
      <c r="C419" s="114" t="s">
        <v>437</v>
      </c>
      <c r="D419" s="114">
        <v>800000</v>
      </c>
      <c r="E419" s="215">
        <v>1.7857142857142856E-2</v>
      </c>
      <c r="F419" s="79">
        <v>0</v>
      </c>
      <c r="G419" s="107">
        <f>(D419*E419)+((D419*E419)*F419/100)</f>
        <v>14285.714285714284</v>
      </c>
      <c r="H419" s="108"/>
      <c r="I419" s="71"/>
    </row>
    <row r="420" spans="1:9" s="65" customFormat="1">
      <c r="A420" s="94"/>
      <c r="B420" s="95"/>
      <c r="C420" s="95"/>
      <c r="D420" s="95"/>
      <c r="E420" s="95"/>
      <c r="F420"/>
      <c r="G420" s="93" t="s">
        <v>407</v>
      </c>
      <c r="H420" s="107">
        <f>SUM(G418:G419)</f>
        <v>14285.714285714284</v>
      </c>
      <c r="I420" s="71"/>
    </row>
    <row r="421" spans="1:9" s="65" customFormat="1">
      <c r="A421" s="94"/>
      <c r="B421" s="95"/>
      <c r="C421" s="95"/>
      <c r="D421" s="95"/>
      <c r="E421" s="95"/>
      <c r="F421"/>
      <c r="G421" s="74"/>
      <c r="H421" s="74"/>
      <c r="I421" s="71"/>
    </row>
    <row r="422" spans="1:9" s="65" customFormat="1">
      <c r="A422" s="96"/>
      <c r="B422" s="97"/>
      <c r="C422" s="98"/>
      <c r="D422" s="98"/>
      <c r="E422" s="98"/>
      <c r="F422"/>
      <c r="G422" s="99" t="s">
        <v>412</v>
      </c>
      <c r="H422" s="115">
        <f>SUM(H408:H420)</f>
        <v>3583373.7142857141</v>
      </c>
      <c r="I422" s="71"/>
    </row>
    <row r="423" spans="1:9" s="65" customFormat="1">
      <c r="A423" s="96"/>
      <c r="B423" s="97"/>
      <c r="C423" s="98"/>
      <c r="D423" s="98"/>
      <c r="E423" s="98"/>
      <c r="F423" s="101"/>
      <c r="G423" s="116"/>
      <c r="H423" s="70"/>
      <c r="I423" s="71"/>
    </row>
    <row r="424" spans="1:9" s="65" customFormat="1" ht="15.75" thickBot="1">
      <c r="A424" s="624" t="s">
        <v>761</v>
      </c>
      <c r="B424" s="625"/>
      <c r="C424" s="625"/>
      <c r="D424" s="625"/>
      <c r="E424" s="625"/>
      <c r="F424" s="625"/>
      <c r="G424" s="626"/>
      <c r="H424" s="117">
        <f>+ROUND(H422,0)</f>
        <v>3583374</v>
      </c>
      <c r="I424" s="103"/>
    </row>
    <row r="425" spans="1:9" s="65" customFormat="1">
      <c r="A425" s="142"/>
      <c r="B425" s="143"/>
      <c r="C425" s="143"/>
      <c r="D425" s="143"/>
      <c r="E425" s="143"/>
      <c r="F425" s="84"/>
      <c r="G425" s="144"/>
      <c r="H425" s="145"/>
    </row>
    <row r="426" spans="1:9" s="65" customFormat="1" ht="15.75" thickBot="1">
      <c r="A426" s="91"/>
      <c r="B426" s="91"/>
      <c r="C426" s="91"/>
      <c r="D426" s="91"/>
      <c r="E426" s="91"/>
      <c r="G426" s="104"/>
      <c r="H426" s="140"/>
    </row>
    <row r="427" spans="1:9" s="65" customFormat="1">
      <c r="A427" s="627"/>
      <c r="B427" s="629" t="s">
        <v>294</v>
      </c>
      <c r="C427" s="630"/>
      <c r="D427" s="630"/>
      <c r="E427" s="630"/>
      <c r="F427" s="630"/>
      <c r="G427" s="630"/>
      <c r="H427" s="643"/>
      <c r="I427" s="66" t="s">
        <v>389</v>
      </c>
    </row>
    <row r="428" spans="1:9" s="65" customFormat="1">
      <c r="A428" s="628"/>
      <c r="B428" s="631"/>
      <c r="C428" s="632"/>
      <c r="D428" s="632"/>
      <c r="E428" s="632"/>
      <c r="F428" s="632"/>
      <c r="G428" s="632"/>
      <c r="H428" s="644"/>
      <c r="I428" s="67" t="s">
        <v>157</v>
      </c>
    </row>
    <row r="429" spans="1:9" s="65" customFormat="1">
      <c r="A429" s="68"/>
      <c r="B429" s="69"/>
      <c r="C429" s="69"/>
      <c r="D429" s="69"/>
      <c r="E429" s="69"/>
      <c r="F429" s="70"/>
      <c r="G429" s="70"/>
      <c r="H429" s="70"/>
      <c r="I429" s="71"/>
    </row>
    <row r="430" spans="1:9" s="65" customFormat="1">
      <c r="A430" s="72" t="s">
        <v>390</v>
      </c>
      <c r="B430" s="73"/>
      <c r="C430" s="73"/>
      <c r="D430" s="73"/>
      <c r="E430" s="73"/>
      <c r="F430" s="74"/>
      <c r="G430" s="74"/>
      <c r="H430" s="70"/>
      <c r="I430" s="71"/>
    </row>
    <row r="431" spans="1:9" s="65" customFormat="1">
      <c r="A431" s="75" t="s">
        <v>391</v>
      </c>
      <c r="B431" s="76" t="s">
        <v>392</v>
      </c>
      <c r="C431" s="76" t="s">
        <v>393</v>
      </c>
      <c r="D431" s="76" t="s">
        <v>394</v>
      </c>
      <c r="E431" s="76" t="s">
        <v>395</v>
      </c>
      <c r="F431" s="76" t="s">
        <v>396</v>
      </c>
      <c r="G431" s="76" t="s">
        <v>397</v>
      </c>
      <c r="H431" s="74"/>
      <c r="I431" s="71"/>
    </row>
    <row r="432" spans="1:9" s="65" customFormat="1">
      <c r="A432" s="77"/>
      <c r="B432" s="79"/>
      <c r="C432" s="79"/>
      <c r="D432" s="107"/>
      <c r="E432" s="79"/>
      <c r="F432" s="79"/>
      <c r="G432" s="107"/>
      <c r="H432" s="74"/>
      <c r="I432" s="71"/>
    </row>
    <row r="433" spans="1:9" s="65" customFormat="1">
      <c r="A433" s="82"/>
      <c r="B433" s="83"/>
      <c r="C433" s="84"/>
      <c r="D433" s="84"/>
      <c r="E433" s="84"/>
      <c r="F433"/>
      <c r="G433" s="93" t="s">
        <v>407</v>
      </c>
      <c r="H433" s="107">
        <f>SUM(G432:G432)</f>
        <v>0</v>
      </c>
      <c r="I433" s="71"/>
    </row>
    <row r="434" spans="1:9" s="65" customFormat="1">
      <c r="A434" s="72" t="s">
        <v>408</v>
      </c>
      <c r="B434" s="73"/>
      <c r="C434" s="73"/>
      <c r="D434" s="73"/>
      <c r="E434" s="73"/>
      <c r="F434"/>
      <c r="G434" s="74"/>
      <c r="H434" s="108"/>
      <c r="I434" s="71"/>
    </row>
    <row r="435" spans="1:9" s="65" customFormat="1">
      <c r="A435" s="75" t="s">
        <v>391</v>
      </c>
      <c r="B435" s="76" t="s">
        <v>392</v>
      </c>
      <c r="C435" s="76" t="s">
        <v>393</v>
      </c>
      <c r="D435" s="76" t="s">
        <v>394</v>
      </c>
      <c r="E435" s="76" t="s">
        <v>395</v>
      </c>
      <c r="F435" s="76" t="s">
        <v>396</v>
      </c>
      <c r="G435" s="76" t="s">
        <v>397</v>
      </c>
      <c r="H435" s="108"/>
      <c r="I435" s="71"/>
    </row>
    <row r="436" spans="1:9" s="65" customFormat="1">
      <c r="A436" s="135"/>
      <c r="B436" s="78" t="s">
        <v>765</v>
      </c>
      <c r="C436" s="127" t="s">
        <v>157</v>
      </c>
      <c r="D436" s="107">
        <f>3400000*1.2*1.16</f>
        <v>4732800</v>
      </c>
      <c r="E436" s="79">
        <v>1</v>
      </c>
      <c r="F436" s="79">
        <v>0</v>
      </c>
      <c r="G436" s="107">
        <f>(D436*E436)+((D436*E436)*F436/100)</f>
        <v>4732800</v>
      </c>
      <c r="H436" s="108"/>
      <c r="I436" s="71"/>
    </row>
    <row r="437" spans="1:9" s="65" customFormat="1">
      <c r="A437" s="90"/>
      <c r="B437" s="91"/>
      <c r="C437" s="91"/>
      <c r="D437" s="91"/>
      <c r="E437" s="91"/>
      <c r="F437"/>
      <c r="G437" s="85" t="s">
        <v>407</v>
      </c>
      <c r="H437" s="107">
        <f>SUM(G436:G436)</f>
        <v>4732800</v>
      </c>
      <c r="I437" s="71"/>
    </row>
    <row r="438" spans="1:9" s="65" customFormat="1">
      <c r="A438" s="72" t="s">
        <v>410</v>
      </c>
      <c r="B438" s="73"/>
      <c r="C438" s="73"/>
      <c r="D438" s="73"/>
      <c r="E438" s="73"/>
      <c r="F438"/>
      <c r="G438" s="74"/>
      <c r="H438" s="108"/>
      <c r="I438" s="71"/>
    </row>
    <row r="439" spans="1:9" s="65" customFormat="1">
      <c r="A439" s="75" t="s">
        <v>391</v>
      </c>
      <c r="B439" s="76" t="s">
        <v>392</v>
      </c>
      <c r="C439" s="76" t="s">
        <v>393</v>
      </c>
      <c r="D439" s="76" t="s">
        <v>394</v>
      </c>
      <c r="E439" s="76" t="s">
        <v>395</v>
      </c>
      <c r="F439" s="76" t="s">
        <v>396</v>
      </c>
      <c r="G439" s="76" t="s">
        <v>397</v>
      </c>
      <c r="H439" s="108"/>
      <c r="I439" s="71"/>
    </row>
    <row r="440" spans="1:9" s="65" customFormat="1">
      <c r="A440" s="77"/>
      <c r="B440" s="78"/>
      <c r="C440" s="79"/>
      <c r="D440" s="107"/>
      <c r="E440" s="79"/>
      <c r="F440" s="79"/>
      <c r="G440" s="107"/>
      <c r="H440" s="108"/>
      <c r="I440" s="71"/>
    </row>
    <row r="441" spans="1:9" s="65" customFormat="1">
      <c r="A441" s="90"/>
      <c r="B441" s="91"/>
      <c r="C441" s="91"/>
      <c r="D441" s="91"/>
      <c r="E441" s="91"/>
      <c r="F441"/>
      <c r="G441" s="93" t="s">
        <v>407</v>
      </c>
      <c r="H441" s="107">
        <f>SUM(G440:G440)</f>
        <v>0</v>
      </c>
      <c r="I441" s="71"/>
    </row>
    <row r="442" spans="1:9" s="65" customFormat="1">
      <c r="A442" s="72" t="s">
        <v>411</v>
      </c>
      <c r="B442" s="73"/>
      <c r="C442" s="73"/>
      <c r="D442" s="73"/>
      <c r="E442" s="73"/>
      <c r="F442"/>
      <c r="G442" s="74"/>
      <c r="H442" s="108"/>
      <c r="I442" s="71"/>
    </row>
    <row r="443" spans="1:9" s="65" customFormat="1">
      <c r="A443" s="75" t="s">
        <v>391</v>
      </c>
      <c r="B443" s="76" t="s">
        <v>392</v>
      </c>
      <c r="C443" s="76" t="s">
        <v>393</v>
      </c>
      <c r="D443" s="76" t="s">
        <v>394</v>
      </c>
      <c r="E443" s="76" t="s">
        <v>395</v>
      </c>
      <c r="F443" s="76" t="s">
        <v>396</v>
      </c>
      <c r="G443" s="76" t="s">
        <v>397</v>
      </c>
      <c r="H443" s="108"/>
      <c r="I443" s="71"/>
    </row>
    <row r="444" spans="1:9" s="65" customFormat="1">
      <c r="A444" s="87" t="s">
        <v>409</v>
      </c>
      <c r="B444" s="114" t="s">
        <v>747</v>
      </c>
      <c r="C444" s="114" t="s">
        <v>437</v>
      </c>
      <c r="D444" s="114">
        <v>800000</v>
      </c>
      <c r="E444" s="215">
        <v>4.0000000000000001E-3</v>
      </c>
      <c r="F444" s="79">
        <v>0</v>
      </c>
      <c r="G444" s="107">
        <f>(D444*E444)+((D444*E444)*F444/100)</f>
        <v>3200</v>
      </c>
      <c r="H444" s="108"/>
      <c r="I444" s="71"/>
    </row>
    <row r="445" spans="1:9" s="65" customFormat="1">
      <c r="A445" s="94"/>
      <c r="B445" s="95"/>
      <c r="C445" s="95"/>
      <c r="D445" s="95"/>
      <c r="E445" s="95"/>
      <c r="F445"/>
      <c r="G445" s="93" t="s">
        <v>407</v>
      </c>
      <c r="H445" s="107">
        <f>SUM(G443:G444)</f>
        <v>3200</v>
      </c>
      <c r="I445" s="71"/>
    </row>
    <row r="446" spans="1:9" s="65" customFormat="1">
      <c r="A446" s="94"/>
      <c r="B446" s="95"/>
      <c r="C446" s="95"/>
      <c r="D446" s="95"/>
      <c r="E446" s="95"/>
      <c r="F446"/>
      <c r="G446" s="74"/>
      <c r="H446" s="74"/>
      <c r="I446" s="71"/>
    </row>
    <row r="447" spans="1:9" s="65" customFormat="1">
      <c r="A447" s="96"/>
      <c r="B447" s="97"/>
      <c r="C447" s="98"/>
      <c r="D447" s="98"/>
      <c r="E447" s="98"/>
      <c r="F447"/>
      <c r="G447" s="99" t="s">
        <v>412</v>
      </c>
      <c r="H447" s="115">
        <f>SUM(H433:H445)</f>
        <v>4736000</v>
      </c>
      <c r="I447" s="71"/>
    </row>
    <row r="448" spans="1:9" s="65" customFormat="1">
      <c r="A448" s="96"/>
      <c r="B448" s="97"/>
      <c r="C448" s="98"/>
      <c r="D448" s="98"/>
      <c r="E448" s="98"/>
      <c r="F448" s="101"/>
      <c r="G448" s="116"/>
      <c r="H448" s="70"/>
      <c r="I448" s="71"/>
    </row>
    <row r="449" spans="1:9" s="65" customFormat="1" ht="15.75" thickBot="1">
      <c r="A449" s="624" t="s">
        <v>761</v>
      </c>
      <c r="B449" s="625"/>
      <c r="C449" s="625"/>
      <c r="D449" s="625"/>
      <c r="E449" s="625"/>
      <c r="F449" s="625"/>
      <c r="G449" s="626"/>
      <c r="H449" s="117">
        <f>+ROUND(H447,0)</f>
        <v>4736000</v>
      </c>
      <c r="I449" s="103"/>
    </row>
    <row r="450" spans="1:9" s="65" customFormat="1">
      <c r="A450" s="91"/>
      <c r="B450" s="91"/>
      <c r="C450" s="91"/>
      <c r="D450" s="91"/>
      <c r="E450" s="91"/>
      <c r="G450" s="104"/>
      <c r="H450" s="140"/>
    </row>
    <row r="451" spans="1:9" s="65" customFormat="1" ht="15.75" thickBot="1">
      <c r="A451" s="120"/>
      <c r="B451" s="73"/>
      <c r="C451" s="73"/>
      <c r="D451" s="73"/>
      <c r="E451" s="73"/>
      <c r="G451" s="121"/>
      <c r="H451" s="140"/>
    </row>
    <row r="452" spans="1:9" s="65" customFormat="1">
      <c r="A452" s="627"/>
      <c r="B452" s="629" t="s">
        <v>307</v>
      </c>
      <c r="C452" s="630"/>
      <c r="D452" s="630"/>
      <c r="E452" s="630"/>
      <c r="F452" s="630"/>
      <c r="G452" s="630"/>
      <c r="H452" s="643"/>
      <c r="I452" s="66" t="s">
        <v>389</v>
      </c>
    </row>
    <row r="453" spans="1:9" s="65" customFormat="1">
      <c r="A453" s="628"/>
      <c r="B453" s="631"/>
      <c r="C453" s="632"/>
      <c r="D453" s="632"/>
      <c r="E453" s="632"/>
      <c r="F453" s="632"/>
      <c r="G453" s="632"/>
      <c r="H453" s="644"/>
      <c r="I453" s="67" t="s">
        <v>157</v>
      </c>
    </row>
    <row r="454" spans="1:9" s="65" customFormat="1">
      <c r="A454" s="68"/>
      <c r="B454" s="69"/>
      <c r="C454" s="69"/>
      <c r="D454" s="69"/>
      <c r="E454" s="69"/>
      <c r="F454" s="70"/>
      <c r="G454" s="70"/>
      <c r="H454" s="70"/>
      <c r="I454" s="71"/>
    </row>
    <row r="455" spans="1:9" s="65" customFormat="1">
      <c r="A455" s="72" t="s">
        <v>390</v>
      </c>
      <c r="B455" s="73"/>
      <c r="C455" s="73"/>
      <c r="D455" s="73"/>
      <c r="E455" s="73"/>
      <c r="F455" s="74"/>
      <c r="G455" s="74"/>
      <c r="H455" s="70"/>
      <c r="I455" s="71"/>
    </row>
    <row r="456" spans="1:9" s="65" customFormat="1">
      <c r="A456" s="75" t="s">
        <v>391</v>
      </c>
      <c r="B456" s="76" t="s">
        <v>392</v>
      </c>
      <c r="C456" s="76" t="s">
        <v>393</v>
      </c>
      <c r="D456" s="76" t="s">
        <v>394</v>
      </c>
      <c r="E456" s="76" t="s">
        <v>395</v>
      </c>
      <c r="F456" s="76" t="s">
        <v>396</v>
      </c>
      <c r="G456" s="76" t="s">
        <v>397</v>
      </c>
      <c r="H456" s="74"/>
      <c r="I456" s="71"/>
    </row>
    <row r="457" spans="1:9" s="65" customFormat="1">
      <c r="A457" s="77"/>
      <c r="B457" s="79"/>
      <c r="C457" s="79"/>
      <c r="D457" s="107"/>
      <c r="E457" s="79"/>
      <c r="F457" s="79"/>
      <c r="G457" s="107"/>
      <c r="H457" s="74"/>
      <c r="I457" s="71"/>
    </row>
    <row r="458" spans="1:9" s="65" customFormat="1">
      <c r="A458" s="82"/>
      <c r="B458" s="83"/>
      <c r="C458" s="84"/>
      <c r="D458" s="84"/>
      <c r="E458" s="84"/>
      <c r="F458"/>
      <c r="G458" s="93" t="s">
        <v>407</v>
      </c>
      <c r="H458" s="107">
        <f>SUM(G457:G457)</f>
        <v>0</v>
      </c>
      <c r="I458" s="71"/>
    </row>
    <row r="459" spans="1:9" s="65" customFormat="1">
      <c r="A459" s="72" t="s">
        <v>408</v>
      </c>
      <c r="B459" s="73"/>
      <c r="C459" s="73"/>
      <c r="D459" s="73"/>
      <c r="E459" s="73"/>
      <c r="F459"/>
      <c r="G459" s="74"/>
      <c r="H459" s="108"/>
      <c r="I459" s="71"/>
    </row>
    <row r="460" spans="1:9" s="65" customFormat="1">
      <c r="A460" s="75" t="s">
        <v>391</v>
      </c>
      <c r="B460" s="76" t="s">
        <v>392</v>
      </c>
      <c r="C460" s="76" t="s">
        <v>393</v>
      </c>
      <c r="D460" s="76" t="s">
        <v>394</v>
      </c>
      <c r="E460" s="76" t="s">
        <v>395</v>
      </c>
      <c r="F460" s="76" t="s">
        <v>396</v>
      </c>
      <c r="G460" s="76" t="s">
        <v>397</v>
      </c>
      <c r="H460" s="108"/>
      <c r="I460" s="71"/>
    </row>
    <row r="461" spans="1:9" s="65" customFormat="1">
      <c r="A461" s="135"/>
      <c r="B461" s="78" t="s">
        <v>307</v>
      </c>
      <c r="C461" s="127" t="s">
        <v>157</v>
      </c>
      <c r="D461" s="107">
        <f>3400000*1.2*1.16</f>
        <v>4732800</v>
      </c>
      <c r="E461" s="79">
        <v>1</v>
      </c>
      <c r="F461" s="79">
        <v>0</v>
      </c>
      <c r="G461" s="107">
        <f>(D461*E461)+((D461*E461)*F461/100)</f>
        <v>4732800</v>
      </c>
      <c r="H461" s="108"/>
      <c r="I461" s="71"/>
    </row>
    <row r="462" spans="1:9" s="65" customFormat="1">
      <c r="A462" s="90"/>
      <c r="B462" s="91"/>
      <c r="C462" s="91"/>
      <c r="D462" s="91"/>
      <c r="E462" s="91"/>
      <c r="F462"/>
      <c r="G462" s="85" t="s">
        <v>407</v>
      </c>
      <c r="H462" s="107">
        <f>SUM(G461:G461)</f>
        <v>4732800</v>
      </c>
      <c r="I462" s="71"/>
    </row>
    <row r="463" spans="1:9" s="65" customFormat="1">
      <c r="A463" s="72" t="s">
        <v>410</v>
      </c>
      <c r="B463" s="73"/>
      <c r="C463" s="73"/>
      <c r="D463" s="73"/>
      <c r="E463" s="73"/>
      <c r="F463"/>
      <c r="G463" s="74"/>
      <c r="H463" s="108"/>
      <c r="I463" s="71"/>
    </row>
    <row r="464" spans="1:9" s="65" customFormat="1">
      <c r="A464" s="75" t="s">
        <v>391</v>
      </c>
      <c r="B464" s="76" t="s">
        <v>392</v>
      </c>
      <c r="C464" s="76" t="s">
        <v>393</v>
      </c>
      <c r="D464" s="76" t="s">
        <v>394</v>
      </c>
      <c r="E464" s="76" t="s">
        <v>395</v>
      </c>
      <c r="F464" s="76" t="s">
        <v>396</v>
      </c>
      <c r="G464" s="76" t="s">
        <v>397</v>
      </c>
      <c r="H464" s="108"/>
      <c r="I464" s="71"/>
    </row>
    <row r="465" spans="1:9" s="65" customFormat="1">
      <c r="A465" s="77"/>
      <c r="B465" s="78"/>
      <c r="C465" s="79"/>
      <c r="D465" s="107"/>
      <c r="E465" s="79"/>
      <c r="F465" s="79"/>
      <c r="G465" s="107"/>
      <c r="H465" s="108"/>
      <c r="I465" s="71"/>
    </row>
    <row r="466" spans="1:9" s="65" customFormat="1">
      <c r="A466" s="90"/>
      <c r="B466" s="91"/>
      <c r="C466" s="91"/>
      <c r="D466" s="91"/>
      <c r="E466" s="91"/>
      <c r="F466"/>
      <c r="G466" s="93" t="s">
        <v>407</v>
      </c>
      <c r="H466" s="107">
        <f>SUM(G465:G465)</f>
        <v>0</v>
      </c>
      <c r="I466" s="71"/>
    </row>
    <row r="467" spans="1:9" s="65" customFormat="1">
      <c r="A467" s="72" t="s">
        <v>411</v>
      </c>
      <c r="B467" s="73"/>
      <c r="C467" s="73"/>
      <c r="D467" s="73"/>
      <c r="E467" s="73"/>
      <c r="F467"/>
      <c r="G467" s="74"/>
      <c r="H467" s="108"/>
      <c r="I467" s="71"/>
    </row>
    <row r="468" spans="1:9" s="65" customFormat="1">
      <c r="A468" s="75" t="s">
        <v>391</v>
      </c>
      <c r="B468" s="76" t="s">
        <v>392</v>
      </c>
      <c r="C468" s="76" t="s">
        <v>393</v>
      </c>
      <c r="D468" s="76" t="s">
        <v>394</v>
      </c>
      <c r="E468" s="76" t="s">
        <v>395</v>
      </c>
      <c r="F468" s="76" t="s">
        <v>396</v>
      </c>
      <c r="G468" s="76" t="s">
        <v>397</v>
      </c>
      <c r="H468" s="108"/>
      <c r="I468" s="71"/>
    </row>
    <row r="469" spans="1:9" s="65" customFormat="1">
      <c r="A469" s="87" t="s">
        <v>409</v>
      </c>
      <c r="B469" s="114" t="s">
        <v>747</v>
      </c>
      <c r="C469" s="114" t="s">
        <v>437</v>
      </c>
      <c r="D469" s="114">
        <v>800000</v>
      </c>
      <c r="E469" s="215">
        <v>3.0000000000000001E-3</v>
      </c>
      <c r="F469" s="79">
        <v>0</v>
      </c>
      <c r="G469" s="107">
        <f>(D469*E469)+((D469*E469)*F469/100)</f>
        <v>2400</v>
      </c>
      <c r="H469" s="108"/>
      <c r="I469" s="71"/>
    </row>
    <row r="470" spans="1:9" s="65" customFormat="1">
      <c r="A470" s="94"/>
      <c r="B470" s="95"/>
      <c r="C470" s="95"/>
      <c r="D470" s="95"/>
      <c r="E470" s="95"/>
      <c r="F470"/>
      <c r="G470" s="93" t="s">
        <v>407</v>
      </c>
      <c r="H470" s="107">
        <f>SUM(G468:G469)</f>
        <v>2400</v>
      </c>
      <c r="I470" s="71"/>
    </row>
    <row r="471" spans="1:9" s="65" customFormat="1">
      <c r="A471" s="94"/>
      <c r="B471" s="95"/>
      <c r="C471" s="95"/>
      <c r="D471" s="95"/>
      <c r="E471" s="95"/>
      <c r="F471"/>
      <c r="G471" s="74"/>
      <c r="H471" s="74"/>
      <c r="I471" s="71"/>
    </row>
    <row r="472" spans="1:9" s="65" customFormat="1">
      <c r="A472" s="96"/>
      <c r="B472" s="97"/>
      <c r="C472" s="98"/>
      <c r="D472" s="98"/>
      <c r="E472" s="98"/>
      <c r="F472"/>
      <c r="G472" s="99" t="s">
        <v>412</v>
      </c>
      <c r="H472" s="115">
        <f>SUM(H458:H470)</f>
        <v>4735200</v>
      </c>
      <c r="I472" s="71"/>
    </row>
    <row r="473" spans="1:9" s="65" customFormat="1">
      <c r="A473" s="96"/>
      <c r="B473" s="97"/>
      <c r="C473" s="98"/>
      <c r="D473" s="98"/>
      <c r="E473" s="98"/>
      <c r="F473" s="101"/>
      <c r="G473" s="116"/>
      <c r="H473" s="70"/>
      <c r="I473" s="71"/>
    </row>
    <row r="474" spans="1:9" s="65" customFormat="1" ht="15.75" thickBot="1">
      <c r="A474" s="624" t="s">
        <v>761</v>
      </c>
      <c r="B474" s="625"/>
      <c r="C474" s="625"/>
      <c r="D474" s="625"/>
      <c r="E474" s="625"/>
      <c r="F474" s="625"/>
      <c r="G474" s="626"/>
      <c r="H474" s="117">
        <f>+ROUND(H472,0)</f>
        <v>4735200</v>
      </c>
      <c r="I474" s="103"/>
    </row>
    <row r="475" spans="1:9" s="65" customFormat="1">
      <c r="A475" s="120"/>
      <c r="B475" s="73"/>
      <c r="C475" s="73"/>
      <c r="D475" s="73"/>
      <c r="E475" s="73"/>
      <c r="G475" s="121"/>
      <c r="H475" s="140"/>
    </row>
    <row r="476" spans="1:9" s="65" customFormat="1" ht="15.75" thickBot="1">
      <c r="A476" s="128"/>
      <c r="B476" s="141"/>
      <c r="C476" s="141"/>
      <c r="D476" s="141"/>
      <c r="E476" s="141"/>
      <c r="F476" s="141"/>
      <c r="G476" s="141"/>
      <c r="H476" s="140"/>
    </row>
    <row r="477" spans="1:9" s="65" customFormat="1">
      <c r="A477" s="627"/>
      <c r="B477" s="629" t="s">
        <v>309</v>
      </c>
      <c r="C477" s="630"/>
      <c r="D477" s="630"/>
      <c r="E477" s="630"/>
      <c r="F477" s="630"/>
      <c r="G477" s="630"/>
      <c r="H477" s="643"/>
      <c r="I477" s="66" t="s">
        <v>389</v>
      </c>
    </row>
    <row r="478" spans="1:9" s="65" customFormat="1">
      <c r="A478" s="628"/>
      <c r="B478" s="631"/>
      <c r="C478" s="632"/>
      <c r="D478" s="632"/>
      <c r="E478" s="632"/>
      <c r="F478" s="632"/>
      <c r="G478" s="632"/>
      <c r="H478" s="644"/>
      <c r="I478" s="67" t="s">
        <v>157</v>
      </c>
    </row>
    <row r="479" spans="1:9" s="65" customFormat="1">
      <c r="A479" s="68"/>
      <c r="B479" s="69"/>
      <c r="C479" s="69"/>
      <c r="D479" s="69"/>
      <c r="E479" s="69"/>
      <c r="F479" s="70"/>
      <c r="G479" s="70"/>
      <c r="H479" s="70"/>
      <c r="I479" s="71"/>
    </row>
    <row r="480" spans="1:9" s="65" customFormat="1">
      <c r="A480" s="72" t="s">
        <v>390</v>
      </c>
      <c r="B480" s="73"/>
      <c r="C480" s="73"/>
      <c r="D480" s="73"/>
      <c r="E480" s="73"/>
      <c r="F480" s="74"/>
      <c r="G480" s="74"/>
      <c r="H480" s="70"/>
      <c r="I480" s="71"/>
    </row>
    <row r="481" spans="1:9" s="65" customFormat="1">
      <c r="A481" s="75" t="s">
        <v>391</v>
      </c>
      <c r="B481" s="76" t="s">
        <v>392</v>
      </c>
      <c r="C481" s="76" t="s">
        <v>393</v>
      </c>
      <c r="D481" s="76" t="s">
        <v>394</v>
      </c>
      <c r="E481" s="76" t="s">
        <v>395</v>
      </c>
      <c r="F481" s="76" t="s">
        <v>396</v>
      </c>
      <c r="G481" s="76" t="s">
        <v>397</v>
      </c>
      <c r="H481" s="74"/>
      <c r="I481" s="71"/>
    </row>
    <row r="482" spans="1:9" s="65" customFormat="1">
      <c r="A482" s="77"/>
      <c r="B482" s="79"/>
      <c r="C482" s="79"/>
      <c r="D482" s="107"/>
      <c r="E482" s="79"/>
      <c r="F482" s="79"/>
      <c r="G482" s="107"/>
      <c r="H482" s="74"/>
      <c r="I482" s="71"/>
    </row>
    <row r="483" spans="1:9" s="65" customFormat="1">
      <c r="A483" s="82"/>
      <c r="B483" s="83"/>
      <c r="C483" s="84"/>
      <c r="D483" s="84"/>
      <c r="E483" s="84"/>
      <c r="F483"/>
      <c r="G483" s="93" t="s">
        <v>407</v>
      </c>
      <c r="H483" s="107">
        <f>SUM(G482:G482)</f>
        <v>0</v>
      </c>
      <c r="I483" s="71"/>
    </row>
    <row r="484" spans="1:9" s="65" customFormat="1">
      <c r="A484" s="72" t="s">
        <v>408</v>
      </c>
      <c r="B484" s="73"/>
      <c r="C484" s="73"/>
      <c r="D484" s="73"/>
      <c r="E484" s="73"/>
      <c r="F484"/>
      <c r="G484" s="74"/>
      <c r="H484" s="108"/>
      <c r="I484" s="71"/>
    </row>
    <row r="485" spans="1:9" s="65" customFormat="1">
      <c r="A485" s="75" t="s">
        <v>391</v>
      </c>
      <c r="B485" s="76" t="s">
        <v>392</v>
      </c>
      <c r="C485" s="76" t="s">
        <v>393</v>
      </c>
      <c r="D485" s="76" t="s">
        <v>394</v>
      </c>
      <c r="E485" s="76" t="s">
        <v>395</v>
      </c>
      <c r="F485" s="76" t="s">
        <v>396</v>
      </c>
      <c r="G485" s="76" t="s">
        <v>397</v>
      </c>
      <c r="H485" s="108"/>
      <c r="I485" s="71"/>
    </row>
    <row r="486" spans="1:9" s="65" customFormat="1">
      <c r="A486" s="135"/>
      <c r="B486" s="78" t="s">
        <v>309</v>
      </c>
      <c r="C486" s="127" t="s">
        <v>157</v>
      </c>
      <c r="D486" s="107">
        <f>241000*1.16*1.2</f>
        <v>335472</v>
      </c>
      <c r="E486" s="79">
        <v>1</v>
      </c>
      <c r="F486" s="79">
        <v>0</v>
      </c>
      <c r="G486" s="107">
        <f>(D486*E486)+((D486*E486)*F486/100)</f>
        <v>335472</v>
      </c>
      <c r="H486" s="108"/>
      <c r="I486" s="71"/>
    </row>
    <row r="487" spans="1:9" s="65" customFormat="1">
      <c r="A487" s="90"/>
      <c r="B487" s="91"/>
      <c r="C487" s="91"/>
      <c r="D487" s="91"/>
      <c r="E487" s="91"/>
      <c r="F487"/>
      <c r="G487" s="85" t="s">
        <v>407</v>
      </c>
      <c r="H487" s="107">
        <f>SUM(G486:G486)</f>
        <v>335472</v>
      </c>
      <c r="I487" s="71"/>
    </row>
    <row r="488" spans="1:9" s="65" customFormat="1" ht="40.5" customHeight="1">
      <c r="A488" s="72" t="s">
        <v>410</v>
      </c>
      <c r="B488" s="73"/>
      <c r="C488" s="73"/>
      <c r="D488" s="73"/>
      <c r="E488" s="73"/>
      <c r="F488"/>
      <c r="G488" s="74"/>
      <c r="H488" s="108"/>
      <c r="I488" s="71"/>
    </row>
    <row r="489" spans="1:9" s="65" customFormat="1">
      <c r="A489" s="75" t="s">
        <v>391</v>
      </c>
      <c r="B489" s="76" t="s">
        <v>392</v>
      </c>
      <c r="C489" s="76" t="s">
        <v>393</v>
      </c>
      <c r="D489" s="76" t="s">
        <v>394</v>
      </c>
      <c r="E489" s="76" t="s">
        <v>395</v>
      </c>
      <c r="F489" s="76" t="s">
        <v>396</v>
      </c>
      <c r="G489" s="76" t="s">
        <v>397</v>
      </c>
      <c r="H489" s="108"/>
      <c r="I489" s="71"/>
    </row>
    <row r="490" spans="1:9" s="65" customFormat="1">
      <c r="A490" s="77"/>
      <c r="B490" s="78"/>
      <c r="C490" s="79"/>
      <c r="D490" s="107"/>
      <c r="E490" s="79"/>
      <c r="F490" s="79"/>
      <c r="G490" s="107"/>
      <c r="H490" s="108"/>
      <c r="I490" s="71"/>
    </row>
    <row r="491" spans="1:9" s="65" customFormat="1">
      <c r="A491" s="90"/>
      <c r="B491" s="91"/>
      <c r="C491" s="91"/>
      <c r="D491" s="91"/>
      <c r="E491" s="91"/>
      <c r="F491"/>
      <c r="G491" s="93" t="s">
        <v>407</v>
      </c>
      <c r="H491" s="107">
        <f>SUM(G490:G490)</f>
        <v>0</v>
      </c>
      <c r="I491" s="71"/>
    </row>
    <row r="492" spans="1:9" s="65" customFormat="1">
      <c r="A492" s="72" t="s">
        <v>411</v>
      </c>
      <c r="B492" s="73"/>
      <c r="C492" s="73"/>
      <c r="D492" s="73"/>
      <c r="E492" s="73"/>
      <c r="F492"/>
      <c r="G492" s="74"/>
      <c r="H492" s="108"/>
      <c r="I492" s="71"/>
    </row>
    <row r="493" spans="1:9" s="65" customFormat="1">
      <c r="A493" s="75" t="s">
        <v>391</v>
      </c>
      <c r="B493" s="76" t="s">
        <v>392</v>
      </c>
      <c r="C493" s="76" t="s">
        <v>393</v>
      </c>
      <c r="D493" s="76" t="s">
        <v>394</v>
      </c>
      <c r="E493" s="76" t="s">
        <v>395</v>
      </c>
      <c r="F493" s="76" t="s">
        <v>396</v>
      </c>
      <c r="G493" s="76" t="s">
        <v>397</v>
      </c>
      <c r="H493" s="108"/>
      <c r="I493" s="71"/>
    </row>
    <row r="494" spans="1:9" s="65" customFormat="1">
      <c r="A494" s="87" t="s">
        <v>409</v>
      </c>
      <c r="B494" s="114" t="s">
        <v>747</v>
      </c>
      <c r="C494" s="114" t="s">
        <v>437</v>
      </c>
      <c r="D494" s="114">
        <v>800000</v>
      </c>
      <c r="E494" s="215">
        <v>3.0000000000000001E-3</v>
      </c>
      <c r="F494" s="79">
        <v>0</v>
      </c>
      <c r="G494" s="107">
        <f>(D494*E494)+((D494*E494)*F494/100)</f>
        <v>2400</v>
      </c>
      <c r="H494" s="108"/>
      <c r="I494" s="71"/>
    </row>
    <row r="495" spans="1:9" s="65" customFormat="1">
      <c r="A495" s="94"/>
      <c r="B495" s="95"/>
      <c r="C495" s="95"/>
      <c r="D495" s="95"/>
      <c r="E495" s="95"/>
      <c r="F495"/>
      <c r="G495" s="93" t="s">
        <v>407</v>
      </c>
      <c r="H495" s="107">
        <f>SUM(G493:G494)</f>
        <v>2400</v>
      </c>
      <c r="I495" s="71"/>
    </row>
    <row r="496" spans="1:9" s="65" customFormat="1">
      <c r="A496" s="94"/>
      <c r="B496" s="95"/>
      <c r="C496" s="95"/>
      <c r="D496" s="95"/>
      <c r="E496" s="95"/>
      <c r="F496"/>
      <c r="G496" s="74"/>
      <c r="H496" s="74"/>
      <c r="I496" s="71"/>
    </row>
    <row r="497" spans="1:9" s="65" customFormat="1">
      <c r="A497" s="96"/>
      <c r="B497" s="97"/>
      <c r="C497" s="98"/>
      <c r="D497" s="98"/>
      <c r="E497" s="98"/>
      <c r="F497"/>
      <c r="G497" s="99" t="s">
        <v>412</v>
      </c>
      <c r="H497" s="115">
        <f>SUM(H483:H495)</f>
        <v>337872</v>
      </c>
      <c r="I497" s="71"/>
    </row>
    <row r="498" spans="1:9" s="65" customFormat="1">
      <c r="A498" s="96"/>
      <c r="B498" s="97"/>
      <c r="C498" s="98"/>
      <c r="D498" s="98"/>
      <c r="E498" s="98"/>
      <c r="F498" s="101"/>
      <c r="G498" s="116"/>
      <c r="H498" s="70"/>
      <c r="I498" s="71"/>
    </row>
    <row r="499" spans="1:9" s="65" customFormat="1" ht="15.75" thickBot="1">
      <c r="A499" s="624" t="s">
        <v>761</v>
      </c>
      <c r="B499" s="625"/>
      <c r="C499" s="625"/>
      <c r="D499" s="625"/>
      <c r="E499" s="625"/>
      <c r="F499" s="625"/>
      <c r="G499" s="626"/>
      <c r="H499" s="117">
        <f>+ROUND(H497,0)</f>
        <v>337872</v>
      </c>
      <c r="I499" s="103"/>
    </row>
    <row r="500" spans="1:9" s="65" customFormat="1">
      <c r="A500" s="128"/>
      <c r="B500" s="141"/>
      <c r="C500" s="141"/>
      <c r="D500" s="141"/>
      <c r="E500" s="141"/>
      <c r="F500" s="141"/>
      <c r="G500" s="141"/>
      <c r="H500" s="140"/>
    </row>
    <row r="501" spans="1:9" s="65" customFormat="1" ht="15.75" thickBot="1">
      <c r="A501" s="142"/>
      <c r="B501" s="143"/>
      <c r="C501" s="143"/>
      <c r="D501" s="143"/>
      <c r="E501" s="143"/>
      <c r="F501" s="84"/>
      <c r="G501" s="144"/>
      <c r="H501" s="145"/>
    </row>
    <row r="502" spans="1:9" s="65" customFormat="1">
      <c r="A502" s="627"/>
      <c r="B502" s="629" t="s">
        <v>766</v>
      </c>
      <c r="C502" s="630"/>
      <c r="D502" s="630"/>
      <c r="E502" s="630"/>
      <c r="F502" s="630"/>
      <c r="G502" s="630"/>
      <c r="H502" s="643"/>
      <c r="I502" s="66" t="s">
        <v>389</v>
      </c>
    </row>
    <row r="503" spans="1:9" s="65" customFormat="1">
      <c r="A503" s="628"/>
      <c r="B503" s="631"/>
      <c r="C503" s="632"/>
      <c r="D503" s="632"/>
      <c r="E503" s="632"/>
      <c r="F503" s="632"/>
      <c r="G503" s="632"/>
      <c r="H503" s="644"/>
      <c r="I503" s="67" t="s">
        <v>157</v>
      </c>
    </row>
    <row r="504" spans="1:9" s="65" customFormat="1">
      <c r="A504" s="68"/>
      <c r="B504" s="69"/>
      <c r="C504" s="69"/>
      <c r="D504" s="69"/>
      <c r="E504" s="69"/>
      <c r="F504" s="70"/>
      <c r="G504" s="70"/>
      <c r="H504" s="70"/>
      <c r="I504" s="71"/>
    </row>
    <row r="505" spans="1:9" s="65" customFormat="1">
      <c r="A505" s="72" t="s">
        <v>390</v>
      </c>
      <c r="B505" s="73"/>
      <c r="C505" s="73"/>
      <c r="D505" s="73"/>
      <c r="E505" s="73"/>
      <c r="F505" s="74"/>
      <c r="G505" s="74"/>
      <c r="H505" s="70"/>
      <c r="I505" s="71"/>
    </row>
    <row r="506" spans="1:9" s="65" customFormat="1">
      <c r="A506" s="75" t="s">
        <v>391</v>
      </c>
      <c r="B506" s="76" t="s">
        <v>392</v>
      </c>
      <c r="C506" s="76" t="s">
        <v>393</v>
      </c>
      <c r="D506" s="76" t="s">
        <v>394</v>
      </c>
      <c r="E506" s="76" t="s">
        <v>395</v>
      </c>
      <c r="F506" s="76" t="s">
        <v>396</v>
      </c>
      <c r="G506" s="76" t="s">
        <v>397</v>
      </c>
      <c r="H506" s="74"/>
      <c r="I506" s="71"/>
    </row>
    <row r="507" spans="1:9" s="65" customFormat="1">
      <c r="A507" s="77"/>
      <c r="B507" s="79"/>
      <c r="C507" s="79"/>
      <c r="D507" s="107"/>
      <c r="E507" s="79"/>
      <c r="F507" s="79"/>
      <c r="G507" s="107"/>
      <c r="H507" s="74"/>
      <c r="I507" s="71"/>
    </row>
    <row r="508" spans="1:9" s="65" customFormat="1">
      <c r="A508" s="82"/>
      <c r="B508" s="83"/>
      <c r="C508" s="84"/>
      <c r="D508" s="84"/>
      <c r="E508" s="84"/>
      <c r="F508"/>
      <c r="G508" s="93" t="s">
        <v>407</v>
      </c>
      <c r="H508" s="107">
        <f>SUM(G507:G507)</f>
        <v>0</v>
      </c>
      <c r="I508" s="71"/>
    </row>
    <row r="509" spans="1:9" s="65" customFormat="1">
      <c r="A509" s="72" t="s">
        <v>408</v>
      </c>
      <c r="B509" s="73"/>
      <c r="C509" s="73"/>
      <c r="D509" s="73"/>
      <c r="E509" s="73"/>
      <c r="F509"/>
      <c r="G509" s="74"/>
      <c r="H509" s="108"/>
      <c r="I509" s="71"/>
    </row>
    <row r="510" spans="1:9" s="65" customFormat="1">
      <c r="A510" s="75" t="s">
        <v>391</v>
      </c>
      <c r="B510" s="76" t="s">
        <v>392</v>
      </c>
      <c r="C510" s="76" t="s">
        <v>393</v>
      </c>
      <c r="D510" s="76" t="s">
        <v>394</v>
      </c>
      <c r="E510" s="76" t="s">
        <v>395</v>
      </c>
      <c r="F510" s="76" t="s">
        <v>396</v>
      </c>
      <c r="G510" s="76" t="s">
        <v>397</v>
      </c>
      <c r="H510" s="108"/>
      <c r="I510" s="71"/>
    </row>
    <row r="511" spans="1:9" s="65" customFormat="1" ht="25.5">
      <c r="A511" s="135"/>
      <c r="B511" s="78" t="s">
        <v>766</v>
      </c>
      <c r="C511" s="127" t="s">
        <v>157</v>
      </c>
      <c r="D511" s="107">
        <f>190000*1.16*1.2</f>
        <v>264479.99999999994</v>
      </c>
      <c r="E511" s="79">
        <v>1</v>
      </c>
      <c r="F511" s="79">
        <v>0</v>
      </c>
      <c r="G511" s="107">
        <f>(D511*E511)+((D511*E511)*F511/100)</f>
        <v>264479.99999999994</v>
      </c>
      <c r="H511" s="108"/>
      <c r="I511" s="71"/>
    </row>
    <row r="512" spans="1:9" s="65" customFormat="1" ht="41.25" customHeight="1">
      <c r="A512" s="90"/>
      <c r="B512" s="91"/>
      <c r="C512" s="91"/>
      <c r="D512" s="91"/>
      <c r="E512" s="91"/>
      <c r="F512"/>
      <c r="G512" s="85" t="s">
        <v>407</v>
      </c>
      <c r="H512" s="107">
        <f>SUM(G511:G511)</f>
        <v>264479.99999999994</v>
      </c>
      <c r="I512" s="71"/>
    </row>
    <row r="513" spans="1:9" s="65" customFormat="1">
      <c r="A513" s="72" t="s">
        <v>410</v>
      </c>
      <c r="B513" s="73"/>
      <c r="C513" s="73"/>
      <c r="D513" s="73"/>
      <c r="E513" s="73"/>
      <c r="F513"/>
      <c r="G513" s="74"/>
      <c r="H513" s="108"/>
      <c r="I513" s="71"/>
    </row>
    <row r="514" spans="1:9" s="65" customFormat="1">
      <c r="A514" s="75" t="s">
        <v>391</v>
      </c>
      <c r="B514" s="76" t="s">
        <v>392</v>
      </c>
      <c r="C514" s="76" t="s">
        <v>393</v>
      </c>
      <c r="D514" s="76" t="s">
        <v>394</v>
      </c>
      <c r="E514" s="76" t="s">
        <v>395</v>
      </c>
      <c r="F514" s="76" t="s">
        <v>396</v>
      </c>
      <c r="G514" s="76" t="s">
        <v>397</v>
      </c>
      <c r="H514" s="108"/>
      <c r="I514" s="71"/>
    </row>
    <row r="515" spans="1:9" s="65" customFormat="1">
      <c r="A515" s="77"/>
      <c r="B515" s="78"/>
      <c r="C515" s="79"/>
      <c r="D515" s="107"/>
      <c r="E515" s="79"/>
      <c r="F515" s="79"/>
      <c r="G515" s="107"/>
      <c r="H515" s="108"/>
      <c r="I515" s="71"/>
    </row>
    <row r="516" spans="1:9" s="65" customFormat="1">
      <c r="A516" s="90"/>
      <c r="B516" s="91"/>
      <c r="C516" s="91"/>
      <c r="D516" s="91"/>
      <c r="E516" s="91"/>
      <c r="F516"/>
      <c r="G516" s="93" t="s">
        <v>407</v>
      </c>
      <c r="H516" s="107">
        <f>SUM(G515:G515)</f>
        <v>0</v>
      </c>
      <c r="I516" s="71"/>
    </row>
    <row r="517" spans="1:9" s="65" customFormat="1">
      <c r="A517" s="72" t="s">
        <v>411</v>
      </c>
      <c r="B517" s="73"/>
      <c r="C517" s="73"/>
      <c r="D517" s="73"/>
      <c r="E517" s="73"/>
      <c r="F517"/>
      <c r="G517" s="74"/>
      <c r="H517" s="108"/>
      <c r="I517" s="71"/>
    </row>
    <row r="518" spans="1:9" s="65" customFormat="1">
      <c r="A518" s="75" t="s">
        <v>391</v>
      </c>
      <c r="B518" s="76" t="s">
        <v>392</v>
      </c>
      <c r="C518" s="76" t="s">
        <v>393</v>
      </c>
      <c r="D518" s="76" t="s">
        <v>394</v>
      </c>
      <c r="E518" s="76" t="s">
        <v>395</v>
      </c>
      <c r="F518" s="76" t="s">
        <v>396</v>
      </c>
      <c r="G518" s="76" t="s">
        <v>397</v>
      </c>
      <c r="H518" s="108"/>
      <c r="I518" s="71"/>
    </row>
    <row r="519" spans="1:9" s="65" customFormat="1">
      <c r="A519" s="87" t="s">
        <v>409</v>
      </c>
      <c r="B519" s="114" t="s">
        <v>747</v>
      </c>
      <c r="C519" s="114" t="s">
        <v>437</v>
      </c>
      <c r="D519" s="114">
        <v>800000</v>
      </c>
      <c r="E519" s="215">
        <v>3.0000000000000001E-3</v>
      </c>
      <c r="F519" s="79">
        <v>0</v>
      </c>
      <c r="G519" s="107">
        <f>(D519*E519)+((D519*E519)*F519/100)</f>
        <v>2400</v>
      </c>
      <c r="H519" s="108"/>
      <c r="I519" s="71"/>
    </row>
    <row r="520" spans="1:9" s="65" customFormat="1">
      <c r="A520" s="94"/>
      <c r="B520" s="95"/>
      <c r="C520" s="95"/>
      <c r="D520" s="95"/>
      <c r="E520" s="95"/>
      <c r="F520"/>
      <c r="G520" s="93" t="s">
        <v>407</v>
      </c>
      <c r="H520" s="107">
        <f>SUM(G518:G519)</f>
        <v>2400</v>
      </c>
      <c r="I520" s="71"/>
    </row>
    <row r="521" spans="1:9" s="65" customFormat="1">
      <c r="A521" s="94"/>
      <c r="B521" s="95"/>
      <c r="C521" s="95"/>
      <c r="D521" s="95"/>
      <c r="E521" s="95"/>
      <c r="F521"/>
      <c r="G521" s="74"/>
      <c r="H521" s="74"/>
      <c r="I521" s="71"/>
    </row>
    <row r="522" spans="1:9" s="65" customFormat="1">
      <c r="A522" s="96"/>
      <c r="B522" s="97"/>
      <c r="C522" s="98"/>
      <c r="D522" s="98"/>
      <c r="E522" s="98"/>
      <c r="F522"/>
      <c r="G522" s="99" t="s">
        <v>412</v>
      </c>
      <c r="H522" s="115">
        <f>SUM(H508:H520)</f>
        <v>266879.99999999994</v>
      </c>
      <c r="I522" s="71"/>
    </row>
    <row r="523" spans="1:9" s="65" customFormat="1">
      <c r="A523" s="96"/>
      <c r="B523" s="97"/>
      <c r="C523" s="98"/>
      <c r="D523" s="98"/>
      <c r="E523" s="98"/>
      <c r="F523" s="101"/>
      <c r="G523" s="116"/>
      <c r="H523" s="70"/>
      <c r="I523" s="71"/>
    </row>
    <row r="524" spans="1:9" s="65" customFormat="1" ht="15.75" thickBot="1">
      <c r="A524" s="624" t="s">
        <v>761</v>
      </c>
      <c r="B524" s="625"/>
      <c r="C524" s="625"/>
      <c r="D524" s="625"/>
      <c r="E524" s="625"/>
      <c r="F524" s="625"/>
      <c r="G524" s="626"/>
      <c r="H524" s="117">
        <f>+ROUND(H522,0)</f>
        <v>266880</v>
      </c>
      <c r="I524" s="103"/>
    </row>
    <row r="525" spans="1:9" s="65" customFormat="1">
      <c r="A525" s="142"/>
      <c r="B525" s="143"/>
      <c r="C525" s="143"/>
      <c r="D525" s="143"/>
      <c r="E525" s="143"/>
      <c r="F525" s="84"/>
      <c r="G525" s="144"/>
      <c r="H525" s="145"/>
    </row>
    <row r="526" spans="1:9" s="65" customFormat="1">
      <c r="A526" s="128"/>
      <c r="B526" s="141"/>
      <c r="C526" s="141"/>
      <c r="D526" s="141"/>
      <c r="E526" s="141"/>
      <c r="F526" s="141"/>
      <c r="G526" s="141"/>
      <c r="H526" s="121"/>
    </row>
    <row r="527" spans="1:9" s="65" customFormat="1" ht="15.75" thickBot="1">
      <c r="A527" s="142"/>
      <c r="B527" s="143"/>
      <c r="C527" s="143"/>
      <c r="D527" s="143"/>
      <c r="E527" s="143"/>
      <c r="F527" s="84"/>
      <c r="G527" s="144"/>
      <c r="H527" s="145"/>
    </row>
    <row r="528" spans="1:9" s="65" customFormat="1">
      <c r="A528" s="627"/>
      <c r="B528" s="629" t="s">
        <v>322</v>
      </c>
      <c r="C528" s="630"/>
      <c r="D528" s="630"/>
      <c r="E528" s="630"/>
      <c r="F528" s="630"/>
      <c r="G528" s="630"/>
      <c r="H528" s="643"/>
      <c r="I528" s="66" t="s">
        <v>389</v>
      </c>
    </row>
    <row r="529" spans="1:9" s="65" customFormat="1">
      <c r="A529" s="628"/>
      <c r="B529" s="631"/>
      <c r="C529" s="632"/>
      <c r="D529" s="632"/>
      <c r="E529" s="632"/>
      <c r="F529" s="632"/>
      <c r="G529" s="632"/>
      <c r="H529" s="644"/>
      <c r="I529" s="67" t="s">
        <v>7</v>
      </c>
    </row>
    <row r="530" spans="1:9" s="65" customFormat="1">
      <c r="A530" s="68"/>
      <c r="B530" s="69"/>
      <c r="C530" s="69"/>
      <c r="D530" s="69"/>
      <c r="E530" s="69"/>
      <c r="F530" s="70"/>
      <c r="G530" s="70"/>
      <c r="H530" s="70"/>
      <c r="I530" s="71"/>
    </row>
    <row r="531" spans="1:9" s="65" customFormat="1">
      <c r="A531" s="72" t="s">
        <v>390</v>
      </c>
      <c r="B531" s="73"/>
      <c r="C531" s="73"/>
      <c r="D531" s="73"/>
      <c r="E531" s="73"/>
      <c r="F531" s="74"/>
      <c r="G531" s="74"/>
      <c r="H531" s="70"/>
      <c r="I531" s="71"/>
    </row>
    <row r="532" spans="1:9" s="65" customFormat="1">
      <c r="A532" s="75" t="s">
        <v>391</v>
      </c>
      <c r="B532" s="76" t="s">
        <v>392</v>
      </c>
      <c r="C532" s="76" t="s">
        <v>393</v>
      </c>
      <c r="D532" s="76" t="s">
        <v>394</v>
      </c>
      <c r="E532" s="76" t="s">
        <v>395</v>
      </c>
      <c r="F532" s="76" t="s">
        <v>396</v>
      </c>
      <c r="G532" s="76" t="s">
        <v>397</v>
      </c>
      <c r="H532" s="74"/>
      <c r="I532" s="71"/>
    </row>
    <row r="533" spans="1:9" s="65" customFormat="1">
      <c r="A533" s="77"/>
      <c r="B533" s="79"/>
      <c r="C533" s="79"/>
      <c r="D533" s="107"/>
      <c r="E533" s="79"/>
      <c r="F533" s="79"/>
      <c r="G533" s="107"/>
      <c r="H533" s="74"/>
      <c r="I533" s="71"/>
    </row>
    <row r="534" spans="1:9" s="65" customFormat="1">
      <c r="A534" s="82"/>
      <c r="B534" s="83"/>
      <c r="C534" s="84"/>
      <c r="D534" s="84"/>
      <c r="E534" s="84"/>
      <c r="F534"/>
      <c r="G534" s="93" t="s">
        <v>407</v>
      </c>
      <c r="H534" s="107">
        <f>SUM(G533:G533)</f>
        <v>0</v>
      </c>
      <c r="I534" s="71"/>
    </row>
    <row r="535" spans="1:9" s="65" customFormat="1">
      <c r="A535" s="72" t="s">
        <v>408</v>
      </c>
      <c r="B535" s="73"/>
      <c r="C535" s="73"/>
      <c r="D535" s="73"/>
      <c r="E535" s="73"/>
      <c r="F535"/>
      <c r="G535" s="74"/>
      <c r="H535" s="108"/>
      <c r="I535" s="71"/>
    </row>
    <row r="536" spans="1:9" s="65" customFormat="1">
      <c r="A536" s="75" t="s">
        <v>391</v>
      </c>
      <c r="B536" s="76" t="s">
        <v>392</v>
      </c>
      <c r="C536" s="76" t="s">
        <v>393</v>
      </c>
      <c r="D536" s="76" t="s">
        <v>394</v>
      </c>
      <c r="E536" s="76" t="s">
        <v>395</v>
      </c>
      <c r="F536" s="76" t="s">
        <v>396</v>
      </c>
      <c r="G536" s="76" t="s">
        <v>397</v>
      </c>
      <c r="H536" s="108"/>
      <c r="I536" s="71"/>
    </row>
    <row r="537" spans="1:9" s="65" customFormat="1" ht="25.5">
      <c r="A537" s="135"/>
      <c r="B537" s="78" t="s">
        <v>322</v>
      </c>
      <c r="C537" s="127" t="s">
        <v>493</v>
      </c>
      <c r="D537" s="107">
        <f>99000*1.16*1.2*0.3</f>
        <v>41342.399999999987</v>
      </c>
      <c r="E537" s="79">
        <v>1</v>
      </c>
      <c r="F537" s="79">
        <v>0</v>
      </c>
      <c r="G537" s="107">
        <f>(D537*E537)+((D537*E537)*F537/100)</f>
        <v>41342.399999999987</v>
      </c>
      <c r="H537" s="108"/>
      <c r="I537" s="71"/>
    </row>
    <row r="538" spans="1:9" s="65" customFormat="1">
      <c r="A538" s="90"/>
      <c r="B538" s="91"/>
      <c r="C538" s="91"/>
      <c r="D538" s="91"/>
      <c r="E538" s="91"/>
      <c r="F538"/>
      <c r="G538" s="85" t="s">
        <v>407</v>
      </c>
      <c r="H538" s="107">
        <f>SUM(G537:G537)</f>
        <v>41342.399999999987</v>
      </c>
      <c r="I538" s="71"/>
    </row>
    <row r="539" spans="1:9" s="65" customFormat="1">
      <c r="A539" s="72" t="s">
        <v>410</v>
      </c>
      <c r="B539" s="73"/>
      <c r="C539" s="73"/>
      <c r="D539" s="73"/>
      <c r="E539" s="73"/>
      <c r="F539"/>
      <c r="G539" s="74"/>
      <c r="H539" s="108"/>
      <c r="I539" s="71"/>
    </row>
    <row r="540" spans="1:9" s="65" customFormat="1">
      <c r="A540" s="75" t="s">
        <v>391</v>
      </c>
      <c r="B540" s="76" t="s">
        <v>392</v>
      </c>
      <c r="C540" s="76" t="s">
        <v>393</v>
      </c>
      <c r="D540" s="76" t="s">
        <v>394</v>
      </c>
      <c r="E540" s="76" t="s">
        <v>395</v>
      </c>
      <c r="F540" s="76" t="s">
        <v>396</v>
      </c>
      <c r="G540" s="76" t="s">
        <v>397</v>
      </c>
      <c r="H540" s="108"/>
      <c r="I540" s="71"/>
    </row>
    <row r="541" spans="1:9" s="65" customFormat="1">
      <c r="A541" s="77"/>
      <c r="B541" s="78"/>
      <c r="C541" s="79"/>
      <c r="D541" s="107"/>
      <c r="E541" s="79"/>
      <c r="F541" s="79"/>
      <c r="G541" s="107"/>
      <c r="H541" s="108"/>
      <c r="I541" s="71"/>
    </row>
    <row r="542" spans="1:9" s="65" customFormat="1">
      <c r="A542" s="90"/>
      <c r="B542" s="91"/>
      <c r="C542" s="91"/>
      <c r="D542" s="91"/>
      <c r="E542" s="91"/>
      <c r="F542"/>
      <c r="G542" s="93" t="s">
        <v>407</v>
      </c>
      <c r="H542" s="107">
        <f>SUM(G541:G541)</f>
        <v>0</v>
      </c>
      <c r="I542" s="71"/>
    </row>
    <row r="543" spans="1:9" s="65" customFormat="1">
      <c r="A543" s="72" t="s">
        <v>411</v>
      </c>
      <c r="B543" s="73"/>
      <c r="C543" s="73"/>
      <c r="D543" s="73"/>
      <c r="E543" s="73"/>
      <c r="F543"/>
      <c r="G543" s="74"/>
      <c r="H543" s="108"/>
      <c r="I543" s="71"/>
    </row>
    <row r="544" spans="1:9" s="65" customFormat="1">
      <c r="A544" s="75" t="s">
        <v>391</v>
      </c>
      <c r="B544" s="76" t="s">
        <v>392</v>
      </c>
      <c r="C544" s="76" t="s">
        <v>393</v>
      </c>
      <c r="D544" s="76" t="s">
        <v>394</v>
      </c>
      <c r="E544" s="76" t="s">
        <v>395</v>
      </c>
      <c r="F544" s="76" t="s">
        <v>396</v>
      </c>
      <c r="G544" s="76" t="s">
        <v>397</v>
      </c>
      <c r="H544" s="108"/>
      <c r="I544" s="71"/>
    </row>
    <row r="545" spans="1:9" s="65" customFormat="1">
      <c r="A545" s="87" t="s">
        <v>409</v>
      </c>
      <c r="B545" s="114" t="s">
        <v>747</v>
      </c>
      <c r="C545" s="114" t="s">
        <v>437</v>
      </c>
      <c r="D545" s="114">
        <v>800000</v>
      </c>
      <c r="E545" s="215">
        <v>4.1666666666666666E-3</v>
      </c>
      <c r="F545" s="79">
        <v>0</v>
      </c>
      <c r="G545" s="107">
        <f>(D545*E545)+((D545*E545)*F545/100)</f>
        <v>3333.3333333333335</v>
      </c>
      <c r="H545" s="108"/>
      <c r="I545" s="71"/>
    </row>
    <row r="546" spans="1:9" s="65" customFormat="1">
      <c r="A546" s="94"/>
      <c r="B546" s="95"/>
      <c r="C546" s="95"/>
      <c r="D546" s="95"/>
      <c r="E546" s="95"/>
      <c r="F546"/>
      <c r="G546" s="93" t="s">
        <v>407</v>
      </c>
      <c r="H546" s="107">
        <f>SUM(G544:G545)</f>
        <v>3333.3333333333335</v>
      </c>
      <c r="I546" s="71"/>
    </row>
    <row r="547" spans="1:9" s="65" customFormat="1">
      <c r="A547" s="94"/>
      <c r="B547" s="95"/>
      <c r="C547" s="95"/>
      <c r="D547" s="95"/>
      <c r="E547" s="95"/>
      <c r="F547"/>
      <c r="G547" s="74"/>
      <c r="H547" s="74"/>
      <c r="I547" s="71"/>
    </row>
    <row r="548" spans="1:9" s="65" customFormat="1">
      <c r="A548" s="96"/>
      <c r="B548" s="97"/>
      <c r="C548" s="98"/>
      <c r="D548" s="98"/>
      <c r="E548" s="98"/>
      <c r="F548"/>
      <c r="G548" s="99" t="s">
        <v>412</v>
      </c>
      <c r="H548" s="115">
        <f>SUM(H534:H546)</f>
        <v>44675.733333333323</v>
      </c>
      <c r="I548" s="71"/>
    </row>
    <row r="549" spans="1:9" s="65" customFormat="1">
      <c r="A549" s="96"/>
      <c r="B549" s="97"/>
      <c r="C549" s="98"/>
      <c r="D549" s="98"/>
      <c r="E549" s="98"/>
      <c r="F549" s="101"/>
      <c r="G549" s="116"/>
      <c r="H549" s="70"/>
      <c r="I549" s="71"/>
    </row>
    <row r="550" spans="1:9" s="65" customFormat="1" ht="15.75" thickBot="1">
      <c r="A550" s="624" t="s">
        <v>502</v>
      </c>
      <c r="B550" s="625"/>
      <c r="C550" s="625"/>
      <c r="D550" s="625"/>
      <c r="E550" s="625"/>
      <c r="F550" s="625"/>
      <c r="G550" s="626"/>
      <c r="H550" s="117">
        <f>+ROUND(H548,0)</f>
        <v>44676</v>
      </c>
      <c r="I550" s="103"/>
    </row>
    <row r="551" spans="1:9" s="65" customFormat="1">
      <c r="A551" s="142"/>
      <c r="B551" s="143"/>
      <c r="C551" s="143"/>
      <c r="D551" s="143"/>
      <c r="E551" s="143"/>
      <c r="F551" s="84"/>
      <c r="G551" s="144"/>
      <c r="H551" s="145"/>
    </row>
    <row r="552" spans="1:9" s="65" customFormat="1" ht="15.75" thickBot="1">
      <c r="A552" s="84"/>
      <c r="B552" s="83"/>
      <c r="C552" s="84"/>
      <c r="D552" s="84"/>
      <c r="E552" s="84"/>
      <c r="G552" s="104"/>
      <c r="H552" s="140"/>
    </row>
    <row r="553" spans="1:9" s="65" customFormat="1">
      <c r="A553" s="627"/>
      <c r="B553" s="629" t="s">
        <v>320</v>
      </c>
      <c r="C553" s="630"/>
      <c r="D553" s="630"/>
      <c r="E553" s="630"/>
      <c r="F553" s="630"/>
      <c r="G553" s="630"/>
      <c r="H553" s="643"/>
      <c r="I553" s="66" t="s">
        <v>389</v>
      </c>
    </row>
    <row r="554" spans="1:9" s="65" customFormat="1">
      <c r="A554" s="628"/>
      <c r="B554" s="631"/>
      <c r="C554" s="632"/>
      <c r="D554" s="632"/>
      <c r="E554" s="632"/>
      <c r="F554" s="632"/>
      <c r="G554" s="632"/>
      <c r="H554" s="644"/>
      <c r="I554" s="67" t="s">
        <v>7</v>
      </c>
    </row>
    <row r="555" spans="1:9" s="65" customFormat="1">
      <c r="A555" s="68"/>
      <c r="B555" s="69"/>
      <c r="C555" s="69"/>
      <c r="D555" s="69"/>
      <c r="E555" s="69"/>
      <c r="F555" s="70"/>
      <c r="G555" s="70"/>
      <c r="H555" s="70"/>
      <c r="I555" s="71"/>
    </row>
    <row r="556" spans="1:9" s="65" customFormat="1">
      <c r="A556" s="72" t="s">
        <v>390</v>
      </c>
      <c r="B556" s="73"/>
      <c r="C556" s="73"/>
      <c r="D556" s="73"/>
      <c r="E556" s="73"/>
      <c r="F556" s="74"/>
      <c r="G556" s="74"/>
      <c r="H556" s="70"/>
      <c r="I556" s="71"/>
    </row>
    <row r="557" spans="1:9" s="65" customFormat="1">
      <c r="A557" s="75" t="s">
        <v>391</v>
      </c>
      <c r="B557" s="76" t="s">
        <v>392</v>
      </c>
      <c r="C557" s="76" t="s">
        <v>393</v>
      </c>
      <c r="D557" s="76" t="s">
        <v>394</v>
      </c>
      <c r="E557" s="76" t="s">
        <v>395</v>
      </c>
      <c r="F557" s="76" t="s">
        <v>396</v>
      </c>
      <c r="G557" s="76" t="s">
        <v>397</v>
      </c>
      <c r="H557" s="74"/>
      <c r="I557" s="71"/>
    </row>
    <row r="558" spans="1:9" s="65" customFormat="1">
      <c r="A558" s="77"/>
      <c r="B558" s="79"/>
      <c r="C558" s="79"/>
      <c r="D558" s="107"/>
      <c r="E558" s="79"/>
      <c r="F558" s="79"/>
      <c r="G558" s="107"/>
      <c r="H558" s="74"/>
      <c r="I558" s="71"/>
    </row>
    <row r="559" spans="1:9" s="65" customFormat="1">
      <c r="A559" s="82"/>
      <c r="B559" s="83"/>
      <c r="C559" s="84"/>
      <c r="D559" s="84"/>
      <c r="E559" s="84"/>
      <c r="F559"/>
      <c r="G559" s="93" t="s">
        <v>407</v>
      </c>
      <c r="H559" s="107">
        <f>SUM(G558:G558)</f>
        <v>0</v>
      </c>
      <c r="I559" s="71"/>
    </row>
    <row r="560" spans="1:9" s="65" customFormat="1">
      <c r="A560" s="72" t="s">
        <v>408</v>
      </c>
      <c r="B560" s="73"/>
      <c r="C560" s="73"/>
      <c r="D560" s="73"/>
      <c r="E560" s="73"/>
      <c r="F560"/>
      <c r="G560" s="74"/>
      <c r="H560" s="108"/>
      <c r="I560" s="71"/>
    </row>
    <row r="561" spans="1:9" s="65" customFormat="1">
      <c r="A561" s="75" t="s">
        <v>391</v>
      </c>
      <c r="B561" s="76" t="s">
        <v>392</v>
      </c>
      <c r="C561" s="76" t="s">
        <v>393</v>
      </c>
      <c r="D561" s="76" t="s">
        <v>394</v>
      </c>
      <c r="E561" s="76" t="s">
        <v>395</v>
      </c>
      <c r="F561" s="76" t="s">
        <v>396</v>
      </c>
      <c r="G561" s="76" t="s">
        <v>397</v>
      </c>
      <c r="H561" s="108"/>
      <c r="I561" s="71"/>
    </row>
    <row r="562" spans="1:9" s="65" customFormat="1" ht="25.5">
      <c r="A562" s="135"/>
      <c r="B562" s="78" t="s">
        <v>320</v>
      </c>
      <c r="C562" s="127" t="s">
        <v>493</v>
      </c>
      <c r="D562" s="107">
        <f>99000*1.16*1.2*1.3</f>
        <v>179150.39999999997</v>
      </c>
      <c r="E562" s="79">
        <v>1</v>
      </c>
      <c r="F562" s="79">
        <v>0</v>
      </c>
      <c r="G562" s="107">
        <f>(D562*E562)+((D562*E562)*F562/100)</f>
        <v>179150.39999999997</v>
      </c>
      <c r="H562" s="108"/>
      <c r="I562" s="71"/>
    </row>
    <row r="563" spans="1:9" s="65" customFormat="1">
      <c r="A563" s="90"/>
      <c r="B563" s="91"/>
      <c r="C563" s="91"/>
      <c r="D563" s="91"/>
      <c r="E563" s="91"/>
      <c r="F563"/>
      <c r="G563" s="85" t="s">
        <v>407</v>
      </c>
      <c r="H563" s="107">
        <f>SUM(G562:G562)</f>
        <v>179150.39999999997</v>
      </c>
      <c r="I563" s="71"/>
    </row>
    <row r="564" spans="1:9" s="65" customFormat="1">
      <c r="A564" s="72" t="s">
        <v>410</v>
      </c>
      <c r="B564" s="73"/>
      <c r="C564" s="73"/>
      <c r="D564" s="73"/>
      <c r="E564" s="73"/>
      <c r="F564"/>
      <c r="G564" s="74"/>
      <c r="H564" s="108"/>
      <c r="I564" s="71"/>
    </row>
    <row r="565" spans="1:9" s="65" customFormat="1">
      <c r="A565" s="75" t="s">
        <v>391</v>
      </c>
      <c r="B565" s="76" t="s">
        <v>392</v>
      </c>
      <c r="C565" s="76" t="s">
        <v>393</v>
      </c>
      <c r="D565" s="76" t="s">
        <v>394</v>
      </c>
      <c r="E565" s="76" t="s">
        <v>395</v>
      </c>
      <c r="F565" s="76" t="s">
        <v>396</v>
      </c>
      <c r="G565" s="76" t="s">
        <v>397</v>
      </c>
      <c r="H565" s="108"/>
      <c r="I565" s="71"/>
    </row>
    <row r="566" spans="1:9" s="65" customFormat="1">
      <c r="A566" s="77"/>
      <c r="B566" s="78"/>
      <c r="C566" s="79"/>
      <c r="D566" s="107"/>
      <c r="E566" s="79"/>
      <c r="F566" s="79"/>
      <c r="G566" s="107"/>
      <c r="H566" s="108"/>
      <c r="I566" s="71"/>
    </row>
    <row r="567" spans="1:9" s="65" customFormat="1">
      <c r="A567" s="90"/>
      <c r="B567" s="91"/>
      <c r="C567" s="91"/>
      <c r="D567" s="91"/>
      <c r="E567" s="91"/>
      <c r="F567"/>
      <c r="G567" s="93" t="s">
        <v>407</v>
      </c>
      <c r="H567" s="107">
        <f>SUM(G566:G566)</f>
        <v>0</v>
      </c>
      <c r="I567" s="71"/>
    </row>
    <row r="568" spans="1:9" s="65" customFormat="1">
      <c r="A568" s="72" t="s">
        <v>411</v>
      </c>
      <c r="B568" s="73"/>
      <c r="C568" s="73"/>
      <c r="D568" s="73"/>
      <c r="E568" s="73"/>
      <c r="F568"/>
      <c r="G568" s="74"/>
      <c r="H568" s="108"/>
      <c r="I568" s="71"/>
    </row>
    <row r="569" spans="1:9" s="65" customFormat="1">
      <c r="A569" s="75" t="s">
        <v>391</v>
      </c>
      <c r="B569" s="76" t="s">
        <v>392</v>
      </c>
      <c r="C569" s="76" t="s">
        <v>393</v>
      </c>
      <c r="D569" s="76" t="s">
        <v>394</v>
      </c>
      <c r="E569" s="76" t="s">
        <v>395</v>
      </c>
      <c r="F569" s="76" t="s">
        <v>396</v>
      </c>
      <c r="G569" s="76" t="s">
        <v>397</v>
      </c>
      <c r="H569" s="108"/>
      <c r="I569" s="71"/>
    </row>
    <row r="570" spans="1:9" s="65" customFormat="1">
      <c r="A570" s="87" t="s">
        <v>409</v>
      </c>
      <c r="B570" s="114" t="s">
        <v>747</v>
      </c>
      <c r="C570" s="114" t="s">
        <v>437</v>
      </c>
      <c r="D570" s="114">
        <v>800000</v>
      </c>
      <c r="E570" s="215">
        <v>1.6666666666666666E-2</v>
      </c>
      <c r="F570" s="79">
        <v>0</v>
      </c>
      <c r="G570" s="107">
        <f>(D570*E570)+((D570*E570)*F570/100)</f>
        <v>13333.333333333334</v>
      </c>
      <c r="H570" s="108"/>
      <c r="I570" s="71"/>
    </row>
    <row r="571" spans="1:9" s="65" customFormat="1">
      <c r="A571" s="94"/>
      <c r="B571" s="95"/>
      <c r="C571" s="95"/>
      <c r="D571" s="95"/>
      <c r="E571" s="95"/>
      <c r="F571"/>
      <c r="G571" s="93" t="s">
        <v>407</v>
      </c>
      <c r="H571" s="107">
        <f>SUM(G569:G570)</f>
        <v>13333.333333333334</v>
      </c>
      <c r="I571" s="71"/>
    </row>
    <row r="572" spans="1:9" s="65" customFormat="1">
      <c r="A572" s="94"/>
      <c r="B572" s="95"/>
      <c r="C572" s="95"/>
      <c r="D572" s="95"/>
      <c r="E572" s="95"/>
      <c r="F572"/>
      <c r="G572" s="74"/>
      <c r="H572" s="74"/>
      <c r="I572" s="71"/>
    </row>
    <row r="573" spans="1:9" s="65" customFormat="1">
      <c r="A573" s="96"/>
      <c r="B573" s="97"/>
      <c r="C573" s="98"/>
      <c r="D573" s="98"/>
      <c r="E573" s="98"/>
      <c r="F573"/>
      <c r="G573" s="99" t="s">
        <v>412</v>
      </c>
      <c r="H573" s="115">
        <f>SUM(H559:H571)</f>
        <v>192483.73333333331</v>
      </c>
      <c r="I573" s="71"/>
    </row>
    <row r="574" spans="1:9" s="65" customFormat="1">
      <c r="A574" s="96"/>
      <c r="B574" s="97"/>
      <c r="C574" s="98"/>
      <c r="D574" s="98"/>
      <c r="E574" s="98"/>
      <c r="F574" s="101"/>
      <c r="G574" s="116"/>
      <c r="H574" s="70"/>
      <c r="I574" s="71"/>
    </row>
    <row r="575" spans="1:9" s="65" customFormat="1" ht="15.75" thickBot="1">
      <c r="A575" s="624" t="s">
        <v>502</v>
      </c>
      <c r="B575" s="625"/>
      <c r="C575" s="625"/>
      <c r="D575" s="625"/>
      <c r="E575" s="625"/>
      <c r="F575" s="625"/>
      <c r="G575" s="626"/>
      <c r="H575" s="117">
        <f>+ROUND(H573,0)</f>
        <v>192484</v>
      </c>
      <c r="I575" s="103"/>
    </row>
    <row r="576" spans="1:9" s="65" customFormat="1">
      <c r="A576" s="84"/>
      <c r="B576" s="83"/>
      <c r="C576" s="84"/>
      <c r="D576" s="84"/>
      <c r="E576" s="84"/>
      <c r="G576" s="104"/>
      <c r="H576" s="140"/>
    </row>
    <row r="577" spans="1:9" s="65" customFormat="1" ht="15.75" thickBot="1">
      <c r="A577" s="120"/>
      <c r="B577" s="73"/>
      <c r="C577" s="73"/>
      <c r="D577" s="73"/>
      <c r="E577" s="73"/>
      <c r="G577" s="121"/>
      <c r="H577" s="140"/>
    </row>
    <row r="578" spans="1:9" s="65" customFormat="1">
      <c r="A578" s="627"/>
      <c r="B578" s="629" t="s">
        <v>778</v>
      </c>
      <c r="C578" s="630"/>
      <c r="D578" s="630"/>
      <c r="E578" s="630"/>
      <c r="F578" s="630"/>
      <c r="G578" s="630"/>
      <c r="H578" s="643"/>
      <c r="I578" s="66" t="s">
        <v>389</v>
      </c>
    </row>
    <row r="579" spans="1:9" s="65" customFormat="1">
      <c r="A579" s="628"/>
      <c r="B579" s="631"/>
      <c r="C579" s="632"/>
      <c r="D579" s="632"/>
      <c r="E579" s="632"/>
      <c r="F579" s="632"/>
      <c r="G579" s="632"/>
      <c r="H579" s="644"/>
      <c r="I579" s="67" t="s">
        <v>7</v>
      </c>
    </row>
    <row r="580" spans="1:9" s="65" customFormat="1">
      <c r="A580" s="68"/>
      <c r="B580" s="69"/>
      <c r="C580" s="69"/>
      <c r="D580" s="69"/>
      <c r="E580" s="69"/>
      <c r="F580" s="70"/>
      <c r="G580" s="70"/>
      <c r="H580" s="70"/>
      <c r="I580" s="71"/>
    </row>
    <row r="581" spans="1:9" s="65" customFormat="1">
      <c r="A581" s="72" t="s">
        <v>390</v>
      </c>
      <c r="B581" s="73"/>
      <c r="C581" s="73"/>
      <c r="D581" s="73"/>
      <c r="E581" s="73"/>
      <c r="F581" s="74"/>
      <c r="G581" s="74"/>
      <c r="H581" s="70"/>
      <c r="I581" s="71"/>
    </row>
    <row r="582" spans="1:9" s="65" customFormat="1">
      <c r="A582" s="75" t="s">
        <v>391</v>
      </c>
      <c r="B582" s="76" t="s">
        <v>392</v>
      </c>
      <c r="C582" s="76" t="s">
        <v>393</v>
      </c>
      <c r="D582" s="76" t="s">
        <v>394</v>
      </c>
      <c r="E582" s="76" t="s">
        <v>395</v>
      </c>
      <c r="F582" s="76" t="s">
        <v>396</v>
      </c>
      <c r="G582" s="76" t="s">
        <v>397</v>
      </c>
      <c r="H582" s="74"/>
      <c r="I582" s="71"/>
    </row>
    <row r="583" spans="1:9" s="65" customFormat="1">
      <c r="A583" s="77"/>
      <c r="B583" s="79"/>
      <c r="C583" s="79"/>
      <c r="D583" s="107"/>
      <c r="E583" s="79"/>
      <c r="F583" s="79"/>
      <c r="G583" s="107"/>
      <c r="H583" s="74"/>
      <c r="I583" s="71"/>
    </row>
    <row r="584" spans="1:9" s="65" customFormat="1">
      <c r="A584" s="82"/>
      <c r="B584" s="83"/>
      <c r="C584" s="84"/>
      <c r="D584" s="84"/>
      <c r="E584" s="84"/>
      <c r="F584"/>
      <c r="G584" s="93" t="s">
        <v>407</v>
      </c>
      <c r="H584" s="107">
        <f>SUM(G583:G583)</f>
        <v>0</v>
      </c>
      <c r="I584" s="71"/>
    </row>
    <row r="585" spans="1:9" s="65" customFormat="1">
      <c r="A585" s="72" t="s">
        <v>408</v>
      </c>
      <c r="B585" s="73"/>
      <c r="C585" s="73"/>
      <c r="D585" s="73"/>
      <c r="E585" s="73"/>
      <c r="F585"/>
      <c r="G585" s="74"/>
      <c r="H585" s="108"/>
      <c r="I585" s="71"/>
    </row>
    <row r="586" spans="1:9" s="65" customFormat="1">
      <c r="A586" s="75" t="s">
        <v>391</v>
      </c>
      <c r="B586" s="76" t="s">
        <v>392</v>
      </c>
      <c r="C586" s="76" t="s">
        <v>393</v>
      </c>
      <c r="D586" s="76" t="s">
        <v>394</v>
      </c>
      <c r="E586" s="76" t="s">
        <v>395</v>
      </c>
      <c r="F586" s="76" t="s">
        <v>396</v>
      </c>
      <c r="G586" s="76" t="s">
        <v>397</v>
      </c>
      <c r="H586" s="108"/>
      <c r="I586" s="71"/>
    </row>
    <row r="587" spans="1:9" s="65" customFormat="1" ht="25.5">
      <c r="A587" s="135"/>
      <c r="B587" s="78" t="s">
        <v>778</v>
      </c>
      <c r="C587" s="127" t="s">
        <v>493</v>
      </c>
      <c r="D587" s="107">
        <f>99000*1.16*1.2</f>
        <v>137807.99999999997</v>
      </c>
      <c r="E587" s="79">
        <v>1</v>
      </c>
      <c r="F587" s="79">
        <v>0</v>
      </c>
      <c r="G587" s="107">
        <f>(D587*E587)+((D587*E587)*F587/100)</f>
        <v>137807.99999999997</v>
      </c>
      <c r="H587" s="108"/>
      <c r="I587" s="71"/>
    </row>
    <row r="588" spans="1:9" s="65" customFormat="1">
      <c r="A588" s="90"/>
      <c r="B588" s="91"/>
      <c r="C588" s="91"/>
      <c r="D588" s="91"/>
      <c r="E588" s="91"/>
      <c r="F588"/>
      <c r="G588" s="85" t="s">
        <v>407</v>
      </c>
      <c r="H588" s="107">
        <f>SUM(G587:G587)</f>
        <v>137807.99999999997</v>
      </c>
      <c r="I588" s="71"/>
    </row>
    <row r="589" spans="1:9" s="65" customFormat="1">
      <c r="A589" s="72" t="s">
        <v>410</v>
      </c>
      <c r="B589" s="73"/>
      <c r="C589" s="73"/>
      <c r="D589" s="73"/>
      <c r="E589" s="73"/>
      <c r="F589"/>
      <c r="G589" s="74"/>
      <c r="H589" s="108"/>
      <c r="I589" s="71"/>
    </row>
    <row r="590" spans="1:9" s="65" customFormat="1">
      <c r="A590" s="75" t="s">
        <v>391</v>
      </c>
      <c r="B590" s="76" t="s">
        <v>392</v>
      </c>
      <c r="C590" s="76" t="s">
        <v>393</v>
      </c>
      <c r="D590" s="76" t="s">
        <v>394</v>
      </c>
      <c r="E590" s="76" t="s">
        <v>395</v>
      </c>
      <c r="F590" s="76" t="s">
        <v>396</v>
      </c>
      <c r="G590" s="76" t="s">
        <v>397</v>
      </c>
      <c r="H590" s="108"/>
      <c r="I590" s="71"/>
    </row>
    <row r="591" spans="1:9" s="65" customFormat="1">
      <c r="A591" s="77"/>
      <c r="B591" s="78"/>
      <c r="C591" s="79"/>
      <c r="D591" s="107"/>
      <c r="E591" s="79"/>
      <c r="F591" s="79"/>
      <c r="G591" s="107"/>
      <c r="H591" s="108"/>
      <c r="I591" s="71"/>
    </row>
    <row r="592" spans="1:9" s="65" customFormat="1">
      <c r="A592" s="90"/>
      <c r="B592" s="91"/>
      <c r="C592" s="91"/>
      <c r="D592" s="91"/>
      <c r="E592" s="91"/>
      <c r="F592"/>
      <c r="G592" s="93" t="s">
        <v>407</v>
      </c>
      <c r="H592" s="107">
        <f>SUM(G591:G591)</f>
        <v>0</v>
      </c>
      <c r="I592" s="71"/>
    </row>
    <row r="593" spans="1:9" s="65" customFormat="1">
      <c r="A593" s="72" t="s">
        <v>411</v>
      </c>
      <c r="B593" s="73"/>
      <c r="C593" s="73"/>
      <c r="D593" s="73"/>
      <c r="E593" s="73"/>
      <c r="F593"/>
      <c r="G593" s="74"/>
      <c r="H593" s="108"/>
      <c r="I593" s="71"/>
    </row>
    <row r="594" spans="1:9" s="65" customFormat="1">
      <c r="A594" s="75" t="s">
        <v>391</v>
      </c>
      <c r="B594" s="76" t="s">
        <v>392</v>
      </c>
      <c r="C594" s="76" t="s">
        <v>393</v>
      </c>
      <c r="D594" s="76" t="s">
        <v>394</v>
      </c>
      <c r="E594" s="76" t="s">
        <v>395</v>
      </c>
      <c r="F594" s="76" t="s">
        <v>396</v>
      </c>
      <c r="G594" s="76" t="s">
        <v>397</v>
      </c>
      <c r="H594" s="108"/>
      <c r="I594" s="71"/>
    </row>
    <row r="595" spans="1:9" s="65" customFormat="1">
      <c r="A595" s="87" t="s">
        <v>409</v>
      </c>
      <c r="B595" s="114" t="s">
        <v>747</v>
      </c>
      <c r="C595" s="114" t="s">
        <v>437</v>
      </c>
      <c r="D595" s="114">
        <v>800000</v>
      </c>
      <c r="E595" s="215">
        <v>1.2500000000000001E-2</v>
      </c>
      <c r="F595" s="79">
        <v>0</v>
      </c>
      <c r="G595" s="107">
        <f>(D595*E595)+((D595*E595)*F595/100)</f>
        <v>10000</v>
      </c>
      <c r="H595" s="108"/>
      <c r="I595" s="71"/>
    </row>
    <row r="596" spans="1:9" s="65" customFormat="1">
      <c r="A596" s="94"/>
      <c r="B596" s="95"/>
      <c r="C596" s="95"/>
      <c r="D596" s="95"/>
      <c r="E596" s="95"/>
      <c r="F596"/>
      <c r="G596" s="93" t="s">
        <v>407</v>
      </c>
      <c r="H596" s="107">
        <f>SUM(G594:G595)</f>
        <v>10000</v>
      </c>
      <c r="I596" s="71"/>
    </row>
    <row r="597" spans="1:9" s="65" customFormat="1">
      <c r="A597" s="94"/>
      <c r="B597" s="95"/>
      <c r="C597" s="95"/>
      <c r="D597" s="95"/>
      <c r="E597" s="95"/>
      <c r="F597"/>
      <c r="G597" s="74"/>
      <c r="H597" s="74"/>
      <c r="I597" s="71"/>
    </row>
    <row r="598" spans="1:9" s="65" customFormat="1">
      <c r="A598" s="96"/>
      <c r="B598" s="97"/>
      <c r="C598" s="98"/>
      <c r="D598" s="98"/>
      <c r="E598" s="98"/>
      <c r="F598"/>
      <c r="G598" s="99" t="s">
        <v>412</v>
      </c>
      <c r="H598" s="115">
        <f>SUM(H584:H596)</f>
        <v>147807.99999999997</v>
      </c>
      <c r="I598" s="71"/>
    </row>
    <row r="599" spans="1:9" s="65" customFormat="1">
      <c r="A599" s="96"/>
      <c r="B599" s="97"/>
      <c r="C599" s="98"/>
      <c r="D599" s="98"/>
      <c r="E599" s="98"/>
      <c r="F599" s="101"/>
      <c r="G599" s="116"/>
      <c r="H599" s="70"/>
      <c r="I599" s="71"/>
    </row>
    <row r="600" spans="1:9" s="65" customFormat="1" ht="15.75" thickBot="1">
      <c r="A600" s="624" t="s">
        <v>502</v>
      </c>
      <c r="B600" s="625"/>
      <c r="C600" s="625"/>
      <c r="D600" s="625"/>
      <c r="E600" s="625"/>
      <c r="F600" s="625"/>
      <c r="G600" s="626"/>
      <c r="H600" s="117">
        <f>+ROUND(H598,0)</f>
        <v>147808</v>
      </c>
      <c r="I600" s="103"/>
    </row>
    <row r="601" spans="1:9" s="65" customFormat="1">
      <c r="A601" s="120"/>
      <c r="B601" s="73"/>
      <c r="C601" s="73"/>
      <c r="D601" s="73"/>
      <c r="E601" s="73"/>
      <c r="G601" s="121"/>
      <c r="H601" s="140"/>
    </row>
    <row r="602" spans="1:9" s="65" customFormat="1" ht="15.75" thickBot="1">
      <c r="A602" s="128"/>
      <c r="B602" s="141"/>
      <c r="C602" s="141"/>
      <c r="D602" s="141"/>
      <c r="E602" s="141"/>
      <c r="F602" s="141"/>
      <c r="G602" s="141"/>
      <c r="H602" s="140"/>
    </row>
    <row r="603" spans="1:9" s="65" customFormat="1">
      <c r="A603" s="627"/>
      <c r="B603" s="629" t="s">
        <v>323</v>
      </c>
      <c r="C603" s="630"/>
      <c r="D603" s="630"/>
      <c r="E603" s="630"/>
      <c r="F603" s="630"/>
      <c r="G603" s="630"/>
      <c r="H603" s="643"/>
      <c r="I603" s="66" t="s">
        <v>389</v>
      </c>
    </row>
    <row r="604" spans="1:9" s="65" customFormat="1">
      <c r="A604" s="628"/>
      <c r="B604" s="631"/>
      <c r="C604" s="632"/>
      <c r="D604" s="632"/>
      <c r="E604" s="632"/>
      <c r="F604" s="632"/>
      <c r="G604" s="632"/>
      <c r="H604" s="644"/>
      <c r="I604" s="67" t="s">
        <v>7</v>
      </c>
    </row>
    <row r="605" spans="1:9" s="65" customFormat="1">
      <c r="A605" s="68"/>
      <c r="B605" s="69"/>
      <c r="C605" s="69"/>
      <c r="D605" s="69"/>
      <c r="E605" s="69"/>
      <c r="F605" s="70"/>
      <c r="G605" s="70"/>
      <c r="H605" s="70"/>
      <c r="I605" s="71"/>
    </row>
    <row r="606" spans="1:9" s="65" customFormat="1">
      <c r="A606" s="72" t="s">
        <v>390</v>
      </c>
      <c r="B606" s="73"/>
      <c r="C606" s="73"/>
      <c r="D606" s="73"/>
      <c r="E606" s="73"/>
      <c r="F606" s="74"/>
      <c r="G606" s="74"/>
      <c r="H606" s="70"/>
      <c r="I606" s="71"/>
    </row>
    <row r="607" spans="1:9" s="65" customFormat="1">
      <c r="A607" s="75" t="s">
        <v>391</v>
      </c>
      <c r="B607" s="76" t="s">
        <v>392</v>
      </c>
      <c r="C607" s="76" t="s">
        <v>393</v>
      </c>
      <c r="D607" s="76" t="s">
        <v>394</v>
      </c>
      <c r="E607" s="76" t="s">
        <v>395</v>
      </c>
      <c r="F607" s="76" t="s">
        <v>396</v>
      </c>
      <c r="G607" s="76" t="s">
        <v>397</v>
      </c>
      <c r="H607" s="74"/>
      <c r="I607" s="71"/>
    </row>
    <row r="608" spans="1:9" s="65" customFormat="1">
      <c r="A608" s="77"/>
      <c r="B608" s="79"/>
      <c r="C608" s="79"/>
      <c r="D608" s="107"/>
      <c r="E608" s="79"/>
      <c r="F608" s="79"/>
      <c r="G608" s="107"/>
      <c r="H608" s="74"/>
      <c r="I608" s="71"/>
    </row>
    <row r="609" spans="1:9" s="65" customFormat="1">
      <c r="A609" s="82"/>
      <c r="B609" s="83"/>
      <c r="C609" s="84"/>
      <c r="D609" s="84"/>
      <c r="E609" s="84"/>
      <c r="F609"/>
      <c r="G609" s="93" t="s">
        <v>407</v>
      </c>
      <c r="H609" s="107">
        <f>SUM(G608:G608)</f>
        <v>0</v>
      </c>
      <c r="I609" s="71"/>
    </row>
    <row r="610" spans="1:9" s="65" customFormat="1">
      <c r="A610" s="72" t="s">
        <v>408</v>
      </c>
      <c r="B610" s="73"/>
      <c r="C610" s="73"/>
      <c r="D610" s="73"/>
      <c r="E610" s="73"/>
      <c r="F610"/>
      <c r="G610" s="74"/>
      <c r="H610" s="108"/>
      <c r="I610" s="71"/>
    </row>
    <row r="611" spans="1:9" s="65" customFormat="1">
      <c r="A611" s="75" t="s">
        <v>391</v>
      </c>
      <c r="B611" s="76" t="s">
        <v>392</v>
      </c>
      <c r="C611" s="76" t="s">
        <v>393</v>
      </c>
      <c r="D611" s="76" t="s">
        <v>394</v>
      </c>
      <c r="E611" s="76" t="s">
        <v>395</v>
      </c>
      <c r="F611" s="76" t="s">
        <v>396</v>
      </c>
      <c r="G611" s="76" t="s">
        <v>397</v>
      </c>
      <c r="H611" s="108"/>
      <c r="I611" s="71"/>
    </row>
    <row r="612" spans="1:9" s="65" customFormat="1" ht="25.5">
      <c r="A612" s="135"/>
      <c r="B612" s="78" t="s">
        <v>323</v>
      </c>
      <c r="C612" s="127" t="s">
        <v>493</v>
      </c>
      <c r="D612" s="107">
        <f>238000*1.16*1.2*0.5</f>
        <v>165648</v>
      </c>
      <c r="E612" s="79">
        <v>1</v>
      </c>
      <c r="F612" s="79">
        <v>0</v>
      </c>
      <c r="G612" s="107">
        <f>(D612*E612)+((D612*E612)*F612/100)</f>
        <v>165648</v>
      </c>
      <c r="H612" s="108"/>
      <c r="I612" s="71"/>
    </row>
    <row r="613" spans="1:9" s="65" customFormat="1">
      <c r="A613" s="90"/>
      <c r="B613" s="91"/>
      <c r="C613" s="91"/>
      <c r="D613" s="91"/>
      <c r="E613" s="91"/>
      <c r="F613"/>
      <c r="G613" s="85" t="s">
        <v>407</v>
      </c>
      <c r="H613" s="107">
        <f>SUM(G612:G612)</f>
        <v>165648</v>
      </c>
      <c r="I613" s="71"/>
    </row>
    <row r="614" spans="1:9" s="65" customFormat="1">
      <c r="A614" s="72" t="s">
        <v>410</v>
      </c>
      <c r="B614" s="73"/>
      <c r="C614" s="73"/>
      <c r="D614" s="73"/>
      <c r="E614" s="73"/>
      <c r="F614"/>
      <c r="G614" s="74"/>
      <c r="H614" s="108"/>
      <c r="I614" s="71"/>
    </row>
    <row r="615" spans="1:9" s="65" customFormat="1">
      <c r="A615" s="75" t="s">
        <v>391</v>
      </c>
      <c r="B615" s="76" t="s">
        <v>392</v>
      </c>
      <c r="C615" s="76" t="s">
        <v>393</v>
      </c>
      <c r="D615" s="76" t="s">
        <v>394</v>
      </c>
      <c r="E615" s="76" t="s">
        <v>395</v>
      </c>
      <c r="F615" s="76" t="s">
        <v>396</v>
      </c>
      <c r="G615" s="76" t="s">
        <v>397</v>
      </c>
      <c r="H615" s="108"/>
      <c r="I615" s="71"/>
    </row>
    <row r="616" spans="1:9" s="65" customFormat="1">
      <c r="A616" s="77"/>
      <c r="B616" s="78"/>
      <c r="C616" s="79"/>
      <c r="D616" s="107"/>
      <c r="E616" s="79"/>
      <c r="F616" s="79"/>
      <c r="G616" s="107"/>
      <c r="H616" s="108"/>
      <c r="I616" s="71"/>
    </row>
    <row r="617" spans="1:9" s="65" customFormat="1">
      <c r="A617" s="90"/>
      <c r="B617" s="91"/>
      <c r="C617" s="91"/>
      <c r="D617" s="91"/>
      <c r="E617" s="91"/>
      <c r="F617"/>
      <c r="G617" s="93" t="s">
        <v>407</v>
      </c>
      <c r="H617" s="107">
        <f>SUM(G616:G616)</f>
        <v>0</v>
      </c>
      <c r="I617" s="71"/>
    </row>
    <row r="618" spans="1:9" s="65" customFormat="1">
      <c r="A618" s="72" t="s">
        <v>411</v>
      </c>
      <c r="B618" s="73"/>
      <c r="C618" s="73"/>
      <c r="D618" s="73"/>
      <c r="E618" s="73"/>
      <c r="F618"/>
      <c r="G618" s="74"/>
      <c r="H618" s="108"/>
      <c r="I618" s="71"/>
    </row>
    <row r="619" spans="1:9" s="65" customFormat="1">
      <c r="A619" s="75" t="s">
        <v>391</v>
      </c>
      <c r="B619" s="76" t="s">
        <v>392</v>
      </c>
      <c r="C619" s="76" t="s">
        <v>393</v>
      </c>
      <c r="D619" s="76" t="s">
        <v>394</v>
      </c>
      <c r="E619" s="76" t="s">
        <v>395</v>
      </c>
      <c r="F619" s="76" t="s">
        <v>396</v>
      </c>
      <c r="G619" s="76" t="s">
        <v>397</v>
      </c>
      <c r="H619" s="108"/>
      <c r="I619" s="71"/>
    </row>
    <row r="620" spans="1:9" s="65" customFormat="1">
      <c r="A620" s="87" t="s">
        <v>409</v>
      </c>
      <c r="B620" s="114" t="s">
        <v>747</v>
      </c>
      <c r="C620" s="114" t="s">
        <v>437</v>
      </c>
      <c r="D620" s="114">
        <v>800000</v>
      </c>
      <c r="E620" s="215">
        <v>1.6666666666666666E-2</v>
      </c>
      <c r="F620" s="79">
        <v>0</v>
      </c>
      <c r="G620" s="107">
        <f>(D620*E620)+((D620*E620)*F620/100)</f>
        <v>13333.333333333334</v>
      </c>
      <c r="H620" s="108"/>
      <c r="I620" s="71"/>
    </row>
    <row r="621" spans="1:9" s="65" customFormat="1">
      <c r="A621" s="94"/>
      <c r="B621" s="95"/>
      <c r="C621" s="95"/>
      <c r="D621" s="95"/>
      <c r="E621" s="95"/>
      <c r="F621"/>
      <c r="G621" s="93" t="s">
        <v>407</v>
      </c>
      <c r="H621" s="107">
        <f>SUM(G619:G620)</f>
        <v>13333.333333333334</v>
      </c>
      <c r="I621" s="71"/>
    </row>
    <row r="622" spans="1:9" s="65" customFormat="1">
      <c r="A622" s="94"/>
      <c r="B622" s="95"/>
      <c r="C622" s="95"/>
      <c r="D622" s="95"/>
      <c r="E622" s="95"/>
      <c r="F622"/>
      <c r="G622" s="74"/>
      <c r="H622" s="74"/>
      <c r="I622" s="71"/>
    </row>
    <row r="623" spans="1:9" s="65" customFormat="1">
      <c r="A623" s="96"/>
      <c r="B623" s="97"/>
      <c r="C623" s="98"/>
      <c r="D623" s="98"/>
      <c r="E623" s="98"/>
      <c r="F623"/>
      <c r="G623" s="99" t="s">
        <v>412</v>
      </c>
      <c r="H623" s="115">
        <f>SUM(H609:H621)</f>
        <v>178981.33333333334</v>
      </c>
      <c r="I623" s="71"/>
    </row>
    <row r="624" spans="1:9" s="65" customFormat="1">
      <c r="A624" s="96"/>
      <c r="B624" s="97"/>
      <c r="C624" s="98"/>
      <c r="D624" s="98"/>
      <c r="E624" s="98"/>
      <c r="F624" s="101"/>
      <c r="G624" s="116"/>
      <c r="H624" s="70"/>
      <c r="I624" s="71"/>
    </row>
    <row r="625" spans="1:9" s="65" customFormat="1" ht="15.75" thickBot="1">
      <c r="A625" s="624" t="s">
        <v>502</v>
      </c>
      <c r="B625" s="625"/>
      <c r="C625" s="625"/>
      <c r="D625" s="625"/>
      <c r="E625" s="625"/>
      <c r="F625" s="625"/>
      <c r="G625" s="626"/>
      <c r="H625" s="117">
        <f>+ROUND(H623,0)</f>
        <v>178981</v>
      </c>
      <c r="I625" s="103"/>
    </row>
    <row r="626" spans="1:9" s="65" customFormat="1">
      <c r="A626" s="128"/>
      <c r="B626" s="141"/>
      <c r="C626" s="141"/>
      <c r="D626" s="141"/>
      <c r="E626" s="141"/>
      <c r="F626" s="141"/>
      <c r="G626" s="141"/>
      <c r="H626" s="140"/>
    </row>
    <row r="627" spans="1:9" s="65" customFormat="1" ht="15.75" thickBot="1">
      <c r="A627" s="142"/>
      <c r="B627" s="143"/>
      <c r="C627" s="143"/>
      <c r="D627" s="143"/>
      <c r="E627" s="143"/>
      <c r="F627" s="84"/>
      <c r="G627" s="144"/>
      <c r="H627" s="145"/>
    </row>
    <row r="628" spans="1:9" s="65" customFormat="1">
      <c r="A628" s="627"/>
      <c r="B628" s="629" t="s">
        <v>779</v>
      </c>
      <c r="C628" s="630"/>
      <c r="D628" s="630"/>
      <c r="E628" s="630"/>
      <c r="F628" s="630"/>
      <c r="G628" s="630"/>
      <c r="H628" s="643"/>
      <c r="I628" s="66" t="s">
        <v>389</v>
      </c>
    </row>
    <row r="629" spans="1:9" s="65" customFormat="1">
      <c r="A629" s="628"/>
      <c r="B629" s="631"/>
      <c r="C629" s="632"/>
      <c r="D629" s="632"/>
      <c r="E629" s="632"/>
      <c r="F629" s="632"/>
      <c r="G629" s="632"/>
      <c r="H629" s="644"/>
      <c r="I629" s="67" t="s">
        <v>157</v>
      </c>
    </row>
    <row r="630" spans="1:9" s="65" customFormat="1">
      <c r="A630" s="68"/>
      <c r="B630" s="69"/>
      <c r="C630" s="69"/>
      <c r="D630" s="69"/>
      <c r="E630" s="69"/>
      <c r="F630" s="70"/>
      <c r="G630" s="70"/>
      <c r="H630" s="70"/>
      <c r="I630" s="71"/>
    </row>
    <row r="631" spans="1:9" s="65" customFormat="1">
      <c r="A631" s="72" t="s">
        <v>390</v>
      </c>
      <c r="B631" s="73"/>
      <c r="C631" s="73"/>
      <c r="D631" s="73"/>
      <c r="E631" s="73"/>
      <c r="F631" s="74"/>
      <c r="G631" s="74"/>
      <c r="H631" s="70"/>
      <c r="I631" s="71"/>
    </row>
    <row r="632" spans="1:9" s="65" customFormat="1">
      <c r="A632" s="75" t="s">
        <v>391</v>
      </c>
      <c r="B632" s="76" t="s">
        <v>392</v>
      </c>
      <c r="C632" s="76" t="s">
        <v>393</v>
      </c>
      <c r="D632" s="76" t="s">
        <v>394</v>
      </c>
      <c r="E632" s="76" t="s">
        <v>395</v>
      </c>
      <c r="F632" s="76" t="s">
        <v>396</v>
      </c>
      <c r="G632" s="76" t="s">
        <v>397</v>
      </c>
      <c r="H632" s="74"/>
      <c r="I632" s="71"/>
    </row>
    <row r="633" spans="1:9" s="65" customFormat="1">
      <c r="A633" s="77"/>
      <c r="B633" s="79"/>
      <c r="C633" s="79"/>
      <c r="D633" s="107"/>
      <c r="E633" s="79"/>
      <c r="F633" s="79"/>
      <c r="G633" s="107"/>
      <c r="H633" s="74"/>
      <c r="I633" s="71"/>
    </row>
    <row r="634" spans="1:9" s="65" customFormat="1">
      <c r="A634" s="82"/>
      <c r="B634" s="83"/>
      <c r="C634" s="84"/>
      <c r="D634" s="84"/>
      <c r="E634" s="84"/>
      <c r="F634"/>
      <c r="G634" s="93" t="s">
        <v>407</v>
      </c>
      <c r="H634" s="107">
        <f>SUM(G633:G633)</f>
        <v>0</v>
      </c>
      <c r="I634" s="71"/>
    </row>
    <row r="635" spans="1:9" s="65" customFormat="1">
      <c r="A635" s="72" t="s">
        <v>408</v>
      </c>
      <c r="B635" s="73"/>
      <c r="C635" s="73"/>
      <c r="D635" s="73"/>
      <c r="E635" s="73"/>
      <c r="F635"/>
      <c r="G635" s="74"/>
      <c r="H635" s="108"/>
      <c r="I635" s="71"/>
    </row>
    <row r="636" spans="1:9" s="65" customFormat="1">
      <c r="A636" s="75" t="s">
        <v>391</v>
      </c>
      <c r="B636" s="76" t="s">
        <v>392</v>
      </c>
      <c r="C636" s="76" t="s">
        <v>393</v>
      </c>
      <c r="D636" s="76" t="s">
        <v>394</v>
      </c>
      <c r="E636" s="76" t="s">
        <v>395</v>
      </c>
      <c r="F636" s="76" t="s">
        <v>396</v>
      </c>
      <c r="G636" s="76" t="s">
        <v>397</v>
      </c>
      <c r="H636" s="108"/>
      <c r="I636" s="71"/>
    </row>
    <row r="637" spans="1:9" s="65" customFormat="1" ht="25.5">
      <c r="A637" s="135"/>
      <c r="B637" s="78" t="s">
        <v>779</v>
      </c>
      <c r="C637" s="127" t="s">
        <v>157</v>
      </c>
      <c r="D637" s="107">
        <f>4600000*1.2*1.16</f>
        <v>6403200</v>
      </c>
      <c r="E637" s="79">
        <v>1</v>
      </c>
      <c r="F637" s="79">
        <v>0</v>
      </c>
      <c r="G637" s="107">
        <f>(D637*E637)+((D637*E637)*F637/100)</f>
        <v>6403200</v>
      </c>
      <c r="H637" s="108"/>
      <c r="I637" s="71"/>
    </row>
    <row r="638" spans="1:9" s="65" customFormat="1">
      <c r="A638" s="90"/>
      <c r="B638" s="91"/>
      <c r="C638" s="91"/>
      <c r="D638" s="91"/>
      <c r="E638" s="91"/>
      <c r="F638"/>
      <c r="G638" s="85" t="s">
        <v>407</v>
      </c>
      <c r="H638" s="107">
        <f>SUM(G637:G637)</f>
        <v>6403200</v>
      </c>
      <c r="I638" s="71"/>
    </row>
    <row r="639" spans="1:9" s="65" customFormat="1">
      <c r="A639" s="72" t="s">
        <v>410</v>
      </c>
      <c r="B639" s="73"/>
      <c r="C639" s="73"/>
      <c r="D639" s="73"/>
      <c r="E639" s="73"/>
      <c r="F639"/>
      <c r="G639" s="74"/>
      <c r="H639" s="108"/>
      <c r="I639" s="71"/>
    </row>
    <row r="640" spans="1:9" s="65" customFormat="1">
      <c r="A640" s="75" t="s">
        <v>391</v>
      </c>
      <c r="B640" s="76" t="s">
        <v>392</v>
      </c>
      <c r="C640" s="76" t="s">
        <v>393</v>
      </c>
      <c r="D640" s="76" t="s">
        <v>394</v>
      </c>
      <c r="E640" s="76" t="s">
        <v>395</v>
      </c>
      <c r="F640" s="76" t="s">
        <v>396</v>
      </c>
      <c r="G640" s="76" t="s">
        <v>397</v>
      </c>
      <c r="H640" s="108"/>
      <c r="I640" s="71"/>
    </row>
    <row r="641" spans="1:9" s="65" customFormat="1">
      <c r="A641" s="77"/>
      <c r="B641" s="78"/>
      <c r="C641" s="79"/>
      <c r="D641" s="107"/>
      <c r="E641" s="79"/>
      <c r="F641" s="79"/>
      <c r="G641" s="107"/>
      <c r="H641" s="108"/>
      <c r="I641" s="71"/>
    </row>
    <row r="642" spans="1:9" s="65" customFormat="1">
      <c r="A642" s="90"/>
      <c r="B642" s="91"/>
      <c r="C642" s="91"/>
      <c r="D642" s="91"/>
      <c r="E642" s="91"/>
      <c r="F642"/>
      <c r="G642" s="93" t="s">
        <v>407</v>
      </c>
      <c r="H642" s="107">
        <f>SUM(G641:G641)</f>
        <v>0</v>
      </c>
      <c r="I642" s="71"/>
    </row>
    <row r="643" spans="1:9" s="65" customFormat="1">
      <c r="A643" s="72" t="s">
        <v>411</v>
      </c>
      <c r="B643" s="73"/>
      <c r="C643" s="73"/>
      <c r="D643" s="73"/>
      <c r="E643" s="73"/>
      <c r="F643"/>
      <c r="G643" s="74"/>
      <c r="H643" s="108"/>
      <c r="I643" s="71"/>
    </row>
    <row r="644" spans="1:9" s="65" customFormat="1">
      <c r="A644" s="75" t="s">
        <v>391</v>
      </c>
      <c r="B644" s="76" t="s">
        <v>392</v>
      </c>
      <c r="C644" s="76" t="s">
        <v>393</v>
      </c>
      <c r="D644" s="76" t="s">
        <v>394</v>
      </c>
      <c r="E644" s="76" t="s">
        <v>395</v>
      </c>
      <c r="F644" s="76" t="s">
        <v>396</v>
      </c>
      <c r="G644" s="76" t="s">
        <v>397</v>
      </c>
      <c r="H644" s="108"/>
      <c r="I644" s="71"/>
    </row>
    <row r="645" spans="1:9" s="65" customFormat="1">
      <c r="A645" s="87" t="s">
        <v>409</v>
      </c>
      <c r="B645" s="114" t="s">
        <v>747</v>
      </c>
      <c r="C645" s="114" t="s">
        <v>437</v>
      </c>
      <c r="D645" s="114">
        <v>800000</v>
      </c>
      <c r="E645" s="215">
        <v>2.7777777777777776E-2</v>
      </c>
      <c r="F645" s="79">
        <v>0</v>
      </c>
      <c r="G645" s="107">
        <f>(D645*E645)+((D645*E645)*F645/100)</f>
        <v>22222.222222222223</v>
      </c>
      <c r="H645" s="108"/>
      <c r="I645" s="71"/>
    </row>
    <row r="646" spans="1:9" s="65" customFormat="1">
      <c r="A646" s="94"/>
      <c r="B646" s="95"/>
      <c r="C646" s="95"/>
      <c r="D646" s="95"/>
      <c r="E646" s="95"/>
      <c r="F646"/>
      <c r="G646" s="93" t="s">
        <v>407</v>
      </c>
      <c r="H646" s="107">
        <f>SUM(G644:G645)</f>
        <v>22222.222222222223</v>
      </c>
      <c r="I646" s="71"/>
    </row>
    <row r="647" spans="1:9" s="65" customFormat="1">
      <c r="A647" s="94"/>
      <c r="B647" s="95"/>
      <c r="C647" s="95"/>
      <c r="D647" s="95"/>
      <c r="E647" s="95"/>
      <c r="F647"/>
      <c r="G647" s="74"/>
      <c r="H647" s="74"/>
      <c r="I647" s="71"/>
    </row>
    <row r="648" spans="1:9" s="65" customFormat="1">
      <c r="A648" s="96"/>
      <c r="B648" s="97"/>
      <c r="C648" s="98"/>
      <c r="D648" s="98"/>
      <c r="E648" s="98"/>
      <c r="F648"/>
      <c r="G648" s="99" t="s">
        <v>412</v>
      </c>
      <c r="H648" s="115">
        <f>SUM(H634:H646)</f>
        <v>6425422.222222222</v>
      </c>
      <c r="I648" s="71"/>
    </row>
    <row r="649" spans="1:9" s="65" customFormat="1">
      <c r="A649" s="96"/>
      <c r="B649" s="97"/>
      <c r="C649" s="98"/>
      <c r="D649" s="98"/>
      <c r="E649" s="98"/>
      <c r="F649" s="101"/>
      <c r="G649" s="116"/>
      <c r="H649" s="70"/>
      <c r="I649" s="71"/>
    </row>
    <row r="650" spans="1:9" s="65" customFormat="1" ht="15.75" thickBot="1">
      <c r="A650" s="624" t="s">
        <v>761</v>
      </c>
      <c r="B650" s="625"/>
      <c r="C650" s="625"/>
      <c r="D650" s="625"/>
      <c r="E650" s="625"/>
      <c r="F650" s="625"/>
      <c r="G650" s="626"/>
      <c r="H650" s="117">
        <f>+ROUND(H648,0)</f>
        <v>6425422</v>
      </c>
      <c r="I650" s="103"/>
    </row>
    <row r="651" spans="1:9" s="65" customFormat="1">
      <c r="A651" s="142"/>
      <c r="B651" s="143"/>
      <c r="C651" s="143"/>
      <c r="D651" s="143"/>
      <c r="E651" s="143"/>
      <c r="F651" s="84"/>
      <c r="G651" s="144"/>
      <c r="H651" s="145"/>
    </row>
    <row r="652" spans="1:9" s="65" customFormat="1" ht="15.75" thickBot="1">
      <c r="A652" s="91"/>
      <c r="B652" s="91"/>
      <c r="C652" s="91"/>
      <c r="D652" s="91"/>
      <c r="E652" s="91"/>
      <c r="G652" s="104"/>
      <c r="H652" s="140"/>
    </row>
    <row r="653" spans="1:9" s="65" customFormat="1">
      <c r="A653" s="627"/>
      <c r="B653" s="629" t="s">
        <v>780</v>
      </c>
      <c r="C653" s="630"/>
      <c r="D653" s="630"/>
      <c r="E653" s="630"/>
      <c r="F653" s="630"/>
      <c r="G653" s="630"/>
      <c r="H653" s="643"/>
      <c r="I653" s="66" t="s">
        <v>389</v>
      </c>
    </row>
    <row r="654" spans="1:9" s="65" customFormat="1">
      <c r="A654" s="628"/>
      <c r="B654" s="631"/>
      <c r="C654" s="632"/>
      <c r="D654" s="632"/>
      <c r="E654" s="632"/>
      <c r="F654" s="632"/>
      <c r="G654" s="632"/>
      <c r="H654" s="644"/>
      <c r="I654" s="67" t="s">
        <v>157</v>
      </c>
    </row>
    <row r="655" spans="1:9" s="65" customFormat="1">
      <c r="A655" s="68"/>
      <c r="B655" s="69"/>
      <c r="C655" s="69"/>
      <c r="D655" s="69"/>
      <c r="E655" s="69"/>
      <c r="F655" s="70"/>
      <c r="G655" s="70"/>
      <c r="H655" s="70"/>
      <c r="I655" s="71"/>
    </row>
    <row r="656" spans="1:9" s="65" customFormat="1">
      <c r="A656" s="72" t="s">
        <v>390</v>
      </c>
      <c r="B656" s="73"/>
      <c r="C656" s="73"/>
      <c r="D656" s="73"/>
      <c r="E656" s="73"/>
      <c r="F656" s="74"/>
      <c r="G656" s="74"/>
      <c r="H656" s="70"/>
      <c r="I656" s="71"/>
    </row>
    <row r="657" spans="1:9" s="65" customFormat="1">
      <c r="A657" s="75" t="s">
        <v>391</v>
      </c>
      <c r="B657" s="76" t="s">
        <v>392</v>
      </c>
      <c r="C657" s="76" t="s">
        <v>393</v>
      </c>
      <c r="D657" s="76" t="s">
        <v>394</v>
      </c>
      <c r="E657" s="76" t="s">
        <v>395</v>
      </c>
      <c r="F657" s="76" t="s">
        <v>396</v>
      </c>
      <c r="G657" s="76" t="s">
        <v>397</v>
      </c>
      <c r="H657" s="74"/>
      <c r="I657" s="71"/>
    </row>
    <row r="658" spans="1:9" s="65" customFormat="1">
      <c r="A658" s="77"/>
      <c r="B658" s="79"/>
      <c r="C658" s="79"/>
      <c r="D658" s="107"/>
      <c r="E658" s="79"/>
      <c r="F658" s="79"/>
      <c r="G658" s="107"/>
      <c r="H658" s="74"/>
      <c r="I658" s="71"/>
    </row>
    <row r="659" spans="1:9" s="65" customFormat="1">
      <c r="A659" s="82"/>
      <c r="B659" s="83"/>
      <c r="C659" s="84"/>
      <c r="D659" s="84"/>
      <c r="E659" s="84"/>
      <c r="F659"/>
      <c r="G659" s="93" t="s">
        <v>407</v>
      </c>
      <c r="H659" s="107">
        <f>SUM(G658:G658)</f>
        <v>0</v>
      </c>
      <c r="I659" s="71"/>
    </row>
    <row r="660" spans="1:9" s="65" customFormat="1">
      <c r="A660" s="72" t="s">
        <v>408</v>
      </c>
      <c r="B660" s="73"/>
      <c r="C660" s="73"/>
      <c r="D660" s="73"/>
      <c r="E660" s="73"/>
      <c r="F660"/>
      <c r="G660" s="74"/>
      <c r="H660" s="108"/>
      <c r="I660" s="71"/>
    </row>
    <row r="661" spans="1:9" s="65" customFormat="1">
      <c r="A661" s="75" t="s">
        <v>391</v>
      </c>
      <c r="B661" s="76" t="s">
        <v>392</v>
      </c>
      <c r="C661" s="76" t="s">
        <v>393</v>
      </c>
      <c r="D661" s="76" t="s">
        <v>394</v>
      </c>
      <c r="E661" s="76" t="s">
        <v>395</v>
      </c>
      <c r="F661" s="76" t="s">
        <v>396</v>
      </c>
      <c r="G661" s="76" t="s">
        <v>397</v>
      </c>
      <c r="H661" s="108"/>
      <c r="I661" s="71"/>
    </row>
    <row r="662" spans="1:9" s="65" customFormat="1" ht="25.5">
      <c r="A662" s="135"/>
      <c r="B662" s="78" t="s">
        <v>780</v>
      </c>
      <c r="C662" s="127" t="s">
        <v>157</v>
      </c>
      <c r="D662" s="107">
        <f>4900000*1.2*1.16</f>
        <v>6820799.9999999991</v>
      </c>
      <c r="E662" s="79">
        <v>1</v>
      </c>
      <c r="F662" s="79">
        <v>0</v>
      </c>
      <c r="G662" s="107">
        <f>(D662*E662)+((D662*E662)*F662/100)</f>
        <v>6820799.9999999991</v>
      </c>
      <c r="H662" s="108"/>
      <c r="I662" s="71"/>
    </row>
    <row r="663" spans="1:9" s="65" customFormat="1">
      <c r="A663" s="90"/>
      <c r="B663" s="91"/>
      <c r="C663" s="91"/>
      <c r="D663" s="91"/>
      <c r="E663" s="91"/>
      <c r="F663"/>
      <c r="G663" s="85" t="s">
        <v>407</v>
      </c>
      <c r="H663" s="107">
        <f>SUM(G662:G662)</f>
        <v>6820799.9999999991</v>
      </c>
      <c r="I663" s="71"/>
    </row>
    <row r="664" spans="1:9" s="65" customFormat="1">
      <c r="A664" s="72" t="s">
        <v>410</v>
      </c>
      <c r="B664" s="73"/>
      <c r="C664" s="73"/>
      <c r="D664" s="73"/>
      <c r="E664" s="73"/>
      <c r="F664"/>
      <c r="G664" s="74"/>
      <c r="H664" s="108"/>
      <c r="I664" s="71"/>
    </row>
    <row r="665" spans="1:9" s="65" customFormat="1">
      <c r="A665" s="75" t="s">
        <v>391</v>
      </c>
      <c r="B665" s="76" t="s">
        <v>392</v>
      </c>
      <c r="C665" s="76" t="s">
        <v>393</v>
      </c>
      <c r="D665" s="76" t="s">
        <v>394</v>
      </c>
      <c r="E665" s="76" t="s">
        <v>395</v>
      </c>
      <c r="F665" s="76" t="s">
        <v>396</v>
      </c>
      <c r="G665" s="76" t="s">
        <v>397</v>
      </c>
      <c r="H665" s="108"/>
      <c r="I665" s="71"/>
    </row>
    <row r="666" spans="1:9" s="65" customFormat="1" ht="40.5" customHeight="1">
      <c r="A666" s="77"/>
      <c r="B666" s="78"/>
      <c r="C666" s="79"/>
      <c r="D666" s="107"/>
      <c r="E666" s="79"/>
      <c r="F666" s="79"/>
      <c r="G666" s="107"/>
      <c r="H666" s="108"/>
      <c r="I666" s="71"/>
    </row>
    <row r="667" spans="1:9" s="65" customFormat="1">
      <c r="A667" s="90"/>
      <c r="B667" s="91"/>
      <c r="C667" s="91"/>
      <c r="D667" s="91"/>
      <c r="E667" s="91"/>
      <c r="F667"/>
      <c r="G667" s="93" t="s">
        <v>407</v>
      </c>
      <c r="H667" s="107">
        <f>SUM(G666:G666)</f>
        <v>0</v>
      </c>
      <c r="I667" s="71"/>
    </row>
    <row r="668" spans="1:9" s="65" customFormat="1">
      <c r="A668" s="72" t="s">
        <v>411</v>
      </c>
      <c r="B668" s="73"/>
      <c r="C668" s="73"/>
      <c r="D668" s="73"/>
      <c r="E668" s="73"/>
      <c r="F668"/>
      <c r="G668" s="74"/>
      <c r="H668" s="108"/>
      <c r="I668" s="71"/>
    </row>
    <row r="669" spans="1:9" s="65" customFormat="1">
      <c r="A669" s="75" t="s">
        <v>391</v>
      </c>
      <c r="B669" s="76" t="s">
        <v>392</v>
      </c>
      <c r="C669" s="76" t="s">
        <v>393</v>
      </c>
      <c r="D669" s="76" t="s">
        <v>394</v>
      </c>
      <c r="E669" s="76" t="s">
        <v>395</v>
      </c>
      <c r="F669" s="76" t="s">
        <v>396</v>
      </c>
      <c r="G669" s="76" t="s">
        <v>397</v>
      </c>
      <c r="H669" s="108"/>
      <c r="I669" s="71"/>
    </row>
    <row r="670" spans="1:9" s="65" customFormat="1">
      <c r="A670" s="87" t="s">
        <v>409</v>
      </c>
      <c r="B670" s="114" t="s">
        <v>747</v>
      </c>
      <c r="C670" s="114" t="s">
        <v>437</v>
      </c>
      <c r="D670" s="114">
        <v>800000</v>
      </c>
      <c r="E670" s="215">
        <v>0.04</v>
      </c>
      <c r="F670" s="79">
        <v>0</v>
      </c>
      <c r="G670" s="107">
        <f>(D670*E670)+((D670*E670)*F670/100)</f>
        <v>32000</v>
      </c>
      <c r="H670" s="108"/>
      <c r="I670" s="71"/>
    </row>
    <row r="671" spans="1:9" s="65" customFormat="1">
      <c r="A671" s="94"/>
      <c r="B671" s="95"/>
      <c r="C671" s="95"/>
      <c r="D671" s="95"/>
      <c r="E671" s="95"/>
      <c r="F671"/>
      <c r="G671" s="93" t="s">
        <v>407</v>
      </c>
      <c r="H671" s="107">
        <f>SUM(G669:G670)</f>
        <v>32000</v>
      </c>
      <c r="I671" s="71"/>
    </row>
    <row r="672" spans="1:9" s="65" customFormat="1">
      <c r="A672" s="94"/>
      <c r="B672" s="95"/>
      <c r="C672" s="95"/>
      <c r="D672" s="95"/>
      <c r="E672" s="95"/>
      <c r="F672"/>
      <c r="G672" s="74"/>
      <c r="H672" s="74"/>
      <c r="I672" s="71"/>
    </row>
    <row r="673" spans="1:9" s="65" customFormat="1">
      <c r="A673" s="96"/>
      <c r="B673" s="97"/>
      <c r="C673" s="98"/>
      <c r="D673" s="98"/>
      <c r="E673" s="98"/>
      <c r="F673"/>
      <c r="G673" s="99" t="s">
        <v>412</v>
      </c>
      <c r="H673" s="115">
        <f>SUM(H659:H671)</f>
        <v>6852799.9999999991</v>
      </c>
      <c r="I673" s="71"/>
    </row>
    <row r="674" spans="1:9" s="65" customFormat="1">
      <c r="A674" s="96"/>
      <c r="B674" s="97"/>
      <c r="C674" s="98"/>
      <c r="D674" s="98"/>
      <c r="E674" s="98"/>
      <c r="F674" s="101"/>
      <c r="G674" s="116"/>
      <c r="H674" s="70"/>
      <c r="I674" s="71"/>
    </row>
    <row r="675" spans="1:9" s="65" customFormat="1" ht="15.75" thickBot="1">
      <c r="A675" s="624" t="s">
        <v>761</v>
      </c>
      <c r="B675" s="625"/>
      <c r="C675" s="625"/>
      <c r="D675" s="625"/>
      <c r="E675" s="625"/>
      <c r="F675" s="625"/>
      <c r="G675" s="626"/>
      <c r="H675" s="117">
        <f>+ROUND(H673,0)</f>
        <v>6852800</v>
      </c>
      <c r="I675" s="103"/>
    </row>
    <row r="676" spans="1:9" s="65" customFormat="1">
      <c r="A676" s="91"/>
      <c r="B676" s="91"/>
      <c r="C676" s="91"/>
      <c r="D676" s="91"/>
      <c r="E676" s="91"/>
      <c r="G676" s="104"/>
      <c r="H676" s="140"/>
    </row>
    <row r="677" spans="1:9" s="65" customFormat="1" ht="15.75" thickBot="1">
      <c r="A677" s="120"/>
      <c r="B677" s="73"/>
      <c r="C677" s="73"/>
      <c r="D677" s="73"/>
      <c r="E677" s="73"/>
      <c r="G677" s="121"/>
      <c r="H677" s="140"/>
    </row>
    <row r="678" spans="1:9" s="65" customFormat="1">
      <c r="A678" s="627"/>
      <c r="B678" s="629" t="s">
        <v>781</v>
      </c>
      <c r="C678" s="630"/>
      <c r="D678" s="630"/>
      <c r="E678" s="630"/>
      <c r="F678" s="630"/>
      <c r="G678" s="630"/>
      <c r="H678" s="643"/>
      <c r="I678" s="66" t="s">
        <v>389</v>
      </c>
    </row>
    <row r="679" spans="1:9" s="65" customFormat="1">
      <c r="A679" s="628"/>
      <c r="B679" s="631"/>
      <c r="C679" s="632"/>
      <c r="D679" s="632"/>
      <c r="E679" s="632"/>
      <c r="F679" s="632"/>
      <c r="G679" s="632"/>
      <c r="H679" s="644"/>
      <c r="I679" s="67" t="s">
        <v>157</v>
      </c>
    </row>
    <row r="680" spans="1:9" s="65" customFormat="1">
      <c r="A680" s="68"/>
      <c r="B680" s="69"/>
      <c r="C680" s="69"/>
      <c r="D680" s="69"/>
      <c r="E680" s="69"/>
      <c r="F680" s="70"/>
      <c r="G680" s="70"/>
      <c r="H680" s="70"/>
      <c r="I680" s="71"/>
    </row>
    <row r="681" spans="1:9" s="65" customFormat="1">
      <c r="A681" s="72" t="s">
        <v>390</v>
      </c>
      <c r="B681" s="73"/>
      <c r="C681" s="73"/>
      <c r="D681" s="73"/>
      <c r="E681" s="73"/>
      <c r="F681" s="74"/>
      <c r="G681" s="74"/>
      <c r="H681" s="70"/>
      <c r="I681" s="71"/>
    </row>
    <row r="682" spans="1:9" s="65" customFormat="1">
      <c r="A682" s="75" t="s">
        <v>391</v>
      </c>
      <c r="B682" s="76" t="s">
        <v>392</v>
      </c>
      <c r="C682" s="76" t="s">
        <v>393</v>
      </c>
      <c r="D682" s="76" t="s">
        <v>394</v>
      </c>
      <c r="E682" s="76" t="s">
        <v>395</v>
      </c>
      <c r="F682" s="76" t="s">
        <v>396</v>
      </c>
      <c r="G682" s="76" t="s">
        <v>397</v>
      </c>
      <c r="H682" s="74"/>
      <c r="I682" s="71"/>
    </row>
    <row r="683" spans="1:9" s="65" customFormat="1">
      <c r="A683" s="77"/>
      <c r="B683" s="79"/>
      <c r="C683" s="79"/>
      <c r="D683" s="107"/>
      <c r="E683" s="79"/>
      <c r="F683" s="79"/>
      <c r="G683" s="107"/>
      <c r="H683" s="74"/>
      <c r="I683" s="71"/>
    </row>
    <row r="684" spans="1:9" s="65" customFormat="1">
      <c r="A684" s="82"/>
      <c r="B684" s="83"/>
      <c r="C684" s="84"/>
      <c r="D684" s="84"/>
      <c r="E684" s="84"/>
      <c r="F684"/>
      <c r="G684" s="93" t="s">
        <v>407</v>
      </c>
      <c r="H684" s="107">
        <f>SUM(G683:G683)</f>
        <v>0</v>
      </c>
      <c r="I684" s="71"/>
    </row>
    <row r="685" spans="1:9" s="65" customFormat="1">
      <c r="A685" s="72" t="s">
        <v>408</v>
      </c>
      <c r="B685" s="73"/>
      <c r="C685" s="73"/>
      <c r="D685" s="73"/>
      <c r="E685" s="73"/>
      <c r="F685"/>
      <c r="G685" s="74"/>
      <c r="H685" s="108"/>
      <c r="I685" s="71"/>
    </row>
    <row r="686" spans="1:9" s="65" customFormat="1">
      <c r="A686" s="75" t="s">
        <v>391</v>
      </c>
      <c r="B686" s="76" t="s">
        <v>392</v>
      </c>
      <c r="C686" s="76" t="s">
        <v>393</v>
      </c>
      <c r="D686" s="76" t="s">
        <v>394</v>
      </c>
      <c r="E686" s="76" t="s">
        <v>395</v>
      </c>
      <c r="F686" s="76" t="s">
        <v>396</v>
      </c>
      <c r="G686" s="76" t="s">
        <v>397</v>
      </c>
      <c r="H686" s="108"/>
      <c r="I686" s="71"/>
    </row>
    <row r="687" spans="1:9" s="65" customFormat="1" ht="25.5">
      <c r="A687" s="135"/>
      <c r="B687" s="78" t="s">
        <v>781</v>
      </c>
      <c r="C687" s="127" t="s">
        <v>157</v>
      </c>
      <c r="D687" s="107">
        <f>5800000*1.2*1.16</f>
        <v>8073599.9999999991</v>
      </c>
      <c r="E687" s="79">
        <v>1</v>
      </c>
      <c r="F687" s="79">
        <v>0</v>
      </c>
      <c r="G687" s="107">
        <f>(D687*E687)+((D687*E687)*F687/100)</f>
        <v>8073599.9999999991</v>
      </c>
      <c r="H687" s="108"/>
      <c r="I687" s="71"/>
    </row>
    <row r="688" spans="1:9" s="65" customFormat="1">
      <c r="A688" s="90"/>
      <c r="B688" s="91"/>
      <c r="C688" s="91"/>
      <c r="D688" s="91"/>
      <c r="E688" s="91"/>
      <c r="F688"/>
      <c r="G688" s="85" t="s">
        <v>407</v>
      </c>
      <c r="H688" s="107">
        <f>SUM(G687:G687)</f>
        <v>8073599.9999999991</v>
      </c>
      <c r="I688" s="71"/>
    </row>
    <row r="689" spans="1:9" s="65" customFormat="1">
      <c r="A689" s="72" t="s">
        <v>410</v>
      </c>
      <c r="B689" s="73"/>
      <c r="C689" s="73"/>
      <c r="D689" s="73"/>
      <c r="E689" s="73"/>
      <c r="F689"/>
      <c r="G689" s="74"/>
      <c r="H689" s="108"/>
      <c r="I689" s="71"/>
    </row>
    <row r="690" spans="1:9" s="65" customFormat="1">
      <c r="A690" s="75" t="s">
        <v>391</v>
      </c>
      <c r="B690" s="76" t="s">
        <v>392</v>
      </c>
      <c r="C690" s="76" t="s">
        <v>393</v>
      </c>
      <c r="D690" s="76" t="s">
        <v>394</v>
      </c>
      <c r="E690" s="76" t="s">
        <v>395</v>
      </c>
      <c r="F690" s="76" t="s">
        <v>396</v>
      </c>
      <c r="G690" s="76" t="s">
        <v>397</v>
      </c>
      <c r="H690" s="108"/>
      <c r="I690" s="71"/>
    </row>
    <row r="691" spans="1:9" s="65" customFormat="1">
      <c r="A691" s="77"/>
      <c r="B691" s="78"/>
      <c r="C691" s="79"/>
      <c r="D691" s="107"/>
      <c r="E691" s="79"/>
      <c r="F691" s="79"/>
      <c r="G691" s="107"/>
      <c r="H691" s="108"/>
      <c r="I691" s="71"/>
    </row>
    <row r="692" spans="1:9" s="65" customFormat="1">
      <c r="A692" s="90"/>
      <c r="B692" s="91"/>
      <c r="C692" s="91"/>
      <c r="D692" s="91"/>
      <c r="E692" s="91"/>
      <c r="F692"/>
      <c r="G692" s="93" t="s">
        <v>407</v>
      </c>
      <c r="H692" s="107">
        <f>SUM(G691:G691)</f>
        <v>0</v>
      </c>
      <c r="I692" s="71"/>
    </row>
    <row r="693" spans="1:9" s="65" customFormat="1">
      <c r="A693" s="72" t="s">
        <v>411</v>
      </c>
      <c r="B693" s="73"/>
      <c r="C693" s="73"/>
      <c r="D693" s="73"/>
      <c r="E693" s="73"/>
      <c r="F693"/>
      <c r="G693" s="74"/>
      <c r="H693" s="108"/>
      <c r="I693" s="71"/>
    </row>
    <row r="694" spans="1:9" s="65" customFormat="1">
      <c r="A694" s="75" t="s">
        <v>391</v>
      </c>
      <c r="B694" s="76" t="s">
        <v>392</v>
      </c>
      <c r="C694" s="76" t="s">
        <v>393</v>
      </c>
      <c r="D694" s="76" t="s">
        <v>394</v>
      </c>
      <c r="E694" s="76" t="s">
        <v>395</v>
      </c>
      <c r="F694" s="76" t="s">
        <v>396</v>
      </c>
      <c r="G694" s="76" t="s">
        <v>397</v>
      </c>
      <c r="H694" s="108"/>
      <c r="I694" s="71"/>
    </row>
    <row r="695" spans="1:9" s="65" customFormat="1">
      <c r="A695" s="87" t="s">
        <v>409</v>
      </c>
      <c r="B695" s="114" t="s">
        <v>747</v>
      </c>
      <c r="C695" s="114" t="s">
        <v>437</v>
      </c>
      <c r="D695" s="114">
        <v>800000</v>
      </c>
      <c r="E695" s="215">
        <v>3.5714285714285712E-2</v>
      </c>
      <c r="F695" s="79">
        <v>0</v>
      </c>
      <c r="G695" s="107">
        <f>(D695*E695)+((D695*E695)*F695/100)</f>
        <v>28571.428571428569</v>
      </c>
      <c r="H695" s="108"/>
      <c r="I695" s="71"/>
    </row>
    <row r="696" spans="1:9" s="65" customFormat="1">
      <c r="A696" s="94"/>
      <c r="B696" s="95"/>
      <c r="C696" s="95"/>
      <c r="D696" s="95"/>
      <c r="E696" s="95"/>
      <c r="F696"/>
      <c r="G696" s="93" t="s">
        <v>407</v>
      </c>
      <c r="H696" s="107">
        <f>SUM(G694:G695)</f>
        <v>28571.428571428569</v>
      </c>
      <c r="I696" s="71"/>
    </row>
    <row r="697" spans="1:9" s="65" customFormat="1">
      <c r="A697" s="94"/>
      <c r="B697" s="95"/>
      <c r="C697" s="95"/>
      <c r="D697" s="95"/>
      <c r="E697" s="95"/>
      <c r="F697"/>
      <c r="G697" s="74"/>
      <c r="H697" s="74"/>
      <c r="I697" s="71"/>
    </row>
    <row r="698" spans="1:9" s="65" customFormat="1">
      <c r="A698" s="96"/>
      <c r="B698" s="97"/>
      <c r="C698" s="98"/>
      <c r="D698" s="98"/>
      <c r="E698" s="98"/>
      <c r="F698"/>
      <c r="G698" s="99" t="s">
        <v>412</v>
      </c>
      <c r="H698" s="115">
        <f>SUM(H684:H696)</f>
        <v>8102171.4285714272</v>
      </c>
      <c r="I698" s="71"/>
    </row>
    <row r="699" spans="1:9" s="65" customFormat="1">
      <c r="A699" s="96"/>
      <c r="B699" s="97"/>
      <c r="C699" s="98"/>
      <c r="D699" s="98"/>
      <c r="E699" s="98"/>
      <c r="F699" s="101"/>
      <c r="G699" s="116"/>
      <c r="H699" s="70"/>
      <c r="I699" s="71"/>
    </row>
    <row r="700" spans="1:9" s="65" customFormat="1" ht="15.75" thickBot="1">
      <c r="A700" s="624" t="s">
        <v>761</v>
      </c>
      <c r="B700" s="625"/>
      <c r="C700" s="625"/>
      <c r="D700" s="625"/>
      <c r="E700" s="625"/>
      <c r="F700" s="625"/>
      <c r="G700" s="626"/>
      <c r="H700" s="117">
        <f>+ROUND(H698,0)</f>
        <v>8102171</v>
      </c>
      <c r="I700" s="103"/>
    </row>
    <row r="701" spans="1:9" s="65" customFormat="1">
      <c r="A701" s="120"/>
      <c r="B701" s="73"/>
      <c r="C701" s="73"/>
      <c r="D701" s="73"/>
      <c r="E701" s="73"/>
      <c r="G701" s="121"/>
      <c r="H701" s="140"/>
    </row>
    <row r="702" spans="1:9" s="65" customFormat="1" ht="15.75" thickBot="1">
      <c r="A702" s="128"/>
      <c r="B702" s="141"/>
      <c r="C702" s="141"/>
      <c r="D702" s="141"/>
      <c r="E702" s="141"/>
      <c r="F702" s="141"/>
      <c r="G702" s="141"/>
      <c r="H702" s="140"/>
    </row>
    <row r="703" spans="1:9" s="65" customFormat="1">
      <c r="A703" s="627"/>
      <c r="B703" s="629" t="s">
        <v>243</v>
      </c>
      <c r="C703" s="630"/>
      <c r="D703" s="630"/>
      <c r="E703" s="630"/>
      <c r="F703" s="630"/>
      <c r="G703" s="630"/>
      <c r="H703" s="643"/>
      <c r="I703" s="66" t="s">
        <v>389</v>
      </c>
    </row>
    <row r="704" spans="1:9" s="65" customFormat="1">
      <c r="A704" s="628"/>
      <c r="B704" s="631"/>
      <c r="C704" s="632"/>
      <c r="D704" s="632"/>
      <c r="E704" s="632"/>
      <c r="F704" s="632"/>
      <c r="G704" s="632"/>
      <c r="H704" s="644"/>
      <c r="I704" s="67" t="s">
        <v>157</v>
      </c>
    </row>
    <row r="705" spans="1:9" s="65" customFormat="1">
      <c r="A705" s="68"/>
      <c r="B705" s="69"/>
      <c r="C705" s="69"/>
      <c r="D705" s="69"/>
      <c r="E705" s="69"/>
      <c r="F705" s="70"/>
      <c r="G705" s="70"/>
      <c r="H705" s="70"/>
      <c r="I705" s="71"/>
    </row>
    <row r="706" spans="1:9" s="65" customFormat="1">
      <c r="A706" s="72" t="s">
        <v>390</v>
      </c>
      <c r="B706" s="73"/>
      <c r="C706" s="73"/>
      <c r="D706" s="73"/>
      <c r="E706" s="73"/>
      <c r="F706" s="74"/>
      <c r="G706" s="74"/>
      <c r="H706" s="70"/>
      <c r="I706" s="71"/>
    </row>
    <row r="707" spans="1:9" s="65" customFormat="1">
      <c r="A707" s="75" t="s">
        <v>391</v>
      </c>
      <c r="B707" s="76" t="s">
        <v>392</v>
      </c>
      <c r="C707" s="76" t="s">
        <v>393</v>
      </c>
      <c r="D707" s="76" t="s">
        <v>394</v>
      </c>
      <c r="E707" s="76" t="s">
        <v>395</v>
      </c>
      <c r="F707" s="76" t="s">
        <v>396</v>
      </c>
      <c r="G707" s="76" t="s">
        <v>397</v>
      </c>
      <c r="H707" s="74"/>
      <c r="I707" s="71"/>
    </row>
    <row r="708" spans="1:9" s="65" customFormat="1">
      <c r="A708" s="77"/>
      <c r="B708" s="79"/>
      <c r="C708" s="79"/>
      <c r="D708" s="107"/>
      <c r="E708" s="79"/>
      <c r="F708" s="79"/>
      <c r="G708" s="107"/>
      <c r="H708" s="74"/>
      <c r="I708" s="71"/>
    </row>
    <row r="709" spans="1:9" s="65" customFormat="1">
      <c r="A709" s="82"/>
      <c r="B709" s="83"/>
      <c r="C709" s="84"/>
      <c r="D709" s="84"/>
      <c r="E709" s="84"/>
      <c r="F709"/>
      <c r="G709" s="93" t="s">
        <v>407</v>
      </c>
      <c r="H709" s="107">
        <f>SUM(G708:G708)</f>
        <v>0</v>
      </c>
      <c r="I709" s="71"/>
    </row>
    <row r="710" spans="1:9" s="65" customFormat="1">
      <c r="A710" s="72" t="s">
        <v>408</v>
      </c>
      <c r="B710" s="73"/>
      <c r="C710" s="73"/>
      <c r="D710" s="73"/>
      <c r="E710" s="73"/>
      <c r="F710"/>
      <c r="G710" s="74"/>
      <c r="H710" s="108"/>
      <c r="I710" s="71"/>
    </row>
    <row r="711" spans="1:9" s="65" customFormat="1">
      <c r="A711" s="75" t="s">
        <v>391</v>
      </c>
      <c r="B711" s="76" t="s">
        <v>392</v>
      </c>
      <c r="C711" s="76" t="s">
        <v>393</v>
      </c>
      <c r="D711" s="76" t="s">
        <v>394</v>
      </c>
      <c r="E711" s="76" t="s">
        <v>395</v>
      </c>
      <c r="F711" s="76" t="s">
        <v>396</v>
      </c>
      <c r="G711" s="76" t="s">
        <v>397</v>
      </c>
      <c r="H711" s="108"/>
      <c r="I711" s="71"/>
    </row>
    <row r="712" spans="1:9" s="65" customFormat="1" ht="25.5">
      <c r="A712" s="135"/>
      <c r="B712" s="78" t="s">
        <v>243</v>
      </c>
      <c r="C712" s="127" t="s">
        <v>157</v>
      </c>
      <c r="D712" s="107">
        <f>3400000*1.2*1.16</f>
        <v>4732800</v>
      </c>
      <c r="E712" s="79">
        <v>1</v>
      </c>
      <c r="F712" s="79">
        <v>0</v>
      </c>
      <c r="G712" s="107">
        <f>(D712*E712)+((D712*E712)*F712/100)</f>
        <v>4732800</v>
      </c>
      <c r="H712" s="108"/>
      <c r="I712" s="71"/>
    </row>
    <row r="713" spans="1:9" s="65" customFormat="1">
      <c r="A713" s="90"/>
      <c r="B713" s="91"/>
      <c r="C713" s="91"/>
      <c r="D713" s="91"/>
      <c r="E713" s="91"/>
      <c r="F713"/>
      <c r="G713" s="85" t="s">
        <v>407</v>
      </c>
      <c r="H713" s="107">
        <f>SUM(G712:G712)</f>
        <v>4732800</v>
      </c>
      <c r="I713" s="71"/>
    </row>
    <row r="714" spans="1:9" s="65" customFormat="1">
      <c r="A714" s="72" t="s">
        <v>410</v>
      </c>
      <c r="B714" s="73"/>
      <c r="C714" s="73"/>
      <c r="D714" s="73"/>
      <c r="E714" s="73"/>
      <c r="F714"/>
      <c r="G714" s="74"/>
      <c r="H714" s="108"/>
      <c r="I714" s="71"/>
    </row>
    <row r="715" spans="1:9" s="65" customFormat="1">
      <c r="A715" s="75" t="s">
        <v>391</v>
      </c>
      <c r="B715" s="76" t="s">
        <v>392</v>
      </c>
      <c r="C715" s="76" t="s">
        <v>393</v>
      </c>
      <c r="D715" s="76" t="s">
        <v>394</v>
      </c>
      <c r="E715" s="76" t="s">
        <v>395</v>
      </c>
      <c r="F715" s="76" t="s">
        <v>396</v>
      </c>
      <c r="G715" s="76" t="s">
        <v>397</v>
      </c>
      <c r="H715" s="108"/>
      <c r="I715" s="71"/>
    </row>
    <row r="716" spans="1:9" s="65" customFormat="1">
      <c r="A716" s="77"/>
      <c r="B716" s="78"/>
      <c r="C716" s="79"/>
      <c r="D716" s="107"/>
      <c r="E716" s="79"/>
      <c r="F716" s="79"/>
      <c r="G716" s="107"/>
      <c r="H716" s="108"/>
      <c r="I716" s="71"/>
    </row>
    <row r="717" spans="1:9" s="65" customFormat="1">
      <c r="A717" s="90"/>
      <c r="B717" s="91"/>
      <c r="C717" s="91"/>
      <c r="D717" s="91"/>
      <c r="E717" s="91"/>
      <c r="F717"/>
      <c r="G717" s="93" t="s">
        <v>407</v>
      </c>
      <c r="H717" s="107">
        <f>SUM(G716:G716)</f>
        <v>0</v>
      </c>
      <c r="I717" s="71"/>
    </row>
    <row r="718" spans="1:9" s="65" customFormat="1">
      <c r="A718" s="72" t="s">
        <v>411</v>
      </c>
      <c r="B718" s="73"/>
      <c r="C718" s="73"/>
      <c r="D718" s="73"/>
      <c r="E718" s="73"/>
      <c r="F718"/>
      <c r="G718" s="74"/>
      <c r="H718" s="108"/>
      <c r="I718" s="71"/>
    </row>
    <row r="719" spans="1:9" s="65" customFormat="1">
      <c r="A719" s="75" t="s">
        <v>391</v>
      </c>
      <c r="B719" s="76" t="s">
        <v>392</v>
      </c>
      <c r="C719" s="76" t="s">
        <v>393</v>
      </c>
      <c r="D719" s="76" t="s">
        <v>394</v>
      </c>
      <c r="E719" s="76" t="s">
        <v>395</v>
      </c>
      <c r="F719" s="76" t="s">
        <v>396</v>
      </c>
      <c r="G719" s="76" t="s">
        <v>397</v>
      </c>
      <c r="H719" s="108"/>
      <c r="I719" s="71"/>
    </row>
    <row r="720" spans="1:9" s="65" customFormat="1">
      <c r="A720" s="87" t="s">
        <v>409</v>
      </c>
      <c r="B720" s="114" t="s">
        <v>747</v>
      </c>
      <c r="C720" s="114" t="s">
        <v>437</v>
      </c>
      <c r="D720" s="114">
        <v>800000</v>
      </c>
      <c r="E720" s="215">
        <v>2.4E-2</v>
      </c>
      <c r="F720" s="79">
        <v>0</v>
      </c>
      <c r="G720" s="107">
        <f>(D720*E720)+((D720*E720)*F720/100)</f>
        <v>19200</v>
      </c>
      <c r="H720" s="108"/>
      <c r="I720" s="71"/>
    </row>
    <row r="721" spans="1:9" s="65" customFormat="1">
      <c r="A721" s="94"/>
      <c r="B721" s="95"/>
      <c r="C721" s="95"/>
      <c r="D721" s="95"/>
      <c r="E721" s="95"/>
      <c r="F721"/>
      <c r="G721" s="93" t="s">
        <v>407</v>
      </c>
      <c r="H721" s="107">
        <f>SUM(G719:G720)</f>
        <v>19200</v>
      </c>
      <c r="I721" s="71"/>
    </row>
    <row r="722" spans="1:9" s="65" customFormat="1">
      <c r="A722" s="94"/>
      <c r="B722" s="95"/>
      <c r="C722" s="95"/>
      <c r="D722" s="95"/>
      <c r="E722" s="95"/>
      <c r="F722"/>
      <c r="G722" s="74"/>
      <c r="H722" s="74"/>
      <c r="I722" s="71"/>
    </row>
    <row r="723" spans="1:9" s="65" customFormat="1">
      <c r="A723" s="96"/>
      <c r="B723" s="97"/>
      <c r="C723" s="98"/>
      <c r="D723" s="98"/>
      <c r="E723" s="98"/>
      <c r="F723"/>
      <c r="G723" s="99" t="s">
        <v>412</v>
      </c>
      <c r="H723" s="115">
        <f>SUM(H709:H721)</f>
        <v>4752000</v>
      </c>
      <c r="I723" s="71"/>
    </row>
    <row r="724" spans="1:9" s="65" customFormat="1">
      <c r="A724" s="96"/>
      <c r="B724" s="97"/>
      <c r="C724" s="98"/>
      <c r="D724" s="98"/>
      <c r="E724" s="98"/>
      <c r="F724" s="101"/>
      <c r="G724" s="116"/>
      <c r="H724" s="70"/>
      <c r="I724" s="71"/>
    </row>
    <row r="725" spans="1:9" s="65" customFormat="1" ht="15.75" thickBot="1">
      <c r="A725" s="624" t="s">
        <v>761</v>
      </c>
      <c r="B725" s="625"/>
      <c r="C725" s="625"/>
      <c r="D725" s="625"/>
      <c r="E725" s="625"/>
      <c r="F725" s="625"/>
      <c r="G725" s="626"/>
      <c r="H725" s="117">
        <f>+ROUND(H723,0)</f>
        <v>4752000</v>
      </c>
      <c r="I725" s="103"/>
    </row>
    <row r="726" spans="1:9" s="65" customFormat="1">
      <c r="A726" s="128"/>
      <c r="B726" s="141"/>
      <c r="C726" s="141"/>
      <c r="D726" s="141"/>
      <c r="E726" s="141"/>
      <c r="F726" s="141"/>
      <c r="G726" s="141"/>
      <c r="H726" s="140"/>
    </row>
    <row r="727" spans="1:9" s="65" customFormat="1" ht="15.75" thickBot="1">
      <c r="A727" s="146"/>
      <c r="B727" s="83"/>
      <c r="C727" s="148"/>
      <c r="D727" s="84"/>
      <c r="E727" s="162"/>
      <c r="F727" s="84"/>
      <c r="G727" s="144"/>
      <c r="H727" s="145"/>
    </row>
    <row r="728" spans="1:9" s="65" customFormat="1">
      <c r="A728" s="627"/>
      <c r="B728" s="629" t="s">
        <v>167</v>
      </c>
      <c r="C728" s="630"/>
      <c r="D728" s="630"/>
      <c r="E728" s="630"/>
      <c r="F728" s="630"/>
      <c r="G728" s="630"/>
      <c r="H728" s="643"/>
      <c r="I728" s="66" t="s">
        <v>389</v>
      </c>
    </row>
    <row r="729" spans="1:9" s="65" customFormat="1">
      <c r="A729" s="628"/>
      <c r="B729" s="631"/>
      <c r="C729" s="632"/>
      <c r="D729" s="632"/>
      <c r="E729" s="632"/>
      <c r="F729" s="632"/>
      <c r="G729" s="632"/>
      <c r="H729" s="644"/>
      <c r="I729" s="67" t="s">
        <v>157</v>
      </c>
    </row>
    <row r="730" spans="1:9" s="65" customFormat="1">
      <c r="A730" s="68"/>
      <c r="B730" s="69"/>
      <c r="C730" s="69"/>
      <c r="D730" s="69"/>
      <c r="E730" s="69"/>
      <c r="F730" s="70"/>
      <c r="G730" s="70"/>
      <c r="H730" s="70"/>
      <c r="I730" s="71"/>
    </row>
    <row r="731" spans="1:9" s="65" customFormat="1">
      <c r="A731" s="72" t="s">
        <v>390</v>
      </c>
      <c r="B731" s="73"/>
      <c r="C731" s="73"/>
      <c r="D731" s="73"/>
      <c r="E731" s="73"/>
      <c r="F731" s="74"/>
      <c r="G731" s="74"/>
      <c r="H731" s="70"/>
      <c r="I731" s="71"/>
    </row>
    <row r="732" spans="1:9" s="65" customFormat="1">
      <c r="A732" s="75" t="s">
        <v>391</v>
      </c>
      <c r="B732" s="76" t="s">
        <v>392</v>
      </c>
      <c r="C732" s="76" t="s">
        <v>393</v>
      </c>
      <c r="D732" s="76" t="s">
        <v>394</v>
      </c>
      <c r="E732" s="76" t="s">
        <v>395</v>
      </c>
      <c r="F732" s="76" t="s">
        <v>396</v>
      </c>
      <c r="G732" s="76" t="s">
        <v>397</v>
      </c>
      <c r="H732" s="74"/>
      <c r="I732" s="71"/>
    </row>
    <row r="733" spans="1:9" s="65" customFormat="1">
      <c r="A733" s="77"/>
      <c r="B733" s="79"/>
      <c r="C733" s="79"/>
      <c r="D733" s="107"/>
      <c r="E733" s="79"/>
      <c r="F733" s="79"/>
      <c r="G733" s="107"/>
      <c r="H733" s="74"/>
      <c r="I733" s="71"/>
    </row>
    <row r="734" spans="1:9" s="65" customFormat="1">
      <c r="A734" s="82"/>
      <c r="B734" s="83"/>
      <c r="C734" s="84"/>
      <c r="D734" s="84"/>
      <c r="E734" s="84"/>
      <c r="F734"/>
      <c r="G734" s="93" t="s">
        <v>407</v>
      </c>
      <c r="H734" s="107">
        <f>SUM(G733:G733)</f>
        <v>0</v>
      </c>
      <c r="I734" s="71"/>
    </row>
    <row r="735" spans="1:9" s="65" customFormat="1">
      <c r="A735" s="72" t="s">
        <v>408</v>
      </c>
      <c r="B735" s="73"/>
      <c r="C735" s="73"/>
      <c r="D735" s="73"/>
      <c r="E735" s="73"/>
      <c r="F735"/>
      <c r="G735" s="74"/>
      <c r="H735" s="108"/>
      <c r="I735" s="71"/>
    </row>
    <row r="736" spans="1:9" s="65" customFormat="1">
      <c r="A736" s="75" t="s">
        <v>391</v>
      </c>
      <c r="B736" s="76" t="s">
        <v>392</v>
      </c>
      <c r="C736" s="76" t="s">
        <v>393</v>
      </c>
      <c r="D736" s="76" t="s">
        <v>394</v>
      </c>
      <c r="E736" s="76" t="s">
        <v>395</v>
      </c>
      <c r="F736" s="76" t="s">
        <v>396</v>
      </c>
      <c r="G736" s="76" t="s">
        <v>397</v>
      </c>
      <c r="H736" s="108"/>
      <c r="I736" s="71"/>
    </row>
    <row r="737" spans="1:9" s="65" customFormat="1" ht="25.5">
      <c r="A737" s="135"/>
      <c r="B737" s="78" t="s">
        <v>167</v>
      </c>
      <c r="C737" s="127" t="s">
        <v>157</v>
      </c>
      <c r="D737" s="107">
        <f>182500*1.4*1.16</f>
        <v>296379.99999999994</v>
      </c>
      <c r="E737" s="79">
        <v>1</v>
      </c>
      <c r="F737" s="79">
        <v>0</v>
      </c>
      <c r="G737" s="107">
        <f>(D737*E737)+((D737*E737)*F737/100)</f>
        <v>296379.99999999994</v>
      </c>
      <c r="H737" s="108"/>
      <c r="I737" s="71"/>
    </row>
    <row r="738" spans="1:9" s="65" customFormat="1">
      <c r="A738" s="90"/>
      <c r="B738" s="91"/>
      <c r="C738" s="91"/>
      <c r="D738" s="91"/>
      <c r="E738" s="91"/>
      <c r="F738"/>
      <c r="G738" s="85" t="s">
        <v>407</v>
      </c>
      <c r="H738" s="107">
        <f>SUM(G737:G737)</f>
        <v>296379.99999999994</v>
      </c>
      <c r="I738" s="71"/>
    </row>
    <row r="739" spans="1:9" s="65" customFormat="1">
      <c r="A739" s="72" t="s">
        <v>410</v>
      </c>
      <c r="B739" s="73"/>
      <c r="C739" s="73"/>
      <c r="D739" s="73"/>
      <c r="E739" s="73"/>
      <c r="F739"/>
      <c r="G739" s="74"/>
      <c r="H739" s="108"/>
      <c r="I739" s="71"/>
    </row>
    <row r="740" spans="1:9" s="65" customFormat="1">
      <c r="A740" s="75" t="s">
        <v>391</v>
      </c>
      <c r="B740" s="76" t="s">
        <v>392</v>
      </c>
      <c r="C740" s="76" t="s">
        <v>393</v>
      </c>
      <c r="D740" s="76" t="s">
        <v>394</v>
      </c>
      <c r="E740" s="76" t="s">
        <v>395</v>
      </c>
      <c r="F740" s="76" t="s">
        <v>396</v>
      </c>
      <c r="G740" s="76" t="s">
        <v>397</v>
      </c>
      <c r="H740" s="108"/>
      <c r="I740" s="71"/>
    </row>
    <row r="741" spans="1:9" s="65" customFormat="1">
      <c r="A741" s="77"/>
      <c r="B741" s="78"/>
      <c r="C741" s="79"/>
      <c r="D741" s="107"/>
      <c r="E741" s="79"/>
      <c r="F741" s="79"/>
      <c r="G741" s="107"/>
      <c r="H741" s="108"/>
      <c r="I741" s="71"/>
    </row>
    <row r="742" spans="1:9" s="65" customFormat="1">
      <c r="A742" s="90"/>
      <c r="B742" s="91"/>
      <c r="C742" s="91"/>
      <c r="D742" s="91"/>
      <c r="E742" s="91"/>
      <c r="F742"/>
      <c r="G742" s="93" t="s">
        <v>407</v>
      </c>
      <c r="H742" s="107">
        <f>SUM(G741:G741)</f>
        <v>0</v>
      </c>
      <c r="I742" s="71"/>
    </row>
    <row r="743" spans="1:9" s="65" customFormat="1">
      <c r="A743" s="72" t="s">
        <v>411</v>
      </c>
      <c r="B743" s="73"/>
      <c r="C743" s="73"/>
      <c r="D743" s="73"/>
      <c r="E743" s="73"/>
      <c r="F743"/>
      <c r="G743" s="74"/>
      <c r="H743" s="108"/>
      <c r="I743" s="71"/>
    </row>
    <row r="744" spans="1:9" s="65" customFormat="1">
      <c r="A744" s="75" t="s">
        <v>391</v>
      </c>
      <c r="B744" s="76" t="s">
        <v>392</v>
      </c>
      <c r="C744" s="76" t="s">
        <v>393</v>
      </c>
      <c r="D744" s="76" t="s">
        <v>394</v>
      </c>
      <c r="E744" s="76" t="s">
        <v>395</v>
      </c>
      <c r="F744" s="76" t="s">
        <v>396</v>
      </c>
      <c r="G744" s="76" t="s">
        <v>397</v>
      </c>
      <c r="H744" s="108"/>
      <c r="I744" s="71"/>
    </row>
    <row r="745" spans="1:9" s="65" customFormat="1">
      <c r="A745" s="87" t="s">
        <v>409</v>
      </c>
      <c r="B745" s="114" t="s">
        <v>747</v>
      </c>
      <c r="C745" s="114" t="s">
        <v>437</v>
      </c>
      <c r="D745" s="114">
        <v>800000</v>
      </c>
      <c r="E745" s="215">
        <v>2.4E-2</v>
      </c>
      <c r="F745" s="79">
        <v>0</v>
      </c>
      <c r="G745" s="107">
        <f>(D745*E745)+((D745*E745)*F745/100)</f>
        <v>19200</v>
      </c>
      <c r="H745" s="108"/>
      <c r="I745" s="71"/>
    </row>
    <row r="746" spans="1:9" s="65" customFormat="1">
      <c r="A746" s="94"/>
      <c r="B746" s="95"/>
      <c r="C746" s="95"/>
      <c r="D746" s="95"/>
      <c r="E746" s="95"/>
      <c r="F746"/>
      <c r="G746" s="93" t="s">
        <v>407</v>
      </c>
      <c r="H746" s="107">
        <f>SUM(G744:G745)</f>
        <v>19200</v>
      </c>
      <c r="I746" s="71"/>
    </row>
    <row r="747" spans="1:9" s="65" customFormat="1">
      <c r="A747" s="94"/>
      <c r="B747" s="95"/>
      <c r="C747" s="95"/>
      <c r="D747" s="95"/>
      <c r="E747" s="95"/>
      <c r="F747"/>
      <c r="G747" s="74"/>
      <c r="H747" s="74"/>
      <c r="I747" s="71"/>
    </row>
    <row r="748" spans="1:9" s="65" customFormat="1">
      <c r="A748" s="96"/>
      <c r="B748" s="97"/>
      <c r="C748" s="98"/>
      <c r="D748" s="98"/>
      <c r="E748" s="98"/>
      <c r="F748"/>
      <c r="G748" s="99" t="s">
        <v>412</v>
      </c>
      <c r="H748" s="115">
        <f>SUM(H734:H746)</f>
        <v>315579.99999999994</v>
      </c>
      <c r="I748" s="71"/>
    </row>
    <row r="749" spans="1:9" s="65" customFormat="1">
      <c r="A749" s="96"/>
      <c r="B749" s="97"/>
      <c r="C749" s="98"/>
      <c r="D749" s="98"/>
      <c r="E749" s="98"/>
      <c r="F749" s="101"/>
      <c r="G749" s="116"/>
      <c r="H749" s="70"/>
      <c r="I749" s="71"/>
    </row>
    <row r="750" spans="1:9" s="65" customFormat="1" ht="15.75" thickBot="1">
      <c r="A750" s="624" t="s">
        <v>761</v>
      </c>
      <c r="B750" s="625"/>
      <c r="C750" s="625"/>
      <c r="D750" s="625"/>
      <c r="E750" s="625"/>
      <c r="F750" s="625"/>
      <c r="G750" s="626"/>
      <c r="H750" s="117">
        <f>+ROUND(H748,0)</f>
        <v>315580</v>
      </c>
      <c r="I750" s="103"/>
    </row>
    <row r="751" spans="1:9" s="65" customFormat="1">
      <c r="A751" s="150"/>
      <c r="B751" s="84"/>
      <c r="C751" s="148"/>
      <c r="D751" s="84"/>
      <c r="E751" s="84"/>
      <c r="F751" s="84"/>
      <c r="G751" s="144"/>
      <c r="H751" s="145"/>
    </row>
    <row r="752" spans="1:9" s="65" customFormat="1" ht="15.75" thickBot="1">
      <c r="A752" s="91"/>
      <c r="B752" s="91"/>
      <c r="C752" s="91"/>
      <c r="D752" s="91"/>
      <c r="E752" s="91"/>
      <c r="G752" s="104"/>
      <c r="H752" s="140"/>
    </row>
    <row r="753" spans="1:9" s="65" customFormat="1">
      <c r="A753" s="627"/>
      <c r="B753" s="629" t="s">
        <v>72</v>
      </c>
      <c r="C753" s="630"/>
      <c r="D753" s="630"/>
      <c r="E753" s="630"/>
      <c r="F753" s="630"/>
      <c r="G753" s="630"/>
      <c r="H753" s="643"/>
      <c r="I753" s="66" t="s">
        <v>389</v>
      </c>
    </row>
    <row r="754" spans="1:9" s="65" customFormat="1">
      <c r="A754" s="628"/>
      <c r="B754" s="631"/>
      <c r="C754" s="632"/>
      <c r="D754" s="632"/>
      <c r="E754" s="632"/>
      <c r="F754" s="632"/>
      <c r="G754" s="632"/>
      <c r="H754" s="644"/>
      <c r="I754" s="67" t="s">
        <v>157</v>
      </c>
    </row>
    <row r="755" spans="1:9" s="65" customFormat="1">
      <c r="A755" s="68"/>
      <c r="B755" s="69"/>
      <c r="C755" s="69"/>
      <c r="D755" s="69"/>
      <c r="E755" s="69"/>
      <c r="F755" s="70"/>
      <c r="G755" s="70"/>
      <c r="H755" s="70"/>
      <c r="I755" s="71"/>
    </row>
    <row r="756" spans="1:9" s="65" customFormat="1">
      <c r="A756" s="72" t="s">
        <v>390</v>
      </c>
      <c r="B756" s="73"/>
      <c r="C756" s="73"/>
      <c r="D756" s="73"/>
      <c r="E756" s="73"/>
      <c r="F756" s="74"/>
      <c r="G756" s="74"/>
      <c r="H756" s="70"/>
      <c r="I756" s="71"/>
    </row>
    <row r="757" spans="1:9" s="65" customFormat="1">
      <c r="A757" s="75" t="s">
        <v>391</v>
      </c>
      <c r="B757" s="76" t="s">
        <v>392</v>
      </c>
      <c r="C757" s="76" t="s">
        <v>393</v>
      </c>
      <c r="D757" s="76" t="s">
        <v>394</v>
      </c>
      <c r="E757" s="76" t="s">
        <v>395</v>
      </c>
      <c r="F757" s="76" t="s">
        <v>396</v>
      </c>
      <c r="G757" s="76" t="s">
        <v>397</v>
      </c>
      <c r="H757" s="74"/>
      <c r="I757" s="71"/>
    </row>
    <row r="758" spans="1:9" s="65" customFormat="1">
      <c r="A758" s="77"/>
      <c r="B758" s="79"/>
      <c r="C758" s="79"/>
      <c r="D758" s="107"/>
      <c r="E758" s="79"/>
      <c r="F758" s="79"/>
      <c r="G758" s="107"/>
      <c r="H758" s="74"/>
      <c r="I758" s="71"/>
    </row>
    <row r="759" spans="1:9" s="65" customFormat="1">
      <c r="A759" s="82"/>
      <c r="B759" s="83"/>
      <c r="C759" s="84"/>
      <c r="D759" s="84"/>
      <c r="E759" s="84"/>
      <c r="F759"/>
      <c r="G759" s="93" t="s">
        <v>407</v>
      </c>
      <c r="H759" s="107">
        <f>SUM(G758:G758)</f>
        <v>0</v>
      </c>
      <c r="I759" s="71"/>
    </row>
    <row r="760" spans="1:9" s="65" customFormat="1">
      <c r="A760" s="72" t="s">
        <v>408</v>
      </c>
      <c r="B760" s="73"/>
      <c r="C760" s="73"/>
      <c r="D760" s="73"/>
      <c r="E760" s="73"/>
      <c r="F760"/>
      <c r="G760" s="74"/>
      <c r="H760" s="108"/>
      <c r="I760" s="71"/>
    </row>
    <row r="761" spans="1:9" s="65" customFormat="1">
      <c r="A761" s="75" t="s">
        <v>391</v>
      </c>
      <c r="B761" s="76" t="s">
        <v>392</v>
      </c>
      <c r="C761" s="76" t="s">
        <v>393</v>
      </c>
      <c r="D761" s="76" t="s">
        <v>394</v>
      </c>
      <c r="E761" s="76" t="s">
        <v>395</v>
      </c>
      <c r="F761" s="76" t="s">
        <v>396</v>
      </c>
      <c r="G761" s="76" t="s">
        <v>397</v>
      </c>
      <c r="H761" s="108"/>
      <c r="I761" s="71"/>
    </row>
    <row r="762" spans="1:9" s="65" customFormat="1" ht="41.25" customHeight="1">
      <c r="A762" s="135"/>
      <c r="B762" s="78" t="s">
        <v>72</v>
      </c>
      <c r="C762" s="127" t="s">
        <v>157</v>
      </c>
      <c r="D762" s="256">
        <f>452000*1.4*1.16</f>
        <v>734048</v>
      </c>
      <c r="E762" s="79">
        <v>1</v>
      </c>
      <c r="F762" s="79">
        <v>0</v>
      </c>
      <c r="G762" s="107">
        <f>(D762*E762)+((D762*E762)*F762/100)</f>
        <v>734048</v>
      </c>
      <c r="H762" s="108"/>
      <c r="I762" s="71"/>
    </row>
    <row r="763" spans="1:9" s="65" customFormat="1">
      <c r="A763" s="90"/>
      <c r="B763" s="91"/>
      <c r="C763" s="91"/>
      <c r="D763" s="91"/>
      <c r="E763" s="91"/>
      <c r="F763"/>
      <c r="G763" s="85" t="s">
        <v>407</v>
      </c>
      <c r="H763" s="107">
        <f>SUM(G762:G762)</f>
        <v>734048</v>
      </c>
      <c r="I763" s="71"/>
    </row>
    <row r="764" spans="1:9" s="65" customFormat="1">
      <c r="A764" s="72" t="s">
        <v>410</v>
      </c>
      <c r="B764" s="73"/>
      <c r="C764" s="73"/>
      <c r="D764" s="73"/>
      <c r="E764" s="73"/>
      <c r="F764"/>
      <c r="G764" s="74"/>
      <c r="H764" s="108"/>
      <c r="I764" s="71"/>
    </row>
    <row r="765" spans="1:9" s="65" customFormat="1">
      <c r="A765" s="75" t="s">
        <v>391</v>
      </c>
      <c r="B765" s="76" t="s">
        <v>392</v>
      </c>
      <c r="C765" s="76" t="s">
        <v>393</v>
      </c>
      <c r="D765" s="76" t="s">
        <v>394</v>
      </c>
      <c r="E765" s="76" t="s">
        <v>395</v>
      </c>
      <c r="F765" s="76" t="s">
        <v>396</v>
      </c>
      <c r="G765" s="76" t="s">
        <v>397</v>
      </c>
      <c r="H765" s="108"/>
      <c r="I765" s="71"/>
    </row>
    <row r="766" spans="1:9" s="65" customFormat="1">
      <c r="A766" s="77"/>
      <c r="B766" s="78"/>
      <c r="C766" s="79"/>
      <c r="D766" s="107"/>
      <c r="E766" s="79"/>
      <c r="F766" s="79"/>
      <c r="G766" s="107"/>
      <c r="H766" s="108"/>
      <c r="I766" s="71"/>
    </row>
    <row r="767" spans="1:9" s="65" customFormat="1">
      <c r="A767" s="90"/>
      <c r="B767" s="91"/>
      <c r="C767" s="91"/>
      <c r="D767" s="91"/>
      <c r="E767" s="91"/>
      <c r="F767"/>
      <c r="G767" s="93" t="s">
        <v>407</v>
      </c>
      <c r="H767" s="107">
        <f>SUM(G766:G766)</f>
        <v>0</v>
      </c>
      <c r="I767" s="71"/>
    </row>
    <row r="768" spans="1:9" s="65" customFormat="1">
      <c r="A768" s="72" t="s">
        <v>411</v>
      </c>
      <c r="B768" s="73"/>
      <c r="C768" s="73"/>
      <c r="D768" s="73"/>
      <c r="E768" s="73"/>
      <c r="F768"/>
      <c r="G768" s="74"/>
      <c r="H768" s="108"/>
      <c r="I768" s="71"/>
    </row>
    <row r="769" spans="1:9" s="65" customFormat="1">
      <c r="A769" s="75" t="s">
        <v>391</v>
      </c>
      <c r="B769" s="76" t="s">
        <v>392</v>
      </c>
      <c r="C769" s="76" t="s">
        <v>393</v>
      </c>
      <c r="D769" s="76" t="s">
        <v>394</v>
      </c>
      <c r="E769" s="76" t="s">
        <v>395</v>
      </c>
      <c r="F769" s="76" t="s">
        <v>396</v>
      </c>
      <c r="G769" s="76" t="s">
        <v>397</v>
      </c>
      <c r="H769" s="108"/>
      <c r="I769" s="71"/>
    </row>
    <row r="770" spans="1:9" s="65" customFormat="1">
      <c r="A770" s="87" t="s">
        <v>409</v>
      </c>
      <c r="B770" s="114" t="s">
        <v>747</v>
      </c>
      <c r="C770" s="114" t="s">
        <v>437</v>
      </c>
      <c r="D770" s="114">
        <v>800000</v>
      </c>
      <c r="E770" s="215">
        <v>0.04</v>
      </c>
      <c r="F770" s="79">
        <v>0</v>
      </c>
      <c r="G770" s="107">
        <f>(D770*E770)+((D770*E770)*F770/100)</f>
        <v>32000</v>
      </c>
      <c r="H770" s="108"/>
      <c r="I770" s="71"/>
    </row>
    <row r="771" spans="1:9" s="65" customFormat="1">
      <c r="A771" s="94"/>
      <c r="B771" s="95"/>
      <c r="C771" s="95"/>
      <c r="D771" s="95"/>
      <c r="E771" s="95"/>
      <c r="F771"/>
      <c r="G771" s="93" t="s">
        <v>407</v>
      </c>
      <c r="H771" s="107">
        <f>SUM(G769:G770)</f>
        <v>32000</v>
      </c>
      <c r="I771" s="71"/>
    </row>
    <row r="772" spans="1:9" s="65" customFormat="1">
      <c r="A772" s="94"/>
      <c r="B772" s="95"/>
      <c r="C772" s="95"/>
      <c r="D772" s="95"/>
      <c r="E772" s="95"/>
      <c r="F772"/>
      <c r="G772" s="74"/>
      <c r="H772" s="74"/>
      <c r="I772" s="71"/>
    </row>
    <row r="773" spans="1:9" s="65" customFormat="1">
      <c r="A773" s="96"/>
      <c r="B773" s="97"/>
      <c r="C773" s="98"/>
      <c r="D773" s="98"/>
      <c r="E773" s="98"/>
      <c r="F773"/>
      <c r="G773" s="99" t="s">
        <v>412</v>
      </c>
      <c r="H773" s="115">
        <f>SUM(H759:H771)</f>
        <v>766048</v>
      </c>
      <c r="I773" s="71"/>
    </row>
    <row r="774" spans="1:9" s="65" customFormat="1">
      <c r="A774" s="96"/>
      <c r="B774" s="97"/>
      <c r="C774" s="98"/>
      <c r="D774" s="98"/>
      <c r="E774" s="98"/>
      <c r="F774" s="101"/>
      <c r="G774" s="116"/>
      <c r="H774" s="70"/>
      <c r="I774" s="71"/>
    </row>
    <row r="775" spans="1:9" s="65" customFormat="1" ht="15.75" thickBot="1">
      <c r="A775" s="624" t="s">
        <v>761</v>
      </c>
      <c r="B775" s="625"/>
      <c r="C775" s="625"/>
      <c r="D775" s="625"/>
      <c r="E775" s="625"/>
      <c r="F775" s="625"/>
      <c r="G775" s="626"/>
      <c r="H775" s="117">
        <f>+ROUND(H773,0)</f>
        <v>766048</v>
      </c>
      <c r="I775" s="103"/>
    </row>
    <row r="776" spans="1:9" s="65" customFormat="1">
      <c r="A776" s="91"/>
      <c r="B776" s="91"/>
      <c r="C776" s="91"/>
      <c r="D776" s="91"/>
      <c r="E776" s="91"/>
      <c r="G776" s="104"/>
      <c r="H776" s="140"/>
    </row>
    <row r="777" spans="1:9" s="65" customFormat="1" ht="15.75" thickBot="1">
      <c r="A777" s="120"/>
      <c r="B777" s="73"/>
      <c r="C777" s="73"/>
      <c r="D777" s="73"/>
      <c r="E777" s="73"/>
      <c r="G777" s="121"/>
      <c r="H777" s="140"/>
    </row>
    <row r="778" spans="1:9" s="65" customFormat="1">
      <c r="A778" s="627"/>
      <c r="B778" s="629" t="s">
        <v>162</v>
      </c>
      <c r="C778" s="630"/>
      <c r="D778" s="630"/>
      <c r="E778" s="630"/>
      <c r="F778" s="630"/>
      <c r="G778" s="630"/>
      <c r="H778" s="643"/>
      <c r="I778" s="66" t="s">
        <v>389</v>
      </c>
    </row>
    <row r="779" spans="1:9" s="65" customFormat="1">
      <c r="A779" s="628"/>
      <c r="B779" s="631"/>
      <c r="C779" s="632"/>
      <c r="D779" s="632"/>
      <c r="E779" s="632"/>
      <c r="F779" s="632"/>
      <c r="G779" s="632"/>
      <c r="H779" s="644"/>
      <c r="I779" s="67" t="s">
        <v>157</v>
      </c>
    </row>
    <row r="780" spans="1:9" s="65" customFormat="1">
      <c r="A780" s="68"/>
      <c r="B780" s="69"/>
      <c r="C780" s="69"/>
      <c r="D780" s="69"/>
      <c r="E780" s="69"/>
      <c r="F780" s="70"/>
      <c r="G780" s="70"/>
      <c r="H780" s="70"/>
      <c r="I780" s="71"/>
    </row>
    <row r="781" spans="1:9" s="65" customFormat="1">
      <c r="A781" s="72" t="s">
        <v>390</v>
      </c>
      <c r="B781" s="73"/>
      <c r="C781" s="73"/>
      <c r="D781" s="73"/>
      <c r="E781" s="73"/>
      <c r="F781" s="74"/>
      <c r="G781" s="74"/>
      <c r="H781" s="70"/>
      <c r="I781" s="71"/>
    </row>
    <row r="782" spans="1:9" s="65" customFormat="1">
      <c r="A782" s="75" t="s">
        <v>391</v>
      </c>
      <c r="B782" s="76" t="s">
        <v>392</v>
      </c>
      <c r="C782" s="76" t="s">
        <v>393</v>
      </c>
      <c r="D782" s="76" t="s">
        <v>394</v>
      </c>
      <c r="E782" s="76" t="s">
        <v>395</v>
      </c>
      <c r="F782" s="76" t="s">
        <v>396</v>
      </c>
      <c r="G782" s="76" t="s">
        <v>397</v>
      </c>
      <c r="H782" s="74"/>
      <c r="I782" s="71"/>
    </row>
    <row r="783" spans="1:9" s="65" customFormat="1">
      <c r="A783" s="77"/>
      <c r="B783" s="79"/>
      <c r="C783" s="79"/>
      <c r="D783" s="107"/>
      <c r="E783" s="79"/>
      <c r="F783" s="79"/>
      <c r="G783" s="107"/>
      <c r="H783" s="74"/>
      <c r="I783" s="71"/>
    </row>
    <row r="784" spans="1:9" s="65" customFormat="1">
      <c r="A784" s="82"/>
      <c r="B784" s="83"/>
      <c r="C784" s="84"/>
      <c r="D784" s="84"/>
      <c r="E784" s="84"/>
      <c r="F784"/>
      <c r="G784" s="93" t="s">
        <v>407</v>
      </c>
      <c r="H784" s="107">
        <f>SUM(G783:G783)</f>
        <v>0</v>
      </c>
      <c r="I784" s="71"/>
    </row>
    <row r="785" spans="1:9" s="65" customFormat="1">
      <c r="A785" s="72" t="s">
        <v>408</v>
      </c>
      <c r="B785" s="73"/>
      <c r="C785" s="73"/>
      <c r="D785" s="73"/>
      <c r="E785" s="73"/>
      <c r="F785"/>
      <c r="G785" s="74"/>
      <c r="H785" s="108"/>
      <c r="I785" s="71"/>
    </row>
    <row r="786" spans="1:9" s="65" customFormat="1">
      <c r="A786" s="75" t="s">
        <v>391</v>
      </c>
      <c r="B786" s="76" t="s">
        <v>392</v>
      </c>
      <c r="C786" s="76" t="s">
        <v>393</v>
      </c>
      <c r="D786" s="76" t="s">
        <v>394</v>
      </c>
      <c r="E786" s="76" t="s">
        <v>395</v>
      </c>
      <c r="F786" s="76" t="s">
        <v>396</v>
      </c>
      <c r="G786" s="76" t="s">
        <v>397</v>
      </c>
      <c r="H786" s="108"/>
      <c r="I786" s="71"/>
    </row>
    <row r="787" spans="1:9" s="65" customFormat="1" ht="25.5">
      <c r="A787" s="135"/>
      <c r="B787" s="78" t="s">
        <v>162</v>
      </c>
      <c r="C787" s="127" t="s">
        <v>157</v>
      </c>
      <c r="D787" s="256">
        <f>2720000*1.16*1.4</f>
        <v>4417280</v>
      </c>
      <c r="E787" s="79">
        <v>1</v>
      </c>
      <c r="F787" s="79">
        <v>0</v>
      </c>
      <c r="G787" s="107">
        <f>(D787*E787)+((D787*E787)*F787/100)</f>
        <v>4417280</v>
      </c>
      <c r="H787" s="108"/>
      <c r="I787" s="71"/>
    </row>
    <row r="788" spans="1:9" s="65" customFormat="1">
      <c r="A788" s="90"/>
      <c r="B788" s="91"/>
      <c r="C788" s="91"/>
      <c r="D788" s="91"/>
      <c r="E788" s="91"/>
      <c r="F788"/>
      <c r="G788" s="85" t="s">
        <v>407</v>
      </c>
      <c r="H788" s="107">
        <f>SUM(G787:G787)</f>
        <v>4417280</v>
      </c>
      <c r="I788" s="71"/>
    </row>
    <row r="789" spans="1:9" s="65" customFormat="1">
      <c r="A789" s="72" t="s">
        <v>410</v>
      </c>
      <c r="B789" s="73"/>
      <c r="C789" s="73"/>
      <c r="D789" s="73"/>
      <c r="E789" s="73"/>
      <c r="F789"/>
      <c r="G789" s="74"/>
      <c r="H789" s="108"/>
      <c r="I789" s="71"/>
    </row>
    <row r="790" spans="1:9" s="65" customFormat="1">
      <c r="A790" s="75" t="s">
        <v>391</v>
      </c>
      <c r="B790" s="76" t="s">
        <v>392</v>
      </c>
      <c r="C790" s="76" t="s">
        <v>393</v>
      </c>
      <c r="D790" s="76" t="s">
        <v>394</v>
      </c>
      <c r="E790" s="76" t="s">
        <v>395</v>
      </c>
      <c r="F790" s="76" t="s">
        <v>396</v>
      </c>
      <c r="G790" s="76" t="s">
        <v>397</v>
      </c>
      <c r="H790" s="108"/>
      <c r="I790" s="71"/>
    </row>
    <row r="791" spans="1:9" s="65" customFormat="1">
      <c r="A791" s="77"/>
      <c r="B791" s="78"/>
      <c r="C791" s="79"/>
      <c r="D791" s="107"/>
      <c r="E791" s="79"/>
      <c r="F791" s="79"/>
      <c r="G791" s="107"/>
      <c r="H791" s="108"/>
      <c r="I791" s="71"/>
    </row>
    <row r="792" spans="1:9" s="65" customFormat="1">
      <c r="A792" s="90"/>
      <c r="B792" s="91"/>
      <c r="C792" s="91"/>
      <c r="D792" s="91"/>
      <c r="E792" s="91"/>
      <c r="F792"/>
      <c r="G792" s="93" t="s">
        <v>407</v>
      </c>
      <c r="H792" s="107">
        <f>SUM(G791:G791)</f>
        <v>0</v>
      </c>
      <c r="I792" s="71"/>
    </row>
    <row r="793" spans="1:9" s="65" customFormat="1">
      <c r="A793" s="72" t="s">
        <v>411</v>
      </c>
      <c r="B793" s="73"/>
      <c r="C793" s="73"/>
      <c r="D793" s="73"/>
      <c r="E793" s="73"/>
      <c r="F793"/>
      <c r="G793" s="74"/>
      <c r="H793" s="108"/>
      <c r="I793" s="71"/>
    </row>
    <row r="794" spans="1:9" s="65" customFormat="1">
      <c r="A794" s="75" t="s">
        <v>391</v>
      </c>
      <c r="B794" s="76" t="s">
        <v>392</v>
      </c>
      <c r="C794" s="76" t="s">
        <v>393</v>
      </c>
      <c r="D794" s="76" t="s">
        <v>394</v>
      </c>
      <c r="E794" s="76" t="s">
        <v>395</v>
      </c>
      <c r="F794" s="76" t="s">
        <v>396</v>
      </c>
      <c r="G794" s="76" t="s">
        <v>397</v>
      </c>
      <c r="H794" s="108"/>
      <c r="I794" s="71"/>
    </row>
    <row r="795" spans="1:9" s="65" customFormat="1">
      <c r="A795" s="87" t="s">
        <v>409</v>
      </c>
      <c r="B795" s="114" t="s">
        <v>747</v>
      </c>
      <c r="C795" s="114" t="s">
        <v>437</v>
      </c>
      <c r="D795" s="114">
        <v>800000</v>
      </c>
      <c r="E795" s="215">
        <v>0.05</v>
      </c>
      <c r="F795" s="79">
        <v>0</v>
      </c>
      <c r="G795" s="107">
        <f>(D795*E795)+((D795*E795)*F795/100)</f>
        <v>40000</v>
      </c>
      <c r="H795" s="108"/>
      <c r="I795" s="71"/>
    </row>
    <row r="796" spans="1:9" s="65" customFormat="1">
      <c r="A796" s="94"/>
      <c r="B796" s="95"/>
      <c r="C796" s="95"/>
      <c r="D796" s="95"/>
      <c r="E796" s="95"/>
      <c r="F796"/>
      <c r="G796" s="93" t="s">
        <v>407</v>
      </c>
      <c r="H796" s="107">
        <f>SUM(G794:G795)</f>
        <v>40000</v>
      </c>
      <c r="I796" s="71"/>
    </row>
    <row r="797" spans="1:9" s="65" customFormat="1">
      <c r="A797" s="94"/>
      <c r="B797" s="95"/>
      <c r="C797" s="95"/>
      <c r="D797" s="95"/>
      <c r="E797" s="95"/>
      <c r="F797"/>
      <c r="G797" s="74"/>
      <c r="H797" s="74"/>
      <c r="I797" s="71"/>
    </row>
    <row r="798" spans="1:9" s="65" customFormat="1">
      <c r="A798" s="96"/>
      <c r="B798" s="97"/>
      <c r="C798" s="98"/>
      <c r="D798" s="98"/>
      <c r="E798" s="98"/>
      <c r="F798"/>
      <c r="G798" s="99" t="s">
        <v>412</v>
      </c>
      <c r="H798" s="115">
        <f>SUM(H784:H796)</f>
        <v>4457280</v>
      </c>
      <c r="I798" s="71"/>
    </row>
    <row r="799" spans="1:9" s="65" customFormat="1">
      <c r="A799" s="96"/>
      <c r="B799" s="97"/>
      <c r="C799" s="98"/>
      <c r="D799" s="98"/>
      <c r="E799" s="98"/>
      <c r="F799" s="101"/>
      <c r="G799" s="116"/>
      <c r="H799" s="70"/>
      <c r="I799" s="71"/>
    </row>
    <row r="800" spans="1:9" s="65" customFormat="1" ht="15.75" thickBot="1">
      <c r="A800" s="624" t="s">
        <v>761</v>
      </c>
      <c r="B800" s="625"/>
      <c r="C800" s="625"/>
      <c r="D800" s="625"/>
      <c r="E800" s="625"/>
      <c r="F800" s="625"/>
      <c r="G800" s="626"/>
      <c r="H800" s="117">
        <f>+ROUND(H798,0)</f>
        <v>4457280</v>
      </c>
      <c r="I800" s="103"/>
    </row>
    <row r="801" spans="1:9" s="65" customFormat="1">
      <c r="A801" s="120"/>
      <c r="B801" s="73"/>
      <c r="C801" s="73"/>
      <c r="D801" s="73"/>
      <c r="E801" s="73"/>
      <c r="G801" s="121"/>
      <c r="H801" s="140"/>
    </row>
    <row r="802" spans="1:9" s="65" customFormat="1" ht="15.75" thickBot="1">
      <c r="A802" s="128"/>
      <c r="B802" s="141"/>
      <c r="C802" s="141"/>
      <c r="D802" s="141"/>
      <c r="E802" s="141"/>
      <c r="F802" s="141"/>
      <c r="G802" s="141"/>
      <c r="H802" s="140"/>
    </row>
    <row r="803" spans="1:9" s="65" customFormat="1">
      <c r="A803" s="627"/>
      <c r="B803" s="629" t="s">
        <v>14</v>
      </c>
      <c r="C803" s="630"/>
      <c r="D803" s="630"/>
      <c r="E803" s="630"/>
      <c r="F803" s="630"/>
      <c r="G803" s="630"/>
      <c r="H803" s="643"/>
      <c r="I803" s="66" t="s">
        <v>389</v>
      </c>
    </row>
    <row r="804" spans="1:9" s="65" customFormat="1">
      <c r="A804" s="628"/>
      <c r="B804" s="631"/>
      <c r="C804" s="632"/>
      <c r="D804" s="632"/>
      <c r="E804" s="632"/>
      <c r="F804" s="632"/>
      <c r="G804" s="632"/>
      <c r="H804" s="644"/>
      <c r="I804" s="67" t="s">
        <v>157</v>
      </c>
    </row>
    <row r="805" spans="1:9" s="65" customFormat="1">
      <c r="A805" s="68"/>
      <c r="B805" s="69"/>
      <c r="C805" s="69"/>
      <c r="D805" s="69"/>
      <c r="E805" s="69"/>
      <c r="F805" s="70"/>
      <c r="G805" s="70"/>
      <c r="H805" s="70"/>
      <c r="I805" s="71"/>
    </row>
    <row r="806" spans="1:9" s="65" customFormat="1">
      <c r="A806" s="72" t="s">
        <v>390</v>
      </c>
      <c r="B806" s="73"/>
      <c r="C806" s="73"/>
      <c r="D806" s="73"/>
      <c r="E806" s="73"/>
      <c r="F806" s="74"/>
      <c r="G806" s="74"/>
      <c r="H806" s="70"/>
      <c r="I806" s="71"/>
    </row>
    <row r="807" spans="1:9" s="65" customFormat="1">
      <c r="A807" s="75" t="s">
        <v>391</v>
      </c>
      <c r="B807" s="76" t="s">
        <v>392</v>
      </c>
      <c r="C807" s="76" t="s">
        <v>393</v>
      </c>
      <c r="D807" s="76" t="s">
        <v>394</v>
      </c>
      <c r="E807" s="76" t="s">
        <v>395</v>
      </c>
      <c r="F807" s="76" t="s">
        <v>396</v>
      </c>
      <c r="G807" s="76" t="s">
        <v>397</v>
      </c>
      <c r="H807" s="74"/>
      <c r="I807" s="71"/>
    </row>
    <row r="808" spans="1:9" s="65" customFormat="1">
      <c r="A808" s="77"/>
      <c r="B808" s="79"/>
      <c r="C808" s="79"/>
      <c r="D808" s="107"/>
      <c r="E808" s="79"/>
      <c r="F808" s="79"/>
      <c r="G808" s="107"/>
      <c r="H808" s="74"/>
      <c r="I808" s="71"/>
    </row>
    <row r="809" spans="1:9" s="65" customFormat="1">
      <c r="A809" s="82"/>
      <c r="B809" s="83"/>
      <c r="C809" s="84"/>
      <c r="D809" s="84"/>
      <c r="E809" s="84"/>
      <c r="F809"/>
      <c r="G809" s="93" t="s">
        <v>407</v>
      </c>
      <c r="H809" s="107">
        <f>SUM(G808:G808)</f>
        <v>0</v>
      </c>
      <c r="I809" s="71"/>
    </row>
    <row r="810" spans="1:9" s="65" customFormat="1">
      <c r="A810" s="72" t="s">
        <v>408</v>
      </c>
      <c r="B810" s="73"/>
      <c r="C810" s="73"/>
      <c r="D810" s="73"/>
      <c r="E810" s="73"/>
      <c r="F810"/>
      <c r="G810" s="74"/>
      <c r="H810" s="108"/>
      <c r="I810" s="71"/>
    </row>
    <row r="811" spans="1:9" s="65" customFormat="1">
      <c r="A811" s="75" t="s">
        <v>391</v>
      </c>
      <c r="B811" s="76" t="s">
        <v>392</v>
      </c>
      <c r="C811" s="76" t="s">
        <v>393</v>
      </c>
      <c r="D811" s="76" t="s">
        <v>394</v>
      </c>
      <c r="E811" s="76" t="s">
        <v>395</v>
      </c>
      <c r="F811" s="76" t="s">
        <v>396</v>
      </c>
      <c r="G811" s="76" t="s">
        <v>397</v>
      </c>
      <c r="H811" s="108"/>
      <c r="I811" s="71"/>
    </row>
    <row r="812" spans="1:9" s="65" customFormat="1" ht="25.5">
      <c r="A812" s="135"/>
      <c r="B812" s="78" t="s">
        <v>14</v>
      </c>
      <c r="C812" s="127" t="s">
        <v>157</v>
      </c>
      <c r="D812" s="256">
        <f>329000*1.16*1.4</f>
        <v>534296</v>
      </c>
      <c r="E812" s="79">
        <v>1</v>
      </c>
      <c r="F812" s="79">
        <v>0</v>
      </c>
      <c r="G812" s="107">
        <f>(D812*E812)+((D812*E812)*F812/100)</f>
        <v>534296</v>
      </c>
      <c r="H812" s="108"/>
      <c r="I812" s="71"/>
    </row>
    <row r="813" spans="1:9" s="65" customFormat="1">
      <c r="A813" s="90"/>
      <c r="B813" s="91"/>
      <c r="C813" s="91"/>
      <c r="D813" s="91"/>
      <c r="E813" s="91"/>
      <c r="F813"/>
      <c r="G813" s="85" t="s">
        <v>407</v>
      </c>
      <c r="H813" s="107">
        <f>SUM(G812:G812)</f>
        <v>534296</v>
      </c>
      <c r="I813" s="71"/>
    </row>
    <row r="814" spans="1:9" s="65" customFormat="1">
      <c r="A814" s="72" t="s">
        <v>410</v>
      </c>
      <c r="B814" s="73"/>
      <c r="C814" s="73"/>
      <c r="D814" s="73"/>
      <c r="E814" s="73"/>
      <c r="F814"/>
      <c r="G814" s="74"/>
      <c r="H814" s="108"/>
      <c r="I814" s="71"/>
    </row>
    <row r="815" spans="1:9" s="65" customFormat="1">
      <c r="A815" s="75" t="s">
        <v>391</v>
      </c>
      <c r="B815" s="76" t="s">
        <v>392</v>
      </c>
      <c r="C815" s="76" t="s">
        <v>393</v>
      </c>
      <c r="D815" s="76" t="s">
        <v>394</v>
      </c>
      <c r="E815" s="76" t="s">
        <v>395</v>
      </c>
      <c r="F815" s="76" t="s">
        <v>396</v>
      </c>
      <c r="G815" s="76" t="s">
        <v>397</v>
      </c>
      <c r="H815" s="108"/>
      <c r="I815" s="71"/>
    </row>
    <row r="816" spans="1:9" s="65" customFormat="1">
      <c r="A816" s="77"/>
      <c r="B816" s="78"/>
      <c r="C816" s="79"/>
      <c r="D816" s="107"/>
      <c r="E816" s="79"/>
      <c r="F816" s="79"/>
      <c r="G816" s="107"/>
      <c r="H816" s="108"/>
      <c r="I816" s="71"/>
    </row>
    <row r="817" spans="1:9" s="65" customFormat="1">
      <c r="A817" s="90"/>
      <c r="B817" s="91"/>
      <c r="C817" s="91"/>
      <c r="D817" s="91"/>
      <c r="E817" s="91"/>
      <c r="F817"/>
      <c r="G817" s="93" t="s">
        <v>407</v>
      </c>
      <c r="H817" s="107">
        <f>SUM(G816:G816)</f>
        <v>0</v>
      </c>
      <c r="I817" s="71"/>
    </row>
    <row r="818" spans="1:9" s="65" customFormat="1">
      <c r="A818" s="72" t="s">
        <v>411</v>
      </c>
      <c r="B818" s="73"/>
      <c r="C818" s="73"/>
      <c r="D818" s="73"/>
      <c r="E818" s="73"/>
      <c r="F818"/>
      <c r="G818" s="74"/>
      <c r="H818" s="108"/>
      <c r="I818" s="71"/>
    </row>
    <row r="819" spans="1:9" s="65" customFormat="1">
      <c r="A819" s="75" t="s">
        <v>391</v>
      </c>
      <c r="B819" s="76" t="s">
        <v>392</v>
      </c>
      <c r="C819" s="76" t="s">
        <v>393</v>
      </c>
      <c r="D819" s="76" t="s">
        <v>394</v>
      </c>
      <c r="E819" s="76" t="s">
        <v>395</v>
      </c>
      <c r="F819" s="76" t="s">
        <v>396</v>
      </c>
      <c r="G819" s="76" t="s">
        <v>397</v>
      </c>
      <c r="H819" s="108"/>
      <c r="I819" s="71"/>
    </row>
    <row r="820" spans="1:9" s="65" customFormat="1">
      <c r="A820" s="87" t="s">
        <v>409</v>
      </c>
      <c r="B820" s="114" t="s">
        <v>747</v>
      </c>
      <c r="C820" s="114" t="s">
        <v>437</v>
      </c>
      <c r="D820" s="114">
        <v>800000</v>
      </c>
      <c r="E820" s="215">
        <v>0.06</v>
      </c>
      <c r="F820" s="79">
        <v>0</v>
      </c>
      <c r="G820" s="107">
        <f>(D820*E820)+((D820*E820)*F820/100)</f>
        <v>48000</v>
      </c>
      <c r="H820" s="108"/>
      <c r="I820" s="71"/>
    </row>
    <row r="821" spans="1:9" s="65" customFormat="1">
      <c r="A821" s="94"/>
      <c r="B821" s="95"/>
      <c r="C821" s="95"/>
      <c r="D821" s="95"/>
      <c r="E821" s="95"/>
      <c r="F821"/>
      <c r="G821" s="93" t="s">
        <v>407</v>
      </c>
      <c r="H821" s="107">
        <f>SUM(G819:G820)</f>
        <v>48000</v>
      </c>
      <c r="I821" s="71"/>
    </row>
    <row r="822" spans="1:9" s="65" customFormat="1">
      <c r="A822" s="94"/>
      <c r="B822" s="95"/>
      <c r="C822" s="95"/>
      <c r="D822" s="95"/>
      <c r="E822" s="95"/>
      <c r="F822"/>
      <c r="G822" s="74"/>
      <c r="H822" s="74"/>
      <c r="I822" s="71"/>
    </row>
    <row r="823" spans="1:9" s="65" customFormat="1">
      <c r="A823" s="96"/>
      <c r="B823" s="97"/>
      <c r="C823" s="98"/>
      <c r="D823" s="98"/>
      <c r="E823" s="98"/>
      <c r="F823"/>
      <c r="G823" s="99" t="s">
        <v>412</v>
      </c>
      <c r="H823" s="115">
        <f>SUM(H809:H821)</f>
        <v>582296</v>
      </c>
      <c r="I823" s="71"/>
    </row>
    <row r="824" spans="1:9" s="65" customFormat="1">
      <c r="A824" s="96"/>
      <c r="B824" s="97"/>
      <c r="C824" s="98"/>
      <c r="D824" s="98"/>
      <c r="E824" s="98"/>
      <c r="F824" s="101"/>
      <c r="G824" s="116"/>
      <c r="H824" s="70"/>
      <c r="I824" s="71"/>
    </row>
    <row r="825" spans="1:9" s="65" customFormat="1" ht="15.75" thickBot="1">
      <c r="A825" s="624" t="s">
        <v>761</v>
      </c>
      <c r="B825" s="625"/>
      <c r="C825" s="625"/>
      <c r="D825" s="625"/>
      <c r="E825" s="625"/>
      <c r="F825" s="625"/>
      <c r="G825" s="626"/>
      <c r="H825" s="117">
        <f>+ROUND(H823,0)</f>
        <v>582296</v>
      </c>
      <c r="I825" s="103"/>
    </row>
    <row r="826" spans="1:9" s="65" customFormat="1">
      <c r="A826" s="128"/>
      <c r="B826" s="141"/>
      <c r="C826" s="141"/>
      <c r="D826" s="141"/>
      <c r="E826" s="141"/>
      <c r="F826" s="141"/>
      <c r="G826" s="141"/>
      <c r="H826" s="140"/>
    </row>
    <row r="827" spans="1:9" s="65" customFormat="1" ht="15.75" thickBot="1">
      <c r="A827" s="142"/>
      <c r="B827" s="143"/>
      <c r="C827" s="143"/>
      <c r="D827" s="143"/>
      <c r="E827" s="143"/>
      <c r="F827" s="84"/>
      <c r="G827" s="144"/>
      <c r="H827" s="145"/>
    </row>
    <row r="828" spans="1:9" s="65" customFormat="1">
      <c r="A828" s="627"/>
      <c r="B828" s="629" t="s">
        <v>60</v>
      </c>
      <c r="C828" s="630"/>
      <c r="D828" s="630"/>
      <c r="E828" s="630"/>
      <c r="F828" s="630"/>
      <c r="G828" s="630"/>
      <c r="H828" s="643"/>
      <c r="I828" s="66" t="s">
        <v>389</v>
      </c>
    </row>
    <row r="829" spans="1:9" s="65" customFormat="1">
      <c r="A829" s="628"/>
      <c r="B829" s="631"/>
      <c r="C829" s="632"/>
      <c r="D829" s="632"/>
      <c r="E829" s="632"/>
      <c r="F829" s="632"/>
      <c r="G829" s="632"/>
      <c r="H829" s="644"/>
      <c r="I829" s="67" t="s">
        <v>157</v>
      </c>
    </row>
    <row r="830" spans="1:9" s="65" customFormat="1">
      <c r="A830" s="68"/>
      <c r="B830" s="69"/>
      <c r="C830" s="69"/>
      <c r="D830" s="69"/>
      <c r="E830" s="69"/>
      <c r="F830" s="70"/>
      <c r="G830" s="70"/>
      <c r="H830" s="70"/>
      <c r="I830" s="71"/>
    </row>
    <row r="831" spans="1:9" s="65" customFormat="1">
      <c r="A831" s="72" t="s">
        <v>390</v>
      </c>
      <c r="B831" s="73"/>
      <c r="C831" s="73"/>
      <c r="D831" s="73"/>
      <c r="E831" s="73"/>
      <c r="F831" s="74"/>
      <c r="G831" s="74"/>
      <c r="H831" s="70"/>
      <c r="I831" s="71"/>
    </row>
    <row r="832" spans="1:9" s="65" customFormat="1">
      <c r="A832" s="75" t="s">
        <v>391</v>
      </c>
      <c r="B832" s="76" t="s">
        <v>392</v>
      </c>
      <c r="C832" s="76" t="s">
        <v>393</v>
      </c>
      <c r="D832" s="76" t="s">
        <v>394</v>
      </c>
      <c r="E832" s="76" t="s">
        <v>395</v>
      </c>
      <c r="F832" s="76" t="s">
        <v>396</v>
      </c>
      <c r="G832" s="76" t="s">
        <v>397</v>
      </c>
      <c r="H832" s="74"/>
      <c r="I832" s="71"/>
    </row>
    <row r="833" spans="1:9" s="65" customFormat="1">
      <c r="A833" s="77"/>
      <c r="B833" s="79"/>
      <c r="C833" s="79"/>
      <c r="D833" s="107"/>
      <c r="E833" s="79"/>
      <c r="F833" s="79"/>
      <c r="G833" s="107"/>
      <c r="H833" s="74"/>
      <c r="I833" s="71"/>
    </row>
    <row r="834" spans="1:9" s="65" customFormat="1">
      <c r="A834" s="82"/>
      <c r="B834" s="83"/>
      <c r="C834" s="84"/>
      <c r="D834" s="84"/>
      <c r="E834" s="84"/>
      <c r="F834"/>
      <c r="G834" s="93" t="s">
        <v>407</v>
      </c>
      <c r="H834" s="107">
        <f>SUM(G833:G833)</f>
        <v>0</v>
      </c>
      <c r="I834" s="71"/>
    </row>
    <row r="835" spans="1:9" s="65" customFormat="1">
      <c r="A835" s="72" t="s">
        <v>408</v>
      </c>
      <c r="B835" s="73"/>
      <c r="C835" s="73"/>
      <c r="D835" s="73"/>
      <c r="E835" s="73"/>
      <c r="F835"/>
      <c r="G835" s="74"/>
      <c r="H835" s="108"/>
      <c r="I835" s="71"/>
    </row>
    <row r="836" spans="1:9" s="65" customFormat="1">
      <c r="A836" s="75" t="s">
        <v>391</v>
      </c>
      <c r="B836" s="76" t="s">
        <v>392</v>
      </c>
      <c r="C836" s="76" t="s">
        <v>393</v>
      </c>
      <c r="D836" s="76" t="s">
        <v>394</v>
      </c>
      <c r="E836" s="76" t="s">
        <v>395</v>
      </c>
      <c r="F836" s="76" t="s">
        <v>396</v>
      </c>
      <c r="G836" s="76" t="s">
        <v>397</v>
      </c>
      <c r="H836" s="108"/>
      <c r="I836" s="71"/>
    </row>
    <row r="837" spans="1:9" s="65" customFormat="1" ht="25.5">
      <c r="A837" s="135"/>
      <c r="B837" s="78" t="s">
        <v>60</v>
      </c>
      <c r="C837" s="127" t="s">
        <v>157</v>
      </c>
      <c r="D837" s="256">
        <f>329000*1.16*1.4</f>
        <v>534296</v>
      </c>
      <c r="E837" s="79">
        <v>1</v>
      </c>
      <c r="F837" s="79">
        <v>0</v>
      </c>
      <c r="G837" s="107">
        <f>(D837*E837)+((D837*E837)*F837/100)</f>
        <v>534296</v>
      </c>
      <c r="H837" s="108"/>
      <c r="I837" s="71"/>
    </row>
    <row r="838" spans="1:9" s="65" customFormat="1">
      <c r="A838" s="90"/>
      <c r="B838" s="91"/>
      <c r="C838" s="91"/>
      <c r="D838" s="91"/>
      <c r="E838" s="91"/>
      <c r="F838"/>
      <c r="G838" s="85" t="s">
        <v>407</v>
      </c>
      <c r="H838" s="107">
        <f>SUM(G837:G837)</f>
        <v>534296</v>
      </c>
      <c r="I838" s="71"/>
    </row>
    <row r="839" spans="1:9" s="65" customFormat="1">
      <c r="A839" s="72" t="s">
        <v>410</v>
      </c>
      <c r="B839" s="73"/>
      <c r="C839" s="73"/>
      <c r="D839" s="73"/>
      <c r="E839" s="73"/>
      <c r="F839"/>
      <c r="G839" s="74"/>
      <c r="H839" s="108"/>
      <c r="I839" s="71"/>
    </row>
    <row r="840" spans="1:9" s="65" customFormat="1">
      <c r="A840" s="75" t="s">
        <v>391</v>
      </c>
      <c r="B840" s="76" t="s">
        <v>392</v>
      </c>
      <c r="C840" s="76" t="s">
        <v>393</v>
      </c>
      <c r="D840" s="76" t="s">
        <v>394</v>
      </c>
      <c r="E840" s="76" t="s">
        <v>395</v>
      </c>
      <c r="F840" s="76" t="s">
        <v>396</v>
      </c>
      <c r="G840" s="76" t="s">
        <v>397</v>
      </c>
      <c r="H840" s="108"/>
      <c r="I840" s="71"/>
    </row>
    <row r="841" spans="1:9" s="65" customFormat="1">
      <c r="A841" s="77"/>
      <c r="B841" s="78"/>
      <c r="C841" s="79"/>
      <c r="D841" s="107"/>
      <c r="E841" s="79"/>
      <c r="F841" s="79"/>
      <c r="G841" s="107"/>
      <c r="H841" s="108"/>
      <c r="I841" s="71"/>
    </row>
    <row r="842" spans="1:9" s="65" customFormat="1">
      <c r="A842" s="90"/>
      <c r="B842" s="91"/>
      <c r="C842" s="91"/>
      <c r="D842" s="91"/>
      <c r="E842" s="91"/>
      <c r="F842"/>
      <c r="G842" s="93" t="s">
        <v>407</v>
      </c>
      <c r="H842" s="107">
        <f>SUM(G841:G841)</f>
        <v>0</v>
      </c>
      <c r="I842" s="71"/>
    </row>
    <row r="843" spans="1:9" s="65" customFormat="1">
      <c r="A843" s="72" t="s">
        <v>411</v>
      </c>
      <c r="B843" s="73"/>
      <c r="C843" s="73"/>
      <c r="D843" s="73"/>
      <c r="E843" s="73"/>
      <c r="F843"/>
      <c r="G843" s="74"/>
      <c r="H843" s="108"/>
      <c r="I843" s="71"/>
    </row>
    <row r="844" spans="1:9" s="65" customFormat="1">
      <c r="A844" s="75" t="s">
        <v>391</v>
      </c>
      <c r="B844" s="76" t="s">
        <v>392</v>
      </c>
      <c r="C844" s="76" t="s">
        <v>393</v>
      </c>
      <c r="D844" s="76" t="s">
        <v>394</v>
      </c>
      <c r="E844" s="76" t="s">
        <v>395</v>
      </c>
      <c r="F844" s="76" t="s">
        <v>396</v>
      </c>
      <c r="G844" s="76" t="s">
        <v>397</v>
      </c>
      <c r="H844" s="108"/>
      <c r="I844" s="71"/>
    </row>
    <row r="845" spans="1:9" s="65" customFormat="1">
      <c r="A845" s="87" t="s">
        <v>409</v>
      </c>
      <c r="B845" s="114" t="s">
        <v>747</v>
      </c>
      <c r="C845" s="114" t="s">
        <v>437</v>
      </c>
      <c r="D845" s="114">
        <v>800000</v>
      </c>
      <c r="E845" s="215">
        <v>0.04</v>
      </c>
      <c r="F845" s="79">
        <v>0</v>
      </c>
      <c r="G845" s="107">
        <f>(D845*E845)+((D845*E845)*F845/100)</f>
        <v>32000</v>
      </c>
      <c r="H845" s="108"/>
      <c r="I845" s="71"/>
    </row>
    <row r="846" spans="1:9" s="65" customFormat="1">
      <c r="A846" s="94"/>
      <c r="B846" s="95"/>
      <c r="C846" s="95"/>
      <c r="D846" s="95"/>
      <c r="E846" s="95"/>
      <c r="F846"/>
      <c r="G846" s="93" t="s">
        <v>407</v>
      </c>
      <c r="H846" s="107">
        <f>SUM(G844:G845)</f>
        <v>32000</v>
      </c>
      <c r="I846" s="71"/>
    </row>
    <row r="847" spans="1:9" s="65" customFormat="1">
      <c r="A847" s="94"/>
      <c r="B847" s="95"/>
      <c r="C847" s="95"/>
      <c r="D847" s="95"/>
      <c r="E847" s="95"/>
      <c r="F847"/>
      <c r="G847" s="74"/>
      <c r="H847" s="74"/>
      <c r="I847" s="71"/>
    </row>
    <row r="848" spans="1:9" s="65" customFormat="1">
      <c r="A848" s="96"/>
      <c r="B848" s="97"/>
      <c r="C848" s="98"/>
      <c r="D848" s="98"/>
      <c r="E848" s="98"/>
      <c r="F848"/>
      <c r="G848" s="99" t="s">
        <v>412</v>
      </c>
      <c r="H848" s="115">
        <f>SUM(H834:H846)</f>
        <v>566296</v>
      </c>
      <c r="I848" s="71"/>
    </row>
    <row r="849" spans="1:9" s="65" customFormat="1">
      <c r="A849" s="96"/>
      <c r="B849" s="97"/>
      <c r="C849" s="98"/>
      <c r="D849" s="98"/>
      <c r="E849" s="98"/>
      <c r="F849" s="101"/>
      <c r="G849" s="116"/>
      <c r="H849" s="70"/>
      <c r="I849" s="71"/>
    </row>
    <row r="850" spans="1:9" s="65" customFormat="1" ht="15.75" thickBot="1">
      <c r="A850" s="624" t="s">
        <v>761</v>
      </c>
      <c r="B850" s="625"/>
      <c r="C850" s="625"/>
      <c r="D850" s="625"/>
      <c r="E850" s="625"/>
      <c r="F850" s="625"/>
      <c r="G850" s="626"/>
      <c r="H850" s="117">
        <f>+ROUND(H848,0)</f>
        <v>566296</v>
      </c>
      <c r="I850" s="103"/>
    </row>
    <row r="851" spans="1:9" s="65" customFormat="1">
      <c r="A851" s="150"/>
      <c r="B851" s="83"/>
      <c r="C851" s="148"/>
      <c r="D851" s="84"/>
      <c r="E851" s="84"/>
      <c r="F851" s="84"/>
      <c r="G851" s="144"/>
      <c r="H851" s="145"/>
    </row>
    <row r="852" spans="1:9" s="65" customFormat="1" ht="15.75" thickBot="1">
      <c r="A852" s="91"/>
      <c r="B852" s="91"/>
      <c r="C852" s="91"/>
      <c r="D852" s="91"/>
      <c r="E852" s="91"/>
      <c r="G852" s="104"/>
      <c r="H852" s="140"/>
    </row>
    <row r="853" spans="1:9" s="65" customFormat="1">
      <c r="A853" s="627"/>
      <c r="B853" s="629" t="s">
        <v>168</v>
      </c>
      <c r="C853" s="630"/>
      <c r="D853" s="630"/>
      <c r="E853" s="630"/>
      <c r="F853" s="630"/>
      <c r="G853" s="630"/>
      <c r="H853" s="643"/>
      <c r="I853" s="66" t="s">
        <v>389</v>
      </c>
    </row>
    <row r="854" spans="1:9" s="65" customFormat="1">
      <c r="A854" s="628"/>
      <c r="B854" s="631"/>
      <c r="C854" s="632"/>
      <c r="D854" s="632"/>
      <c r="E854" s="632"/>
      <c r="F854" s="632"/>
      <c r="G854" s="632"/>
      <c r="H854" s="644"/>
      <c r="I854" s="67" t="s">
        <v>157</v>
      </c>
    </row>
    <row r="855" spans="1:9" s="65" customFormat="1">
      <c r="A855" s="68"/>
      <c r="B855" s="69"/>
      <c r="C855" s="69"/>
      <c r="D855" s="69"/>
      <c r="E855" s="69"/>
      <c r="F855" s="70"/>
      <c r="G855" s="70"/>
      <c r="H855" s="70"/>
      <c r="I855" s="71"/>
    </row>
    <row r="856" spans="1:9" s="65" customFormat="1">
      <c r="A856" s="72" t="s">
        <v>390</v>
      </c>
      <c r="B856" s="73"/>
      <c r="C856" s="73"/>
      <c r="D856" s="73"/>
      <c r="E856" s="73"/>
      <c r="F856" s="74"/>
      <c r="G856" s="74"/>
      <c r="H856" s="70"/>
      <c r="I856" s="71"/>
    </row>
    <row r="857" spans="1:9" s="65" customFormat="1">
      <c r="A857" s="75" t="s">
        <v>391</v>
      </c>
      <c r="B857" s="76" t="s">
        <v>392</v>
      </c>
      <c r="C857" s="76" t="s">
        <v>393</v>
      </c>
      <c r="D857" s="76" t="s">
        <v>394</v>
      </c>
      <c r="E857" s="76" t="s">
        <v>395</v>
      </c>
      <c r="F857" s="76" t="s">
        <v>396</v>
      </c>
      <c r="G857" s="76" t="s">
        <v>397</v>
      </c>
      <c r="H857" s="74"/>
      <c r="I857" s="71"/>
    </row>
    <row r="858" spans="1:9" s="65" customFormat="1">
      <c r="A858" s="77"/>
      <c r="B858" s="79"/>
      <c r="C858" s="79"/>
      <c r="D858" s="107"/>
      <c r="E858" s="79"/>
      <c r="F858" s="79"/>
      <c r="G858" s="107"/>
      <c r="H858" s="74"/>
      <c r="I858" s="71"/>
    </row>
    <row r="859" spans="1:9" s="65" customFormat="1">
      <c r="A859" s="82"/>
      <c r="B859" s="83"/>
      <c r="C859" s="84"/>
      <c r="D859" s="84"/>
      <c r="E859" s="84"/>
      <c r="F859"/>
      <c r="G859" s="93" t="s">
        <v>407</v>
      </c>
      <c r="H859" s="107">
        <f>SUM(G858:G858)</f>
        <v>0</v>
      </c>
      <c r="I859" s="71"/>
    </row>
    <row r="860" spans="1:9" s="65" customFormat="1">
      <c r="A860" s="72" t="s">
        <v>408</v>
      </c>
      <c r="B860" s="73"/>
      <c r="C860" s="73"/>
      <c r="D860" s="73"/>
      <c r="E860" s="73"/>
      <c r="F860"/>
      <c r="G860" s="74"/>
      <c r="H860" s="108"/>
      <c r="I860" s="71"/>
    </row>
    <row r="861" spans="1:9" s="65" customFormat="1">
      <c r="A861" s="75" t="s">
        <v>391</v>
      </c>
      <c r="B861" s="76" t="s">
        <v>392</v>
      </c>
      <c r="C861" s="76" t="s">
        <v>393</v>
      </c>
      <c r="D861" s="76" t="s">
        <v>394</v>
      </c>
      <c r="E861" s="76" t="s">
        <v>395</v>
      </c>
      <c r="F861" s="76" t="s">
        <v>396</v>
      </c>
      <c r="G861" s="76" t="s">
        <v>397</v>
      </c>
      <c r="H861" s="108"/>
      <c r="I861" s="71"/>
    </row>
    <row r="862" spans="1:9" s="65" customFormat="1" ht="25.5">
      <c r="A862" s="135"/>
      <c r="B862" s="78" t="s">
        <v>168</v>
      </c>
      <c r="C862" s="127" t="s">
        <v>157</v>
      </c>
      <c r="D862" s="256">
        <f>205000*1.2*1.16</f>
        <v>285360</v>
      </c>
      <c r="E862" s="79">
        <v>1</v>
      </c>
      <c r="F862" s="79">
        <v>0</v>
      </c>
      <c r="G862" s="107">
        <f>(D862*E862)+((D862*E862)*F862/100)</f>
        <v>285360</v>
      </c>
      <c r="H862" s="108"/>
      <c r="I862" s="71"/>
    </row>
    <row r="863" spans="1:9" s="65" customFormat="1">
      <c r="A863" s="90"/>
      <c r="B863" s="91"/>
      <c r="C863" s="91"/>
      <c r="D863" s="91"/>
      <c r="E863" s="91"/>
      <c r="F863"/>
      <c r="G863" s="85" t="s">
        <v>407</v>
      </c>
      <c r="H863" s="107">
        <f>SUM(G862:G862)</f>
        <v>285360</v>
      </c>
      <c r="I863" s="71"/>
    </row>
    <row r="864" spans="1:9" s="65" customFormat="1">
      <c r="A864" s="72" t="s">
        <v>410</v>
      </c>
      <c r="B864" s="73"/>
      <c r="C864" s="73"/>
      <c r="D864" s="73"/>
      <c r="E864" s="73"/>
      <c r="F864"/>
      <c r="G864" s="74"/>
      <c r="H864" s="108"/>
      <c r="I864" s="71"/>
    </row>
    <row r="865" spans="1:9" s="65" customFormat="1">
      <c r="A865" s="75" t="s">
        <v>391</v>
      </c>
      <c r="B865" s="76" t="s">
        <v>392</v>
      </c>
      <c r="C865" s="76" t="s">
        <v>393</v>
      </c>
      <c r="D865" s="76" t="s">
        <v>394</v>
      </c>
      <c r="E865" s="76" t="s">
        <v>395</v>
      </c>
      <c r="F865" s="76" t="s">
        <v>396</v>
      </c>
      <c r="G865" s="76" t="s">
        <v>397</v>
      </c>
      <c r="H865" s="108"/>
      <c r="I865" s="71"/>
    </row>
    <row r="866" spans="1:9" s="65" customFormat="1">
      <c r="A866" s="77"/>
      <c r="B866" s="78"/>
      <c r="C866" s="79"/>
      <c r="D866" s="107"/>
      <c r="E866" s="79"/>
      <c r="F866" s="79"/>
      <c r="G866" s="107"/>
      <c r="H866" s="108"/>
      <c r="I866" s="71"/>
    </row>
    <row r="867" spans="1:9" s="65" customFormat="1">
      <c r="A867" s="90"/>
      <c r="B867" s="91"/>
      <c r="C867" s="91"/>
      <c r="D867" s="91"/>
      <c r="E867" s="91"/>
      <c r="F867"/>
      <c r="G867" s="93" t="s">
        <v>407</v>
      </c>
      <c r="H867" s="107">
        <f>SUM(G866:G866)</f>
        <v>0</v>
      </c>
      <c r="I867" s="71"/>
    </row>
    <row r="868" spans="1:9" s="65" customFormat="1">
      <c r="A868" s="72" t="s">
        <v>411</v>
      </c>
      <c r="B868" s="73"/>
      <c r="C868" s="73"/>
      <c r="D868" s="73"/>
      <c r="E868" s="73"/>
      <c r="F868"/>
      <c r="G868" s="74"/>
      <c r="H868" s="108"/>
      <c r="I868" s="71"/>
    </row>
    <row r="869" spans="1:9" s="65" customFormat="1">
      <c r="A869" s="75" t="s">
        <v>391</v>
      </c>
      <c r="B869" s="76" t="s">
        <v>392</v>
      </c>
      <c r="C869" s="76" t="s">
        <v>393</v>
      </c>
      <c r="D869" s="76" t="s">
        <v>394</v>
      </c>
      <c r="E869" s="76" t="s">
        <v>395</v>
      </c>
      <c r="F869" s="76" t="s">
        <v>396</v>
      </c>
      <c r="G869" s="76" t="s">
        <v>397</v>
      </c>
      <c r="H869" s="108"/>
      <c r="I869" s="71"/>
    </row>
    <row r="870" spans="1:9" s="65" customFormat="1">
      <c r="A870" s="87" t="s">
        <v>409</v>
      </c>
      <c r="B870" s="114" t="s">
        <v>747</v>
      </c>
      <c r="C870" s="114" t="s">
        <v>437</v>
      </c>
      <c r="D870" s="114">
        <v>800000</v>
      </c>
      <c r="E870" s="215">
        <v>0.02</v>
      </c>
      <c r="F870" s="79">
        <v>0</v>
      </c>
      <c r="G870" s="107">
        <f>(D870*E870)+((D870*E870)*F870/100)</f>
        <v>16000</v>
      </c>
      <c r="H870" s="108"/>
      <c r="I870" s="71"/>
    </row>
    <row r="871" spans="1:9" s="65" customFormat="1">
      <c r="A871" s="94"/>
      <c r="B871" s="95"/>
      <c r="C871" s="95"/>
      <c r="D871" s="95"/>
      <c r="E871" s="95"/>
      <c r="F871"/>
      <c r="G871" s="93" t="s">
        <v>407</v>
      </c>
      <c r="H871" s="107">
        <f>SUM(G869:G870)</f>
        <v>16000</v>
      </c>
      <c r="I871" s="71"/>
    </row>
    <row r="872" spans="1:9" s="65" customFormat="1">
      <c r="A872" s="94"/>
      <c r="B872" s="95"/>
      <c r="C872" s="95"/>
      <c r="D872" s="95"/>
      <c r="E872" s="95"/>
      <c r="F872"/>
      <c r="G872" s="74"/>
      <c r="H872" s="74"/>
      <c r="I872" s="71"/>
    </row>
    <row r="873" spans="1:9" s="65" customFormat="1">
      <c r="A873" s="96"/>
      <c r="B873" s="97"/>
      <c r="C873" s="98"/>
      <c r="D873" s="98"/>
      <c r="E873" s="98"/>
      <c r="F873"/>
      <c r="G873" s="99" t="s">
        <v>412</v>
      </c>
      <c r="H873" s="115">
        <f>SUM(H859:H871)</f>
        <v>301360</v>
      </c>
      <c r="I873" s="71"/>
    </row>
    <row r="874" spans="1:9" s="65" customFormat="1">
      <c r="A874" s="96"/>
      <c r="B874" s="97"/>
      <c r="C874" s="98"/>
      <c r="D874" s="98"/>
      <c r="E874" s="98"/>
      <c r="F874" s="101"/>
      <c r="G874" s="116"/>
      <c r="H874" s="70"/>
      <c r="I874" s="71"/>
    </row>
    <row r="875" spans="1:9" s="65" customFormat="1" ht="15.75" thickBot="1">
      <c r="A875" s="624" t="s">
        <v>761</v>
      </c>
      <c r="B875" s="625"/>
      <c r="C875" s="625"/>
      <c r="D875" s="625"/>
      <c r="E875" s="625"/>
      <c r="F875" s="625"/>
      <c r="G875" s="626"/>
      <c r="H875" s="117">
        <f>+ROUND(H873,0)</f>
        <v>301360</v>
      </c>
      <c r="I875" s="103"/>
    </row>
    <row r="876" spans="1:9" s="65" customFormat="1">
      <c r="A876" s="91"/>
      <c r="B876" s="91"/>
      <c r="C876" s="91"/>
      <c r="D876" s="91"/>
      <c r="E876" s="91"/>
      <c r="G876" s="104"/>
      <c r="H876" s="140"/>
    </row>
    <row r="877" spans="1:9" s="65" customFormat="1" ht="15.75" thickBot="1">
      <c r="A877" s="120"/>
      <c r="B877" s="73"/>
      <c r="C877" s="73"/>
      <c r="D877" s="73"/>
      <c r="E877" s="73"/>
      <c r="G877" s="121"/>
      <c r="H877" s="140"/>
    </row>
    <row r="878" spans="1:9" s="65" customFormat="1">
      <c r="A878" s="627"/>
      <c r="B878" s="629" t="s">
        <v>159</v>
      </c>
      <c r="C878" s="630"/>
      <c r="D878" s="630"/>
      <c r="E878" s="630"/>
      <c r="F878" s="630"/>
      <c r="G878" s="630"/>
      <c r="H878" s="643"/>
      <c r="I878" s="66" t="s">
        <v>389</v>
      </c>
    </row>
    <row r="879" spans="1:9" s="65" customFormat="1">
      <c r="A879" s="628"/>
      <c r="B879" s="631"/>
      <c r="C879" s="632"/>
      <c r="D879" s="632"/>
      <c r="E879" s="632"/>
      <c r="F879" s="632"/>
      <c r="G879" s="632"/>
      <c r="H879" s="644"/>
      <c r="I879" s="67" t="s">
        <v>157</v>
      </c>
    </row>
    <row r="880" spans="1:9" s="65" customFormat="1">
      <c r="A880" s="68"/>
      <c r="B880" s="69"/>
      <c r="C880" s="69"/>
      <c r="D880" s="69"/>
      <c r="E880" s="69"/>
      <c r="F880" s="70"/>
      <c r="G880" s="70"/>
      <c r="H880" s="70"/>
      <c r="I880" s="71"/>
    </row>
    <row r="881" spans="1:9" s="65" customFormat="1">
      <c r="A881" s="72" t="s">
        <v>390</v>
      </c>
      <c r="B881" s="73"/>
      <c r="C881" s="73"/>
      <c r="D881" s="73"/>
      <c r="E881" s="73"/>
      <c r="F881" s="74"/>
      <c r="G881" s="74"/>
      <c r="H881" s="70"/>
      <c r="I881" s="71"/>
    </row>
    <row r="882" spans="1:9" s="65" customFormat="1">
      <c r="A882" s="75" t="s">
        <v>391</v>
      </c>
      <c r="B882" s="76" t="s">
        <v>392</v>
      </c>
      <c r="C882" s="76" t="s">
        <v>393</v>
      </c>
      <c r="D882" s="76" t="s">
        <v>394</v>
      </c>
      <c r="E882" s="76" t="s">
        <v>395</v>
      </c>
      <c r="F882" s="76" t="s">
        <v>396</v>
      </c>
      <c r="G882" s="76" t="s">
        <v>397</v>
      </c>
      <c r="H882" s="74"/>
      <c r="I882" s="71"/>
    </row>
    <row r="883" spans="1:9" s="65" customFormat="1">
      <c r="A883" s="77"/>
      <c r="B883" s="79"/>
      <c r="C883" s="79"/>
      <c r="D883" s="107"/>
      <c r="E883" s="79"/>
      <c r="F883" s="79"/>
      <c r="G883" s="107"/>
      <c r="H883" s="74"/>
      <c r="I883" s="71"/>
    </row>
    <row r="884" spans="1:9" s="65" customFormat="1">
      <c r="A884" s="82"/>
      <c r="B884" s="83"/>
      <c r="C884" s="84"/>
      <c r="D884" s="84"/>
      <c r="E884" s="84"/>
      <c r="F884"/>
      <c r="G884" s="93" t="s">
        <v>407</v>
      </c>
      <c r="H884" s="107">
        <f>SUM(G883:G883)</f>
        <v>0</v>
      </c>
      <c r="I884" s="71"/>
    </row>
    <row r="885" spans="1:9" s="65" customFormat="1">
      <c r="A885" s="72" t="s">
        <v>408</v>
      </c>
      <c r="B885" s="73"/>
      <c r="C885" s="73"/>
      <c r="D885" s="73"/>
      <c r="E885" s="73"/>
      <c r="F885"/>
      <c r="G885" s="74"/>
      <c r="H885" s="108"/>
      <c r="I885" s="71"/>
    </row>
    <row r="886" spans="1:9" s="65" customFormat="1">
      <c r="A886" s="75" t="s">
        <v>391</v>
      </c>
      <c r="B886" s="76" t="s">
        <v>392</v>
      </c>
      <c r="C886" s="76" t="s">
        <v>393</v>
      </c>
      <c r="D886" s="76" t="s">
        <v>394</v>
      </c>
      <c r="E886" s="76" t="s">
        <v>395</v>
      </c>
      <c r="F886" s="76" t="s">
        <v>396</v>
      </c>
      <c r="G886" s="76" t="s">
        <v>397</v>
      </c>
      <c r="H886" s="108"/>
      <c r="I886" s="71"/>
    </row>
    <row r="887" spans="1:9" s="65" customFormat="1" ht="38.25">
      <c r="A887" s="135"/>
      <c r="B887" s="78" t="s">
        <v>159</v>
      </c>
      <c r="C887" s="127" t="s">
        <v>157</v>
      </c>
      <c r="D887" s="256">
        <f>4500000*1.2*1.16</f>
        <v>6264000</v>
      </c>
      <c r="E887" s="79">
        <v>1</v>
      </c>
      <c r="F887" s="79">
        <v>0</v>
      </c>
      <c r="G887" s="107">
        <f>(D887*E887)+((D887*E887)*F887/100)</f>
        <v>6264000</v>
      </c>
      <c r="H887" s="108"/>
      <c r="I887" s="71"/>
    </row>
    <row r="888" spans="1:9" s="65" customFormat="1">
      <c r="A888" s="90"/>
      <c r="B888" s="91"/>
      <c r="C888" s="91"/>
      <c r="D888" s="91"/>
      <c r="E888" s="91"/>
      <c r="F888"/>
      <c r="G888" s="85" t="s">
        <v>407</v>
      </c>
      <c r="H888" s="107">
        <f>SUM(G887:G887)</f>
        <v>6264000</v>
      </c>
      <c r="I888" s="71"/>
    </row>
    <row r="889" spans="1:9" s="65" customFormat="1">
      <c r="A889" s="72" t="s">
        <v>410</v>
      </c>
      <c r="B889" s="73"/>
      <c r="C889" s="73"/>
      <c r="D889" s="73"/>
      <c r="E889" s="73"/>
      <c r="F889"/>
      <c r="G889" s="74"/>
      <c r="H889" s="108"/>
      <c r="I889" s="71"/>
    </row>
    <row r="890" spans="1:9" s="65" customFormat="1">
      <c r="A890" s="75" t="s">
        <v>391</v>
      </c>
      <c r="B890" s="76" t="s">
        <v>392</v>
      </c>
      <c r="C890" s="76" t="s">
        <v>393</v>
      </c>
      <c r="D890" s="76" t="s">
        <v>394</v>
      </c>
      <c r="E890" s="76" t="s">
        <v>395</v>
      </c>
      <c r="F890" s="76" t="s">
        <v>396</v>
      </c>
      <c r="G890" s="76" t="s">
        <v>397</v>
      </c>
      <c r="H890" s="108"/>
      <c r="I890" s="71"/>
    </row>
    <row r="891" spans="1:9" s="65" customFormat="1">
      <c r="A891" s="77"/>
      <c r="B891" s="78"/>
      <c r="C891" s="79"/>
      <c r="D891" s="107"/>
      <c r="E891" s="79"/>
      <c r="F891" s="79"/>
      <c r="G891" s="107"/>
      <c r="H891" s="108"/>
      <c r="I891" s="71"/>
    </row>
    <row r="892" spans="1:9" s="65" customFormat="1">
      <c r="A892" s="90"/>
      <c r="B892" s="91"/>
      <c r="C892" s="91"/>
      <c r="D892" s="91"/>
      <c r="E892" s="91"/>
      <c r="F892"/>
      <c r="G892" s="93" t="s">
        <v>407</v>
      </c>
      <c r="H892" s="107">
        <f>SUM(G891:G891)</f>
        <v>0</v>
      </c>
      <c r="I892" s="71"/>
    </row>
    <row r="893" spans="1:9" s="65" customFormat="1">
      <c r="A893" s="72" t="s">
        <v>411</v>
      </c>
      <c r="B893" s="73"/>
      <c r="C893" s="73"/>
      <c r="D893" s="73"/>
      <c r="E893" s="73"/>
      <c r="F893"/>
      <c r="G893" s="74"/>
      <c r="H893" s="108"/>
      <c r="I893" s="71"/>
    </row>
    <row r="894" spans="1:9" s="65" customFormat="1">
      <c r="A894" s="75" t="s">
        <v>391</v>
      </c>
      <c r="B894" s="76" t="s">
        <v>392</v>
      </c>
      <c r="C894" s="76" t="s">
        <v>393</v>
      </c>
      <c r="D894" s="76" t="s">
        <v>394</v>
      </c>
      <c r="E894" s="76" t="s">
        <v>395</v>
      </c>
      <c r="F894" s="76" t="s">
        <v>396</v>
      </c>
      <c r="G894" s="76" t="s">
        <v>397</v>
      </c>
      <c r="H894" s="108"/>
      <c r="I894" s="71"/>
    </row>
    <row r="895" spans="1:9" s="65" customFormat="1">
      <c r="A895" s="87" t="s">
        <v>409</v>
      </c>
      <c r="B895" s="114" t="s">
        <v>747</v>
      </c>
      <c r="C895" s="114" t="s">
        <v>437</v>
      </c>
      <c r="D895" s="114">
        <v>800000</v>
      </c>
      <c r="E895" s="215">
        <v>0.05</v>
      </c>
      <c r="F895" s="79">
        <v>0</v>
      </c>
      <c r="G895" s="107">
        <f>(D895*E895)+((D895*E895)*F895/100)</f>
        <v>40000</v>
      </c>
      <c r="H895" s="108"/>
      <c r="I895" s="71"/>
    </row>
    <row r="896" spans="1:9" s="65" customFormat="1">
      <c r="A896" s="94"/>
      <c r="B896" s="95"/>
      <c r="C896" s="95"/>
      <c r="D896" s="95"/>
      <c r="E896" s="95"/>
      <c r="F896"/>
      <c r="G896" s="93" t="s">
        <v>407</v>
      </c>
      <c r="H896" s="107">
        <f>SUM(G894:G895)</f>
        <v>40000</v>
      </c>
      <c r="I896" s="71"/>
    </row>
    <row r="897" spans="1:9" s="65" customFormat="1">
      <c r="A897" s="94"/>
      <c r="B897" s="95"/>
      <c r="C897" s="95"/>
      <c r="D897" s="95"/>
      <c r="E897" s="95"/>
      <c r="F897"/>
      <c r="G897" s="74"/>
      <c r="H897" s="74"/>
      <c r="I897" s="71"/>
    </row>
    <row r="898" spans="1:9" s="65" customFormat="1">
      <c r="A898" s="96"/>
      <c r="B898" s="97"/>
      <c r="C898" s="98"/>
      <c r="D898" s="98"/>
      <c r="E898" s="98"/>
      <c r="F898"/>
      <c r="G898" s="99" t="s">
        <v>412</v>
      </c>
      <c r="H898" s="115">
        <f>SUM(H884:H896)</f>
        <v>6304000</v>
      </c>
      <c r="I898" s="71"/>
    </row>
    <row r="899" spans="1:9" s="65" customFormat="1">
      <c r="A899" s="96"/>
      <c r="B899" s="97"/>
      <c r="C899" s="98"/>
      <c r="D899" s="98"/>
      <c r="E899" s="98"/>
      <c r="F899" s="101"/>
      <c r="G899" s="116"/>
      <c r="H899" s="70"/>
      <c r="I899" s="71"/>
    </row>
    <row r="900" spans="1:9" s="65" customFormat="1" ht="15.75" thickBot="1">
      <c r="A900" s="624" t="s">
        <v>761</v>
      </c>
      <c r="B900" s="625"/>
      <c r="C900" s="625"/>
      <c r="D900" s="625"/>
      <c r="E900" s="625"/>
      <c r="F900" s="625"/>
      <c r="G900" s="626"/>
      <c r="H900" s="117">
        <f>+ROUND(H898,0)</f>
        <v>6304000</v>
      </c>
      <c r="I900" s="103"/>
    </row>
    <row r="901" spans="1:9" s="65" customFormat="1">
      <c r="A901" s="91"/>
      <c r="B901" s="91"/>
      <c r="C901" s="91"/>
      <c r="D901" s="91"/>
      <c r="E901" s="91"/>
      <c r="G901" s="104"/>
      <c r="H901" s="140"/>
    </row>
    <row r="902" spans="1:9" s="65" customFormat="1" ht="15.75" thickBot="1">
      <c r="A902" s="120"/>
      <c r="B902" s="73"/>
      <c r="C902" s="73"/>
      <c r="D902" s="73"/>
      <c r="E902" s="73"/>
      <c r="G902" s="121"/>
      <c r="H902" s="140"/>
    </row>
    <row r="903" spans="1:9" s="65" customFormat="1">
      <c r="A903" s="627"/>
      <c r="B903" s="629" t="s">
        <v>318</v>
      </c>
      <c r="C903" s="630"/>
      <c r="D903" s="630"/>
      <c r="E903" s="630"/>
      <c r="F903" s="630"/>
      <c r="G903" s="630"/>
      <c r="H903" s="643"/>
      <c r="I903" s="66" t="s">
        <v>389</v>
      </c>
    </row>
    <row r="904" spans="1:9" s="65" customFormat="1">
      <c r="A904" s="628"/>
      <c r="B904" s="631"/>
      <c r="C904" s="632"/>
      <c r="D904" s="632"/>
      <c r="E904" s="632"/>
      <c r="F904" s="632"/>
      <c r="G904" s="632"/>
      <c r="H904" s="644"/>
      <c r="I904" s="67" t="s">
        <v>7</v>
      </c>
    </row>
    <row r="905" spans="1:9" s="65" customFormat="1">
      <c r="A905" s="68"/>
      <c r="B905" s="69"/>
      <c r="C905" s="69"/>
      <c r="D905" s="69"/>
      <c r="E905" s="69"/>
      <c r="F905" s="70"/>
      <c r="G905" s="70"/>
      <c r="H905" s="70"/>
      <c r="I905" s="71"/>
    </row>
    <row r="906" spans="1:9" s="65" customFormat="1">
      <c r="A906" s="72" t="s">
        <v>390</v>
      </c>
      <c r="B906" s="73"/>
      <c r="C906" s="73"/>
      <c r="D906" s="73"/>
      <c r="E906" s="73"/>
      <c r="F906" s="74"/>
      <c r="G906" s="74"/>
      <c r="H906" s="70"/>
      <c r="I906" s="71"/>
    </row>
    <row r="907" spans="1:9" s="65" customFormat="1">
      <c r="A907" s="75" t="s">
        <v>391</v>
      </c>
      <c r="B907" s="76" t="s">
        <v>392</v>
      </c>
      <c r="C907" s="76" t="s">
        <v>393</v>
      </c>
      <c r="D907" s="76" t="s">
        <v>394</v>
      </c>
      <c r="E907" s="76" t="s">
        <v>395</v>
      </c>
      <c r="F907" s="76" t="s">
        <v>396</v>
      </c>
      <c r="G907" s="76" t="s">
        <v>397</v>
      </c>
      <c r="H907" s="74"/>
      <c r="I907" s="71"/>
    </row>
    <row r="908" spans="1:9" s="65" customFormat="1">
      <c r="A908" s="77"/>
      <c r="B908" s="79"/>
      <c r="C908" s="79"/>
      <c r="D908" s="107"/>
      <c r="E908" s="79"/>
      <c r="F908" s="79"/>
      <c r="G908" s="107"/>
      <c r="H908" s="74"/>
      <c r="I908" s="71"/>
    </row>
    <row r="909" spans="1:9" s="65" customFormat="1">
      <c r="A909" s="82"/>
      <c r="B909" s="83"/>
      <c r="C909" s="84"/>
      <c r="D909" s="84"/>
      <c r="E909" s="84"/>
      <c r="F909"/>
      <c r="G909" s="93" t="s">
        <v>407</v>
      </c>
      <c r="H909" s="107">
        <f>SUM(G908:G908)</f>
        <v>0</v>
      </c>
      <c r="I909" s="71"/>
    </row>
    <row r="910" spans="1:9" s="65" customFormat="1">
      <c r="A910" s="72" t="s">
        <v>408</v>
      </c>
      <c r="B910" s="73"/>
      <c r="C910" s="73"/>
      <c r="D910" s="73"/>
      <c r="E910" s="73"/>
      <c r="F910"/>
      <c r="G910" s="74"/>
      <c r="H910" s="108"/>
      <c r="I910" s="71"/>
    </row>
    <row r="911" spans="1:9" s="65" customFormat="1">
      <c r="A911" s="75" t="s">
        <v>391</v>
      </c>
      <c r="B911" s="76" t="s">
        <v>392</v>
      </c>
      <c r="C911" s="76" t="s">
        <v>393</v>
      </c>
      <c r="D911" s="76" t="s">
        <v>394</v>
      </c>
      <c r="E911" s="76" t="s">
        <v>395</v>
      </c>
      <c r="F911" s="76" t="s">
        <v>396</v>
      </c>
      <c r="G911" s="76" t="s">
        <v>397</v>
      </c>
      <c r="H911" s="108"/>
      <c r="I911" s="71"/>
    </row>
    <row r="912" spans="1:9" s="65" customFormat="1" ht="25.5">
      <c r="A912" s="135"/>
      <c r="B912" s="78" t="s">
        <v>318</v>
      </c>
      <c r="C912" s="127" t="s">
        <v>493</v>
      </c>
      <c r="D912" s="107">
        <f>200000*1.16*1.2</f>
        <v>278399.99999999994</v>
      </c>
      <c r="E912" s="79">
        <v>1</v>
      </c>
      <c r="F912" s="79">
        <v>0</v>
      </c>
      <c r="G912" s="107">
        <f>(D912*E912)+((D912*E912)*F912/100)</f>
        <v>278399.99999999994</v>
      </c>
      <c r="H912" s="108"/>
      <c r="I912" s="71"/>
    </row>
    <row r="913" spans="1:9" s="65" customFormat="1">
      <c r="A913" s="90"/>
      <c r="B913" s="91"/>
      <c r="C913" s="91"/>
      <c r="D913" s="91"/>
      <c r="E913" s="91"/>
      <c r="F913"/>
      <c r="G913" s="85" t="s">
        <v>407</v>
      </c>
      <c r="H913" s="107">
        <f>SUM(G912:G912)</f>
        <v>278399.99999999994</v>
      </c>
      <c r="I913" s="71"/>
    </row>
    <row r="914" spans="1:9" s="65" customFormat="1">
      <c r="A914" s="72" t="s">
        <v>410</v>
      </c>
      <c r="B914" s="73"/>
      <c r="C914" s="73"/>
      <c r="D914" s="73"/>
      <c r="E914" s="73"/>
      <c r="F914"/>
      <c r="G914" s="74"/>
      <c r="H914" s="108"/>
      <c r="I914" s="71"/>
    </row>
    <row r="915" spans="1:9" s="65" customFormat="1">
      <c r="A915" s="75" t="s">
        <v>391</v>
      </c>
      <c r="B915" s="76" t="s">
        <v>392</v>
      </c>
      <c r="C915" s="76" t="s">
        <v>393</v>
      </c>
      <c r="D915" s="76" t="s">
        <v>394</v>
      </c>
      <c r="E915" s="76" t="s">
        <v>395</v>
      </c>
      <c r="F915" s="76" t="s">
        <v>396</v>
      </c>
      <c r="G915" s="76" t="s">
        <v>397</v>
      </c>
      <c r="H915" s="108"/>
      <c r="I915" s="71"/>
    </row>
    <row r="916" spans="1:9" s="65" customFormat="1">
      <c r="A916" s="77"/>
      <c r="B916" s="78"/>
      <c r="C916" s="79"/>
      <c r="D916" s="107"/>
      <c r="E916" s="79"/>
      <c r="F916" s="79"/>
      <c r="G916" s="107"/>
      <c r="H916" s="108"/>
      <c r="I916" s="71"/>
    </row>
    <row r="917" spans="1:9" s="65" customFormat="1">
      <c r="A917" s="90"/>
      <c r="B917" s="91"/>
      <c r="C917" s="91"/>
      <c r="D917" s="91"/>
      <c r="E917" s="91"/>
      <c r="F917"/>
      <c r="G917" s="93" t="s">
        <v>407</v>
      </c>
      <c r="H917" s="107">
        <f>SUM(G916:G916)</f>
        <v>0</v>
      </c>
      <c r="I917" s="71"/>
    </row>
    <row r="918" spans="1:9" s="65" customFormat="1">
      <c r="A918" s="72" t="s">
        <v>411</v>
      </c>
      <c r="B918" s="73"/>
      <c r="C918" s="73"/>
      <c r="D918" s="73"/>
      <c r="E918" s="73"/>
      <c r="F918"/>
      <c r="G918" s="74"/>
      <c r="H918" s="108"/>
      <c r="I918" s="71"/>
    </row>
    <row r="919" spans="1:9" s="65" customFormat="1">
      <c r="A919" s="75" t="s">
        <v>391</v>
      </c>
      <c r="B919" s="76" t="s">
        <v>392</v>
      </c>
      <c r="C919" s="76" t="s">
        <v>393</v>
      </c>
      <c r="D919" s="76" t="s">
        <v>394</v>
      </c>
      <c r="E919" s="76" t="s">
        <v>395</v>
      </c>
      <c r="F919" s="76" t="s">
        <v>396</v>
      </c>
      <c r="G919" s="76" t="s">
        <v>397</v>
      </c>
      <c r="H919" s="108"/>
      <c r="I919" s="71"/>
    </row>
    <row r="920" spans="1:9" s="65" customFormat="1">
      <c r="A920" s="87" t="s">
        <v>409</v>
      </c>
      <c r="B920" s="114" t="s">
        <v>747</v>
      </c>
      <c r="C920" s="114" t="s">
        <v>437</v>
      </c>
      <c r="D920" s="114">
        <v>800000</v>
      </c>
      <c r="E920" s="215">
        <v>1.6E-2</v>
      </c>
      <c r="F920" s="79">
        <v>0</v>
      </c>
      <c r="G920" s="107">
        <f>(D920*E920)+((D920*E920)*F920/100)</f>
        <v>12800</v>
      </c>
      <c r="H920" s="108"/>
      <c r="I920" s="71"/>
    </row>
    <row r="921" spans="1:9" s="65" customFormat="1">
      <c r="A921" s="94"/>
      <c r="B921" s="95"/>
      <c r="C921" s="95"/>
      <c r="D921" s="95"/>
      <c r="E921" s="95"/>
      <c r="F921"/>
      <c r="G921" s="93" t="s">
        <v>407</v>
      </c>
      <c r="H921" s="107">
        <f>SUM(G919:G920)</f>
        <v>12800</v>
      </c>
      <c r="I921" s="71"/>
    </row>
    <row r="922" spans="1:9" s="65" customFormat="1">
      <c r="A922" s="94"/>
      <c r="B922" s="95"/>
      <c r="C922" s="95"/>
      <c r="D922" s="95"/>
      <c r="E922" s="95"/>
      <c r="F922"/>
      <c r="G922" s="74"/>
      <c r="H922" s="74"/>
      <c r="I922" s="71"/>
    </row>
    <row r="923" spans="1:9" s="65" customFormat="1">
      <c r="A923" s="96"/>
      <c r="B923" s="97"/>
      <c r="C923" s="98"/>
      <c r="D923" s="98"/>
      <c r="E923" s="98"/>
      <c r="F923"/>
      <c r="G923" s="99" t="s">
        <v>412</v>
      </c>
      <c r="H923" s="115">
        <f>SUM(H909:H921)</f>
        <v>291199.99999999994</v>
      </c>
      <c r="I923" s="71"/>
    </row>
    <row r="924" spans="1:9" s="65" customFormat="1">
      <c r="A924" s="96"/>
      <c r="B924" s="97"/>
      <c r="C924" s="98"/>
      <c r="D924" s="98"/>
      <c r="E924" s="98"/>
      <c r="F924" s="101"/>
      <c r="G924" s="116"/>
      <c r="H924" s="70"/>
      <c r="I924" s="71"/>
    </row>
    <row r="925" spans="1:9" s="65" customFormat="1" ht="15.75" thickBot="1">
      <c r="A925" s="624" t="s">
        <v>502</v>
      </c>
      <c r="B925" s="625"/>
      <c r="C925" s="625"/>
      <c r="D925" s="625"/>
      <c r="E925" s="625"/>
      <c r="F925" s="625"/>
      <c r="G925" s="626"/>
      <c r="H925" s="117">
        <f>+ROUND(H923,0)</f>
        <v>291200</v>
      </c>
      <c r="I925" s="103"/>
    </row>
    <row r="926" spans="1:9" s="65" customFormat="1">
      <c r="A926" s="120"/>
      <c r="B926" s="73"/>
      <c r="C926" s="73"/>
      <c r="D926" s="73"/>
      <c r="E926" s="73"/>
      <c r="G926" s="121"/>
      <c r="H926" s="140"/>
    </row>
    <row r="927" spans="1:9" s="65" customFormat="1" ht="15.75" thickBot="1">
      <c r="A927" s="128"/>
      <c r="B927" s="141"/>
      <c r="C927" s="141"/>
      <c r="D927" s="141"/>
      <c r="E927" s="141"/>
      <c r="F927" s="141"/>
      <c r="G927" s="141"/>
      <c r="H927" s="140"/>
    </row>
    <row r="928" spans="1:9" s="65" customFormat="1">
      <c r="A928" s="627"/>
      <c r="B928" s="629" t="s">
        <v>319</v>
      </c>
      <c r="C928" s="630"/>
      <c r="D928" s="630"/>
      <c r="E928" s="630"/>
      <c r="F928" s="630"/>
      <c r="G928" s="630"/>
      <c r="H928" s="643"/>
      <c r="I928" s="66" t="s">
        <v>389</v>
      </c>
    </row>
    <row r="929" spans="1:9" s="65" customFormat="1">
      <c r="A929" s="628"/>
      <c r="B929" s="631"/>
      <c r="C929" s="632"/>
      <c r="D929" s="632"/>
      <c r="E929" s="632"/>
      <c r="F929" s="632"/>
      <c r="G929" s="632"/>
      <c r="H929" s="644"/>
      <c r="I929" s="67" t="s">
        <v>7</v>
      </c>
    </row>
    <row r="930" spans="1:9" s="65" customFormat="1">
      <c r="A930" s="68"/>
      <c r="B930" s="69"/>
      <c r="C930" s="69"/>
      <c r="D930" s="69"/>
      <c r="E930" s="69"/>
      <c r="F930" s="70"/>
      <c r="G930" s="70"/>
      <c r="H930" s="70"/>
      <c r="I930" s="71"/>
    </row>
    <row r="931" spans="1:9" s="65" customFormat="1">
      <c r="A931" s="72" t="s">
        <v>390</v>
      </c>
      <c r="B931" s="73"/>
      <c r="C931" s="73"/>
      <c r="D931" s="73"/>
      <c r="E931" s="73"/>
      <c r="F931" s="74"/>
      <c r="G931" s="74"/>
      <c r="H931" s="70"/>
      <c r="I931" s="71"/>
    </row>
    <row r="932" spans="1:9" s="65" customFormat="1">
      <c r="A932" s="75" t="s">
        <v>391</v>
      </c>
      <c r="B932" s="76" t="s">
        <v>392</v>
      </c>
      <c r="C932" s="76" t="s">
        <v>393</v>
      </c>
      <c r="D932" s="76" t="s">
        <v>394</v>
      </c>
      <c r="E932" s="76" t="s">
        <v>395</v>
      </c>
      <c r="F932" s="76" t="s">
        <v>396</v>
      </c>
      <c r="G932" s="76" t="s">
        <v>397</v>
      </c>
      <c r="H932" s="74"/>
      <c r="I932" s="71"/>
    </row>
    <row r="933" spans="1:9" s="65" customFormat="1">
      <c r="A933" s="77"/>
      <c r="B933" s="79"/>
      <c r="C933" s="79"/>
      <c r="D933" s="107"/>
      <c r="E933" s="79"/>
      <c r="F933" s="79"/>
      <c r="G933" s="107"/>
      <c r="H933" s="74"/>
      <c r="I933" s="71"/>
    </row>
    <row r="934" spans="1:9" s="65" customFormat="1">
      <c r="A934" s="82"/>
      <c r="B934" s="83"/>
      <c r="C934" s="84"/>
      <c r="D934" s="84"/>
      <c r="E934" s="84"/>
      <c r="F934"/>
      <c r="G934" s="93" t="s">
        <v>407</v>
      </c>
      <c r="H934" s="107">
        <f>SUM(G933:G933)</f>
        <v>0</v>
      </c>
      <c r="I934" s="71"/>
    </row>
    <row r="935" spans="1:9" s="65" customFormat="1">
      <c r="A935" s="72" t="s">
        <v>408</v>
      </c>
      <c r="B935" s="73"/>
      <c r="C935" s="73"/>
      <c r="D935" s="73"/>
      <c r="E935" s="73"/>
      <c r="F935"/>
      <c r="G935" s="74"/>
      <c r="H935" s="108"/>
      <c r="I935" s="71"/>
    </row>
    <row r="936" spans="1:9" s="65" customFormat="1">
      <c r="A936" s="75" t="s">
        <v>391</v>
      </c>
      <c r="B936" s="76" t="s">
        <v>392</v>
      </c>
      <c r="C936" s="76" t="s">
        <v>393</v>
      </c>
      <c r="D936" s="76" t="s">
        <v>394</v>
      </c>
      <c r="E936" s="76" t="s">
        <v>395</v>
      </c>
      <c r="F936" s="76" t="s">
        <v>396</v>
      </c>
      <c r="G936" s="76" t="s">
        <v>397</v>
      </c>
      <c r="H936" s="108"/>
      <c r="I936" s="71"/>
    </row>
    <row r="937" spans="1:9" s="65" customFormat="1" ht="25.5">
      <c r="A937" s="135"/>
      <c r="B937" s="78" t="s">
        <v>319</v>
      </c>
      <c r="C937" s="127" t="s">
        <v>493</v>
      </c>
      <c r="D937" s="107">
        <f>1600000*1.16*1.2</f>
        <v>2227199.9999999995</v>
      </c>
      <c r="E937" s="79">
        <v>1</v>
      </c>
      <c r="F937" s="79">
        <v>0</v>
      </c>
      <c r="G937" s="107">
        <f>(D937*E937)+((D937*E937)*F937/100)</f>
        <v>2227199.9999999995</v>
      </c>
      <c r="H937" s="108"/>
      <c r="I937" s="71"/>
    </row>
    <row r="938" spans="1:9" s="65" customFormat="1">
      <c r="A938" s="90"/>
      <c r="B938" s="91"/>
      <c r="C938" s="91"/>
      <c r="D938" s="91"/>
      <c r="E938" s="91"/>
      <c r="F938"/>
      <c r="G938" s="85" t="s">
        <v>407</v>
      </c>
      <c r="H938" s="107">
        <f>SUM(G937:G937)</f>
        <v>2227199.9999999995</v>
      </c>
      <c r="I938" s="71"/>
    </row>
    <row r="939" spans="1:9" s="65" customFormat="1">
      <c r="A939" s="72" t="s">
        <v>410</v>
      </c>
      <c r="B939" s="73"/>
      <c r="C939" s="73"/>
      <c r="D939" s="73"/>
      <c r="E939" s="73"/>
      <c r="F939"/>
      <c r="G939" s="74"/>
      <c r="H939" s="108"/>
      <c r="I939" s="71"/>
    </row>
    <row r="940" spans="1:9" s="65" customFormat="1">
      <c r="A940" s="75" t="s">
        <v>391</v>
      </c>
      <c r="B940" s="76" t="s">
        <v>392</v>
      </c>
      <c r="C940" s="76" t="s">
        <v>393</v>
      </c>
      <c r="D940" s="76" t="s">
        <v>394</v>
      </c>
      <c r="E940" s="76" t="s">
        <v>395</v>
      </c>
      <c r="F940" s="76" t="s">
        <v>396</v>
      </c>
      <c r="G940" s="76" t="s">
        <v>397</v>
      </c>
      <c r="H940" s="108"/>
      <c r="I940" s="71"/>
    </row>
    <row r="941" spans="1:9" s="65" customFormat="1">
      <c r="A941" s="77"/>
      <c r="B941" s="78"/>
      <c r="C941" s="79"/>
      <c r="D941" s="107"/>
      <c r="E941" s="79"/>
      <c r="F941" s="79"/>
      <c r="G941" s="107"/>
      <c r="H941" s="108"/>
      <c r="I941" s="71"/>
    </row>
    <row r="942" spans="1:9" s="65" customFormat="1">
      <c r="A942" s="90"/>
      <c r="B942" s="91"/>
      <c r="C942" s="91"/>
      <c r="D942" s="91"/>
      <c r="E942" s="91"/>
      <c r="F942"/>
      <c r="G942" s="93" t="s">
        <v>407</v>
      </c>
      <c r="H942" s="107">
        <f>SUM(G941:G941)</f>
        <v>0</v>
      </c>
      <c r="I942" s="71"/>
    </row>
    <row r="943" spans="1:9" s="65" customFormat="1">
      <c r="A943" s="72" t="s">
        <v>411</v>
      </c>
      <c r="B943" s="73"/>
      <c r="C943" s="73"/>
      <c r="D943" s="73"/>
      <c r="E943" s="73"/>
      <c r="F943"/>
      <c r="G943" s="74"/>
      <c r="H943" s="108"/>
      <c r="I943" s="71"/>
    </row>
    <row r="944" spans="1:9" s="65" customFormat="1">
      <c r="A944" s="75" t="s">
        <v>391</v>
      </c>
      <c r="B944" s="76" t="s">
        <v>392</v>
      </c>
      <c r="C944" s="76" t="s">
        <v>393</v>
      </c>
      <c r="D944" s="76" t="s">
        <v>394</v>
      </c>
      <c r="E944" s="76" t="s">
        <v>395</v>
      </c>
      <c r="F944" s="76" t="s">
        <v>396</v>
      </c>
      <c r="G944" s="76" t="s">
        <v>397</v>
      </c>
      <c r="H944" s="108"/>
      <c r="I944" s="71"/>
    </row>
    <row r="945" spans="1:9" s="65" customFormat="1">
      <c r="A945" s="87" t="s">
        <v>409</v>
      </c>
      <c r="B945" s="114" t="s">
        <v>747</v>
      </c>
      <c r="C945" s="114" t="s">
        <v>437</v>
      </c>
      <c r="D945" s="114">
        <v>800000</v>
      </c>
      <c r="E945" s="215">
        <v>0.03</v>
      </c>
      <c r="F945" s="79">
        <v>0</v>
      </c>
      <c r="G945" s="107">
        <f>(D945*E945)+((D945*E945)*F945/100)</f>
        <v>24000</v>
      </c>
      <c r="H945" s="108"/>
      <c r="I945" s="71"/>
    </row>
    <row r="946" spans="1:9" s="65" customFormat="1">
      <c r="A946" s="94"/>
      <c r="B946" s="95"/>
      <c r="C946" s="95"/>
      <c r="D946" s="95"/>
      <c r="E946" s="95"/>
      <c r="F946"/>
      <c r="G946" s="93" t="s">
        <v>407</v>
      </c>
      <c r="H946" s="107">
        <f>SUM(G944:G945)</f>
        <v>24000</v>
      </c>
      <c r="I946" s="71"/>
    </row>
    <row r="947" spans="1:9" s="65" customFormat="1">
      <c r="A947" s="94"/>
      <c r="B947" s="95"/>
      <c r="C947" s="95"/>
      <c r="D947" s="95"/>
      <c r="E947" s="95"/>
      <c r="F947"/>
      <c r="G947" s="74"/>
      <c r="H947" s="74"/>
      <c r="I947" s="71"/>
    </row>
    <row r="948" spans="1:9" s="65" customFormat="1">
      <c r="A948" s="96"/>
      <c r="B948" s="97"/>
      <c r="C948" s="98"/>
      <c r="D948" s="98"/>
      <c r="E948" s="98"/>
      <c r="F948"/>
      <c r="G948" s="99" t="s">
        <v>412</v>
      </c>
      <c r="H948" s="115">
        <f>SUM(H934:H946)</f>
        <v>2251199.9999999995</v>
      </c>
      <c r="I948" s="71"/>
    </row>
    <row r="949" spans="1:9" s="65" customFormat="1">
      <c r="A949" s="96"/>
      <c r="B949" s="97"/>
      <c r="C949" s="98"/>
      <c r="D949" s="98"/>
      <c r="E949" s="98"/>
      <c r="F949" s="101"/>
      <c r="G949" s="116"/>
      <c r="H949" s="70"/>
      <c r="I949" s="71"/>
    </row>
    <row r="950" spans="1:9" s="65" customFormat="1" ht="15.75" thickBot="1">
      <c r="A950" s="624" t="s">
        <v>502</v>
      </c>
      <c r="B950" s="625"/>
      <c r="C950" s="625"/>
      <c r="D950" s="625"/>
      <c r="E950" s="625"/>
      <c r="F950" s="625"/>
      <c r="G950" s="626"/>
      <c r="H950" s="117">
        <f>+ROUND(H948,0)</f>
        <v>2251200</v>
      </c>
      <c r="I950" s="103"/>
    </row>
    <row r="951" spans="1:9" s="65" customFormat="1">
      <c r="A951" s="128"/>
      <c r="B951" s="141"/>
      <c r="C951" s="141"/>
      <c r="D951" s="141"/>
      <c r="E951" s="141"/>
      <c r="F951" s="141"/>
      <c r="G951" s="141"/>
      <c r="H951" s="140"/>
    </row>
    <row r="952" spans="1:9" s="65" customFormat="1" ht="15.75" thickBot="1">
      <c r="A952" s="142"/>
      <c r="B952" s="143"/>
      <c r="C952" s="143"/>
      <c r="D952" s="143"/>
      <c r="E952" s="143"/>
      <c r="F952" s="84"/>
      <c r="G952" s="144"/>
      <c r="H952" s="145"/>
    </row>
    <row r="953" spans="1:9" s="65" customFormat="1">
      <c r="A953" s="627"/>
      <c r="B953" s="629" t="s">
        <v>905</v>
      </c>
      <c r="C953" s="630"/>
      <c r="D953" s="630"/>
      <c r="E953" s="630"/>
      <c r="F953" s="630"/>
      <c r="G953" s="630"/>
      <c r="H953" s="643"/>
      <c r="I953" s="66" t="s">
        <v>389</v>
      </c>
    </row>
    <row r="954" spans="1:9" s="65" customFormat="1">
      <c r="A954" s="628"/>
      <c r="B954" s="631"/>
      <c r="C954" s="632"/>
      <c r="D954" s="632"/>
      <c r="E954" s="632"/>
      <c r="F954" s="632"/>
      <c r="G954" s="632"/>
      <c r="H954" s="644"/>
      <c r="I954" s="67" t="s">
        <v>157</v>
      </c>
    </row>
    <row r="955" spans="1:9" s="65" customFormat="1">
      <c r="A955" s="68"/>
      <c r="B955" s="69"/>
      <c r="C955" s="69"/>
      <c r="D955" s="69"/>
      <c r="E955" s="69"/>
      <c r="F955" s="70"/>
      <c r="G955" s="70"/>
      <c r="H955" s="70"/>
      <c r="I955" s="71"/>
    </row>
    <row r="956" spans="1:9" s="65" customFormat="1">
      <c r="A956" s="72" t="s">
        <v>390</v>
      </c>
      <c r="B956" s="73"/>
      <c r="C956" s="73"/>
      <c r="D956" s="73"/>
      <c r="E956" s="73"/>
      <c r="F956" s="74"/>
      <c r="G956" s="74"/>
      <c r="H956" s="70"/>
      <c r="I956" s="71"/>
    </row>
    <row r="957" spans="1:9" s="65" customFormat="1">
      <c r="A957" s="75" t="s">
        <v>391</v>
      </c>
      <c r="B957" s="76" t="s">
        <v>392</v>
      </c>
      <c r="C957" s="76" t="s">
        <v>393</v>
      </c>
      <c r="D957" s="76" t="s">
        <v>394</v>
      </c>
      <c r="E957" s="76" t="s">
        <v>395</v>
      </c>
      <c r="F957" s="76" t="s">
        <v>396</v>
      </c>
      <c r="G957" s="76" t="s">
        <v>397</v>
      </c>
      <c r="H957" s="74"/>
      <c r="I957" s="71"/>
    </row>
    <row r="958" spans="1:9" s="65" customFormat="1">
      <c r="A958" s="77"/>
      <c r="B958" s="79"/>
      <c r="C958" s="79"/>
      <c r="D958" s="107"/>
      <c r="E958" s="79"/>
      <c r="F958" s="79"/>
      <c r="G958" s="107"/>
      <c r="H958" s="74"/>
      <c r="I958" s="71"/>
    </row>
    <row r="959" spans="1:9" s="65" customFormat="1">
      <c r="A959" s="82"/>
      <c r="B959" s="83"/>
      <c r="C959" s="84"/>
      <c r="D959" s="84"/>
      <c r="E959" s="84"/>
      <c r="F959"/>
      <c r="G959" s="93" t="s">
        <v>407</v>
      </c>
      <c r="H959" s="107">
        <f>SUM(G958:G958)</f>
        <v>0</v>
      </c>
      <c r="I959" s="71"/>
    </row>
    <row r="960" spans="1:9" s="65" customFormat="1">
      <c r="A960" s="72" t="s">
        <v>408</v>
      </c>
      <c r="B960" s="73"/>
      <c r="C960" s="73"/>
      <c r="D960" s="73"/>
      <c r="E960" s="73"/>
      <c r="F960"/>
      <c r="G960" s="74"/>
      <c r="H960" s="108"/>
      <c r="I960" s="71"/>
    </row>
    <row r="961" spans="1:9" s="65" customFormat="1">
      <c r="A961" s="75" t="s">
        <v>391</v>
      </c>
      <c r="B961" s="76" t="s">
        <v>392</v>
      </c>
      <c r="C961" s="76" t="s">
        <v>393</v>
      </c>
      <c r="D961" s="76" t="s">
        <v>394</v>
      </c>
      <c r="E961" s="76" t="s">
        <v>395</v>
      </c>
      <c r="F961" s="76" t="s">
        <v>396</v>
      </c>
      <c r="G961" s="76" t="s">
        <v>397</v>
      </c>
      <c r="H961" s="108"/>
      <c r="I961" s="71"/>
    </row>
    <row r="962" spans="1:9" s="65" customFormat="1" ht="25.5">
      <c r="A962" s="135"/>
      <c r="B962" s="78" t="s">
        <v>905</v>
      </c>
      <c r="C962" s="127" t="s">
        <v>157</v>
      </c>
      <c r="D962" s="107">
        <f>315000*1.16*1.2</f>
        <v>438480</v>
      </c>
      <c r="E962" s="79">
        <v>1</v>
      </c>
      <c r="F962" s="79">
        <v>0</v>
      </c>
      <c r="G962" s="107">
        <f>(D962*E962)+((D962*E962)*F962/100)</f>
        <v>438480</v>
      </c>
      <c r="H962" s="108"/>
      <c r="I962" s="71"/>
    </row>
    <row r="963" spans="1:9" s="65" customFormat="1">
      <c r="A963" s="90"/>
      <c r="B963" s="91"/>
      <c r="C963" s="91"/>
      <c r="D963" s="91"/>
      <c r="E963" s="91"/>
      <c r="F963"/>
      <c r="G963" s="85" t="s">
        <v>407</v>
      </c>
      <c r="H963" s="107">
        <f>SUM(G962:G962)</f>
        <v>438480</v>
      </c>
      <c r="I963" s="71"/>
    </row>
    <row r="964" spans="1:9" s="65" customFormat="1">
      <c r="A964" s="72" t="s">
        <v>410</v>
      </c>
      <c r="B964" s="73"/>
      <c r="C964" s="73"/>
      <c r="D964" s="73"/>
      <c r="E964" s="73"/>
      <c r="F964"/>
      <c r="G964" s="74"/>
      <c r="H964" s="108"/>
      <c r="I964" s="71"/>
    </row>
    <row r="965" spans="1:9" s="65" customFormat="1">
      <c r="A965" s="75" t="s">
        <v>391</v>
      </c>
      <c r="B965" s="76" t="s">
        <v>392</v>
      </c>
      <c r="C965" s="76" t="s">
        <v>393</v>
      </c>
      <c r="D965" s="76" t="s">
        <v>394</v>
      </c>
      <c r="E965" s="76" t="s">
        <v>395</v>
      </c>
      <c r="F965" s="76" t="s">
        <v>396</v>
      </c>
      <c r="G965" s="76" t="s">
        <v>397</v>
      </c>
      <c r="H965" s="108"/>
      <c r="I965" s="71"/>
    </row>
    <row r="966" spans="1:9" s="65" customFormat="1">
      <c r="A966" s="77"/>
      <c r="B966" s="78"/>
      <c r="C966" s="79"/>
      <c r="D966" s="107"/>
      <c r="E966" s="79"/>
      <c r="F966" s="79"/>
      <c r="G966" s="107"/>
      <c r="H966" s="108"/>
      <c r="I966" s="71"/>
    </row>
    <row r="967" spans="1:9" s="65" customFormat="1">
      <c r="A967" s="90"/>
      <c r="B967" s="91"/>
      <c r="C967" s="91"/>
      <c r="D967" s="91"/>
      <c r="E967" s="91"/>
      <c r="F967"/>
      <c r="G967" s="93" t="s">
        <v>407</v>
      </c>
      <c r="H967" s="107">
        <f>SUM(G966:G966)</f>
        <v>0</v>
      </c>
      <c r="I967" s="71"/>
    </row>
    <row r="968" spans="1:9" s="65" customFormat="1">
      <c r="A968" s="72" t="s">
        <v>411</v>
      </c>
      <c r="B968" s="73"/>
      <c r="C968" s="73"/>
      <c r="D968" s="73"/>
      <c r="E968" s="73"/>
      <c r="F968"/>
      <c r="G968" s="74"/>
      <c r="H968" s="108"/>
      <c r="I968" s="71"/>
    </row>
    <row r="969" spans="1:9" s="65" customFormat="1">
      <c r="A969" s="75" t="s">
        <v>391</v>
      </c>
      <c r="B969" s="76" t="s">
        <v>392</v>
      </c>
      <c r="C969" s="76" t="s">
        <v>393</v>
      </c>
      <c r="D969" s="76" t="s">
        <v>394</v>
      </c>
      <c r="E969" s="76" t="s">
        <v>395</v>
      </c>
      <c r="F969" s="76" t="s">
        <v>396</v>
      </c>
      <c r="G969" s="76" t="s">
        <v>397</v>
      </c>
      <c r="H969" s="108"/>
      <c r="I969" s="71"/>
    </row>
    <row r="970" spans="1:9" s="65" customFormat="1">
      <c r="A970" s="87" t="s">
        <v>409</v>
      </c>
      <c r="B970" s="114" t="s">
        <v>747</v>
      </c>
      <c r="C970" s="114" t="s">
        <v>437</v>
      </c>
      <c r="D970" s="114">
        <v>800000</v>
      </c>
      <c r="E970" s="215">
        <v>5.0000000000000001E-3</v>
      </c>
      <c r="F970" s="79">
        <v>0</v>
      </c>
      <c r="G970" s="107">
        <f>(D970*E970)+((D970*E970)*F970/100)</f>
        <v>4000</v>
      </c>
      <c r="H970" s="108"/>
      <c r="I970" s="71"/>
    </row>
    <row r="971" spans="1:9" s="65" customFormat="1">
      <c r="A971" s="94"/>
      <c r="B971" s="95"/>
      <c r="C971" s="95"/>
      <c r="D971" s="95"/>
      <c r="E971" s="95"/>
      <c r="F971"/>
      <c r="G971" s="93" t="s">
        <v>407</v>
      </c>
      <c r="H971" s="107">
        <f>SUM(G969:G970)</f>
        <v>4000</v>
      </c>
      <c r="I971" s="71"/>
    </row>
    <row r="972" spans="1:9" s="65" customFormat="1">
      <c r="A972" s="94"/>
      <c r="B972" s="95"/>
      <c r="C972" s="95"/>
      <c r="D972" s="95"/>
      <c r="E972" s="95"/>
      <c r="F972"/>
      <c r="G972" s="74"/>
      <c r="H972" s="74"/>
      <c r="I972" s="71"/>
    </row>
    <row r="973" spans="1:9" s="65" customFormat="1">
      <c r="A973" s="96"/>
      <c r="B973" s="97"/>
      <c r="C973" s="98"/>
      <c r="D973" s="98"/>
      <c r="E973" s="98"/>
      <c r="F973"/>
      <c r="G973" s="99" t="s">
        <v>412</v>
      </c>
      <c r="H973" s="115">
        <f>SUM(H959:H971)</f>
        <v>442480</v>
      </c>
      <c r="I973" s="71"/>
    </row>
    <row r="974" spans="1:9" s="65" customFormat="1">
      <c r="A974" s="96"/>
      <c r="B974" s="97"/>
      <c r="C974" s="98"/>
      <c r="D974" s="98"/>
      <c r="E974" s="98"/>
      <c r="F974" s="101"/>
      <c r="G974" s="116"/>
      <c r="H974" s="70"/>
      <c r="I974" s="71"/>
    </row>
    <row r="975" spans="1:9" s="65" customFormat="1" ht="15.75" thickBot="1">
      <c r="A975" s="624" t="s">
        <v>761</v>
      </c>
      <c r="B975" s="625"/>
      <c r="C975" s="625"/>
      <c r="D975" s="625"/>
      <c r="E975" s="625"/>
      <c r="F975" s="625"/>
      <c r="G975" s="626"/>
      <c r="H975" s="117">
        <f>+ROUND(H973,0)</f>
        <v>442480</v>
      </c>
      <c r="I975" s="103"/>
    </row>
    <row r="976" spans="1:9" s="65" customFormat="1">
      <c r="A976" s="142"/>
      <c r="B976" s="143"/>
      <c r="C976" s="143"/>
      <c r="D976" s="143"/>
      <c r="E976" s="143"/>
      <c r="F976" s="84"/>
      <c r="G976" s="144"/>
      <c r="H976" s="145"/>
    </row>
    <row r="977" spans="1:9" s="65" customFormat="1" ht="15.75" thickBot="1">
      <c r="A977" s="123"/>
      <c r="B977" s="95"/>
      <c r="C977" s="95"/>
      <c r="D977" s="95"/>
      <c r="E977" s="95"/>
      <c r="G977" s="104"/>
      <c r="H977" s="121"/>
    </row>
    <row r="978" spans="1:9" s="65" customFormat="1">
      <c r="A978" s="627"/>
      <c r="B978" s="629" t="s">
        <v>293</v>
      </c>
      <c r="C978" s="630"/>
      <c r="D978" s="630"/>
      <c r="E978" s="630"/>
      <c r="F978" s="630"/>
      <c r="G978" s="630"/>
      <c r="H978" s="643"/>
      <c r="I978" s="66" t="s">
        <v>389</v>
      </c>
    </row>
    <row r="979" spans="1:9" s="65" customFormat="1">
      <c r="A979" s="628"/>
      <c r="B979" s="631"/>
      <c r="C979" s="632"/>
      <c r="D979" s="632"/>
      <c r="E979" s="632"/>
      <c r="F979" s="632"/>
      <c r="G979" s="632"/>
      <c r="H979" s="644"/>
      <c r="I979" s="67" t="s">
        <v>157</v>
      </c>
    </row>
    <row r="980" spans="1:9" s="65" customFormat="1">
      <c r="A980" s="68"/>
      <c r="B980" s="69"/>
      <c r="C980" s="69"/>
      <c r="D980" s="69"/>
      <c r="E980" s="69"/>
      <c r="F980" s="70"/>
      <c r="G980" s="70"/>
      <c r="H980" s="70"/>
      <c r="I980" s="71"/>
    </row>
    <row r="981" spans="1:9" s="65" customFormat="1">
      <c r="A981" s="72" t="s">
        <v>390</v>
      </c>
      <c r="B981" s="73"/>
      <c r="C981" s="73"/>
      <c r="D981" s="73"/>
      <c r="E981" s="73"/>
      <c r="F981" s="74"/>
      <c r="G981" s="74"/>
      <c r="H981" s="70"/>
      <c r="I981" s="71"/>
    </row>
    <row r="982" spans="1:9" s="65" customFormat="1">
      <c r="A982" s="75" t="s">
        <v>391</v>
      </c>
      <c r="B982" s="76" t="s">
        <v>392</v>
      </c>
      <c r="C982" s="76" t="s">
        <v>393</v>
      </c>
      <c r="D982" s="76" t="s">
        <v>394</v>
      </c>
      <c r="E982" s="76" t="s">
        <v>395</v>
      </c>
      <c r="F982" s="76" t="s">
        <v>396</v>
      </c>
      <c r="G982" s="76" t="s">
        <v>397</v>
      </c>
      <c r="H982" s="74"/>
      <c r="I982" s="71"/>
    </row>
    <row r="983" spans="1:9" s="65" customFormat="1">
      <c r="A983" s="77"/>
      <c r="B983" s="79"/>
      <c r="C983" s="79"/>
      <c r="D983" s="107"/>
      <c r="E983" s="79"/>
      <c r="F983" s="79"/>
      <c r="G983" s="107"/>
      <c r="H983" s="74"/>
      <c r="I983" s="71"/>
    </row>
    <row r="984" spans="1:9" s="65" customFormat="1">
      <c r="A984" s="82"/>
      <c r="B984" s="83"/>
      <c r="C984" s="84"/>
      <c r="D984" s="84"/>
      <c r="E984" s="84"/>
      <c r="F984"/>
      <c r="G984" s="93" t="s">
        <v>407</v>
      </c>
      <c r="H984" s="107">
        <f>SUM(G983:G983)</f>
        <v>0</v>
      </c>
      <c r="I984" s="71"/>
    </row>
    <row r="985" spans="1:9" s="65" customFormat="1">
      <c r="A985" s="72" t="s">
        <v>408</v>
      </c>
      <c r="B985" s="73"/>
      <c r="C985" s="73"/>
      <c r="D985" s="73"/>
      <c r="E985" s="73"/>
      <c r="F985"/>
      <c r="G985" s="74"/>
      <c r="H985" s="108"/>
      <c r="I985" s="71"/>
    </row>
    <row r="986" spans="1:9" s="65" customFormat="1">
      <c r="A986" s="75" t="s">
        <v>391</v>
      </c>
      <c r="B986" s="76" t="s">
        <v>392</v>
      </c>
      <c r="C986" s="76" t="s">
        <v>393</v>
      </c>
      <c r="D986" s="76" t="s">
        <v>394</v>
      </c>
      <c r="E986" s="76" t="s">
        <v>395</v>
      </c>
      <c r="F986" s="76" t="s">
        <v>396</v>
      </c>
      <c r="G986" s="76" t="s">
        <v>397</v>
      </c>
      <c r="H986" s="108"/>
      <c r="I986" s="71"/>
    </row>
    <row r="987" spans="1:9" s="65" customFormat="1" ht="25.5">
      <c r="A987" s="135"/>
      <c r="B987" s="78" t="s">
        <v>293</v>
      </c>
      <c r="C987" s="127" t="s">
        <v>157</v>
      </c>
      <c r="D987" s="107">
        <f>1117600*1.4*1.16</f>
        <v>1814982.4</v>
      </c>
      <c r="E987" s="79">
        <v>1</v>
      </c>
      <c r="F987" s="79">
        <v>0</v>
      </c>
      <c r="G987" s="107">
        <f>(D987*E987)+((D987*E987)*F987/100)</f>
        <v>1814982.4</v>
      </c>
      <c r="H987" s="108"/>
      <c r="I987" s="71"/>
    </row>
    <row r="988" spans="1:9" s="65" customFormat="1">
      <c r="A988" s="90"/>
      <c r="B988" s="91"/>
      <c r="C988" s="91"/>
      <c r="D988" s="91"/>
      <c r="E988" s="91"/>
      <c r="F988"/>
      <c r="G988" s="85" t="s">
        <v>407</v>
      </c>
      <c r="H988" s="107">
        <f>SUM(G987:G987)</f>
        <v>1814982.4</v>
      </c>
      <c r="I988" s="71"/>
    </row>
    <row r="989" spans="1:9" s="65" customFormat="1">
      <c r="A989" s="72" t="s">
        <v>410</v>
      </c>
      <c r="B989" s="73"/>
      <c r="C989" s="73"/>
      <c r="D989" s="73"/>
      <c r="E989" s="73"/>
      <c r="F989"/>
      <c r="G989" s="74"/>
      <c r="H989" s="108"/>
      <c r="I989" s="71"/>
    </row>
    <row r="990" spans="1:9" s="65" customFormat="1">
      <c r="A990" s="75" t="s">
        <v>391</v>
      </c>
      <c r="B990" s="76" t="s">
        <v>392</v>
      </c>
      <c r="C990" s="76" t="s">
        <v>393</v>
      </c>
      <c r="D990" s="76" t="s">
        <v>394</v>
      </c>
      <c r="E990" s="76" t="s">
        <v>395</v>
      </c>
      <c r="F990" s="76" t="s">
        <v>396</v>
      </c>
      <c r="G990" s="76" t="s">
        <v>397</v>
      </c>
      <c r="H990" s="108"/>
      <c r="I990" s="71"/>
    </row>
    <row r="991" spans="1:9" s="65" customFormat="1">
      <c r="A991" s="77"/>
      <c r="B991" s="78"/>
      <c r="C991" s="79"/>
      <c r="D991" s="107"/>
      <c r="E991" s="79"/>
      <c r="F991" s="79"/>
      <c r="G991" s="107"/>
      <c r="H991" s="108"/>
      <c r="I991" s="71"/>
    </row>
    <row r="992" spans="1:9" s="65" customFormat="1">
      <c r="A992" s="90"/>
      <c r="B992" s="91"/>
      <c r="C992" s="91"/>
      <c r="D992" s="91"/>
      <c r="E992" s="91"/>
      <c r="F992"/>
      <c r="G992" s="93" t="s">
        <v>407</v>
      </c>
      <c r="H992" s="107">
        <f>SUM(G991:G991)</f>
        <v>0</v>
      </c>
      <c r="I992" s="71"/>
    </row>
    <row r="993" spans="1:9" s="65" customFormat="1">
      <c r="A993" s="72" t="s">
        <v>411</v>
      </c>
      <c r="B993" s="73"/>
      <c r="C993" s="73"/>
      <c r="D993" s="73"/>
      <c r="E993" s="73"/>
      <c r="F993"/>
      <c r="G993" s="74"/>
      <c r="H993" s="108"/>
      <c r="I993" s="71"/>
    </row>
    <row r="994" spans="1:9" s="65" customFormat="1">
      <c r="A994" s="75" t="s">
        <v>391</v>
      </c>
      <c r="B994" s="76" t="s">
        <v>392</v>
      </c>
      <c r="C994" s="76" t="s">
        <v>393</v>
      </c>
      <c r="D994" s="76" t="s">
        <v>394</v>
      </c>
      <c r="E994" s="76" t="s">
        <v>395</v>
      </c>
      <c r="F994" s="76" t="s">
        <v>396</v>
      </c>
      <c r="G994" s="76" t="s">
        <v>397</v>
      </c>
      <c r="H994" s="108"/>
      <c r="I994" s="71"/>
    </row>
    <row r="995" spans="1:9" s="65" customFormat="1">
      <c r="A995" s="87" t="s">
        <v>409</v>
      </c>
      <c r="B995" s="114" t="s">
        <v>747</v>
      </c>
      <c r="C995" s="114" t="s">
        <v>437</v>
      </c>
      <c r="D995" s="114">
        <v>800000</v>
      </c>
      <c r="E995" s="215">
        <v>0.01</v>
      </c>
      <c r="F995" s="79">
        <v>0</v>
      </c>
      <c r="G995" s="107">
        <f>(D995*E995)+((D995*E995)*F995/100)</f>
        <v>8000</v>
      </c>
      <c r="H995" s="108"/>
      <c r="I995" s="71"/>
    </row>
    <row r="996" spans="1:9" s="65" customFormat="1">
      <c r="A996" s="94"/>
      <c r="B996" s="95"/>
      <c r="C996" s="95"/>
      <c r="D996" s="95"/>
      <c r="E996" s="95"/>
      <c r="F996"/>
      <c r="G996" s="93" t="s">
        <v>407</v>
      </c>
      <c r="H996" s="107">
        <f>SUM(G994:G995)</f>
        <v>8000</v>
      </c>
      <c r="I996" s="71"/>
    </row>
    <row r="997" spans="1:9" s="65" customFormat="1">
      <c r="A997" s="94"/>
      <c r="B997" s="95"/>
      <c r="C997" s="95"/>
      <c r="D997" s="95"/>
      <c r="E997" s="95"/>
      <c r="F997"/>
      <c r="G997" s="74"/>
      <c r="H997" s="74"/>
      <c r="I997" s="71"/>
    </row>
    <row r="998" spans="1:9" s="65" customFormat="1">
      <c r="A998" s="96"/>
      <c r="B998" s="97"/>
      <c r="C998" s="98"/>
      <c r="D998" s="98"/>
      <c r="E998" s="98"/>
      <c r="F998"/>
      <c r="G998" s="99" t="s">
        <v>412</v>
      </c>
      <c r="H998" s="115">
        <f>SUM(H984:H996)</f>
        <v>1822982.4</v>
      </c>
      <c r="I998" s="71"/>
    </row>
    <row r="999" spans="1:9" s="65" customFormat="1">
      <c r="A999" s="96"/>
      <c r="B999" s="97"/>
      <c r="C999" s="98"/>
      <c r="D999" s="98"/>
      <c r="E999" s="98"/>
      <c r="F999" s="101"/>
      <c r="G999" s="116"/>
      <c r="H999" s="70"/>
      <c r="I999" s="71"/>
    </row>
    <row r="1000" spans="1:9" s="65" customFormat="1" ht="15.75" thickBot="1">
      <c r="A1000" s="624" t="s">
        <v>761</v>
      </c>
      <c r="B1000" s="625"/>
      <c r="C1000" s="625"/>
      <c r="D1000" s="625"/>
      <c r="E1000" s="625"/>
      <c r="F1000" s="625"/>
      <c r="G1000" s="626"/>
      <c r="H1000" s="117">
        <f>+ROUND(H998,0)</f>
        <v>1822982</v>
      </c>
      <c r="I1000" s="103"/>
    </row>
    <row r="1001" spans="1:9" s="65" customFormat="1">
      <c r="A1001" s="123"/>
      <c r="B1001" s="95"/>
      <c r="C1001" s="95"/>
      <c r="D1001" s="95"/>
      <c r="E1001" s="95"/>
      <c r="G1001" s="104"/>
      <c r="H1001" s="121"/>
    </row>
    <row r="1002" spans="1:9" s="65" customFormat="1" ht="15.75" thickBot="1">
      <c r="A1002" s="123"/>
      <c r="B1002" s="95"/>
      <c r="C1002" s="95"/>
      <c r="D1002" s="95"/>
      <c r="E1002" s="95"/>
      <c r="G1002" s="121"/>
      <c r="H1002" s="133"/>
    </row>
    <row r="1003" spans="1:9" s="65" customFormat="1">
      <c r="A1003" s="627"/>
      <c r="B1003" s="629" t="s">
        <v>169</v>
      </c>
      <c r="C1003" s="630"/>
      <c r="D1003" s="630"/>
      <c r="E1003" s="630"/>
      <c r="F1003" s="630"/>
      <c r="G1003" s="630"/>
      <c r="H1003" s="643"/>
      <c r="I1003" s="66" t="s">
        <v>389</v>
      </c>
    </row>
    <row r="1004" spans="1:9" s="65" customFormat="1">
      <c r="A1004" s="628"/>
      <c r="B1004" s="631"/>
      <c r="C1004" s="632"/>
      <c r="D1004" s="632"/>
      <c r="E1004" s="632"/>
      <c r="F1004" s="632"/>
      <c r="G1004" s="632"/>
      <c r="H1004" s="644"/>
      <c r="I1004" s="67" t="s">
        <v>157</v>
      </c>
    </row>
    <row r="1005" spans="1:9" s="65" customFormat="1">
      <c r="A1005" s="68"/>
      <c r="B1005" s="69"/>
      <c r="C1005" s="69"/>
      <c r="D1005" s="69"/>
      <c r="E1005" s="69"/>
      <c r="F1005" s="70"/>
      <c r="G1005" s="70"/>
      <c r="H1005" s="70"/>
      <c r="I1005" s="71"/>
    </row>
    <row r="1006" spans="1:9" s="65" customFormat="1">
      <c r="A1006" s="72" t="s">
        <v>390</v>
      </c>
      <c r="B1006" s="73"/>
      <c r="C1006" s="73"/>
      <c r="D1006" s="73"/>
      <c r="E1006" s="73"/>
      <c r="F1006" s="74"/>
      <c r="G1006" s="74"/>
      <c r="H1006" s="70"/>
      <c r="I1006" s="71"/>
    </row>
    <row r="1007" spans="1:9" s="65" customFormat="1">
      <c r="A1007" s="75" t="s">
        <v>391</v>
      </c>
      <c r="B1007" s="76" t="s">
        <v>392</v>
      </c>
      <c r="C1007" s="76" t="s">
        <v>393</v>
      </c>
      <c r="D1007" s="76" t="s">
        <v>394</v>
      </c>
      <c r="E1007" s="76" t="s">
        <v>395</v>
      </c>
      <c r="F1007" s="76" t="s">
        <v>396</v>
      </c>
      <c r="G1007" s="76" t="s">
        <v>397</v>
      </c>
      <c r="H1007" s="74"/>
      <c r="I1007" s="71"/>
    </row>
    <row r="1008" spans="1:9" s="65" customFormat="1">
      <c r="A1008" s="77"/>
      <c r="B1008" s="79"/>
      <c r="C1008" s="79"/>
      <c r="D1008" s="107"/>
      <c r="E1008" s="79"/>
      <c r="F1008" s="79"/>
      <c r="G1008" s="107"/>
      <c r="H1008" s="74"/>
      <c r="I1008" s="71"/>
    </row>
    <row r="1009" spans="1:9" s="65" customFormat="1">
      <c r="A1009" s="82"/>
      <c r="B1009" s="83"/>
      <c r="C1009" s="84"/>
      <c r="D1009" s="84"/>
      <c r="E1009" s="84"/>
      <c r="F1009"/>
      <c r="G1009" s="93" t="s">
        <v>407</v>
      </c>
      <c r="H1009" s="107">
        <f>SUM(G1008:G1008)</f>
        <v>0</v>
      </c>
      <c r="I1009" s="71"/>
    </row>
    <row r="1010" spans="1:9" s="65" customFormat="1">
      <c r="A1010" s="72" t="s">
        <v>408</v>
      </c>
      <c r="B1010" s="73"/>
      <c r="C1010" s="73"/>
      <c r="D1010" s="73"/>
      <c r="E1010" s="73"/>
      <c r="F1010"/>
      <c r="G1010" s="74"/>
      <c r="H1010" s="108"/>
      <c r="I1010" s="71"/>
    </row>
    <row r="1011" spans="1:9" s="65" customFormat="1">
      <c r="A1011" s="75" t="s">
        <v>391</v>
      </c>
      <c r="B1011" s="76" t="s">
        <v>392</v>
      </c>
      <c r="C1011" s="76" t="s">
        <v>393</v>
      </c>
      <c r="D1011" s="76" t="s">
        <v>394</v>
      </c>
      <c r="E1011" s="76" t="s">
        <v>395</v>
      </c>
      <c r="F1011" s="76" t="s">
        <v>396</v>
      </c>
      <c r="G1011" s="76" t="s">
        <v>397</v>
      </c>
      <c r="H1011" s="108"/>
      <c r="I1011" s="71"/>
    </row>
    <row r="1012" spans="1:9" s="65" customFormat="1">
      <c r="A1012" s="135"/>
      <c r="B1012" s="78" t="s">
        <v>169</v>
      </c>
      <c r="C1012" s="127" t="s">
        <v>157</v>
      </c>
      <c r="D1012" s="107">
        <f>1646000*1.2*1.16</f>
        <v>2291232</v>
      </c>
      <c r="E1012" s="79">
        <v>1</v>
      </c>
      <c r="F1012" s="79">
        <v>0</v>
      </c>
      <c r="G1012" s="107">
        <f>(D1012*E1012)+((D1012*E1012)*F1012/100)</f>
        <v>2291232</v>
      </c>
      <c r="H1012" s="108"/>
      <c r="I1012" s="71"/>
    </row>
    <row r="1013" spans="1:9" s="65" customFormat="1">
      <c r="A1013" s="90"/>
      <c r="B1013" s="91"/>
      <c r="C1013" s="91"/>
      <c r="D1013" s="91"/>
      <c r="E1013" s="91"/>
      <c r="F1013"/>
      <c r="G1013" s="85" t="s">
        <v>407</v>
      </c>
      <c r="H1013" s="107">
        <f>SUM(G1012:G1012)</f>
        <v>2291232</v>
      </c>
      <c r="I1013" s="71"/>
    </row>
    <row r="1014" spans="1:9" s="65" customFormat="1">
      <c r="A1014" s="72" t="s">
        <v>410</v>
      </c>
      <c r="B1014" s="73"/>
      <c r="C1014" s="73"/>
      <c r="D1014" s="73"/>
      <c r="E1014" s="73"/>
      <c r="F1014"/>
      <c r="G1014" s="74"/>
      <c r="H1014" s="108"/>
      <c r="I1014" s="71"/>
    </row>
    <row r="1015" spans="1:9" s="65" customFormat="1">
      <c r="A1015" s="75" t="s">
        <v>391</v>
      </c>
      <c r="B1015" s="76" t="s">
        <v>392</v>
      </c>
      <c r="C1015" s="76" t="s">
        <v>393</v>
      </c>
      <c r="D1015" s="76" t="s">
        <v>394</v>
      </c>
      <c r="E1015" s="76" t="s">
        <v>395</v>
      </c>
      <c r="F1015" s="76" t="s">
        <v>396</v>
      </c>
      <c r="G1015" s="76" t="s">
        <v>397</v>
      </c>
      <c r="H1015" s="108"/>
      <c r="I1015" s="71"/>
    </row>
    <row r="1016" spans="1:9" s="65" customFormat="1">
      <c r="A1016" s="77"/>
      <c r="B1016" s="78"/>
      <c r="C1016" s="79"/>
      <c r="D1016" s="107"/>
      <c r="E1016" s="79"/>
      <c r="F1016" s="79"/>
      <c r="G1016" s="107"/>
      <c r="H1016" s="108"/>
      <c r="I1016" s="71"/>
    </row>
    <row r="1017" spans="1:9" s="65" customFormat="1">
      <c r="A1017" s="90"/>
      <c r="B1017" s="91"/>
      <c r="C1017" s="91"/>
      <c r="D1017" s="91"/>
      <c r="E1017" s="91"/>
      <c r="F1017"/>
      <c r="G1017" s="93" t="s">
        <v>407</v>
      </c>
      <c r="H1017" s="107">
        <f>SUM(G1016:G1016)</f>
        <v>0</v>
      </c>
      <c r="I1017" s="71"/>
    </row>
    <row r="1018" spans="1:9" s="65" customFormat="1">
      <c r="A1018" s="72" t="s">
        <v>411</v>
      </c>
      <c r="B1018" s="73"/>
      <c r="C1018" s="73"/>
      <c r="D1018" s="73"/>
      <c r="E1018" s="73"/>
      <c r="F1018"/>
      <c r="G1018" s="74"/>
      <c r="H1018" s="108"/>
      <c r="I1018" s="71"/>
    </row>
    <row r="1019" spans="1:9" s="65" customFormat="1">
      <c r="A1019" s="75" t="s">
        <v>391</v>
      </c>
      <c r="B1019" s="76" t="s">
        <v>392</v>
      </c>
      <c r="C1019" s="76" t="s">
        <v>393</v>
      </c>
      <c r="D1019" s="76" t="s">
        <v>394</v>
      </c>
      <c r="E1019" s="76" t="s">
        <v>395</v>
      </c>
      <c r="F1019" s="76" t="s">
        <v>396</v>
      </c>
      <c r="G1019" s="76" t="s">
        <v>397</v>
      </c>
      <c r="H1019" s="108"/>
      <c r="I1019" s="71"/>
    </row>
    <row r="1020" spans="1:9" s="65" customFormat="1">
      <c r="A1020" s="87" t="s">
        <v>409</v>
      </c>
      <c r="B1020" s="114" t="s">
        <v>747</v>
      </c>
      <c r="C1020" s="114" t="s">
        <v>437</v>
      </c>
      <c r="D1020" s="114">
        <v>800000</v>
      </c>
      <c r="E1020" s="215">
        <v>0.02</v>
      </c>
      <c r="F1020" s="79">
        <v>0</v>
      </c>
      <c r="G1020" s="107">
        <f>(D1020*E1020)+((D1020*E1020)*F1020/100)</f>
        <v>16000</v>
      </c>
      <c r="H1020" s="108"/>
      <c r="I1020" s="71"/>
    </row>
    <row r="1021" spans="1:9" s="65" customFormat="1">
      <c r="A1021" s="94"/>
      <c r="B1021" s="95"/>
      <c r="C1021" s="95"/>
      <c r="D1021" s="95"/>
      <c r="E1021" s="95"/>
      <c r="F1021"/>
      <c r="G1021" s="93" t="s">
        <v>407</v>
      </c>
      <c r="H1021" s="107">
        <f>SUM(G1019:G1020)</f>
        <v>16000</v>
      </c>
      <c r="I1021" s="71"/>
    </row>
    <row r="1022" spans="1:9" s="65" customFormat="1">
      <c r="A1022" s="94"/>
      <c r="B1022" s="95"/>
      <c r="C1022" s="95"/>
      <c r="D1022" s="95"/>
      <c r="E1022" s="95"/>
      <c r="F1022"/>
      <c r="G1022" s="74"/>
      <c r="H1022" s="74"/>
      <c r="I1022" s="71"/>
    </row>
    <row r="1023" spans="1:9" s="65" customFormat="1">
      <c r="A1023" s="96"/>
      <c r="B1023" s="97"/>
      <c r="C1023" s="98"/>
      <c r="D1023" s="98"/>
      <c r="E1023" s="98"/>
      <c r="F1023"/>
      <c r="G1023" s="99" t="s">
        <v>412</v>
      </c>
      <c r="H1023" s="115">
        <f>SUM(H1009:H1021)</f>
        <v>2307232</v>
      </c>
      <c r="I1023" s="71"/>
    </row>
    <row r="1024" spans="1:9" s="65" customFormat="1">
      <c r="A1024" s="96"/>
      <c r="B1024" s="97"/>
      <c r="C1024" s="98"/>
      <c r="D1024" s="98"/>
      <c r="E1024" s="98"/>
      <c r="F1024" s="101"/>
      <c r="G1024" s="116"/>
      <c r="H1024" s="70"/>
      <c r="I1024" s="71"/>
    </row>
    <row r="1025" spans="1:9" s="65" customFormat="1" ht="15.75" thickBot="1">
      <c r="A1025" s="624" t="s">
        <v>761</v>
      </c>
      <c r="B1025" s="625"/>
      <c r="C1025" s="625"/>
      <c r="D1025" s="625"/>
      <c r="E1025" s="625"/>
      <c r="F1025" s="625"/>
      <c r="G1025" s="626"/>
      <c r="H1025" s="117">
        <f>+ROUND(H1023,0)</f>
        <v>2307232</v>
      </c>
      <c r="I1025" s="103"/>
    </row>
    <row r="1026" spans="1:9" s="65" customFormat="1">
      <c r="A1026" s="123"/>
      <c r="B1026" s="95"/>
      <c r="C1026" s="95"/>
      <c r="D1026" s="95"/>
      <c r="E1026" s="95"/>
      <c r="G1026" s="121"/>
      <c r="H1026" s="133"/>
    </row>
    <row r="1027" spans="1:9" s="65" customFormat="1" ht="15.75" thickBot="1">
      <c r="B1027" s="97"/>
      <c r="C1027" s="98"/>
      <c r="D1027" s="98"/>
      <c r="E1027" s="98"/>
      <c r="G1027" s="128"/>
    </row>
    <row r="1028" spans="1:9" s="65" customFormat="1">
      <c r="A1028" s="627"/>
      <c r="B1028" s="629" t="s">
        <v>324</v>
      </c>
      <c r="C1028" s="630"/>
      <c r="D1028" s="630"/>
      <c r="E1028" s="630"/>
      <c r="F1028" s="630"/>
      <c r="G1028" s="630"/>
      <c r="H1028" s="643"/>
      <c r="I1028" s="66" t="s">
        <v>389</v>
      </c>
    </row>
    <row r="1029" spans="1:9" s="65" customFormat="1">
      <c r="A1029" s="628"/>
      <c r="B1029" s="631"/>
      <c r="C1029" s="632"/>
      <c r="D1029" s="632"/>
      <c r="E1029" s="632"/>
      <c r="F1029" s="632"/>
      <c r="G1029" s="632"/>
      <c r="H1029" s="644"/>
      <c r="I1029" s="67" t="s">
        <v>157</v>
      </c>
    </row>
    <row r="1030" spans="1:9" s="65" customFormat="1">
      <c r="A1030" s="68"/>
      <c r="B1030" s="69"/>
      <c r="C1030" s="69"/>
      <c r="D1030" s="69"/>
      <c r="E1030" s="69"/>
      <c r="F1030" s="70"/>
      <c r="G1030" s="70"/>
      <c r="H1030" s="70"/>
      <c r="I1030" s="71"/>
    </row>
    <row r="1031" spans="1:9" s="65" customFormat="1">
      <c r="A1031" s="72" t="s">
        <v>390</v>
      </c>
      <c r="B1031" s="73"/>
      <c r="C1031" s="73"/>
      <c r="D1031" s="73"/>
      <c r="E1031" s="73"/>
      <c r="F1031" s="74"/>
      <c r="G1031" s="74"/>
      <c r="H1031" s="70"/>
      <c r="I1031" s="71"/>
    </row>
    <row r="1032" spans="1:9" s="65" customFormat="1">
      <c r="A1032" s="75" t="s">
        <v>391</v>
      </c>
      <c r="B1032" s="76" t="s">
        <v>392</v>
      </c>
      <c r="C1032" s="76" t="s">
        <v>393</v>
      </c>
      <c r="D1032" s="76" t="s">
        <v>394</v>
      </c>
      <c r="E1032" s="76" t="s">
        <v>395</v>
      </c>
      <c r="F1032" s="76" t="s">
        <v>396</v>
      </c>
      <c r="G1032" s="76" t="s">
        <v>397</v>
      </c>
      <c r="H1032" s="74"/>
      <c r="I1032" s="71"/>
    </row>
    <row r="1033" spans="1:9" s="65" customFormat="1">
      <c r="A1033" s="77"/>
      <c r="B1033" s="79"/>
      <c r="C1033" s="79"/>
      <c r="D1033" s="107"/>
      <c r="E1033" s="79"/>
      <c r="F1033" s="79"/>
      <c r="G1033" s="107"/>
      <c r="H1033" s="74"/>
      <c r="I1033" s="71"/>
    </row>
    <row r="1034" spans="1:9" s="65" customFormat="1">
      <c r="A1034" s="82"/>
      <c r="B1034" s="83"/>
      <c r="C1034" s="84"/>
      <c r="D1034" s="84"/>
      <c r="E1034" s="84"/>
      <c r="F1034"/>
      <c r="G1034" s="93" t="s">
        <v>407</v>
      </c>
      <c r="H1034" s="107">
        <f>SUM(G1033:G1033)</f>
        <v>0</v>
      </c>
      <c r="I1034" s="71"/>
    </row>
    <row r="1035" spans="1:9" s="65" customFormat="1">
      <c r="A1035" s="72" t="s">
        <v>408</v>
      </c>
      <c r="B1035" s="73"/>
      <c r="C1035" s="73"/>
      <c r="D1035" s="73"/>
      <c r="E1035" s="73"/>
      <c r="F1035"/>
      <c r="G1035" s="74"/>
      <c r="H1035" s="108"/>
      <c r="I1035" s="71"/>
    </row>
    <row r="1036" spans="1:9" s="65" customFormat="1">
      <c r="A1036" s="75" t="s">
        <v>391</v>
      </c>
      <c r="B1036" s="76" t="s">
        <v>392</v>
      </c>
      <c r="C1036" s="76" t="s">
        <v>393</v>
      </c>
      <c r="D1036" s="76" t="s">
        <v>394</v>
      </c>
      <c r="E1036" s="76" t="s">
        <v>395</v>
      </c>
      <c r="F1036" s="76" t="s">
        <v>396</v>
      </c>
      <c r="G1036" s="76" t="s">
        <v>397</v>
      </c>
      <c r="H1036" s="108"/>
      <c r="I1036" s="71"/>
    </row>
    <row r="1037" spans="1:9" s="65" customFormat="1" ht="25.5">
      <c r="A1037" s="135"/>
      <c r="B1037" s="78" t="s">
        <v>324</v>
      </c>
      <c r="C1037" s="127" t="s">
        <v>157</v>
      </c>
      <c r="D1037" s="107">
        <f>586000*1.2*1.16</f>
        <v>815712</v>
      </c>
      <c r="E1037" s="79">
        <v>1</v>
      </c>
      <c r="F1037" s="79">
        <v>0</v>
      </c>
      <c r="G1037" s="107">
        <f>(D1037*E1037)+((D1037*E1037)*F1037/100)</f>
        <v>815712</v>
      </c>
      <c r="H1037" s="108"/>
      <c r="I1037" s="71"/>
    </row>
    <row r="1038" spans="1:9" s="65" customFormat="1">
      <c r="A1038" s="90"/>
      <c r="B1038" s="91"/>
      <c r="C1038" s="91"/>
      <c r="D1038" s="91"/>
      <c r="E1038" s="91"/>
      <c r="F1038"/>
      <c r="G1038" s="85" t="s">
        <v>407</v>
      </c>
      <c r="H1038" s="107">
        <f>SUM(G1037:G1037)</f>
        <v>815712</v>
      </c>
      <c r="I1038" s="71"/>
    </row>
    <row r="1039" spans="1:9" s="65" customFormat="1">
      <c r="A1039" s="72" t="s">
        <v>410</v>
      </c>
      <c r="B1039" s="73"/>
      <c r="C1039" s="73"/>
      <c r="D1039" s="73"/>
      <c r="E1039" s="73"/>
      <c r="F1039"/>
      <c r="G1039" s="74"/>
      <c r="H1039" s="108"/>
      <c r="I1039" s="71"/>
    </row>
    <row r="1040" spans="1:9" s="65" customFormat="1">
      <c r="A1040" s="75" t="s">
        <v>391</v>
      </c>
      <c r="B1040" s="76" t="s">
        <v>392</v>
      </c>
      <c r="C1040" s="76" t="s">
        <v>393</v>
      </c>
      <c r="D1040" s="76" t="s">
        <v>394</v>
      </c>
      <c r="E1040" s="76" t="s">
        <v>395</v>
      </c>
      <c r="F1040" s="76" t="s">
        <v>396</v>
      </c>
      <c r="G1040" s="76" t="s">
        <v>397</v>
      </c>
      <c r="H1040" s="108"/>
      <c r="I1040" s="71"/>
    </row>
    <row r="1041" spans="1:9" s="65" customFormat="1">
      <c r="A1041" s="77"/>
      <c r="B1041" s="78"/>
      <c r="C1041" s="79"/>
      <c r="D1041" s="107"/>
      <c r="E1041" s="79"/>
      <c r="F1041" s="79"/>
      <c r="G1041" s="107"/>
      <c r="H1041" s="108"/>
      <c r="I1041" s="71"/>
    </row>
    <row r="1042" spans="1:9" s="65" customFormat="1">
      <c r="A1042" s="90"/>
      <c r="B1042" s="91"/>
      <c r="C1042" s="91"/>
      <c r="D1042" s="91"/>
      <c r="E1042" s="91"/>
      <c r="F1042"/>
      <c r="G1042" s="93" t="s">
        <v>407</v>
      </c>
      <c r="H1042" s="107">
        <f>SUM(G1041:G1041)</f>
        <v>0</v>
      </c>
      <c r="I1042" s="71"/>
    </row>
    <row r="1043" spans="1:9" s="65" customFormat="1">
      <c r="A1043" s="72" t="s">
        <v>411</v>
      </c>
      <c r="B1043" s="73"/>
      <c r="C1043" s="73"/>
      <c r="D1043" s="73"/>
      <c r="E1043" s="73"/>
      <c r="F1043"/>
      <c r="G1043" s="74"/>
      <c r="H1043" s="108"/>
      <c r="I1043" s="71"/>
    </row>
    <row r="1044" spans="1:9" s="65" customFormat="1">
      <c r="A1044" s="75" t="s">
        <v>391</v>
      </c>
      <c r="B1044" s="76" t="s">
        <v>392</v>
      </c>
      <c r="C1044" s="76" t="s">
        <v>393</v>
      </c>
      <c r="D1044" s="76" t="s">
        <v>394</v>
      </c>
      <c r="E1044" s="76" t="s">
        <v>395</v>
      </c>
      <c r="F1044" s="76" t="s">
        <v>396</v>
      </c>
      <c r="G1044" s="76" t="s">
        <v>397</v>
      </c>
      <c r="H1044" s="108"/>
      <c r="I1044" s="71"/>
    </row>
    <row r="1045" spans="1:9" s="65" customFormat="1">
      <c r="A1045" s="87" t="s">
        <v>409</v>
      </c>
      <c r="B1045" s="114" t="s">
        <v>747</v>
      </c>
      <c r="C1045" s="114" t="s">
        <v>437</v>
      </c>
      <c r="D1045" s="114">
        <v>800000</v>
      </c>
      <c r="E1045" s="215">
        <v>0.04</v>
      </c>
      <c r="F1045" s="79">
        <v>0</v>
      </c>
      <c r="G1045" s="107">
        <f>(D1045*E1045)+((D1045*E1045)*F1045/100)</f>
        <v>32000</v>
      </c>
      <c r="H1045" s="108"/>
      <c r="I1045" s="71"/>
    </row>
    <row r="1046" spans="1:9" s="65" customFormat="1">
      <c r="A1046" s="94"/>
      <c r="B1046" s="95"/>
      <c r="C1046" s="95"/>
      <c r="D1046" s="95"/>
      <c r="E1046" s="95"/>
      <c r="F1046"/>
      <c r="G1046" s="93" t="s">
        <v>407</v>
      </c>
      <c r="H1046" s="107">
        <f>SUM(G1044:G1045)</f>
        <v>32000</v>
      </c>
      <c r="I1046" s="71"/>
    </row>
    <row r="1047" spans="1:9" s="65" customFormat="1">
      <c r="A1047" s="94"/>
      <c r="B1047" s="95"/>
      <c r="C1047" s="95"/>
      <c r="D1047" s="95"/>
      <c r="E1047" s="95"/>
      <c r="F1047"/>
      <c r="G1047" s="74"/>
      <c r="H1047" s="74"/>
      <c r="I1047" s="71"/>
    </row>
    <row r="1048" spans="1:9" s="65" customFormat="1">
      <c r="A1048" s="96"/>
      <c r="B1048" s="97"/>
      <c r="C1048" s="98"/>
      <c r="D1048" s="98"/>
      <c r="E1048" s="98"/>
      <c r="F1048"/>
      <c r="G1048" s="99" t="s">
        <v>412</v>
      </c>
      <c r="H1048" s="115">
        <f>SUM(H1034:H1046)</f>
        <v>847712</v>
      </c>
      <c r="I1048" s="71"/>
    </row>
    <row r="1049" spans="1:9" s="65" customFormat="1">
      <c r="A1049" s="96"/>
      <c r="B1049" s="97"/>
      <c r="C1049" s="98"/>
      <c r="D1049" s="98"/>
      <c r="E1049" s="98"/>
      <c r="F1049" s="101"/>
      <c r="G1049" s="116"/>
      <c r="H1049" s="70"/>
      <c r="I1049" s="71"/>
    </row>
    <row r="1050" spans="1:9" s="65" customFormat="1" ht="15.75" thickBot="1">
      <c r="A1050" s="624" t="s">
        <v>761</v>
      </c>
      <c r="B1050" s="625"/>
      <c r="C1050" s="625"/>
      <c r="D1050" s="625"/>
      <c r="E1050" s="625"/>
      <c r="F1050" s="625"/>
      <c r="G1050" s="626"/>
      <c r="H1050" s="117">
        <f>+ROUND(H1048,0)</f>
        <v>847712</v>
      </c>
      <c r="I1050" s="103"/>
    </row>
    <row r="1051" spans="1:9" s="65" customFormat="1">
      <c r="B1051" s="97"/>
      <c r="C1051" s="98"/>
      <c r="D1051" s="98"/>
      <c r="E1051" s="98"/>
      <c r="G1051" s="128"/>
    </row>
    <row r="1052" spans="1:9" s="65" customFormat="1" ht="15.75" thickBot="1">
      <c r="B1052" s="97"/>
      <c r="C1052" s="98"/>
      <c r="D1052" s="98"/>
      <c r="E1052" s="98"/>
      <c r="F1052" s="128"/>
      <c r="G1052" s="133"/>
      <c r="H1052" s="134"/>
    </row>
    <row r="1053" spans="1:9" s="65" customFormat="1">
      <c r="A1053" s="627"/>
      <c r="B1053" s="629" t="s">
        <v>325</v>
      </c>
      <c r="C1053" s="630"/>
      <c r="D1053" s="630"/>
      <c r="E1053" s="630"/>
      <c r="F1053" s="630"/>
      <c r="G1053" s="630"/>
      <c r="H1053" s="643"/>
      <c r="I1053" s="66" t="s">
        <v>389</v>
      </c>
    </row>
    <row r="1054" spans="1:9" s="65" customFormat="1">
      <c r="A1054" s="628"/>
      <c r="B1054" s="631"/>
      <c r="C1054" s="632"/>
      <c r="D1054" s="632"/>
      <c r="E1054" s="632"/>
      <c r="F1054" s="632"/>
      <c r="G1054" s="632"/>
      <c r="H1054" s="644"/>
      <c r="I1054" s="67" t="s">
        <v>157</v>
      </c>
    </row>
    <row r="1055" spans="1:9" s="65" customFormat="1">
      <c r="A1055" s="68"/>
      <c r="B1055" s="69"/>
      <c r="C1055" s="69"/>
      <c r="D1055" s="69"/>
      <c r="E1055" s="69"/>
      <c r="F1055" s="70"/>
      <c r="G1055" s="70"/>
      <c r="H1055" s="70"/>
      <c r="I1055" s="71"/>
    </row>
    <row r="1056" spans="1:9" s="65" customFormat="1">
      <c r="A1056" s="72" t="s">
        <v>390</v>
      </c>
      <c r="B1056" s="73"/>
      <c r="C1056" s="73"/>
      <c r="D1056" s="73"/>
      <c r="E1056" s="73"/>
      <c r="F1056" s="74"/>
      <c r="G1056" s="74"/>
      <c r="H1056" s="70"/>
      <c r="I1056" s="71"/>
    </row>
    <row r="1057" spans="1:9" s="65" customFormat="1">
      <c r="A1057" s="75" t="s">
        <v>391</v>
      </c>
      <c r="B1057" s="76" t="s">
        <v>392</v>
      </c>
      <c r="C1057" s="76" t="s">
        <v>393</v>
      </c>
      <c r="D1057" s="76" t="s">
        <v>394</v>
      </c>
      <c r="E1057" s="76" t="s">
        <v>395</v>
      </c>
      <c r="F1057" s="76" t="s">
        <v>396</v>
      </c>
      <c r="G1057" s="76" t="s">
        <v>397</v>
      </c>
      <c r="H1057" s="74"/>
      <c r="I1057" s="71"/>
    </row>
    <row r="1058" spans="1:9" s="65" customFormat="1">
      <c r="A1058" s="77"/>
      <c r="B1058" s="79"/>
      <c r="C1058" s="79"/>
      <c r="D1058" s="107"/>
      <c r="E1058" s="79"/>
      <c r="F1058" s="79"/>
      <c r="G1058" s="107"/>
      <c r="H1058" s="74"/>
      <c r="I1058" s="71"/>
    </row>
    <row r="1059" spans="1:9" s="65" customFormat="1">
      <c r="A1059" s="82"/>
      <c r="B1059" s="83"/>
      <c r="C1059" s="84"/>
      <c r="D1059" s="84"/>
      <c r="E1059" s="84"/>
      <c r="F1059"/>
      <c r="G1059" s="93" t="s">
        <v>407</v>
      </c>
      <c r="H1059" s="107">
        <f>SUM(G1058:G1058)</f>
        <v>0</v>
      </c>
      <c r="I1059" s="71"/>
    </row>
    <row r="1060" spans="1:9" s="65" customFormat="1">
      <c r="A1060" s="72" t="s">
        <v>408</v>
      </c>
      <c r="B1060" s="73"/>
      <c r="C1060" s="73"/>
      <c r="D1060" s="73"/>
      <c r="E1060" s="73"/>
      <c r="F1060"/>
      <c r="G1060" s="74"/>
      <c r="H1060" s="108"/>
      <c r="I1060" s="71"/>
    </row>
    <row r="1061" spans="1:9" s="65" customFormat="1">
      <c r="A1061" s="75" t="s">
        <v>391</v>
      </c>
      <c r="B1061" s="76" t="s">
        <v>392</v>
      </c>
      <c r="C1061" s="76" t="s">
        <v>393</v>
      </c>
      <c r="D1061" s="76" t="s">
        <v>394</v>
      </c>
      <c r="E1061" s="76" t="s">
        <v>395</v>
      </c>
      <c r="F1061" s="76" t="s">
        <v>396</v>
      </c>
      <c r="G1061" s="76" t="s">
        <v>397</v>
      </c>
      <c r="H1061" s="108"/>
      <c r="I1061" s="71"/>
    </row>
    <row r="1062" spans="1:9" s="65" customFormat="1" ht="25.5">
      <c r="A1062" s="135"/>
      <c r="B1062" s="78" t="s">
        <v>325</v>
      </c>
      <c r="C1062" s="127" t="s">
        <v>157</v>
      </c>
      <c r="D1062" s="107">
        <f>5918750*1.2*1.16</f>
        <v>8238899.9999999991</v>
      </c>
      <c r="E1062" s="79">
        <v>1</v>
      </c>
      <c r="F1062" s="79">
        <v>0</v>
      </c>
      <c r="G1062" s="107">
        <f>(D1062*E1062)+((D1062*E1062)*F1062/100)</f>
        <v>8238899.9999999991</v>
      </c>
      <c r="H1062" s="108"/>
      <c r="I1062" s="71"/>
    </row>
    <row r="1063" spans="1:9" s="65" customFormat="1">
      <c r="A1063" s="90"/>
      <c r="B1063" s="91"/>
      <c r="C1063" s="91"/>
      <c r="D1063" s="91"/>
      <c r="E1063" s="91"/>
      <c r="F1063"/>
      <c r="G1063" s="85" t="s">
        <v>407</v>
      </c>
      <c r="H1063" s="107">
        <f>SUM(G1062:G1062)</f>
        <v>8238899.9999999991</v>
      </c>
      <c r="I1063" s="71"/>
    </row>
    <row r="1064" spans="1:9" s="65" customFormat="1">
      <c r="A1064" s="72" t="s">
        <v>410</v>
      </c>
      <c r="B1064" s="73"/>
      <c r="C1064" s="73"/>
      <c r="D1064" s="73"/>
      <c r="E1064" s="73"/>
      <c r="F1064"/>
      <c r="G1064" s="74"/>
      <c r="H1064" s="108"/>
      <c r="I1064" s="71"/>
    </row>
    <row r="1065" spans="1:9" s="65" customFormat="1">
      <c r="A1065" s="75" t="s">
        <v>391</v>
      </c>
      <c r="B1065" s="76" t="s">
        <v>392</v>
      </c>
      <c r="C1065" s="76" t="s">
        <v>393</v>
      </c>
      <c r="D1065" s="76" t="s">
        <v>394</v>
      </c>
      <c r="E1065" s="76" t="s">
        <v>395</v>
      </c>
      <c r="F1065" s="76" t="s">
        <v>396</v>
      </c>
      <c r="G1065" s="76" t="s">
        <v>397</v>
      </c>
      <c r="H1065" s="108"/>
      <c r="I1065" s="71"/>
    </row>
    <row r="1066" spans="1:9" s="65" customFormat="1">
      <c r="A1066" s="77"/>
      <c r="B1066" s="78"/>
      <c r="C1066" s="79"/>
      <c r="D1066" s="107"/>
      <c r="E1066" s="79"/>
      <c r="F1066" s="79"/>
      <c r="G1066" s="107"/>
      <c r="H1066" s="108"/>
      <c r="I1066" s="71"/>
    </row>
    <row r="1067" spans="1:9" s="65" customFormat="1">
      <c r="A1067" s="90"/>
      <c r="B1067" s="91"/>
      <c r="C1067" s="91"/>
      <c r="D1067" s="91"/>
      <c r="E1067" s="91"/>
      <c r="F1067"/>
      <c r="G1067" s="93" t="s">
        <v>407</v>
      </c>
      <c r="H1067" s="107">
        <f>SUM(G1066:G1066)</f>
        <v>0</v>
      </c>
      <c r="I1067" s="71"/>
    </row>
    <row r="1068" spans="1:9" s="65" customFormat="1">
      <c r="A1068" s="72" t="s">
        <v>411</v>
      </c>
      <c r="B1068" s="73"/>
      <c r="C1068" s="73"/>
      <c r="D1068" s="73"/>
      <c r="E1068" s="73"/>
      <c r="F1068"/>
      <c r="G1068" s="74"/>
      <c r="H1068" s="108"/>
      <c r="I1068" s="71"/>
    </row>
    <row r="1069" spans="1:9" s="65" customFormat="1">
      <c r="A1069" s="75" t="s">
        <v>391</v>
      </c>
      <c r="B1069" s="76" t="s">
        <v>392</v>
      </c>
      <c r="C1069" s="76" t="s">
        <v>393</v>
      </c>
      <c r="D1069" s="76" t="s">
        <v>394</v>
      </c>
      <c r="E1069" s="76" t="s">
        <v>395</v>
      </c>
      <c r="F1069" s="76" t="s">
        <v>396</v>
      </c>
      <c r="G1069" s="76" t="s">
        <v>397</v>
      </c>
      <c r="H1069" s="108"/>
      <c r="I1069" s="71"/>
    </row>
    <row r="1070" spans="1:9" s="65" customFormat="1">
      <c r="A1070" s="87" t="s">
        <v>409</v>
      </c>
      <c r="B1070" s="114" t="s">
        <v>747</v>
      </c>
      <c r="C1070" s="114" t="s">
        <v>437</v>
      </c>
      <c r="D1070" s="114">
        <v>800000</v>
      </c>
      <c r="E1070" s="215">
        <v>0.1</v>
      </c>
      <c r="F1070" s="79">
        <v>0</v>
      </c>
      <c r="G1070" s="107">
        <f>(D1070*E1070)+((D1070*E1070)*F1070/100)</f>
        <v>80000</v>
      </c>
      <c r="H1070" s="108"/>
      <c r="I1070" s="71"/>
    </row>
    <row r="1071" spans="1:9" s="65" customFormat="1">
      <c r="A1071" s="94"/>
      <c r="B1071" s="95"/>
      <c r="C1071" s="95"/>
      <c r="D1071" s="95"/>
      <c r="E1071" s="95"/>
      <c r="F1071"/>
      <c r="G1071" s="93" t="s">
        <v>407</v>
      </c>
      <c r="H1071" s="107">
        <f>SUM(G1069:G1070)</f>
        <v>80000</v>
      </c>
      <c r="I1071" s="71"/>
    </row>
    <row r="1072" spans="1:9" s="65" customFormat="1">
      <c r="A1072" s="94"/>
      <c r="B1072" s="95"/>
      <c r="C1072" s="95"/>
      <c r="D1072" s="95"/>
      <c r="E1072" s="95"/>
      <c r="F1072"/>
      <c r="G1072" s="74"/>
      <c r="H1072" s="74"/>
      <c r="I1072" s="71"/>
    </row>
    <row r="1073" spans="1:9" s="65" customFormat="1">
      <c r="A1073" s="96"/>
      <c r="B1073" s="97"/>
      <c r="C1073" s="98"/>
      <c r="D1073" s="98"/>
      <c r="E1073" s="98"/>
      <c r="F1073"/>
      <c r="G1073" s="99" t="s">
        <v>412</v>
      </c>
      <c r="H1073" s="115">
        <f>SUM(H1059:H1071)</f>
        <v>8318899.9999999991</v>
      </c>
      <c r="I1073" s="71"/>
    </row>
    <row r="1074" spans="1:9" s="65" customFormat="1">
      <c r="A1074" s="96"/>
      <c r="B1074" s="97"/>
      <c r="C1074" s="98"/>
      <c r="D1074" s="98"/>
      <c r="E1074" s="98"/>
      <c r="F1074" s="101"/>
      <c r="G1074" s="116"/>
      <c r="H1074" s="70"/>
      <c r="I1074" s="71"/>
    </row>
    <row r="1075" spans="1:9" s="65" customFormat="1" ht="15.75" thickBot="1">
      <c r="A1075" s="624" t="s">
        <v>761</v>
      </c>
      <c r="B1075" s="625"/>
      <c r="C1075" s="625"/>
      <c r="D1075" s="625"/>
      <c r="E1075" s="625"/>
      <c r="F1075" s="625"/>
      <c r="G1075" s="626"/>
      <c r="H1075" s="117">
        <f>+ROUND(H1073,0)</f>
        <v>8318900</v>
      </c>
      <c r="I1075" s="103"/>
    </row>
    <row r="1076" spans="1:9" s="65" customFormat="1">
      <c r="B1076" s="97"/>
      <c r="C1076" s="98"/>
      <c r="D1076" s="98"/>
      <c r="E1076" s="98"/>
      <c r="F1076" s="128"/>
      <c r="G1076" s="133"/>
      <c r="H1076" s="134"/>
    </row>
    <row r="1077" spans="1:9" s="65" customFormat="1">
      <c r="A1077" s="633"/>
      <c r="B1077" s="633"/>
      <c r="C1077" s="633"/>
      <c r="D1077" s="633"/>
      <c r="E1077" s="633"/>
      <c r="F1077" s="633"/>
      <c r="G1077" s="633"/>
    </row>
    <row r="1078" spans="1:9" s="65" customFormat="1">
      <c r="A1078" s="633"/>
      <c r="B1078" s="633"/>
      <c r="C1078" s="633"/>
      <c r="D1078" s="633"/>
      <c r="E1078" s="633"/>
      <c r="F1078" s="633"/>
      <c r="G1078" s="633"/>
    </row>
    <row r="1079" spans="1:9" s="65" customFormat="1" ht="15.75" thickBot="1">
      <c r="H1079" s="156"/>
      <c r="I1079" s="151"/>
    </row>
    <row r="1080" spans="1:9" s="65" customFormat="1">
      <c r="A1080" s="627"/>
      <c r="B1080" s="634" t="s">
        <v>906</v>
      </c>
      <c r="C1080" s="635"/>
      <c r="D1080" s="635"/>
      <c r="E1080" s="635"/>
      <c r="F1080" s="635"/>
      <c r="G1080" s="635"/>
      <c r="H1080" s="636"/>
      <c r="I1080" s="66" t="s">
        <v>389</v>
      </c>
    </row>
    <row r="1081" spans="1:9" s="65" customFormat="1" ht="48" customHeight="1">
      <c r="A1081" s="628"/>
      <c r="B1081" s="637"/>
      <c r="C1081" s="638"/>
      <c r="D1081" s="638"/>
      <c r="E1081" s="638"/>
      <c r="F1081" s="638"/>
      <c r="G1081" s="638"/>
      <c r="H1081" s="639"/>
      <c r="I1081" s="67" t="s">
        <v>157</v>
      </c>
    </row>
    <row r="1082" spans="1:9" s="65" customFormat="1">
      <c r="A1082" s="68"/>
      <c r="B1082" s="69"/>
      <c r="C1082" s="69"/>
      <c r="D1082" s="69"/>
      <c r="E1082" s="69"/>
      <c r="F1082" s="70"/>
      <c r="G1082" s="70"/>
      <c r="H1082" s="70"/>
      <c r="I1082" s="71"/>
    </row>
    <row r="1083" spans="1:9" s="65" customFormat="1">
      <c r="A1083" s="72" t="s">
        <v>390</v>
      </c>
      <c r="B1083" s="73"/>
      <c r="C1083" s="73"/>
      <c r="D1083" s="73"/>
      <c r="E1083" s="73"/>
      <c r="F1083" s="74"/>
      <c r="G1083" s="74"/>
      <c r="H1083" s="70"/>
      <c r="I1083" s="71"/>
    </row>
    <row r="1084" spans="1:9" s="65" customFormat="1">
      <c r="A1084" s="75" t="s">
        <v>391</v>
      </c>
      <c r="B1084" s="76" t="s">
        <v>392</v>
      </c>
      <c r="C1084" s="76" t="s">
        <v>393</v>
      </c>
      <c r="D1084" s="76" t="s">
        <v>394</v>
      </c>
      <c r="E1084" s="76" t="s">
        <v>395</v>
      </c>
      <c r="F1084" s="76" t="s">
        <v>396</v>
      </c>
      <c r="G1084" s="76" t="s">
        <v>397</v>
      </c>
      <c r="H1084" s="74"/>
      <c r="I1084" s="71"/>
    </row>
    <row r="1085" spans="1:9" s="65" customFormat="1">
      <c r="A1085" s="77"/>
      <c r="B1085" s="79"/>
      <c r="C1085" s="79"/>
      <c r="D1085" s="107"/>
      <c r="E1085" s="79"/>
      <c r="F1085" s="79"/>
      <c r="G1085" s="107"/>
      <c r="H1085" s="74"/>
      <c r="I1085" s="71"/>
    </row>
    <row r="1086" spans="1:9" s="65" customFormat="1">
      <c r="A1086" s="82"/>
      <c r="B1086" s="83"/>
      <c r="C1086" s="84"/>
      <c r="D1086" s="84"/>
      <c r="E1086" s="84"/>
      <c r="F1086"/>
      <c r="G1086" s="93" t="s">
        <v>407</v>
      </c>
      <c r="H1086" s="107">
        <f>SUM(G1085:G1085)</f>
        <v>0</v>
      </c>
      <c r="I1086" s="71"/>
    </row>
    <row r="1087" spans="1:9" s="65" customFormat="1">
      <c r="A1087" s="72" t="s">
        <v>408</v>
      </c>
      <c r="B1087" s="73"/>
      <c r="C1087" s="73"/>
      <c r="D1087" s="73"/>
      <c r="E1087" s="73"/>
      <c r="F1087"/>
      <c r="G1087" s="74"/>
      <c r="H1087" s="108"/>
      <c r="I1087" s="71"/>
    </row>
    <row r="1088" spans="1:9" s="65" customFormat="1">
      <c r="A1088" s="75" t="s">
        <v>391</v>
      </c>
      <c r="B1088" s="76" t="s">
        <v>392</v>
      </c>
      <c r="C1088" s="76" t="s">
        <v>393</v>
      </c>
      <c r="D1088" s="76" t="s">
        <v>394</v>
      </c>
      <c r="E1088" s="76" t="s">
        <v>395</v>
      </c>
      <c r="F1088" s="76" t="s">
        <v>396</v>
      </c>
      <c r="G1088" s="76" t="s">
        <v>397</v>
      </c>
      <c r="H1088" s="108"/>
      <c r="I1088" s="71"/>
    </row>
    <row r="1089" spans="1:9" s="65" customFormat="1" ht="114.75">
      <c r="A1089" s="135"/>
      <c r="B1089" s="78" t="s">
        <v>789</v>
      </c>
      <c r="C1089" s="127" t="s">
        <v>157</v>
      </c>
      <c r="D1089" s="256">
        <f>36545000*1.16*1.2</f>
        <v>50870640</v>
      </c>
      <c r="E1089" s="79">
        <v>1</v>
      </c>
      <c r="F1089" s="79">
        <v>0</v>
      </c>
      <c r="G1089" s="107">
        <f>(D1089*E1089)+((D1089*E1089)*F1089/100)</f>
        <v>50870640</v>
      </c>
      <c r="H1089" s="108"/>
      <c r="I1089" s="71"/>
    </row>
    <row r="1090" spans="1:9" s="65" customFormat="1">
      <c r="A1090" s="90"/>
      <c r="B1090" s="91"/>
      <c r="C1090" s="91"/>
      <c r="D1090" s="91"/>
      <c r="E1090" s="91"/>
      <c r="F1090"/>
      <c r="G1090" s="85" t="s">
        <v>407</v>
      </c>
      <c r="H1090" s="107">
        <f>SUM(G1089:G1089)</f>
        <v>50870640</v>
      </c>
      <c r="I1090" s="71"/>
    </row>
    <row r="1091" spans="1:9" s="65" customFormat="1">
      <c r="A1091" s="72" t="s">
        <v>410</v>
      </c>
      <c r="B1091" s="73"/>
      <c r="C1091" s="73"/>
      <c r="D1091" s="73"/>
      <c r="E1091" s="73"/>
      <c r="F1091"/>
      <c r="G1091" s="74"/>
      <c r="H1091" s="108"/>
      <c r="I1091" s="71"/>
    </row>
    <row r="1092" spans="1:9" s="65" customFormat="1">
      <c r="A1092" s="75" t="s">
        <v>391</v>
      </c>
      <c r="B1092" s="76" t="s">
        <v>392</v>
      </c>
      <c r="C1092" s="76" t="s">
        <v>393</v>
      </c>
      <c r="D1092" s="76" t="s">
        <v>394</v>
      </c>
      <c r="E1092" s="76" t="s">
        <v>395</v>
      </c>
      <c r="F1092" s="76" t="s">
        <v>396</v>
      </c>
      <c r="G1092" s="76" t="s">
        <v>397</v>
      </c>
      <c r="H1092" s="108"/>
      <c r="I1092" s="71"/>
    </row>
    <row r="1093" spans="1:9" s="65" customFormat="1">
      <c r="A1093" s="77"/>
      <c r="B1093" s="78"/>
      <c r="C1093" s="79"/>
      <c r="D1093" s="107"/>
      <c r="E1093" s="79"/>
      <c r="F1093" s="79"/>
      <c r="G1093" s="107"/>
      <c r="H1093" s="108"/>
      <c r="I1093" s="71"/>
    </row>
    <row r="1094" spans="1:9" s="65" customFormat="1">
      <c r="A1094" s="90"/>
      <c r="B1094" s="91"/>
      <c r="C1094" s="91"/>
      <c r="D1094" s="91"/>
      <c r="E1094" s="91"/>
      <c r="F1094"/>
      <c r="G1094" s="93" t="s">
        <v>407</v>
      </c>
      <c r="H1094" s="107">
        <f>SUM(G1093:G1093)</f>
        <v>0</v>
      </c>
      <c r="I1094" s="71"/>
    </row>
    <row r="1095" spans="1:9" s="65" customFormat="1">
      <c r="A1095" s="72" t="s">
        <v>411</v>
      </c>
      <c r="B1095" s="73"/>
      <c r="C1095" s="73"/>
      <c r="D1095" s="73"/>
      <c r="E1095" s="73"/>
      <c r="F1095"/>
      <c r="G1095" s="74"/>
      <c r="H1095" s="108"/>
      <c r="I1095" s="71"/>
    </row>
    <row r="1096" spans="1:9" s="65" customFormat="1">
      <c r="A1096" s="75" t="s">
        <v>391</v>
      </c>
      <c r="B1096" s="76" t="s">
        <v>392</v>
      </c>
      <c r="C1096" s="76" t="s">
        <v>393</v>
      </c>
      <c r="D1096" s="76" t="s">
        <v>394</v>
      </c>
      <c r="E1096" s="76" t="s">
        <v>395</v>
      </c>
      <c r="F1096" s="76" t="s">
        <v>396</v>
      </c>
      <c r="G1096" s="76" t="s">
        <v>397</v>
      </c>
      <c r="H1096" s="108"/>
      <c r="I1096" s="71"/>
    </row>
    <row r="1097" spans="1:9" s="65" customFormat="1">
      <c r="A1097" s="87" t="s">
        <v>409</v>
      </c>
      <c r="B1097" s="114" t="s">
        <v>747</v>
      </c>
      <c r="C1097" s="114" t="s">
        <v>437</v>
      </c>
      <c r="D1097" s="114">
        <v>800000</v>
      </c>
      <c r="E1097" s="215">
        <v>1</v>
      </c>
      <c r="F1097" s="79">
        <v>0</v>
      </c>
      <c r="G1097" s="107">
        <f>(D1097*E1097)+((D1097*E1097)*F1097/100)</f>
        <v>800000</v>
      </c>
      <c r="H1097" s="108"/>
      <c r="I1097" s="71"/>
    </row>
    <row r="1098" spans="1:9" s="65" customFormat="1">
      <c r="A1098" s="94"/>
      <c r="B1098" s="95"/>
      <c r="C1098" s="95"/>
      <c r="D1098" s="95"/>
      <c r="E1098" s="95"/>
      <c r="F1098"/>
      <c r="G1098" s="93" t="s">
        <v>407</v>
      </c>
      <c r="H1098" s="107">
        <f>SUM(G1096:G1097)</f>
        <v>800000</v>
      </c>
      <c r="I1098" s="71"/>
    </row>
    <row r="1099" spans="1:9" s="65" customFormat="1">
      <c r="A1099" s="94"/>
      <c r="B1099" s="95"/>
      <c r="C1099" s="95"/>
      <c r="D1099" s="95"/>
      <c r="E1099" s="95"/>
      <c r="F1099"/>
      <c r="G1099" s="74"/>
      <c r="H1099" s="74"/>
      <c r="I1099" s="71"/>
    </row>
    <row r="1100" spans="1:9" s="65" customFormat="1">
      <c r="A1100" s="96"/>
      <c r="B1100" s="97"/>
      <c r="C1100" s="98"/>
      <c r="D1100" s="98"/>
      <c r="E1100" s="98"/>
      <c r="F1100"/>
      <c r="G1100" s="99" t="s">
        <v>412</v>
      </c>
      <c r="H1100" s="115">
        <f>SUM(H1086:H1098)</f>
        <v>51670640</v>
      </c>
      <c r="I1100" s="71"/>
    </row>
    <row r="1101" spans="1:9" s="65" customFormat="1">
      <c r="A1101" s="96"/>
      <c r="B1101" s="97"/>
      <c r="C1101" s="98"/>
      <c r="D1101" s="98"/>
      <c r="E1101" s="98"/>
      <c r="F1101" s="101"/>
      <c r="G1101" s="116"/>
      <c r="H1101" s="70"/>
      <c r="I1101" s="71"/>
    </row>
    <row r="1102" spans="1:9" s="65" customFormat="1" ht="15.75" thickBot="1">
      <c r="A1102" s="624" t="s">
        <v>761</v>
      </c>
      <c r="B1102" s="625"/>
      <c r="C1102" s="625"/>
      <c r="D1102" s="625"/>
      <c r="E1102" s="625"/>
      <c r="F1102" s="625"/>
      <c r="G1102" s="626"/>
      <c r="H1102" s="117">
        <f>+ROUND(H1100,0)</f>
        <v>51670640</v>
      </c>
      <c r="I1102" s="103"/>
    </row>
    <row r="1103" spans="1:9" s="65" customFormat="1"/>
    <row r="1104" spans="1:9" s="65" customFormat="1" ht="15.75" thickBot="1">
      <c r="H1104" s="156"/>
      <c r="I1104" s="151"/>
    </row>
    <row r="1105" spans="1:9" s="65" customFormat="1">
      <c r="A1105" s="627"/>
      <c r="B1105" s="634" t="s">
        <v>786</v>
      </c>
      <c r="C1105" s="635"/>
      <c r="D1105" s="635"/>
      <c r="E1105" s="635"/>
      <c r="F1105" s="635"/>
      <c r="G1105" s="635"/>
      <c r="H1105" s="636"/>
      <c r="I1105" s="66" t="s">
        <v>389</v>
      </c>
    </row>
    <row r="1106" spans="1:9" s="65" customFormat="1" ht="50.25" customHeight="1">
      <c r="A1106" s="628"/>
      <c r="B1106" s="637"/>
      <c r="C1106" s="638"/>
      <c r="D1106" s="638"/>
      <c r="E1106" s="638"/>
      <c r="F1106" s="638"/>
      <c r="G1106" s="638"/>
      <c r="H1106" s="639"/>
      <c r="I1106" s="67" t="s">
        <v>157</v>
      </c>
    </row>
    <row r="1107" spans="1:9" s="65" customFormat="1">
      <c r="A1107" s="68"/>
      <c r="B1107" s="69"/>
      <c r="C1107" s="69"/>
      <c r="D1107" s="69"/>
      <c r="E1107" s="69"/>
      <c r="F1107" s="70"/>
      <c r="G1107" s="70"/>
      <c r="H1107" s="70"/>
      <c r="I1107" s="71"/>
    </row>
    <row r="1108" spans="1:9" s="65" customFormat="1">
      <c r="A1108" s="72" t="s">
        <v>390</v>
      </c>
      <c r="B1108" s="73"/>
      <c r="C1108" s="73"/>
      <c r="D1108" s="73"/>
      <c r="E1108" s="73"/>
      <c r="F1108" s="74"/>
      <c r="G1108" s="74"/>
      <c r="H1108" s="70"/>
      <c r="I1108" s="71"/>
    </row>
    <row r="1109" spans="1:9" s="65" customFormat="1">
      <c r="A1109" s="75" t="s">
        <v>391</v>
      </c>
      <c r="B1109" s="76" t="s">
        <v>392</v>
      </c>
      <c r="C1109" s="76" t="s">
        <v>393</v>
      </c>
      <c r="D1109" s="76" t="s">
        <v>394</v>
      </c>
      <c r="E1109" s="76" t="s">
        <v>395</v>
      </c>
      <c r="F1109" s="76" t="s">
        <v>396</v>
      </c>
      <c r="G1109" s="76" t="s">
        <v>397</v>
      </c>
      <c r="H1109" s="74"/>
      <c r="I1109" s="71"/>
    </row>
    <row r="1110" spans="1:9" s="65" customFormat="1">
      <c r="A1110" s="77"/>
      <c r="B1110" s="79"/>
      <c r="C1110" s="79"/>
      <c r="D1110" s="107"/>
      <c r="E1110" s="79"/>
      <c r="F1110" s="79"/>
      <c r="G1110" s="107"/>
      <c r="H1110" s="74"/>
      <c r="I1110" s="71"/>
    </row>
    <row r="1111" spans="1:9" s="65" customFormat="1">
      <c r="A1111" s="82"/>
      <c r="B1111" s="83"/>
      <c r="C1111" s="84"/>
      <c r="D1111" s="84"/>
      <c r="E1111" s="84"/>
      <c r="F1111"/>
      <c r="G1111" s="93" t="s">
        <v>407</v>
      </c>
      <c r="H1111" s="107">
        <f>SUM(G1110:G1110)</f>
        <v>0</v>
      </c>
      <c r="I1111" s="71"/>
    </row>
    <row r="1112" spans="1:9" s="65" customFormat="1">
      <c r="A1112" s="72" t="s">
        <v>408</v>
      </c>
      <c r="B1112" s="73"/>
      <c r="C1112" s="73"/>
      <c r="D1112" s="73"/>
      <c r="E1112" s="73"/>
      <c r="F1112"/>
      <c r="G1112" s="74"/>
      <c r="H1112" s="108"/>
      <c r="I1112" s="71"/>
    </row>
    <row r="1113" spans="1:9" s="65" customFormat="1">
      <c r="A1113" s="75" t="s">
        <v>391</v>
      </c>
      <c r="B1113" s="76" t="s">
        <v>392</v>
      </c>
      <c r="C1113" s="76" t="s">
        <v>393</v>
      </c>
      <c r="D1113" s="76" t="s">
        <v>394</v>
      </c>
      <c r="E1113" s="76" t="s">
        <v>395</v>
      </c>
      <c r="F1113" s="76" t="s">
        <v>396</v>
      </c>
      <c r="G1113" s="76" t="s">
        <v>397</v>
      </c>
      <c r="H1113" s="108"/>
      <c r="I1113" s="71"/>
    </row>
    <row r="1114" spans="1:9" s="65" customFormat="1" ht="51">
      <c r="A1114" s="135"/>
      <c r="B1114" s="78" t="s">
        <v>786</v>
      </c>
      <c r="C1114" s="127" t="s">
        <v>157</v>
      </c>
      <c r="D1114" s="256">
        <f>6406000*1.2*1.16</f>
        <v>8917152</v>
      </c>
      <c r="E1114" s="79">
        <v>1</v>
      </c>
      <c r="F1114" s="79">
        <v>0</v>
      </c>
      <c r="G1114" s="107">
        <f>(D1114*E1114)+((D1114*E1114)*F1114/100)</f>
        <v>8917152</v>
      </c>
      <c r="H1114" s="108"/>
      <c r="I1114" s="71"/>
    </row>
    <row r="1115" spans="1:9" s="65" customFormat="1">
      <c r="A1115" s="90"/>
      <c r="B1115" s="91"/>
      <c r="C1115" s="91"/>
      <c r="D1115" s="91"/>
      <c r="E1115" s="91"/>
      <c r="F1115"/>
      <c r="G1115" s="85" t="s">
        <v>407</v>
      </c>
      <c r="H1115" s="107">
        <f>SUM(G1114:G1114)</f>
        <v>8917152</v>
      </c>
      <c r="I1115" s="71"/>
    </row>
    <row r="1116" spans="1:9" s="65" customFormat="1">
      <c r="A1116" s="72" t="s">
        <v>410</v>
      </c>
      <c r="B1116" s="73"/>
      <c r="C1116" s="73"/>
      <c r="D1116" s="73"/>
      <c r="E1116" s="73"/>
      <c r="F1116"/>
      <c r="G1116" s="74"/>
      <c r="H1116" s="108"/>
      <c r="I1116" s="71"/>
    </row>
    <row r="1117" spans="1:9" s="65" customFormat="1">
      <c r="A1117" s="75" t="s">
        <v>391</v>
      </c>
      <c r="B1117" s="76" t="s">
        <v>392</v>
      </c>
      <c r="C1117" s="76" t="s">
        <v>393</v>
      </c>
      <c r="D1117" s="76" t="s">
        <v>394</v>
      </c>
      <c r="E1117" s="76" t="s">
        <v>395</v>
      </c>
      <c r="F1117" s="76" t="s">
        <v>396</v>
      </c>
      <c r="G1117" s="76" t="s">
        <v>397</v>
      </c>
      <c r="H1117" s="108"/>
      <c r="I1117" s="71"/>
    </row>
    <row r="1118" spans="1:9" s="65" customFormat="1">
      <c r="A1118" s="77"/>
      <c r="B1118" s="78"/>
      <c r="C1118" s="79"/>
      <c r="D1118" s="107"/>
      <c r="E1118" s="79"/>
      <c r="F1118" s="79"/>
      <c r="G1118" s="107"/>
      <c r="H1118" s="108"/>
      <c r="I1118" s="71"/>
    </row>
    <row r="1119" spans="1:9" s="65" customFormat="1">
      <c r="A1119" s="90"/>
      <c r="B1119" s="91"/>
      <c r="C1119" s="91"/>
      <c r="D1119" s="91"/>
      <c r="E1119" s="91"/>
      <c r="F1119"/>
      <c r="G1119" s="93" t="s">
        <v>407</v>
      </c>
      <c r="H1119" s="107">
        <f>SUM(G1118:G1118)</f>
        <v>0</v>
      </c>
      <c r="I1119" s="71"/>
    </row>
    <row r="1120" spans="1:9" s="65" customFormat="1">
      <c r="A1120" s="72" t="s">
        <v>411</v>
      </c>
      <c r="B1120" s="73"/>
      <c r="C1120" s="73"/>
      <c r="D1120" s="73"/>
      <c r="E1120" s="73"/>
      <c r="F1120"/>
      <c r="G1120" s="74"/>
      <c r="H1120" s="108"/>
      <c r="I1120" s="71"/>
    </row>
    <row r="1121" spans="1:9" s="65" customFormat="1">
      <c r="A1121" s="75" t="s">
        <v>391</v>
      </c>
      <c r="B1121" s="76" t="s">
        <v>392</v>
      </c>
      <c r="C1121" s="76" t="s">
        <v>393</v>
      </c>
      <c r="D1121" s="76" t="s">
        <v>394</v>
      </c>
      <c r="E1121" s="76" t="s">
        <v>395</v>
      </c>
      <c r="F1121" s="76" t="s">
        <v>396</v>
      </c>
      <c r="G1121" s="76" t="s">
        <v>397</v>
      </c>
      <c r="H1121" s="108"/>
      <c r="I1121" s="71"/>
    </row>
    <row r="1122" spans="1:9" s="65" customFormat="1">
      <c r="A1122" s="87" t="s">
        <v>409</v>
      </c>
      <c r="B1122" s="114" t="s">
        <v>747</v>
      </c>
      <c r="C1122" s="114" t="s">
        <v>437</v>
      </c>
      <c r="D1122" s="114">
        <v>800000</v>
      </c>
      <c r="E1122" s="215">
        <v>0.33</v>
      </c>
      <c r="F1122" s="79">
        <v>0</v>
      </c>
      <c r="G1122" s="107">
        <f>(D1122*E1122)+((D1122*E1122)*F1122/100)</f>
        <v>264000</v>
      </c>
      <c r="H1122" s="108"/>
      <c r="I1122" s="71"/>
    </row>
    <row r="1123" spans="1:9" s="65" customFormat="1">
      <c r="A1123" s="94"/>
      <c r="B1123" s="95"/>
      <c r="C1123" s="95"/>
      <c r="D1123" s="95"/>
      <c r="E1123" s="95"/>
      <c r="F1123"/>
      <c r="G1123" s="93" t="s">
        <v>407</v>
      </c>
      <c r="H1123" s="107">
        <f>SUM(G1121:G1122)</f>
        <v>264000</v>
      </c>
      <c r="I1123" s="71"/>
    </row>
    <row r="1124" spans="1:9" s="65" customFormat="1">
      <c r="A1124" s="94"/>
      <c r="B1124" s="95"/>
      <c r="C1124" s="95"/>
      <c r="D1124" s="95"/>
      <c r="E1124" s="95"/>
      <c r="F1124"/>
      <c r="G1124" s="74"/>
      <c r="H1124" s="74"/>
      <c r="I1124" s="71"/>
    </row>
    <row r="1125" spans="1:9" s="65" customFormat="1">
      <c r="A1125" s="96"/>
      <c r="B1125" s="97"/>
      <c r="C1125" s="98"/>
      <c r="D1125" s="98"/>
      <c r="E1125" s="98"/>
      <c r="F1125"/>
      <c r="G1125" s="99" t="s">
        <v>412</v>
      </c>
      <c r="H1125" s="115">
        <f>SUM(H1111:H1123)</f>
        <v>9181152</v>
      </c>
      <c r="I1125" s="71"/>
    </row>
    <row r="1126" spans="1:9" s="65" customFormat="1">
      <c r="A1126" s="96"/>
      <c r="B1126" s="97"/>
      <c r="C1126" s="98"/>
      <c r="D1126" s="98"/>
      <c r="E1126" s="98"/>
      <c r="F1126" s="101"/>
      <c r="G1126" s="116"/>
      <c r="H1126" s="70"/>
      <c r="I1126" s="71"/>
    </row>
    <row r="1127" spans="1:9" s="65" customFormat="1" ht="15.75" thickBot="1">
      <c r="A1127" s="624" t="s">
        <v>761</v>
      </c>
      <c r="B1127" s="625"/>
      <c r="C1127" s="625"/>
      <c r="D1127" s="625"/>
      <c r="E1127" s="625"/>
      <c r="F1127" s="625"/>
      <c r="G1127" s="626"/>
      <c r="H1127" s="117">
        <f>+ROUND(H1125,0)</f>
        <v>9181152</v>
      </c>
      <c r="I1127" s="103"/>
    </row>
    <row r="1128" spans="1:9" s="65" customFormat="1">
      <c r="H1128" s="156"/>
      <c r="I1128" s="151"/>
    </row>
    <row r="1129" spans="1:9" s="65" customFormat="1" ht="15.75" thickBot="1">
      <c r="A1129" s="137"/>
      <c r="B1129" s="156"/>
      <c r="C1129" s="156"/>
      <c r="D1129" s="156"/>
      <c r="E1129" s="156"/>
      <c r="F1129" s="156"/>
      <c r="G1129" s="156"/>
      <c r="H1129" s="156"/>
      <c r="I1129" s="152"/>
    </row>
    <row r="1130" spans="1:9" s="65" customFormat="1">
      <c r="A1130" s="627"/>
      <c r="B1130" s="629" t="s">
        <v>300</v>
      </c>
      <c r="C1130" s="630"/>
      <c r="D1130" s="630"/>
      <c r="E1130" s="630"/>
      <c r="F1130" s="630"/>
      <c r="G1130" s="630"/>
      <c r="H1130" s="643"/>
      <c r="I1130" s="66" t="s">
        <v>389</v>
      </c>
    </row>
    <row r="1131" spans="1:9" s="65" customFormat="1">
      <c r="A1131" s="628"/>
      <c r="B1131" s="631"/>
      <c r="C1131" s="632"/>
      <c r="D1131" s="632"/>
      <c r="E1131" s="632"/>
      <c r="F1131" s="632"/>
      <c r="G1131" s="632"/>
      <c r="H1131" s="644"/>
      <c r="I1131" s="67" t="s">
        <v>157</v>
      </c>
    </row>
    <row r="1132" spans="1:9" s="65" customFormat="1">
      <c r="A1132" s="68"/>
      <c r="B1132" s="69"/>
      <c r="C1132" s="69"/>
      <c r="D1132" s="69"/>
      <c r="E1132" s="69"/>
      <c r="F1132" s="70"/>
      <c r="G1132" s="70"/>
      <c r="H1132" s="70"/>
      <c r="I1132" s="71"/>
    </row>
    <row r="1133" spans="1:9" s="65" customFormat="1">
      <c r="A1133" s="72" t="s">
        <v>390</v>
      </c>
      <c r="B1133" s="73"/>
      <c r="C1133" s="73"/>
      <c r="D1133" s="73"/>
      <c r="E1133" s="73"/>
      <c r="F1133" s="74"/>
      <c r="G1133" s="74"/>
      <c r="H1133" s="70"/>
      <c r="I1133" s="71"/>
    </row>
    <row r="1134" spans="1:9" s="65" customFormat="1">
      <c r="A1134" s="75" t="s">
        <v>391</v>
      </c>
      <c r="B1134" s="76" t="s">
        <v>392</v>
      </c>
      <c r="C1134" s="76" t="s">
        <v>393</v>
      </c>
      <c r="D1134" s="76" t="s">
        <v>394</v>
      </c>
      <c r="E1134" s="76" t="s">
        <v>395</v>
      </c>
      <c r="F1134" s="76" t="s">
        <v>396</v>
      </c>
      <c r="G1134" s="76" t="s">
        <v>397</v>
      </c>
      <c r="H1134" s="74"/>
      <c r="I1134" s="71"/>
    </row>
    <row r="1135" spans="1:9" s="65" customFormat="1">
      <c r="A1135" s="77"/>
      <c r="B1135" s="79"/>
      <c r="C1135" s="79"/>
      <c r="D1135" s="107"/>
      <c r="E1135" s="79"/>
      <c r="F1135" s="79"/>
      <c r="G1135" s="107"/>
      <c r="H1135" s="74"/>
      <c r="I1135" s="71"/>
    </row>
    <row r="1136" spans="1:9" s="65" customFormat="1">
      <c r="A1136" s="82"/>
      <c r="B1136" s="83"/>
      <c r="C1136" s="84"/>
      <c r="D1136" s="84"/>
      <c r="E1136" s="84"/>
      <c r="F1136"/>
      <c r="G1136" s="93" t="s">
        <v>407</v>
      </c>
      <c r="H1136" s="107">
        <f>SUM(G1135:G1135)</f>
        <v>0</v>
      </c>
      <c r="I1136" s="71"/>
    </row>
    <row r="1137" spans="1:9" s="65" customFormat="1">
      <c r="A1137" s="72" t="s">
        <v>408</v>
      </c>
      <c r="B1137" s="73"/>
      <c r="C1137" s="73"/>
      <c r="D1137" s="73"/>
      <c r="E1137" s="73"/>
      <c r="F1137"/>
      <c r="G1137" s="74"/>
      <c r="H1137" s="108"/>
      <c r="I1137" s="71"/>
    </row>
    <row r="1138" spans="1:9" s="65" customFormat="1">
      <c r="A1138" s="75" t="s">
        <v>391</v>
      </c>
      <c r="B1138" s="76" t="s">
        <v>392</v>
      </c>
      <c r="C1138" s="76" t="s">
        <v>393</v>
      </c>
      <c r="D1138" s="76" t="s">
        <v>394</v>
      </c>
      <c r="E1138" s="76" t="s">
        <v>395</v>
      </c>
      <c r="F1138" s="76" t="s">
        <v>396</v>
      </c>
      <c r="G1138" s="76" t="s">
        <v>397</v>
      </c>
      <c r="H1138" s="108"/>
      <c r="I1138" s="71"/>
    </row>
    <row r="1139" spans="1:9" s="65" customFormat="1" ht="25.5">
      <c r="A1139" s="135"/>
      <c r="B1139" s="78" t="s">
        <v>300</v>
      </c>
      <c r="C1139" s="127" t="s">
        <v>157</v>
      </c>
      <c r="D1139" s="107">
        <f>2794000*1.4*1.16</f>
        <v>4537455.9999999991</v>
      </c>
      <c r="E1139" s="79">
        <v>1</v>
      </c>
      <c r="F1139" s="79">
        <v>0</v>
      </c>
      <c r="G1139" s="107">
        <f>(D1139*E1139)+((D1139*E1139)*F1139/100)</f>
        <v>4537455.9999999991</v>
      </c>
      <c r="H1139" s="108"/>
      <c r="I1139" s="71"/>
    </row>
    <row r="1140" spans="1:9" s="65" customFormat="1">
      <c r="A1140" s="90"/>
      <c r="B1140" s="91"/>
      <c r="C1140" s="91"/>
      <c r="D1140" s="91"/>
      <c r="E1140" s="91"/>
      <c r="F1140"/>
      <c r="G1140" s="85" t="s">
        <v>407</v>
      </c>
      <c r="H1140" s="107">
        <f>SUM(G1139:G1139)</f>
        <v>4537455.9999999991</v>
      </c>
      <c r="I1140" s="71"/>
    </row>
    <row r="1141" spans="1:9" s="65" customFormat="1">
      <c r="A1141" s="72" t="s">
        <v>410</v>
      </c>
      <c r="B1141" s="73"/>
      <c r="C1141" s="73"/>
      <c r="D1141" s="73"/>
      <c r="E1141" s="73"/>
      <c r="F1141"/>
      <c r="G1141" s="74"/>
      <c r="H1141" s="108"/>
      <c r="I1141" s="71"/>
    </row>
    <row r="1142" spans="1:9" s="65" customFormat="1">
      <c r="A1142" s="75" t="s">
        <v>391</v>
      </c>
      <c r="B1142" s="76" t="s">
        <v>392</v>
      </c>
      <c r="C1142" s="76" t="s">
        <v>393</v>
      </c>
      <c r="D1142" s="76" t="s">
        <v>394</v>
      </c>
      <c r="E1142" s="76" t="s">
        <v>395</v>
      </c>
      <c r="F1142" s="76" t="s">
        <v>396</v>
      </c>
      <c r="G1142" s="76" t="s">
        <v>397</v>
      </c>
      <c r="H1142" s="108"/>
      <c r="I1142" s="71"/>
    </row>
    <row r="1143" spans="1:9" s="65" customFormat="1">
      <c r="A1143" s="77"/>
      <c r="B1143" s="78"/>
      <c r="C1143" s="79"/>
      <c r="D1143" s="107"/>
      <c r="E1143" s="79"/>
      <c r="F1143" s="79"/>
      <c r="G1143" s="107"/>
      <c r="H1143" s="108"/>
      <c r="I1143" s="71"/>
    </row>
    <row r="1144" spans="1:9" s="65" customFormat="1">
      <c r="A1144" s="90"/>
      <c r="B1144" s="91"/>
      <c r="C1144" s="91"/>
      <c r="D1144" s="91"/>
      <c r="E1144" s="91"/>
      <c r="F1144"/>
      <c r="G1144" s="93" t="s">
        <v>407</v>
      </c>
      <c r="H1144" s="107">
        <f>SUM(G1143:G1143)</f>
        <v>0</v>
      </c>
      <c r="I1144" s="71"/>
    </row>
    <row r="1145" spans="1:9" s="65" customFormat="1">
      <c r="A1145" s="72" t="s">
        <v>411</v>
      </c>
      <c r="B1145" s="73"/>
      <c r="C1145" s="73"/>
      <c r="D1145" s="73"/>
      <c r="E1145" s="73"/>
      <c r="F1145"/>
      <c r="G1145" s="74"/>
      <c r="H1145" s="108"/>
      <c r="I1145" s="71"/>
    </row>
    <row r="1146" spans="1:9" s="65" customFormat="1">
      <c r="A1146" s="75" t="s">
        <v>391</v>
      </c>
      <c r="B1146" s="76" t="s">
        <v>392</v>
      </c>
      <c r="C1146" s="76" t="s">
        <v>393</v>
      </c>
      <c r="D1146" s="76" t="s">
        <v>394</v>
      </c>
      <c r="E1146" s="76" t="s">
        <v>395</v>
      </c>
      <c r="F1146" s="76" t="s">
        <v>396</v>
      </c>
      <c r="G1146" s="76" t="s">
        <v>397</v>
      </c>
      <c r="H1146" s="108"/>
      <c r="I1146" s="71"/>
    </row>
    <row r="1147" spans="1:9" s="65" customFormat="1">
      <c r="A1147" s="87" t="s">
        <v>409</v>
      </c>
      <c r="B1147" s="114" t="s">
        <v>747</v>
      </c>
      <c r="C1147" s="114" t="s">
        <v>437</v>
      </c>
      <c r="D1147" s="114">
        <v>800000</v>
      </c>
      <c r="E1147" s="215">
        <v>0.1</v>
      </c>
      <c r="F1147" s="79">
        <v>0</v>
      </c>
      <c r="G1147" s="107">
        <f>(D1147*E1147)+((D1147*E1147)*F1147/100)</f>
        <v>80000</v>
      </c>
      <c r="H1147" s="108"/>
      <c r="I1147" s="71"/>
    </row>
    <row r="1148" spans="1:9" s="65" customFormat="1">
      <c r="A1148" s="94"/>
      <c r="B1148" s="95"/>
      <c r="C1148" s="95"/>
      <c r="D1148" s="95"/>
      <c r="E1148" s="95"/>
      <c r="F1148"/>
      <c r="G1148" s="93" t="s">
        <v>407</v>
      </c>
      <c r="H1148" s="107">
        <f>SUM(G1146:G1147)</f>
        <v>80000</v>
      </c>
      <c r="I1148" s="71"/>
    </row>
    <row r="1149" spans="1:9" s="65" customFormat="1">
      <c r="A1149" s="94"/>
      <c r="B1149" s="95"/>
      <c r="C1149" s="95"/>
      <c r="D1149" s="95"/>
      <c r="E1149" s="95"/>
      <c r="F1149"/>
      <c r="G1149" s="74"/>
      <c r="H1149" s="74"/>
      <c r="I1149" s="71"/>
    </row>
    <row r="1150" spans="1:9" s="65" customFormat="1">
      <c r="A1150" s="96"/>
      <c r="B1150" s="97"/>
      <c r="C1150" s="98"/>
      <c r="D1150" s="98"/>
      <c r="E1150" s="98"/>
      <c r="F1150"/>
      <c r="G1150" s="99" t="s">
        <v>412</v>
      </c>
      <c r="H1150" s="115">
        <f>SUM(H1136:H1148)</f>
        <v>4617455.9999999991</v>
      </c>
      <c r="I1150" s="71"/>
    </row>
    <row r="1151" spans="1:9" s="65" customFormat="1">
      <c r="A1151" s="96"/>
      <c r="B1151" s="97"/>
      <c r="C1151" s="98"/>
      <c r="D1151" s="98"/>
      <c r="E1151" s="98"/>
      <c r="F1151" s="101"/>
      <c r="G1151" s="116"/>
      <c r="H1151" s="70"/>
      <c r="I1151" s="71"/>
    </row>
    <row r="1152" spans="1:9" s="65" customFormat="1" ht="15.75" thickBot="1">
      <c r="A1152" s="624" t="s">
        <v>761</v>
      </c>
      <c r="B1152" s="625"/>
      <c r="C1152" s="625"/>
      <c r="D1152" s="625"/>
      <c r="E1152" s="625"/>
      <c r="F1152" s="625"/>
      <c r="G1152" s="626"/>
      <c r="H1152" s="117">
        <f>+ROUND(H1150,0)</f>
        <v>4617456</v>
      </c>
      <c r="I1152" s="103"/>
    </row>
    <row r="1153" spans="1:9" s="65" customFormat="1">
      <c r="A1153" s="645"/>
      <c r="B1153" s="156"/>
      <c r="C1153" s="156"/>
      <c r="D1153" s="156"/>
      <c r="E1153" s="156"/>
      <c r="F1153" s="156"/>
      <c r="G1153" s="156"/>
      <c r="H1153" s="156"/>
      <c r="I1153" s="152"/>
    </row>
    <row r="1154" spans="1:9" s="65" customFormat="1" ht="15.75" thickBot="1">
      <c r="A1154" s="645"/>
      <c r="B1154" s="156"/>
      <c r="C1154" s="156"/>
      <c r="D1154" s="156"/>
      <c r="E1154" s="156"/>
      <c r="F1154" s="156"/>
      <c r="G1154" s="156"/>
    </row>
    <row r="1155" spans="1:9" s="65" customFormat="1">
      <c r="A1155" s="627"/>
      <c r="B1155" s="629" t="s">
        <v>907</v>
      </c>
      <c r="C1155" s="630"/>
      <c r="D1155" s="630"/>
      <c r="E1155" s="630"/>
      <c r="F1155" s="630"/>
      <c r="G1155" s="630"/>
      <c r="H1155" s="643"/>
      <c r="I1155" s="66" t="s">
        <v>389</v>
      </c>
    </row>
    <row r="1156" spans="1:9" s="65" customFormat="1">
      <c r="A1156" s="628"/>
      <c r="B1156" s="631"/>
      <c r="C1156" s="632"/>
      <c r="D1156" s="632"/>
      <c r="E1156" s="632"/>
      <c r="F1156" s="632"/>
      <c r="G1156" s="632"/>
      <c r="H1156" s="644"/>
      <c r="I1156" s="67" t="s">
        <v>7</v>
      </c>
    </row>
    <row r="1157" spans="1:9" s="65" customFormat="1">
      <c r="A1157" s="68"/>
      <c r="B1157" s="69"/>
      <c r="C1157" s="69"/>
      <c r="D1157" s="69"/>
      <c r="E1157" s="69"/>
      <c r="F1157" s="70"/>
      <c r="G1157" s="70"/>
      <c r="H1157" s="70"/>
      <c r="I1157" s="71"/>
    </row>
    <row r="1158" spans="1:9" s="65" customFormat="1">
      <c r="A1158" s="72" t="s">
        <v>390</v>
      </c>
      <c r="B1158" s="73"/>
      <c r="C1158" s="73"/>
      <c r="D1158" s="73"/>
      <c r="E1158" s="73"/>
      <c r="F1158" s="74"/>
      <c r="G1158" s="74"/>
      <c r="H1158" s="70"/>
      <c r="I1158" s="71"/>
    </row>
    <row r="1159" spans="1:9" s="65" customFormat="1">
      <c r="A1159" s="75" t="s">
        <v>391</v>
      </c>
      <c r="B1159" s="76" t="s">
        <v>392</v>
      </c>
      <c r="C1159" s="76" t="s">
        <v>393</v>
      </c>
      <c r="D1159" s="76" t="s">
        <v>394</v>
      </c>
      <c r="E1159" s="76" t="s">
        <v>395</v>
      </c>
      <c r="F1159" s="76" t="s">
        <v>396</v>
      </c>
      <c r="G1159" s="76" t="s">
        <v>397</v>
      </c>
      <c r="H1159" s="74"/>
      <c r="I1159" s="71"/>
    </row>
    <row r="1160" spans="1:9" s="65" customFormat="1">
      <c r="A1160" s="77"/>
      <c r="B1160" s="79"/>
      <c r="C1160" s="79"/>
      <c r="D1160" s="107"/>
      <c r="E1160" s="79"/>
      <c r="F1160" s="79"/>
      <c r="G1160" s="107"/>
      <c r="H1160" s="74"/>
      <c r="I1160" s="71"/>
    </row>
    <row r="1161" spans="1:9" s="65" customFormat="1">
      <c r="A1161" s="82"/>
      <c r="B1161" s="83"/>
      <c r="C1161" s="84"/>
      <c r="D1161" s="84"/>
      <c r="E1161" s="84"/>
      <c r="F1161"/>
      <c r="G1161" s="93" t="s">
        <v>407</v>
      </c>
      <c r="H1161" s="107">
        <f>SUM(G1160:G1160)</f>
        <v>0</v>
      </c>
      <c r="I1161" s="71"/>
    </row>
    <row r="1162" spans="1:9" s="65" customFormat="1">
      <c r="A1162" s="72" t="s">
        <v>408</v>
      </c>
      <c r="B1162" s="73"/>
      <c r="C1162" s="73"/>
      <c r="D1162" s="73"/>
      <c r="E1162" s="73"/>
      <c r="F1162"/>
      <c r="G1162" s="74"/>
      <c r="H1162" s="108"/>
      <c r="I1162" s="71"/>
    </row>
    <row r="1163" spans="1:9" s="65" customFormat="1">
      <c r="A1163" s="75" t="s">
        <v>391</v>
      </c>
      <c r="B1163" s="76" t="s">
        <v>392</v>
      </c>
      <c r="C1163" s="76" t="s">
        <v>393</v>
      </c>
      <c r="D1163" s="76" t="s">
        <v>394</v>
      </c>
      <c r="E1163" s="76" t="s">
        <v>395</v>
      </c>
      <c r="F1163" s="76" t="s">
        <v>396</v>
      </c>
      <c r="G1163" s="76" t="s">
        <v>397</v>
      </c>
      <c r="H1163" s="108"/>
      <c r="I1163" s="71"/>
    </row>
    <row r="1164" spans="1:9" s="65" customFormat="1" ht="25.5">
      <c r="A1164" s="135"/>
      <c r="B1164" s="78" t="s">
        <v>907</v>
      </c>
      <c r="C1164" s="127" t="s">
        <v>493</v>
      </c>
      <c r="D1164" s="107">
        <f>1200000*1.16*1.2</f>
        <v>1670400</v>
      </c>
      <c r="E1164" s="79">
        <v>1</v>
      </c>
      <c r="F1164" s="79">
        <v>0</v>
      </c>
      <c r="G1164" s="107">
        <f>(D1164*E1164)+((D1164*E1164)*F1164/100)</f>
        <v>1670400</v>
      </c>
      <c r="H1164" s="108"/>
      <c r="I1164" s="71"/>
    </row>
    <row r="1165" spans="1:9" s="65" customFormat="1">
      <c r="A1165" s="90"/>
      <c r="B1165" s="91"/>
      <c r="C1165" s="91"/>
      <c r="D1165" s="91"/>
      <c r="E1165" s="91"/>
      <c r="F1165"/>
      <c r="G1165" s="85" t="s">
        <v>407</v>
      </c>
      <c r="H1165" s="107">
        <f>SUM(G1164:G1164)</f>
        <v>1670400</v>
      </c>
      <c r="I1165" s="71"/>
    </row>
    <row r="1166" spans="1:9" s="65" customFormat="1">
      <c r="A1166" s="72" t="s">
        <v>410</v>
      </c>
      <c r="B1166" s="73"/>
      <c r="C1166" s="73"/>
      <c r="D1166" s="73"/>
      <c r="E1166" s="73"/>
      <c r="F1166"/>
      <c r="G1166" s="74"/>
      <c r="H1166" s="108"/>
      <c r="I1166" s="71"/>
    </row>
    <row r="1167" spans="1:9" s="65" customFormat="1">
      <c r="A1167" s="75" t="s">
        <v>391</v>
      </c>
      <c r="B1167" s="76" t="s">
        <v>392</v>
      </c>
      <c r="C1167" s="76" t="s">
        <v>393</v>
      </c>
      <c r="D1167" s="76" t="s">
        <v>394</v>
      </c>
      <c r="E1167" s="76" t="s">
        <v>395</v>
      </c>
      <c r="F1167" s="76" t="s">
        <v>396</v>
      </c>
      <c r="G1167" s="76" t="s">
        <v>397</v>
      </c>
      <c r="H1167" s="108"/>
      <c r="I1167" s="71"/>
    </row>
    <row r="1168" spans="1:9" s="65" customFormat="1">
      <c r="A1168" s="77"/>
      <c r="B1168" s="78"/>
      <c r="C1168" s="79"/>
      <c r="D1168" s="107"/>
      <c r="E1168" s="79"/>
      <c r="F1168" s="79"/>
      <c r="G1168" s="107"/>
      <c r="H1168" s="108"/>
      <c r="I1168" s="71"/>
    </row>
    <row r="1169" spans="1:9" s="65" customFormat="1">
      <c r="A1169" s="90"/>
      <c r="B1169" s="91"/>
      <c r="C1169" s="91"/>
      <c r="D1169" s="91"/>
      <c r="E1169" s="91"/>
      <c r="F1169"/>
      <c r="G1169" s="93" t="s">
        <v>407</v>
      </c>
      <c r="H1169" s="107">
        <f>SUM(G1168:G1168)</f>
        <v>0</v>
      </c>
      <c r="I1169" s="71"/>
    </row>
    <row r="1170" spans="1:9" s="65" customFormat="1">
      <c r="A1170" s="72" t="s">
        <v>411</v>
      </c>
      <c r="B1170" s="73"/>
      <c r="C1170" s="73"/>
      <c r="D1170" s="73"/>
      <c r="E1170" s="73"/>
      <c r="F1170"/>
      <c r="G1170" s="74"/>
      <c r="H1170" s="108"/>
      <c r="I1170" s="71"/>
    </row>
    <row r="1171" spans="1:9" s="65" customFormat="1">
      <c r="A1171" s="75" t="s">
        <v>391</v>
      </c>
      <c r="B1171" s="76" t="s">
        <v>392</v>
      </c>
      <c r="C1171" s="76" t="s">
        <v>393</v>
      </c>
      <c r="D1171" s="76" t="s">
        <v>394</v>
      </c>
      <c r="E1171" s="76" t="s">
        <v>395</v>
      </c>
      <c r="F1171" s="76" t="s">
        <v>396</v>
      </c>
      <c r="G1171" s="76" t="s">
        <v>397</v>
      </c>
      <c r="H1171" s="108"/>
      <c r="I1171" s="71"/>
    </row>
    <row r="1172" spans="1:9" s="65" customFormat="1">
      <c r="A1172" s="87" t="s">
        <v>409</v>
      </c>
      <c r="B1172" s="114" t="s">
        <v>747</v>
      </c>
      <c r="C1172" s="114" t="s">
        <v>437</v>
      </c>
      <c r="D1172" s="114">
        <v>800000</v>
      </c>
      <c r="E1172" s="215">
        <v>0.03</v>
      </c>
      <c r="F1172" s="79">
        <v>0</v>
      </c>
      <c r="G1172" s="107">
        <f>(D1172*E1172)+((D1172*E1172)*F1172/100)</f>
        <v>24000</v>
      </c>
      <c r="H1172" s="108"/>
      <c r="I1172" s="71"/>
    </row>
    <row r="1173" spans="1:9" s="65" customFormat="1">
      <c r="A1173" s="94"/>
      <c r="B1173" s="95"/>
      <c r="C1173" s="95"/>
      <c r="D1173" s="95"/>
      <c r="E1173" s="95"/>
      <c r="F1173"/>
      <c r="G1173" s="93" t="s">
        <v>407</v>
      </c>
      <c r="H1173" s="107">
        <f>SUM(G1171:G1172)</f>
        <v>24000</v>
      </c>
      <c r="I1173" s="71"/>
    </row>
    <row r="1174" spans="1:9" s="65" customFormat="1">
      <c r="A1174" s="94"/>
      <c r="B1174" s="95"/>
      <c r="C1174" s="95"/>
      <c r="D1174" s="95"/>
      <c r="E1174" s="95"/>
      <c r="F1174"/>
      <c r="G1174" s="74"/>
      <c r="H1174" s="74"/>
      <c r="I1174" s="71"/>
    </row>
    <row r="1175" spans="1:9" s="65" customFormat="1">
      <c r="A1175" s="96"/>
      <c r="B1175" s="97"/>
      <c r="C1175" s="98"/>
      <c r="D1175" s="98"/>
      <c r="E1175" s="98"/>
      <c r="F1175"/>
      <c r="G1175" s="99" t="s">
        <v>412</v>
      </c>
      <c r="H1175" s="115">
        <f>SUM(H1161:H1173)</f>
        <v>1694400</v>
      </c>
      <c r="I1175" s="71"/>
    </row>
    <row r="1176" spans="1:9" s="65" customFormat="1">
      <c r="A1176" s="96"/>
      <c r="B1176" s="97"/>
      <c r="C1176" s="98"/>
      <c r="D1176" s="98"/>
      <c r="E1176" s="98"/>
      <c r="F1176" s="101"/>
      <c r="G1176" s="116"/>
      <c r="H1176" s="70"/>
      <c r="I1176" s="71"/>
    </row>
    <row r="1177" spans="1:9" s="65" customFormat="1" ht="15.75" thickBot="1">
      <c r="A1177" s="624" t="s">
        <v>502</v>
      </c>
      <c r="B1177" s="625"/>
      <c r="C1177" s="625"/>
      <c r="D1177" s="625"/>
      <c r="E1177" s="625"/>
      <c r="F1177" s="625"/>
      <c r="G1177" s="626"/>
      <c r="H1177" s="117">
        <f>+ROUND(H1175,0)</f>
        <v>1694400</v>
      </c>
      <c r="I1177" s="103"/>
    </row>
    <row r="1178" spans="1:9" s="65" customFormat="1">
      <c r="A1178" s="128"/>
      <c r="B1178" s="141"/>
      <c r="C1178" s="141"/>
      <c r="D1178" s="141"/>
      <c r="E1178" s="141"/>
      <c r="F1178" s="141"/>
      <c r="G1178" s="141"/>
      <c r="H1178" s="140"/>
    </row>
    <row r="1179" spans="1:9" s="65" customFormat="1" ht="15.75" thickBot="1">
      <c r="A1179" s="69"/>
      <c r="B1179" s="69"/>
      <c r="C1179" s="69"/>
      <c r="D1179" s="69"/>
      <c r="E1179" s="69"/>
    </row>
    <row r="1180" spans="1:9" s="65" customFormat="1">
      <c r="A1180" s="627"/>
      <c r="B1180" s="629" t="s">
        <v>908</v>
      </c>
      <c r="C1180" s="630"/>
      <c r="D1180" s="630"/>
      <c r="E1180" s="630"/>
      <c r="F1180" s="630"/>
      <c r="G1180" s="630"/>
      <c r="H1180" s="643"/>
      <c r="I1180" s="66" t="s">
        <v>389</v>
      </c>
    </row>
    <row r="1181" spans="1:9" s="65" customFormat="1">
      <c r="A1181" s="628"/>
      <c r="B1181" s="631"/>
      <c r="C1181" s="632"/>
      <c r="D1181" s="632"/>
      <c r="E1181" s="632"/>
      <c r="F1181" s="632"/>
      <c r="G1181" s="632"/>
      <c r="H1181" s="644"/>
      <c r="I1181" s="67" t="s">
        <v>7</v>
      </c>
    </row>
    <row r="1182" spans="1:9" s="65" customFormat="1">
      <c r="A1182" s="68"/>
      <c r="B1182" s="69"/>
      <c r="C1182" s="69"/>
      <c r="D1182" s="69"/>
      <c r="E1182" s="69"/>
      <c r="F1182" s="70"/>
      <c r="G1182" s="70"/>
      <c r="H1182" s="70"/>
      <c r="I1182" s="71"/>
    </row>
    <row r="1183" spans="1:9" s="65" customFormat="1">
      <c r="A1183" s="72" t="s">
        <v>390</v>
      </c>
      <c r="B1183" s="73"/>
      <c r="C1183" s="73"/>
      <c r="D1183" s="73"/>
      <c r="E1183" s="73"/>
      <c r="F1183" s="74"/>
      <c r="G1183" s="74"/>
      <c r="H1183" s="70"/>
      <c r="I1183" s="71"/>
    </row>
    <row r="1184" spans="1:9" s="65" customFormat="1">
      <c r="A1184" s="75" t="s">
        <v>391</v>
      </c>
      <c r="B1184" s="76" t="s">
        <v>392</v>
      </c>
      <c r="C1184" s="76" t="s">
        <v>393</v>
      </c>
      <c r="D1184" s="76" t="s">
        <v>394</v>
      </c>
      <c r="E1184" s="76" t="s">
        <v>395</v>
      </c>
      <c r="F1184" s="76" t="s">
        <v>396</v>
      </c>
      <c r="G1184" s="76" t="s">
        <v>397</v>
      </c>
      <c r="H1184" s="74"/>
      <c r="I1184" s="71"/>
    </row>
    <row r="1185" spans="1:9" s="65" customFormat="1">
      <c r="A1185" s="77"/>
      <c r="B1185" s="79"/>
      <c r="C1185" s="79"/>
      <c r="D1185" s="107"/>
      <c r="E1185" s="79"/>
      <c r="F1185" s="79"/>
      <c r="G1185" s="107"/>
      <c r="H1185" s="74"/>
      <c r="I1185" s="71"/>
    </row>
    <row r="1186" spans="1:9" s="65" customFormat="1">
      <c r="A1186" s="82"/>
      <c r="B1186" s="83"/>
      <c r="C1186" s="84"/>
      <c r="D1186" s="84"/>
      <c r="E1186" s="84"/>
      <c r="F1186"/>
      <c r="G1186" s="93" t="s">
        <v>407</v>
      </c>
      <c r="H1186" s="107">
        <f>SUM(G1185:G1185)</f>
        <v>0</v>
      </c>
      <c r="I1186" s="71"/>
    </row>
    <row r="1187" spans="1:9" s="65" customFormat="1">
      <c r="A1187" s="72" t="s">
        <v>408</v>
      </c>
      <c r="B1187" s="73"/>
      <c r="C1187" s="73"/>
      <c r="D1187" s="73"/>
      <c r="E1187" s="73"/>
      <c r="F1187"/>
      <c r="G1187" s="74"/>
      <c r="H1187" s="108"/>
      <c r="I1187" s="71"/>
    </row>
    <row r="1188" spans="1:9" s="65" customFormat="1">
      <c r="A1188" s="75" t="s">
        <v>391</v>
      </c>
      <c r="B1188" s="76" t="s">
        <v>392</v>
      </c>
      <c r="C1188" s="76" t="s">
        <v>393</v>
      </c>
      <c r="D1188" s="76" t="s">
        <v>394</v>
      </c>
      <c r="E1188" s="76" t="s">
        <v>395</v>
      </c>
      <c r="F1188" s="76" t="s">
        <v>396</v>
      </c>
      <c r="G1188" s="76" t="s">
        <v>397</v>
      </c>
      <c r="H1188" s="108"/>
      <c r="I1188" s="71"/>
    </row>
    <row r="1189" spans="1:9" s="65" customFormat="1" ht="25.5">
      <c r="A1189" s="135"/>
      <c r="B1189" s="78" t="s">
        <v>908</v>
      </c>
      <c r="C1189" s="127" t="s">
        <v>493</v>
      </c>
      <c r="D1189" s="107">
        <f>1400000*1.16*1.2</f>
        <v>1948800</v>
      </c>
      <c r="E1189" s="79">
        <v>1</v>
      </c>
      <c r="F1189" s="79">
        <v>0</v>
      </c>
      <c r="G1189" s="107">
        <f>(D1189*E1189)+((D1189*E1189)*F1189/100)</f>
        <v>1948800</v>
      </c>
      <c r="H1189" s="108"/>
      <c r="I1189" s="71"/>
    </row>
    <row r="1190" spans="1:9" s="65" customFormat="1">
      <c r="A1190" s="90"/>
      <c r="B1190" s="91"/>
      <c r="C1190" s="91"/>
      <c r="D1190" s="91"/>
      <c r="E1190" s="91"/>
      <c r="F1190"/>
      <c r="G1190" s="85" t="s">
        <v>407</v>
      </c>
      <c r="H1190" s="107">
        <f>SUM(G1189:G1189)</f>
        <v>1948800</v>
      </c>
      <c r="I1190" s="71"/>
    </row>
    <row r="1191" spans="1:9" s="65" customFormat="1">
      <c r="A1191" s="72" t="s">
        <v>410</v>
      </c>
      <c r="B1191" s="73"/>
      <c r="C1191" s="73"/>
      <c r="D1191" s="73"/>
      <c r="E1191" s="73"/>
      <c r="F1191"/>
      <c r="G1191" s="74"/>
      <c r="H1191" s="108"/>
      <c r="I1191" s="71"/>
    </row>
    <row r="1192" spans="1:9" s="65" customFormat="1">
      <c r="A1192" s="75" t="s">
        <v>391</v>
      </c>
      <c r="B1192" s="76" t="s">
        <v>392</v>
      </c>
      <c r="C1192" s="76" t="s">
        <v>393</v>
      </c>
      <c r="D1192" s="76" t="s">
        <v>394</v>
      </c>
      <c r="E1192" s="76" t="s">
        <v>395</v>
      </c>
      <c r="F1192" s="76" t="s">
        <v>396</v>
      </c>
      <c r="G1192" s="76" t="s">
        <v>397</v>
      </c>
      <c r="H1192" s="108"/>
      <c r="I1192" s="71"/>
    </row>
    <row r="1193" spans="1:9" s="65" customFormat="1">
      <c r="A1193" s="77"/>
      <c r="B1193" s="78"/>
      <c r="C1193" s="79"/>
      <c r="D1193" s="107"/>
      <c r="E1193" s="79"/>
      <c r="F1193" s="79"/>
      <c r="G1193" s="107"/>
      <c r="H1193" s="108"/>
      <c r="I1193" s="71"/>
    </row>
    <row r="1194" spans="1:9" s="65" customFormat="1">
      <c r="A1194" s="90"/>
      <c r="B1194" s="91"/>
      <c r="C1194" s="91"/>
      <c r="D1194" s="91"/>
      <c r="E1194" s="91"/>
      <c r="F1194"/>
      <c r="G1194" s="93" t="s">
        <v>407</v>
      </c>
      <c r="H1194" s="107">
        <f>SUM(G1193:G1193)</f>
        <v>0</v>
      </c>
      <c r="I1194" s="71"/>
    </row>
    <row r="1195" spans="1:9" s="65" customFormat="1">
      <c r="A1195" s="72" t="s">
        <v>411</v>
      </c>
      <c r="B1195" s="73"/>
      <c r="C1195" s="73"/>
      <c r="D1195" s="73"/>
      <c r="E1195" s="73"/>
      <c r="F1195"/>
      <c r="G1195" s="74"/>
      <c r="H1195" s="108"/>
      <c r="I1195" s="71"/>
    </row>
    <row r="1196" spans="1:9" s="65" customFormat="1">
      <c r="A1196" s="75" t="s">
        <v>391</v>
      </c>
      <c r="B1196" s="76" t="s">
        <v>392</v>
      </c>
      <c r="C1196" s="76" t="s">
        <v>393</v>
      </c>
      <c r="D1196" s="76" t="s">
        <v>394</v>
      </c>
      <c r="E1196" s="76" t="s">
        <v>395</v>
      </c>
      <c r="F1196" s="76" t="s">
        <v>396</v>
      </c>
      <c r="G1196" s="76" t="s">
        <v>397</v>
      </c>
      <c r="H1196" s="108"/>
      <c r="I1196" s="71"/>
    </row>
    <row r="1197" spans="1:9" s="65" customFormat="1">
      <c r="A1197" s="87" t="s">
        <v>409</v>
      </c>
      <c r="B1197" s="114" t="s">
        <v>747</v>
      </c>
      <c r="C1197" s="114" t="s">
        <v>437</v>
      </c>
      <c r="D1197" s="114">
        <v>800000</v>
      </c>
      <c r="E1197" s="215">
        <v>0.03</v>
      </c>
      <c r="F1197" s="79">
        <v>0</v>
      </c>
      <c r="G1197" s="107">
        <f>(D1197*E1197)+((D1197*E1197)*F1197/100)</f>
        <v>24000</v>
      </c>
      <c r="H1197" s="108"/>
      <c r="I1197" s="71"/>
    </row>
    <row r="1198" spans="1:9" s="65" customFormat="1">
      <c r="A1198" s="94"/>
      <c r="B1198" s="95"/>
      <c r="C1198" s="95"/>
      <c r="D1198" s="95"/>
      <c r="E1198" s="95"/>
      <c r="F1198"/>
      <c r="G1198" s="93" t="s">
        <v>407</v>
      </c>
      <c r="H1198" s="107">
        <f>SUM(G1196:G1197)</f>
        <v>24000</v>
      </c>
      <c r="I1198" s="71"/>
    </row>
    <row r="1199" spans="1:9" s="65" customFormat="1">
      <c r="A1199" s="94"/>
      <c r="B1199" s="95"/>
      <c r="C1199" s="95"/>
      <c r="D1199" s="95"/>
      <c r="E1199" s="95"/>
      <c r="F1199"/>
      <c r="G1199" s="74"/>
      <c r="H1199" s="74"/>
      <c r="I1199" s="71"/>
    </row>
    <row r="1200" spans="1:9" s="65" customFormat="1">
      <c r="A1200" s="96"/>
      <c r="B1200" s="97"/>
      <c r="C1200" s="98"/>
      <c r="D1200" s="98"/>
      <c r="E1200" s="98"/>
      <c r="F1200"/>
      <c r="G1200" s="99" t="s">
        <v>412</v>
      </c>
      <c r="H1200" s="115">
        <f>SUM(H1186:H1198)</f>
        <v>1972800</v>
      </c>
      <c r="I1200" s="71"/>
    </row>
    <row r="1201" spans="1:9" s="65" customFormat="1">
      <c r="A1201" s="96"/>
      <c r="B1201" s="97"/>
      <c r="C1201" s="98"/>
      <c r="D1201" s="98"/>
      <c r="E1201" s="98"/>
      <c r="F1201" s="101"/>
      <c r="G1201" s="116"/>
      <c r="H1201" s="70"/>
      <c r="I1201" s="71"/>
    </row>
    <row r="1202" spans="1:9" s="65" customFormat="1" ht="15.75" thickBot="1">
      <c r="A1202" s="624" t="s">
        <v>502</v>
      </c>
      <c r="B1202" s="625"/>
      <c r="C1202" s="625"/>
      <c r="D1202" s="625"/>
      <c r="E1202" s="625"/>
      <c r="F1202" s="625"/>
      <c r="G1202" s="626"/>
      <c r="H1202" s="117">
        <f>+ROUND(H1200,0)</f>
        <v>1972800</v>
      </c>
      <c r="I1202" s="103"/>
    </row>
    <row r="1203" spans="1:9" s="65" customFormat="1">
      <c r="A1203" s="69"/>
      <c r="B1203" s="69"/>
      <c r="C1203" s="69"/>
      <c r="D1203" s="69"/>
      <c r="E1203" s="69"/>
    </row>
    <row r="1204" spans="1:9" s="65" customFormat="1" ht="15.75" thickBot="1">
      <c r="A1204" s="120"/>
      <c r="B1204" s="73"/>
      <c r="C1204" s="73"/>
      <c r="D1204" s="73"/>
      <c r="E1204" s="73"/>
      <c r="F1204" s="121"/>
      <c r="G1204" s="121"/>
      <c r="H1204" s="121"/>
    </row>
    <row r="1205" spans="1:9" s="65" customFormat="1">
      <c r="A1205" s="627"/>
      <c r="B1205" s="629" t="s">
        <v>337</v>
      </c>
      <c r="C1205" s="630"/>
      <c r="D1205" s="630"/>
      <c r="E1205" s="630"/>
      <c r="F1205" s="630"/>
      <c r="G1205" s="630"/>
      <c r="H1205" s="643"/>
      <c r="I1205" s="66" t="s">
        <v>389</v>
      </c>
    </row>
    <row r="1206" spans="1:9" s="65" customFormat="1">
      <c r="A1206" s="628"/>
      <c r="B1206" s="631"/>
      <c r="C1206" s="632"/>
      <c r="D1206" s="632"/>
      <c r="E1206" s="632"/>
      <c r="F1206" s="632"/>
      <c r="G1206" s="632"/>
      <c r="H1206" s="644"/>
      <c r="I1206" s="67" t="s">
        <v>7</v>
      </c>
    </row>
    <row r="1207" spans="1:9" s="65" customFormat="1">
      <c r="A1207" s="68"/>
      <c r="B1207" s="69"/>
      <c r="C1207" s="69"/>
      <c r="D1207" s="69"/>
      <c r="E1207" s="69"/>
      <c r="F1207" s="70"/>
      <c r="G1207" s="70"/>
      <c r="H1207" s="70"/>
      <c r="I1207" s="71"/>
    </row>
    <row r="1208" spans="1:9" s="65" customFormat="1">
      <c r="A1208" s="72" t="s">
        <v>390</v>
      </c>
      <c r="B1208" s="73"/>
      <c r="C1208" s="73"/>
      <c r="D1208" s="73"/>
      <c r="E1208" s="73"/>
      <c r="F1208" s="74"/>
      <c r="G1208" s="74"/>
      <c r="H1208" s="70"/>
      <c r="I1208" s="71"/>
    </row>
    <row r="1209" spans="1:9" s="65" customFormat="1">
      <c r="A1209" s="75" t="s">
        <v>391</v>
      </c>
      <c r="B1209" s="76" t="s">
        <v>392</v>
      </c>
      <c r="C1209" s="76" t="s">
        <v>393</v>
      </c>
      <c r="D1209" s="76" t="s">
        <v>394</v>
      </c>
      <c r="E1209" s="76" t="s">
        <v>395</v>
      </c>
      <c r="F1209" s="76" t="s">
        <v>396</v>
      </c>
      <c r="G1209" s="76" t="s">
        <v>397</v>
      </c>
      <c r="H1209" s="74"/>
      <c r="I1209" s="71"/>
    </row>
    <row r="1210" spans="1:9" s="65" customFormat="1">
      <c r="A1210" s="77"/>
      <c r="B1210" s="79"/>
      <c r="C1210" s="79"/>
      <c r="D1210" s="107"/>
      <c r="E1210" s="79"/>
      <c r="F1210" s="79"/>
      <c r="G1210" s="107"/>
      <c r="H1210" s="74"/>
      <c r="I1210" s="71"/>
    </row>
    <row r="1211" spans="1:9" s="65" customFormat="1">
      <c r="A1211" s="82"/>
      <c r="B1211" s="83"/>
      <c r="C1211" s="84"/>
      <c r="D1211" s="84"/>
      <c r="E1211" s="84"/>
      <c r="F1211"/>
      <c r="G1211" s="93" t="s">
        <v>407</v>
      </c>
      <c r="H1211" s="107">
        <f>SUM(G1210:G1210)</f>
        <v>0</v>
      </c>
      <c r="I1211" s="71"/>
    </row>
    <row r="1212" spans="1:9" s="65" customFormat="1">
      <c r="A1212" s="72" t="s">
        <v>408</v>
      </c>
      <c r="B1212" s="73"/>
      <c r="C1212" s="73"/>
      <c r="D1212" s="73"/>
      <c r="E1212" s="73"/>
      <c r="F1212"/>
      <c r="G1212" s="74"/>
      <c r="H1212" s="108"/>
      <c r="I1212" s="71"/>
    </row>
    <row r="1213" spans="1:9" s="65" customFormat="1">
      <c r="A1213" s="75" t="s">
        <v>391</v>
      </c>
      <c r="B1213" s="76" t="s">
        <v>392</v>
      </c>
      <c r="C1213" s="76" t="s">
        <v>393</v>
      </c>
      <c r="D1213" s="76" t="s">
        <v>394</v>
      </c>
      <c r="E1213" s="76" t="s">
        <v>395</v>
      </c>
      <c r="F1213" s="76" t="s">
        <v>396</v>
      </c>
      <c r="G1213" s="76" t="s">
        <v>397</v>
      </c>
      <c r="H1213" s="108"/>
      <c r="I1213" s="71"/>
    </row>
    <row r="1214" spans="1:9" s="65" customFormat="1">
      <c r="A1214" s="135"/>
      <c r="B1214" s="78" t="s">
        <v>337</v>
      </c>
      <c r="C1214" s="127" t="s">
        <v>493</v>
      </c>
      <c r="D1214" s="107">
        <f>1314000*2*1.2*1.16</f>
        <v>3658175.9999999995</v>
      </c>
      <c r="E1214" s="79">
        <v>1</v>
      </c>
      <c r="F1214" s="79">
        <v>0</v>
      </c>
      <c r="G1214" s="107">
        <f>(D1214*E1214)+((D1214*E1214)*F1214/100)</f>
        <v>3658175.9999999995</v>
      </c>
      <c r="H1214" s="108"/>
      <c r="I1214" s="71"/>
    </row>
    <row r="1215" spans="1:9" s="65" customFormat="1">
      <c r="A1215" s="90"/>
      <c r="B1215" s="91"/>
      <c r="C1215" s="91"/>
      <c r="D1215" s="91"/>
      <c r="E1215" s="91"/>
      <c r="F1215"/>
      <c r="G1215" s="85" t="s">
        <v>407</v>
      </c>
      <c r="H1215" s="107">
        <f>SUM(G1214:G1214)</f>
        <v>3658175.9999999995</v>
      </c>
      <c r="I1215" s="71"/>
    </row>
    <row r="1216" spans="1:9" s="65" customFormat="1">
      <c r="A1216" s="72" t="s">
        <v>410</v>
      </c>
      <c r="B1216" s="73"/>
      <c r="C1216" s="73"/>
      <c r="D1216" s="73"/>
      <c r="E1216" s="73"/>
      <c r="F1216"/>
      <c r="G1216" s="74"/>
      <c r="H1216" s="108"/>
      <c r="I1216" s="71"/>
    </row>
    <row r="1217" spans="1:9" s="65" customFormat="1">
      <c r="A1217" s="75" t="s">
        <v>391</v>
      </c>
      <c r="B1217" s="76" t="s">
        <v>392</v>
      </c>
      <c r="C1217" s="76" t="s">
        <v>393</v>
      </c>
      <c r="D1217" s="76" t="s">
        <v>394</v>
      </c>
      <c r="E1217" s="76" t="s">
        <v>395</v>
      </c>
      <c r="F1217" s="76" t="s">
        <v>396</v>
      </c>
      <c r="G1217" s="76" t="s">
        <v>397</v>
      </c>
      <c r="H1217" s="108"/>
      <c r="I1217" s="71"/>
    </row>
    <row r="1218" spans="1:9" s="65" customFormat="1">
      <c r="A1218" s="77"/>
      <c r="B1218" s="78"/>
      <c r="C1218" s="79"/>
      <c r="D1218" s="107"/>
      <c r="E1218" s="79"/>
      <c r="F1218" s="79"/>
      <c r="G1218" s="107"/>
      <c r="H1218" s="108"/>
      <c r="I1218" s="71"/>
    </row>
    <row r="1219" spans="1:9" s="65" customFormat="1">
      <c r="A1219" s="90"/>
      <c r="B1219" s="91"/>
      <c r="C1219" s="91"/>
      <c r="D1219" s="91"/>
      <c r="E1219" s="91"/>
      <c r="F1219"/>
      <c r="G1219" s="93" t="s">
        <v>407</v>
      </c>
      <c r="H1219" s="107">
        <f>SUM(G1218:G1218)</f>
        <v>0</v>
      </c>
      <c r="I1219" s="71"/>
    </row>
    <row r="1220" spans="1:9" s="65" customFormat="1">
      <c r="A1220" s="72" t="s">
        <v>411</v>
      </c>
      <c r="B1220" s="73"/>
      <c r="C1220" s="73"/>
      <c r="D1220" s="73"/>
      <c r="E1220" s="73"/>
      <c r="F1220"/>
      <c r="G1220" s="74"/>
      <c r="H1220" s="108"/>
      <c r="I1220" s="71"/>
    </row>
    <row r="1221" spans="1:9" s="65" customFormat="1">
      <c r="A1221" s="75" t="s">
        <v>391</v>
      </c>
      <c r="B1221" s="76" t="s">
        <v>392</v>
      </c>
      <c r="C1221" s="76" t="s">
        <v>393</v>
      </c>
      <c r="D1221" s="76" t="s">
        <v>394</v>
      </c>
      <c r="E1221" s="76" t="s">
        <v>395</v>
      </c>
      <c r="F1221" s="76" t="s">
        <v>396</v>
      </c>
      <c r="G1221" s="76" t="s">
        <v>397</v>
      </c>
      <c r="H1221" s="108"/>
      <c r="I1221" s="71"/>
    </row>
    <row r="1222" spans="1:9" s="65" customFormat="1">
      <c r="A1222" s="87" t="s">
        <v>409</v>
      </c>
      <c r="B1222" s="114" t="s">
        <v>747</v>
      </c>
      <c r="C1222" s="114" t="s">
        <v>437</v>
      </c>
      <c r="D1222" s="114">
        <v>800000</v>
      </c>
      <c r="E1222" s="215">
        <v>0.1</v>
      </c>
      <c r="F1222" s="79">
        <v>0</v>
      </c>
      <c r="G1222" s="107">
        <f>(D1222*E1222)+((D1222*E1222)*F1222/100)</f>
        <v>80000</v>
      </c>
      <c r="H1222" s="108"/>
      <c r="I1222" s="71"/>
    </row>
    <row r="1223" spans="1:9" s="65" customFormat="1">
      <c r="A1223" s="94"/>
      <c r="B1223" s="95"/>
      <c r="C1223" s="95"/>
      <c r="D1223" s="95"/>
      <c r="E1223" s="95"/>
      <c r="F1223"/>
      <c r="G1223" s="93" t="s">
        <v>407</v>
      </c>
      <c r="H1223" s="107">
        <f>SUM(G1221:G1222)</f>
        <v>80000</v>
      </c>
      <c r="I1223" s="71"/>
    </row>
    <row r="1224" spans="1:9" s="65" customFormat="1">
      <c r="A1224" s="94"/>
      <c r="B1224" s="95"/>
      <c r="C1224" s="95"/>
      <c r="D1224" s="95"/>
      <c r="E1224" s="95"/>
      <c r="F1224"/>
      <c r="G1224" s="74"/>
      <c r="H1224" s="74"/>
      <c r="I1224" s="71"/>
    </row>
    <row r="1225" spans="1:9" s="65" customFormat="1">
      <c r="A1225" s="96"/>
      <c r="B1225" s="97"/>
      <c r="C1225" s="98"/>
      <c r="D1225" s="98"/>
      <c r="E1225" s="98"/>
      <c r="F1225"/>
      <c r="G1225" s="99" t="s">
        <v>412</v>
      </c>
      <c r="H1225" s="115">
        <f>SUM(H1211:H1223)</f>
        <v>3738175.9999999995</v>
      </c>
      <c r="I1225" s="71"/>
    </row>
    <row r="1226" spans="1:9" s="65" customFormat="1">
      <c r="A1226" s="96"/>
      <c r="B1226" s="97"/>
      <c r="C1226" s="98"/>
      <c r="D1226" s="98"/>
      <c r="E1226" s="98"/>
      <c r="F1226" s="101"/>
      <c r="G1226" s="116"/>
      <c r="H1226" s="70"/>
      <c r="I1226" s="71"/>
    </row>
    <row r="1227" spans="1:9" s="65" customFormat="1" ht="15.75" thickBot="1">
      <c r="A1227" s="624" t="s">
        <v>502</v>
      </c>
      <c r="B1227" s="625"/>
      <c r="C1227" s="625"/>
      <c r="D1227" s="625"/>
      <c r="E1227" s="625"/>
      <c r="F1227" s="625"/>
      <c r="G1227" s="626"/>
      <c r="H1227" s="117">
        <f>+ROUND(H1225,0)</f>
        <v>3738176</v>
      </c>
      <c r="I1227" s="103"/>
    </row>
    <row r="1228" spans="1:9" s="65" customFormat="1">
      <c r="A1228" s="120"/>
      <c r="B1228" s="73"/>
      <c r="C1228" s="73"/>
      <c r="D1228" s="73"/>
      <c r="E1228" s="73"/>
      <c r="F1228" s="121"/>
      <c r="G1228" s="121"/>
      <c r="H1228" s="121"/>
    </row>
    <row r="1229" spans="1:9" s="65" customFormat="1" ht="15.75" thickBot="1">
      <c r="A1229" s="128"/>
      <c r="B1229" s="141"/>
      <c r="C1229" s="141"/>
      <c r="D1229" s="141"/>
      <c r="E1229" s="141"/>
      <c r="F1229" s="141"/>
      <c r="G1229" s="141"/>
      <c r="H1229" s="121"/>
    </row>
    <row r="1230" spans="1:9" s="65" customFormat="1">
      <c r="A1230" s="627"/>
      <c r="B1230" s="629" t="s">
        <v>909</v>
      </c>
      <c r="C1230" s="630"/>
      <c r="D1230" s="630"/>
      <c r="E1230" s="630"/>
      <c r="F1230" s="630"/>
      <c r="G1230" s="630"/>
      <c r="H1230" s="643"/>
      <c r="I1230" s="66" t="s">
        <v>389</v>
      </c>
    </row>
    <row r="1231" spans="1:9" s="65" customFormat="1">
      <c r="A1231" s="628"/>
      <c r="B1231" s="631"/>
      <c r="C1231" s="632"/>
      <c r="D1231" s="632"/>
      <c r="E1231" s="632"/>
      <c r="F1231" s="632"/>
      <c r="G1231" s="632"/>
      <c r="H1231" s="644"/>
      <c r="I1231" s="67" t="s">
        <v>157</v>
      </c>
    </row>
    <row r="1232" spans="1:9" s="65" customFormat="1">
      <c r="A1232" s="68"/>
      <c r="B1232" s="69"/>
      <c r="C1232" s="69"/>
      <c r="D1232" s="69"/>
      <c r="E1232" s="69"/>
      <c r="F1232" s="70"/>
      <c r="G1232" s="70"/>
      <c r="H1232" s="70"/>
      <c r="I1232" s="71"/>
    </row>
    <row r="1233" spans="1:9" s="65" customFormat="1">
      <c r="A1233" s="72" t="s">
        <v>390</v>
      </c>
      <c r="B1233" s="73"/>
      <c r="C1233" s="73"/>
      <c r="D1233" s="73"/>
      <c r="E1233" s="73"/>
      <c r="F1233" s="74"/>
      <c r="G1233" s="74"/>
      <c r="H1233" s="70"/>
      <c r="I1233" s="71"/>
    </row>
    <row r="1234" spans="1:9" s="65" customFormat="1">
      <c r="A1234" s="75" t="s">
        <v>391</v>
      </c>
      <c r="B1234" s="76" t="s">
        <v>392</v>
      </c>
      <c r="C1234" s="76" t="s">
        <v>393</v>
      </c>
      <c r="D1234" s="76" t="s">
        <v>394</v>
      </c>
      <c r="E1234" s="76" t="s">
        <v>395</v>
      </c>
      <c r="F1234" s="76" t="s">
        <v>396</v>
      </c>
      <c r="G1234" s="76" t="s">
        <v>397</v>
      </c>
      <c r="H1234" s="74"/>
      <c r="I1234" s="71"/>
    </row>
    <row r="1235" spans="1:9" s="65" customFormat="1">
      <c r="A1235" s="77"/>
      <c r="B1235" s="79"/>
      <c r="C1235" s="79"/>
      <c r="D1235" s="107"/>
      <c r="E1235" s="79"/>
      <c r="F1235" s="79"/>
      <c r="G1235" s="107"/>
      <c r="H1235" s="74"/>
      <c r="I1235" s="71"/>
    </row>
    <row r="1236" spans="1:9" s="65" customFormat="1">
      <c r="A1236" s="82"/>
      <c r="B1236" s="83"/>
      <c r="C1236" s="84"/>
      <c r="D1236" s="84"/>
      <c r="E1236" s="84"/>
      <c r="F1236"/>
      <c r="G1236" s="93" t="s">
        <v>407</v>
      </c>
      <c r="H1236" s="107">
        <f>SUM(G1235:G1235)</f>
        <v>0</v>
      </c>
      <c r="I1236" s="71"/>
    </row>
    <row r="1237" spans="1:9" s="65" customFormat="1">
      <c r="A1237" s="72" t="s">
        <v>408</v>
      </c>
      <c r="B1237" s="73"/>
      <c r="C1237" s="73"/>
      <c r="D1237" s="73"/>
      <c r="E1237" s="73"/>
      <c r="F1237"/>
      <c r="G1237" s="74"/>
      <c r="H1237" s="108"/>
      <c r="I1237" s="71"/>
    </row>
    <row r="1238" spans="1:9" s="65" customFormat="1">
      <c r="A1238" s="75" t="s">
        <v>391</v>
      </c>
      <c r="B1238" s="76" t="s">
        <v>392</v>
      </c>
      <c r="C1238" s="76" t="s">
        <v>393</v>
      </c>
      <c r="D1238" s="76" t="s">
        <v>394</v>
      </c>
      <c r="E1238" s="76" t="s">
        <v>395</v>
      </c>
      <c r="F1238" s="76" t="s">
        <v>396</v>
      </c>
      <c r="G1238" s="76" t="s">
        <v>397</v>
      </c>
      <c r="H1238" s="108"/>
      <c r="I1238" s="71"/>
    </row>
    <row r="1239" spans="1:9" s="65" customFormat="1">
      <c r="A1239" s="135"/>
      <c r="B1239" s="78" t="s">
        <v>910</v>
      </c>
      <c r="C1239" s="127" t="s">
        <v>157</v>
      </c>
      <c r="D1239" s="107">
        <f>931000*1.16*1.2</f>
        <v>1295952</v>
      </c>
      <c r="E1239" s="79">
        <v>1</v>
      </c>
      <c r="F1239" s="79">
        <v>0</v>
      </c>
      <c r="G1239" s="107">
        <f>(D1239*E1239)+((D1239*E1239)*F1239/100)</f>
        <v>1295952</v>
      </c>
      <c r="H1239" s="108"/>
      <c r="I1239" s="71"/>
    </row>
    <row r="1240" spans="1:9" s="65" customFormat="1">
      <c r="A1240" s="90"/>
      <c r="B1240" s="91"/>
      <c r="C1240" s="91"/>
      <c r="D1240" s="91"/>
      <c r="E1240" s="91"/>
      <c r="F1240"/>
      <c r="G1240" s="85" t="s">
        <v>407</v>
      </c>
      <c r="H1240" s="107">
        <f>SUM(G1239:G1239)</f>
        <v>1295952</v>
      </c>
      <c r="I1240" s="71"/>
    </row>
    <row r="1241" spans="1:9" s="65" customFormat="1">
      <c r="A1241" s="72" t="s">
        <v>410</v>
      </c>
      <c r="B1241" s="73"/>
      <c r="C1241" s="73"/>
      <c r="D1241" s="73"/>
      <c r="E1241" s="73"/>
      <c r="F1241"/>
      <c r="G1241" s="74"/>
      <c r="H1241" s="108"/>
      <c r="I1241" s="71"/>
    </row>
    <row r="1242" spans="1:9" s="65" customFormat="1">
      <c r="A1242" s="75" t="s">
        <v>391</v>
      </c>
      <c r="B1242" s="76" t="s">
        <v>392</v>
      </c>
      <c r="C1242" s="76" t="s">
        <v>393</v>
      </c>
      <c r="D1242" s="76" t="s">
        <v>394</v>
      </c>
      <c r="E1242" s="76" t="s">
        <v>395</v>
      </c>
      <c r="F1242" s="76" t="s">
        <v>396</v>
      </c>
      <c r="G1242" s="76" t="s">
        <v>397</v>
      </c>
      <c r="H1242" s="108"/>
      <c r="I1242" s="71"/>
    </row>
    <row r="1243" spans="1:9" s="65" customFormat="1">
      <c r="A1243" s="77"/>
      <c r="B1243" s="78"/>
      <c r="C1243" s="79"/>
      <c r="D1243" s="107"/>
      <c r="E1243" s="79"/>
      <c r="F1243" s="79"/>
      <c r="G1243" s="107"/>
      <c r="H1243" s="108"/>
      <c r="I1243" s="71"/>
    </row>
    <row r="1244" spans="1:9" s="65" customFormat="1">
      <c r="A1244" s="90"/>
      <c r="B1244" s="91"/>
      <c r="C1244" s="91"/>
      <c r="D1244" s="91"/>
      <c r="E1244" s="91"/>
      <c r="F1244"/>
      <c r="G1244" s="93" t="s">
        <v>407</v>
      </c>
      <c r="H1244" s="107">
        <f>SUM(G1243:G1243)</f>
        <v>0</v>
      </c>
      <c r="I1244" s="71"/>
    </row>
    <row r="1245" spans="1:9" s="65" customFormat="1">
      <c r="A1245" s="72" t="s">
        <v>411</v>
      </c>
      <c r="B1245" s="73"/>
      <c r="C1245" s="73"/>
      <c r="D1245" s="73"/>
      <c r="E1245" s="73"/>
      <c r="F1245"/>
      <c r="G1245" s="74"/>
      <c r="H1245" s="108"/>
      <c r="I1245" s="71"/>
    </row>
    <row r="1246" spans="1:9" s="65" customFormat="1">
      <c r="A1246" s="75" t="s">
        <v>391</v>
      </c>
      <c r="B1246" s="76" t="s">
        <v>392</v>
      </c>
      <c r="C1246" s="76" t="s">
        <v>393</v>
      </c>
      <c r="D1246" s="76" t="s">
        <v>394</v>
      </c>
      <c r="E1246" s="76" t="s">
        <v>395</v>
      </c>
      <c r="F1246" s="76" t="s">
        <v>396</v>
      </c>
      <c r="G1246" s="76" t="s">
        <v>397</v>
      </c>
      <c r="H1246" s="108"/>
      <c r="I1246" s="71"/>
    </row>
    <row r="1247" spans="1:9" s="65" customFormat="1">
      <c r="A1247" s="87" t="s">
        <v>409</v>
      </c>
      <c r="B1247" s="114" t="s">
        <v>747</v>
      </c>
      <c r="C1247" s="114" t="s">
        <v>437</v>
      </c>
      <c r="D1247" s="114">
        <v>800000</v>
      </c>
      <c r="E1247" s="215">
        <v>1.7857142857142856E-2</v>
      </c>
      <c r="F1247" s="79">
        <v>0</v>
      </c>
      <c r="G1247" s="107">
        <f>(D1247*E1247)+((D1247*E1247)*F1247/100)</f>
        <v>14285.714285714284</v>
      </c>
      <c r="H1247" s="108"/>
      <c r="I1247" s="71"/>
    </row>
    <row r="1248" spans="1:9" s="65" customFormat="1">
      <c r="A1248" s="94"/>
      <c r="B1248" s="95"/>
      <c r="C1248" s="95"/>
      <c r="D1248" s="95"/>
      <c r="E1248" s="95"/>
      <c r="F1248"/>
      <c r="G1248" s="93" t="s">
        <v>407</v>
      </c>
      <c r="H1248" s="107">
        <f>SUM(G1246:G1247)</f>
        <v>14285.714285714284</v>
      </c>
      <c r="I1248" s="71"/>
    </row>
    <row r="1249" spans="1:9" s="65" customFormat="1">
      <c r="A1249" s="94"/>
      <c r="B1249" s="95"/>
      <c r="C1249" s="95"/>
      <c r="D1249" s="95"/>
      <c r="E1249" s="95"/>
      <c r="F1249"/>
      <c r="G1249" s="74"/>
      <c r="H1249" s="74"/>
      <c r="I1249" s="71"/>
    </row>
    <row r="1250" spans="1:9" s="65" customFormat="1">
      <c r="A1250" s="96"/>
      <c r="B1250" s="97"/>
      <c r="C1250" s="98"/>
      <c r="D1250" s="98"/>
      <c r="E1250" s="98"/>
      <c r="F1250"/>
      <c r="G1250" s="99" t="s">
        <v>412</v>
      </c>
      <c r="H1250" s="115">
        <f>SUM(H1236:H1248)</f>
        <v>1310237.7142857143</v>
      </c>
      <c r="I1250" s="71"/>
    </row>
    <row r="1251" spans="1:9" s="65" customFormat="1">
      <c r="A1251" s="96"/>
      <c r="B1251" s="97"/>
      <c r="C1251" s="98"/>
      <c r="D1251" s="98"/>
      <c r="E1251" s="98"/>
      <c r="F1251" s="101"/>
      <c r="G1251" s="116"/>
      <c r="H1251" s="70"/>
      <c r="I1251" s="71"/>
    </row>
    <row r="1252" spans="1:9" s="65" customFormat="1" ht="15.75" thickBot="1">
      <c r="A1252" s="624" t="s">
        <v>761</v>
      </c>
      <c r="B1252" s="625"/>
      <c r="C1252" s="625"/>
      <c r="D1252" s="625"/>
      <c r="E1252" s="625"/>
      <c r="F1252" s="625"/>
      <c r="G1252" s="626"/>
      <c r="H1252" s="117">
        <f>+ROUND(H1250,0)</f>
        <v>1310238</v>
      </c>
      <c r="I1252" s="103"/>
    </row>
    <row r="1253" spans="1:9" s="65" customFormat="1">
      <c r="A1253" s="128"/>
      <c r="B1253" s="141"/>
      <c r="C1253" s="141"/>
      <c r="D1253" s="141"/>
      <c r="E1253" s="141"/>
      <c r="F1253" s="141"/>
      <c r="G1253" s="141"/>
      <c r="H1253" s="121"/>
    </row>
    <row r="1254" spans="1:9" s="65" customFormat="1" ht="15.75" thickBot="1">
      <c r="A1254" s="142"/>
      <c r="B1254" s="143"/>
      <c r="C1254" s="143"/>
      <c r="D1254" s="143"/>
      <c r="E1254" s="143"/>
      <c r="F1254" s="84"/>
      <c r="G1254" s="144"/>
      <c r="H1254" s="145"/>
    </row>
    <row r="1255" spans="1:9" s="65" customFormat="1">
      <c r="A1255" s="627"/>
      <c r="B1255" s="629" t="s">
        <v>911</v>
      </c>
      <c r="C1255" s="630"/>
      <c r="D1255" s="630"/>
      <c r="E1255" s="630"/>
      <c r="F1255" s="630"/>
      <c r="G1255" s="630"/>
      <c r="H1255" s="643"/>
      <c r="I1255" s="66" t="s">
        <v>389</v>
      </c>
    </row>
    <row r="1256" spans="1:9" s="65" customFormat="1">
      <c r="A1256" s="628"/>
      <c r="B1256" s="631"/>
      <c r="C1256" s="632"/>
      <c r="D1256" s="632"/>
      <c r="E1256" s="632"/>
      <c r="F1256" s="632"/>
      <c r="G1256" s="632"/>
      <c r="H1256" s="644"/>
      <c r="I1256" s="67" t="s">
        <v>157</v>
      </c>
    </row>
    <row r="1257" spans="1:9" s="65" customFormat="1">
      <c r="A1257" s="68"/>
      <c r="B1257" s="69"/>
      <c r="C1257" s="69"/>
      <c r="D1257" s="69"/>
      <c r="E1257" s="69"/>
      <c r="F1257" s="70"/>
      <c r="G1257" s="70"/>
      <c r="H1257" s="70"/>
      <c r="I1257" s="71"/>
    </row>
    <row r="1258" spans="1:9" s="65" customFormat="1">
      <c r="A1258" s="72" t="s">
        <v>390</v>
      </c>
      <c r="B1258" s="73"/>
      <c r="C1258" s="73"/>
      <c r="D1258" s="73"/>
      <c r="E1258" s="73"/>
      <c r="F1258" s="74"/>
      <c r="G1258" s="74"/>
      <c r="H1258" s="70"/>
      <c r="I1258" s="71"/>
    </row>
    <row r="1259" spans="1:9" s="65" customFormat="1">
      <c r="A1259" s="75" t="s">
        <v>391</v>
      </c>
      <c r="B1259" s="76" t="s">
        <v>392</v>
      </c>
      <c r="C1259" s="76" t="s">
        <v>393</v>
      </c>
      <c r="D1259" s="76" t="s">
        <v>394</v>
      </c>
      <c r="E1259" s="76" t="s">
        <v>395</v>
      </c>
      <c r="F1259" s="76" t="s">
        <v>396</v>
      </c>
      <c r="G1259" s="76" t="s">
        <v>397</v>
      </c>
      <c r="H1259" s="74"/>
      <c r="I1259" s="71"/>
    </row>
    <row r="1260" spans="1:9" s="65" customFormat="1">
      <c r="A1260" s="77"/>
      <c r="B1260" s="79"/>
      <c r="C1260" s="79"/>
      <c r="D1260" s="107"/>
      <c r="E1260" s="79"/>
      <c r="F1260" s="79"/>
      <c r="G1260" s="107"/>
      <c r="H1260" s="74"/>
      <c r="I1260" s="71"/>
    </row>
    <row r="1261" spans="1:9" s="65" customFormat="1">
      <c r="A1261" s="82"/>
      <c r="B1261" s="83"/>
      <c r="C1261" s="84"/>
      <c r="D1261" s="84"/>
      <c r="E1261" s="84"/>
      <c r="F1261"/>
      <c r="G1261" s="93" t="s">
        <v>407</v>
      </c>
      <c r="H1261" s="107">
        <f>SUM(G1260:G1260)</f>
        <v>0</v>
      </c>
      <c r="I1261" s="71"/>
    </row>
    <row r="1262" spans="1:9" s="65" customFormat="1">
      <c r="A1262" s="72" t="s">
        <v>408</v>
      </c>
      <c r="B1262" s="73"/>
      <c r="C1262" s="73"/>
      <c r="D1262" s="73"/>
      <c r="E1262" s="73"/>
      <c r="F1262"/>
      <c r="G1262" s="74"/>
      <c r="H1262" s="108"/>
      <c r="I1262" s="71"/>
    </row>
    <row r="1263" spans="1:9" s="65" customFormat="1">
      <c r="A1263" s="75" t="s">
        <v>391</v>
      </c>
      <c r="B1263" s="76" t="s">
        <v>392</v>
      </c>
      <c r="C1263" s="76" t="s">
        <v>393</v>
      </c>
      <c r="D1263" s="76" t="s">
        <v>394</v>
      </c>
      <c r="E1263" s="76" t="s">
        <v>395</v>
      </c>
      <c r="F1263" s="76" t="s">
        <v>396</v>
      </c>
      <c r="G1263" s="76" t="s">
        <v>397</v>
      </c>
      <c r="H1263" s="108"/>
      <c r="I1263" s="71"/>
    </row>
    <row r="1264" spans="1:9" s="65" customFormat="1">
      <c r="A1264" s="135"/>
      <c r="B1264" s="78" t="s">
        <v>912</v>
      </c>
      <c r="C1264" s="127" t="s">
        <v>157</v>
      </c>
      <c r="D1264" s="107">
        <f>1720000*1.16*1.2</f>
        <v>2394239.9999999995</v>
      </c>
      <c r="E1264" s="79">
        <v>1</v>
      </c>
      <c r="F1264" s="79">
        <v>0</v>
      </c>
      <c r="G1264" s="107">
        <f>(D1264*E1264)+((D1264*E1264)*F1264/100)</f>
        <v>2394239.9999999995</v>
      </c>
      <c r="H1264" s="108"/>
      <c r="I1264" s="71"/>
    </row>
    <row r="1265" spans="1:9" s="65" customFormat="1">
      <c r="A1265" s="90"/>
      <c r="B1265" s="91"/>
      <c r="C1265" s="91"/>
      <c r="D1265" s="91"/>
      <c r="E1265" s="91"/>
      <c r="F1265"/>
      <c r="G1265" s="85" t="s">
        <v>407</v>
      </c>
      <c r="H1265" s="107">
        <f>SUM(G1264:G1264)</f>
        <v>2394239.9999999995</v>
      </c>
      <c r="I1265" s="71"/>
    </row>
    <row r="1266" spans="1:9" s="65" customFormat="1">
      <c r="A1266" s="72" t="s">
        <v>410</v>
      </c>
      <c r="B1266" s="73"/>
      <c r="C1266" s="73"/>
      <c r="D1266" s="73"/>
      <c r="E1266" s="73"/>
      <c r="F1266"/>
      <c r="G1266" s="74"/>
      <c r="H1266" s="108"/>
      <c r="I1266" s="71"/>
    </row>
    <row r="1267" spans="1:9" s="65" customFormat="1">
      <c r="A1267" s="75" t="s">
        <v>391</v>
      </c>
      <c r="B1267" s="76" t="s">
        <v>392</v>
      </c>
      <c r="C1267" s="76" t="s">
        <v>393</v>
      </c>
      <c r="D1267" s="76" t="s">
        <v>394</v>
      </c>
      <c r="E1267" s="76" t="s">
        <v>395</v>
      </c>
      <c r="F1267" s="76" t="s">
        <v>396</v>
      </c>
      <c r="G1267" s="76" t="s">
        <v>397</v>
      </c>
      <c r="H1267" s="108"/>
      <c r="I1267" s="71"/>
    </row>
    <row r="1268" spans="1:9" s="65" customFormat="1">
      <c r="A1268" s="77"/>
      <c r="B1268" s="78"/>
      <c r="C1268" s="79"/>
      <c r="D1268" s="107"/>
      <c r="E1268" s="79"/>
      <c r="F1268" s="79"/>
      <c r="G1268" s="107"/>
      <c r="H1268" s="108"/>
      <c r="I1268" s="71"/>
    </row>
    <row r="1269" spans="1:9" s="65" customFormat="1">
      <c r="A1269" s="90"/>
      <c r="B1269" s="91"/>
      <c r="C1269" s="91"/>
      <c r="D1269" s="91"/>
      <c r="E1269" s="91"/>
      <c r="F1269"/>
      <c r="G1269" s="93" t="s">
        <v>407</v>
      </c>
      <c r="H1269" s="107">
        <f>SUM(G1268:G1268)</f>
        <v>0</v>
      </c>
      <c r="I1269" s="71"/>
    </row>
    <row r="1270" spans="1:9" s="65" customFormat="1">
      <c r="A1270" s="72" t="s">
        <v>411</v>
      </c>
      <c r="B1270" s="73"/>
      <c r="C1270" s="73"/>
      <c r="D1270" s="73"/>
      <c r="E1270" s="73"/>
      <c r="F1270"/>
      <c r="G1270" s="74"/>
      <c r="H1270" s="108"/>
      <c r="I1270" s="71"/>
    </row>
    <row r="1271" spans="1:9" s="65" customFormat="1">
      <c r="A1271" s="75" t="s">
        <v>391</v>
      </c>
      <c r="B1271" s="76" t="s">
        <v>392</v>
      </c>
      <c r="C1271" s="76" t="s">
        <v>393</v>
      </c>
      <c r="D1271" s="76" t="s">
        <v>394</v>
      </c>
      <c r="E1271" s="76" t="s">
        <v>395</v>
      </c>
      <c r="F1271" s="76" t="s">
        <v>396</v>
      </c>
      <c r="G1271" s="76" t="s">
        <v>397</v>
      </c>
      <c r="H1271" s="108"/>
      <c r="I1271" s="71"/>
    </row>
    <row r="1272" spans="1:9" s="65" customFormat="1">
      <c r="A1272" s="87" t="s">
        <v>409</v>
      </c>
      <c r="B1272" s="114" t="s">
        <v>747</v>
      </c>
      <c r="C1272" s="114" t="s">
        <v>437</v>
      </c>
      <c r="D1272" s="114">
        <v>800000</v>
      </c>
      <c r="E1272" s="215">
        <v>1.7857142857142856E-2</v>
      </c>
      <c r="F1272" s="79">
        <v>0</v>
      </c>
      <c r="G1272" s="107">
        <f>(D1272*E1272)+((D1272*E1272)*F1272/100)</f>
        <v>14285.714285714284</v>
      </c>
      <c r="H1272" s="108"/>
      <c r="I1272" s="71"/>
    </row>
    <row r="1273" spans="1:9" s="65" customFormat="1">
      <c r="A1273" s="94"/>
      <c r="B1273" s="95"/>
      <c r="C1273" s="95"/>
      <c r="D1273" s="95"/>
      <c r="E1273" s="95"/>
      <c r="F1273"/>
      <c r="G1273" s="93" t="s">
        <v>407</v>
      </c>
      <c r="H1273" s="107">
        <f>SUM(G1271:G1272)</f>
        <v>14285.714285714284</v>
      </c>
      <c r="I1273" s="71"/>
    </row>
    <row r="1274" spans="1:9" s="65" customFormat="1">
      <c r="A1274" s="94"/>
      <c r="B1274" s="95"/>
      <c r="C1274" s="95"/>
      <c r="D1274" s="95"/>
      <c r="E1274" s="95"/>
      <c r="F1274"/>
      <c r="G1274" s="74"/>
      <c r="H1274" s="74"/>
      <c r="I1274" s="71"/>
    </row>
    <row r="1275" spans="1:9" s="65" customFormat="1">
      <c r="A1275" s="96"/>
      <c r="B1275" s="97"/>
      <c r="C1275" s="98"/>
      <c r="D1275" s="98"/>
      <c r="E1275" s="98"/>
      <c r="F1275"/>
      <c r="G1275" s="99" t="s">
        <v>412</v>
      </c>
      <c r="H1275" s="115">
        <f>SUM(H1261:H1273)</f>
        <v>2408525.7142857136</v>
      </c>
      <c r="I1275" s="71"/>
    </row>
    <row r="1276" spans="1:9" s="65" customFormat="1">
      <c r="A1276" s="96"/>
      <c r="B1276" s="97"/>
      <c r="C1276" s="98"/>
      <c r="D1276" s="98"/>
      <c r="E1276" s="98"/>
      <c r="F1276" s="101"/>
      <c r="G1276" s="116"/>
      <c r="H1276" s="70"/>
      <c r="I1276" s="71"/>
    </row>
    <row r="1277" spans="1:9" s="65" customFormat="1" ht="15.75" thickBot="1">
      <c r="A1277" s="624" t="s">
        <v>761</v>
      </c>
      <c r="B1277" s="625"/>
      <c r="C1277" s="625"/>
      <c r="D1277" s="625"/>
      <c r="E1277" s="625"/>
      <c r="F1277" s="625"/>
      <c r="G1277" s="626"/>
      <c r="H1277" s="117">
        <f>+ROUND(H1275,0)</f>
        <v>2408526</v>
      </c>
      <c r="I1277" s="103"/>
    </row>
    <row r="1278" spans="1:9" s="65" customFormat="1">
      <c r="A1278" s="150"/>
      <c r="B1278" s="83"/>
      <c r="C1278" s="148"/>
      <c r="D1278" s="84"/>
      <c r="E1278" s="84"/>
      <c r="F1278" s="84"/>
      <c r="G1278" s="144"/>
      <c r="H1278" s="145"/>
    </row>
    <row r="1279" spans="1:9" s="65" customFormat="1" ht="15.75" thickBot="1">
      <c r="A1279" s="84"/>
      <c r="B1279" s="83"/>
      <c r="C1279" s="84"/>
      <c r="D1279" s="84"/>
      <c r="E1279" s="84"/>
      <c r="G1279" s="104"/>
      <c r="H1279" s="140"/>
    </row>
    <row r="1280" spans="1:9" s="65" customFormat="1">
      <c r="A1280" s="627"/>
      <c r="B1280" s="629" t="s">
        <v>913</v>
      </c>
      <c r="C1280" s="630"/>
      <c r="D1280" s="630"/>
      <c r="E1280" s="630"/>
      <c r="F1280" s="630"/>
      <c r="G1280" s="630"/>
      <c r="H1280" s="643"/>
      <c r="I1280" s="66" t="s">
        <v>389</v>
      </c>
    </row>
    <row r="1281" spans="1:9" s="65" customFormat="1">
      <c r="A1281" s="628"/>
      <c r="B1281" s="631"/>
      <c r="C1281" s="632"/>
      <c r="D1281" s="632"/>
      <c r="E1281" s="632"/>
      <c r="F1281" s="632"/>
      <c r="G1281" s="632"/>
      <c r="H1281" s="644"/>
      <c r="I1281" s="67" t="s">
        <v>157</v>
      </c>
    </row>
    <row r="1282" spans="1:9" s="65" customFormat="1">
      <c r="A1282" s="68"/>
      <c r="B1282" s="69"/>
      <c r="C1282" s="69"/>
      <c r="D1282" s="69"/>
      <c r="E1282" s="69"/>
      <c r="F1282" s="70"/>
      <c r="G1282" s="70"/>
      <c r="H1282" s="70"/>
      <c r="I1282" s="71"/>
    </row>
    <row r="1283" spans="1:9" s="65" customFormat="1">
      <c r="A1283" s="72" t="s">
        <v>390</v>
      </c>
      <c r="B1283" s="73"/>
      <c r="C1283" s="73"/>
      <c r="D1283" s="73"/>
      <c r="E1283" s="73"/>
      <c r="F1283" s="74"/>
      <c r="G1283" s="74"/>
      <c r="H1283" s="70"/>
      <c r="I1283" s="71"/>
    </row>
    <row r="1284" spans="1:9" s="65" customFormat="1">
      <c r="A1284" s="75" t="s">
        <v>391</v>
      </c>
      <c r="B1284" s="76" t="s">
        <v>392</v>
      </c>
      <c r="C1284" s="76" t="s">
        <v>393</v>
      </c>
      <c r="D1284" s="76" t="s">
        <v>394</v>
      </c>
      <c r="E1284" s="76" t="s">
        <v>395</v>
      </c>
      <c r="F1284" s="76" t="s">
        <v>396</v>
      </c>
      <c r="G1284" s="76" t="s">
        <v>397</v>
      </c>
      <c r="H1284" s="74"/>
      <c r="I1284" s="71"/>
    </row>
    <row r="1285" spans="1:9" s="65" customFormat="1">
      <c r="A1285" s="77"/>
      <c r="B1285" s="79"/>
      <c r="C1285" s="79"/>
      <c r="D1285" s="107"/>
      <c r="E1285" s="79"/>
      <c r="F1285" s="79"/>
      <c r="G1285" s="107"/>
      <c r="H1285" s="74"/>
      <c r="I1285" s="71"/>
    </row>
    <row r="1286" spans="1:9" s="65" customFormat="1">
      <c r="A1286" s="82"/>
      <c r="B1286" s="83"/>
      <c r="C1286" s="84"/>
      <c r="D1286" s="84"/>
      <c r="E1286" s="84"/>
      <c r="F1286"/>
      <c r="G1286" s="93" t="s">
        <v>407</v>
      </c>
      <c r="H1286" s="107">
        <f>SUM(G1285:G1285)</f>
        <v>0</v>
      </c>
      <c r="I1286" s="71"/>
    </row>
    <row r="1287" spans="1:9" s="65" customFormat="1">
      <c r="A1287" s="72" t="s">
        <v>408</v>
      </c>
      <c r="B1287" s="73"/>
      <c r="C1287" s="73"/>
      <c r="D1287" s="73"/>
      <c r="E1287" s="73"/>
      <c r="F1287"/>
      <c r="G1287" s="74"/>
      <c r="H1287" s="108"/>
      <c r="I1287" s="71"/>
    </row>
    <row r="1288" spans="1:9" s="65" customFormat="1">
      <c r="A1288" s="75" t="s">
        <v>391</v>
      </c>
      <c r="B1288" s="76" t="s">
        <v>392</v>
      </c>
      <c r="C1288" s="76" t="s">
        <v>393</v>
      </c>
      <c r="D1288" s="76" t="s">
        <v>394</v>
      </c>
      <c r="E1288" s="76" t="s">
        <v>395</v>
      </c>
      <c r="F1288" s="76" t="s">
        <v>396</v>
      </c>
      <c r="G1288" s="76" t="s">
        <v>397</v>
      </c>
      <c r="H1288" s="108"/>
      <c r="I1288" s="71"/>
    </row>
    <row r="1289" spans="1:9" s="65" customFormat="1">
      <c r="A1289" s="135"/>
      <c r="B1289" s="78" t="s">
        <v>913</v>
      </c>
      <c r="C1289" s="127" t="s">
        <v>157</v>
      </c>
      <c r="D1289" s="107">
        <f>2452000*1.16*1.2</f>
        <v>3413184</v>
      </c>
      <c r="E1289" s="79">
        <v>1</v>
      </c>
      <c r="F1289" s="79">
        <v>0</v>
      </c>
      <c r="G1289" s="107">
        <f>(D1289*E1289)+((D1289*E1289)*F1289/100)</f>
        <v>3413184</v>
      </c>
      <c r="H1289" s="108"/>
      <c r="I1289" s="71"/>
    </row>
    <row r="1290" spans="1:9" s="65" customFormat="1">
      <c r="A1290" s="90"/>
      <c r="B1290" s="91"/>
      <c r="C1290" s="91"/>
      <c r="D1290" s="91"/>
      <c r="E1290" s="91"/>
      <c r="F1290"/>
      <c r="G1290" s="85" t="s">
        <v>407</v>
      </c>
      <c r="H1290" s="107">
        <f>SUM(G1289:G1289)</f>
        <v>3413184</v>
      </c>
      <c r="I1290" s="71"/>
    </row>
    <row r="1291" spans="1:9" s="65" customFormat="1">
      <c r="A1291" s="72" t="s">
        <v>410</v>
      </c>
      <c r="B1291" s="73"/>
      <c r="C1291" s="73"/>
      <c r="D1291" s="73"/>
      <c r="E1291" s="73"/>
      <c r="F1291"/>
      <c r="G1291" s="74"/>
      <c r="H1291" s="108"/>
      <c r="I1291" s="71"/>
    </row>
    <row r="1292" spans="1:9" s="65" customFormat="1">
      <c r="A1292" s="75" t="s">
        <v>391</v>
      </c>
      <c r="B1292" s="76" t="s">
        <v>392</v>
      </c>
      <c r="C1292" s="76" t="s">
        <v>393</v>
      </c>
      <c r="D1292" s="76" t="s">
        <v>394</v>
      </c>
      <c r="E1292" s="76" t="s">
        <v>395</v>
      </c>
      <c r="F1292" s="76" t="s">
        <v>396</v>
      </c>
      <c r="G1292" s="76" t="s">
        <v>397</v>
      </c>
      <c r="H1292" s="108"/>
      <c r="I1292" s="71"/>
    </row>
    <row r="1293" spans="1:9" s="65" customFormat="1">
      <c r="A1293" s="77"/>
      <c r="B1293" s="78"/>
      <c r="C1293" s="79"/>
      <c r="D1293" s="107"/>
      <c r="E1293" s="79"/>
      <c r="F1293" s="79"/>
      <c r="G1293" s="107"/>
      <c r="H1293" s="108"/>
      <c r="I1293" s="71"/>
    </row>
    <row r="1294" spans="1:9" s="65" customFormat="1">
      <c r="A1294" s="90"/>
      <c r="B1294" s="91"/>
      <c r="C1294" s="91"/>
      <c r="D1294" s="91"/>
      <c r="E1294" s="91"/>
      <c r="F1294"/>
      <c r="G1294" s="93" t="s">
        <v>407</v>
      </c>
      <c r="H1294" s="107">
        <f>SUM(G1293:G1293)</f>
        <v>0</v>
      </c>
      <c r="I1294" s="71"/>
    </row>
    <row r="1295" spans="1:9" s="65" customFormat="1">
      <c r="A1295" s="72" t="s">
        <v>411</v>
      </c>
      <c r="B1295" s="73"/>
      <c r="C1295" s="73"/>
      <c r="D1295" s="73"/>
      <c r="E1295" s="73"/>
      <c r="F1295"/>
      <c r="G1295" s="74"/>
      <c r="H1295" s="108"/>
      <c r="I1295" s="71"/>
    </row>
    <row r="1296" spans="1:9" s="65" customFormat="1">
      <c r="A1296" s="75" t="s">
        <v>391</v>
      </c>
      <c r="B1296" s="76" t="s">
        <v>392</v>
      </c>
      <c r="C1296" s="76" t="s">
        <v>393</v>
      </c>
      <c r="D1296" s="76" t="s">
        <v>394</v>
      </c>
      <c r="E1296" s="76" t="s">
        <v>395</v>
      </c>
      <c r="F1296" s="76" t="s">
        <v>396</v>
      </c>
      <c r="G1296" s="76" t="s">
        <v>397</v>
      </c>
      <c r="H1296" s="108"/>
      <c r="I1296" s="71"/>
    </row>
    <row r="1297" spans="1:9" s="65" customFormat="1">
      <c r="A1297" s="87" t="s">
        <v>409</v>
      </c>
      <c r="B1297" s="114" t="s">
        <v>747</v>
      </c>
      <c r="C1297" s="114" t="s">
        <v>437</v>
      </c>
      <c r="D1297" s="114">
        <v>800000</v>
      </c>
      <c r="E1297" s="215">
        <v>3.0000000000000001E-3</v>
      </c>
      <c r="F1297" s="79">
        <v>0</v>
      </c>
      <c r="G1297" s="107">
        <f>(D1297*E1297)+((D1297*E1297)*F1297/100)</f>
        <v>2400</v>
      </c>
      <c r="H1297" s="108"/>
      <c r="I1297" s="71"/>
    </row>
    <row r="1298" spans="1:9" s="65" customFormat="1">
      <c r="A1298" s="94"/>
      <c r="B1298" s="95"/>
      <c r="C1298" s="95"/>
      <c r="D1298" s="95"/>
      <c r="E1298" s="95"/>
      <c r="F1298"/>
      <c r="G1298" s="93" t="s">
        <v>407</v>
      </c>
      <c r="H1298" s="107">
        <f>SUM(G1296:G1297)</f>
        <v>2400</v>
      </c>
      <c r="I1298" s="71"/>
    </row>
    <row r="1299" spans="1:9" s="65" customFormat="1">
      <c r="A1299" s="94"/>
      <c r="B1299" s="95"/>
      <c r="C1299" s="95"/>
      <c r="D1299" s="95"/>
      <c r="E1299" s="95"/>
      <c r="F1299"/>
      <c r="G1299" s="74"/>
      <c r="H1299" s="74"/>
      <c r="I1299" s="71"/>
    </row>
    <row r="1300" spans="1:9" s="65" customFormat="1">
      <c r="A1300" s="96"/>
      <c r="B1300" s="97"/>
      <c r="C1300" s="98"/>
      <c r="D1300" s="98"/>
      <c r="E1300" s="98"/>
      <c r="F1300"/>
      <c r="G1300" s="99" t="s">
        <v>412</v>
      </c>
      <c r="H1300" s="115">
        <f>SUM(H1286:H1298)</f>
        <v>3415584</v>
      </c>
      <c r="I1300" s="71"/>
    </row>
    <row r="1301" spans="1:9" s="65" customFormat="1">
      <c r="A1301" s="96"/>
      <c r="B1301" s="97"/>
      <c r="C1301" s="98"/>
      <c r="D1301" s="98"/>
      <c r="E1301" s="98"/>
      <c r="F1301" s="101"/>
      <c r="G1301" s="116"/>
      <c r="H1301" s="70"/>
      <c r="I1301" s="71"/>
    </row>
    <row r="1302" spans="1:9" s="65" customFormat="1" ht="15.75" thickBot="1">
      <c r="A1302" s="624" t="s">
        <v>761</v>
      </c>
      <c r="B1302" s="625"/>
      <c r="C1302" s="625"/>
      <c r="D1302" s="625"/>
      <c r="E1302" s="625"/>
      <c r="F1302" s="625"/>
      <c r="G1302" s="626"/>
      <c r="H1302" s="117">
        <f>+ROUND(H1300,0)</f>
        <v>3415584</v>
      </c>
      <c r="I1302" s="103"/>
    </row>
    <row r="1303" spans="1:9" s="65" customFormat="1">
      <c r="A1303" s="128"/>
      <c r="B1303" s="141"/>
      <c r="C1303" s="141"/>
      <c r="D1303" s="141"/>
      <c r="E1303" s="141"/>
      <c r="F1303" s="141"/>
      <c r="G1303" s="141"/>
      <c r="H1303" s="121"/>
    </row>
    <row r="1304" spans="1:9" s="65" customFormat="1" ht="15.75" thickBot="1">
      <c r="A1304" s="150"/>
      <c r="B1304" s="83"/>
      <c r="C1304" s="148"/>
      <c r="D1304" s="84"/>
      <c r="E1304" s="84"/>
      <c r="F1304" s="84"/>
      <c r="G1304" s="144"/>
      <c r="H1304" s="145"/>
    </row>
    <row r="1305" spans="1:9" s="65" customFormat="1">
      <c r="A1305" s="627"/>
      <c r="B1305" s="629" t="s">
        <v>342</v>
      </c>
      <c r="C1305" s="630"/>
      <c r="D1305" s="630"/>
      <c r="E1305" s="630"/>
      <c r="F1305" s="630"/>
      <c r="G1305" s="630"/>
      <c r="H1305" s="643"/>
      <c r="I1305" s="66" t="s">
        <v>389</v>
      </c>
    </row>
    <row r="1306" spans="1:9" s="65" customFormat="1">
      <c r="A1306" s="628"/>
      <c r="B1306" s="631"/>
      <c r="C1306" s="632"/>
      <c r="D1306" s="632"/>
      <c r="E1306" s="632"/>
      <c r="F1306" s="632"/>
      <c r="G1306" s="632"/>
      <c r="H1306" s="644"/>
      <c r="I1306" s="67" t="s">
        <v>157</v>
      </c>
    </row>
    <row r="1307" spans="1:9" s="65" customFormat="1">
      <c r="A1307" s="68"/>
      <c r="B1307" s="69"/>
      <c r="C1307" s="69"/>
      <c r="D1307" s="69"/>
      <c r="E1307" s="69"/>
      <c r="F1307" s="70"/>
      <c r="G1307" s="70"/>
      <c r="H1307" s="70"/>
      <c r="I1307" s="71"/>
    </row>
    <row r="1308" spans="1:9" s="65" customFormat="1">
      <c r="A1308" s="72" t="s">
        <v>390</v>
      </c>
      <c r="B1308" s="73"/>
      <c r="C1308" s="73"/>
      <c r="D1308" s="73"/>
      <c r="E1308" s="73"/>
      <c r="F1308" s="74"/>
      <c r="G1308" s="74"/>
      <c r="H1308" s="70"/>
      <c r="I1308" s="71"/>
    </row>
    <row r="1309" spans="1:9" s="65" customFormat="1">
      <c r="A1309" s="75" t="s">
        <v>391</v>
      </c>
      <c r="B1309" s="76" t="s">
        <v>392</v>
      </c>
      <c r="C1309" s="76" t="s">
        <v>393</v>
      </c>
      <c r="D1309" s="76" t="s">
        <v>394</v>
      </c>
      <c r="E1309" s="76" t="s">
        <v>395</v>
      </c>
      <c r="F1309" s="76" t="s">
        <v>396</v>
      </c>
      <c r="G1309" s="76" t="s">
        <v>397</v>
      </c>
      <c r="H1309" s="74"/>
      <c r="I1309" s="71"/>
    </row>
    <row r="1310" spans="1:9" s="65" customFormat="1">
      <c r="A1310" s="77"/>
      <c r="B1310" s="79"/>
      <c r="C1310" s="79"/>
      <c r="D1310" s="107"/>
      <c r="E1310" s="79"/>
      <c r="F1310" s="79"/>
      <c r="G1310" s="107"/>
      <c r="H1310" s="74"/>
      <c r="I1310" s="71"/>
    </row>
    <row r="1311" spans="1:9" s="65" customFormat="1">
      <c r="A1311" s="82"/>
      <c r="B1311" s="83"/>
      <c r="C1311" s="84"/>
      <c r="D1311" s="84"/>
      <c r="E1311" s="84"/>
      <c r="F1311"/>
      <c r="G1311" s="93" t="s">
        <v>407</v>
      </c>
      <c r="H1311" s="107">
        <f>SUM(G1310:G1310)</f>
        <v>0</v>
      </c>
      <c r="I1311" s="71"/>
    </row>
    <row r="1312" spans="1:9" s="65" customFormat="1">
      <c r="A1312" s="72" t="s">
        <v>408</v>
      </c>
      <c r="B1312" s="73"/>
      <c r="C1312" s="73"/>
      <c r="D1312" s="73"/>
      <c r="E1312" s="73"/>
      <c r="F1312"/>
      <c r="G1312" s="74"/>
      <c r="H1312" s="108"/>
      <c r="I1312" s="71"/>
    </row>
    <row r="1313" spans="1:9" s="65" customFormat="1">
      <c r="A1313" s="75" t="s">
        <v>391</v>
      </c>
      <c r="B1313" s="76" t="s">
        <v>392</v>
      </c>
      <c r="C1313" s="76" t="s">
        <v>393</v>
      </c>
      <c r="D1313" s="76" t="s">
        <v>394</v>
      </c>
      <c r="E1313" s="76" t="s">
        <v>395</v>
      </c>
      <c r="F1313" s="76" t="s">
        <v>396</v>
      </c>
      <c r="G1313" s="76" t="s">
        <v>397</v>
      </c>
      <c r="H1313" s="108"/>
      <c r="I1313" s="71"/>
    </row>
    <row r="1314" spans="1:9" s="65" customFormat="1">
      <c r="A1314" s="135"/>
      <c r="B1314" s="78" t="s">
        <v>342</v>
      </c>
      <c r="C1314" s="127" t="s">
        <v>157</v>
      </c>
      <c r="D1314" s="107">
        <f>862000*1.2*1.16</f>
        <v>1199904</v>
      </c>
      <c r="E1314" s="79">
        <v>1</v>
      </c>
      <c r="F1314" s="79">
        <v>0</v>
      </c>
      <c r="G1314" s="107">
        <f>(D1314*E1314)+((D1314*E1314)*F1314/100)</f>
        <v>1199904</v>
      </c>
      <c r="H1314" s="108"/>
      <c r="I1314" s="71"/>
    </row>
    <row r="1315" spans="1:9" s="65" customFormat="1">
      <c r="A1315" s="90"/>
      <c r="B1315" s="91"/>
      <c r="C1315" s="91"/>
      <c r="D1315" s="91"/>
      <c r="E1315" s="91"/>
      <c r="F1315"/>
      <c r="G1315" s="85" t="s">
        <v>407</v>
      </c>
      <c r="H1315" s="107">
        <f>SUM(G1314:G1314)</f>
        <v>1199904</v>
      </c>
      <c r="I1315" s="71"/>
    </row>
    <row r="1316" spans="1:9" s="65" customFormat="1">
      <c r="A1316" s="72" t="s">
        <v>410</v>
      </c>
      <c r="B1316" s="73"/>
      <c r="C1316" s="73"/>
      <c r="D1316" s="73"/>
      <c r="E1316" s="73"/>
      <c r="F1316"/>
      <c r="G1316" s="74"/>
      <c r="H1316" s="108"/>
      <c r="I1316" s="71"/>
    </row>
    <row r="1317" spans="1:9" s="65" customFormat="1">
      <c r="A1317" s="75" t="s">
        <v>391</v>
      </c>
      <c r="B1317" s="76" t="s">
        <v>392</v>
      </c>
      <c r="C1317" s="76" t="s">
        <v>393</v>
      </c>
      <c r="D1317" s="76" t="s">
        <v>394</v>
      </c>
      <c r="E1317" s="76" t="s">
        <v>395</v>
      </c>
      <c r="F1317" s="76" t="s">
        <v>396</v>
      </c>
      <c r="G1317" s="76" t="s">
        <v>397</v>
      </c>
      <c r="H1317" s="108"/>
      <c r="I1317" s="71"/>
    </row>
    <row r="1318" spans="1:9" s="65" customFormat="1">
      <c r="A1318" s="77"/>
      <c r="B1318" s="78"/>
      <c r="C1318" s="79"/>
      <c r="D1318" s="107"/>
      <c r="E1318" s="79"/>
      <c r="F1318" s="79"/>
      <c r="G1318" s="107"/>
      <c r="H1318" s="108"/>
      <c r="I1318" s="71"/>
    </row>
    <row r="1319" spans="1:9" s="65" customFormat="1">
      <c r="A1319" s="90"/>
      <c r="B1319" s="91"/>
      <c r="C1319" s="91"/>
      <c r="D1319" s="91"/>
      <c r="E1319" s="91"/>
      <c r="F1319"/>
      <c r="G1319" s="93" t="s">
        <v>407</v>
      </c>
      <c r="H1319" s="107">
        <f>SUM(G1318:G1318)</f>
        <v>0</v>
      </c>
      <c r="I1319" s="71"/>
    </row>
    <row r="1320" spans="1:9" s="65" customFormat="1">
      <c r="A1320" s="72" t="s">
        <v>411</v>
      </c>
      <c r="B1320" s="73"/>
      <c r="C1320" s="73"/>
      <c r="D1320" s="73"/>
      <c r="E1320" s="73"/>
      <c r="F1320"/>
      <c r="G1320" s="74"/>
      <c r="H1320" s="108"/>
      <c r="I1320" s="71"/>
    </row>
    <row r="1321" spans="1:9" s="65" customFormat="1">
      <c r="A1321" s="75" t="s">
        <v>391</v>
      </c>
      <c r="B1321" s="76" t="s">
        <v>392</v>
      </c>
      <c r="C1321" s="76" t="s">
        <v>393</v>
      </c>
      <c r="D1321" s="76" t="s">
        <v>394</v>
      </c>
      <c r="E1321" s="76" t="s">
        <v>395</v>
      </c>
      <c r="F1321" s="76" t="s">
        <v>396</v>
      </c>
      <c r="G1321" s="76" t="s">
        <v>397</v>
      </c>
      <c r="H1321" s="108"/>
      <c r="I1321" s="71"/>
    </row>
    <row r="1322" spans="1:9" s="65" customFormat="1">
      <c r="A1322" s="87" t="s">
        <v>409</v>
      </c>
      <c r="B1322" s="114" t="s">
        <v>747</v>
      </c>
      <c r="C1322" s="114" t="s">
        <v>437</v>
      </c>
      <c r="D1322" s="114">
        <v>800000</v>
      </c>
      <c r="E1322" s="215">
        <v>0.04</v>
      </c>
      <c r="F1322" s="79">
        <v>0</v>
      </c>
      <c r="G1322" s="107">
        <f>(D1322*E1322)+((D1322*E1322)*F1322/100)</f>
        <v>32000</v>
      </c>
      <c r="H1322" s="108"/>
      <c r="I1322" s="71"/>
    </row>
    <row r="1323" spans="1:9" s="65" customFormat="1">
      <c r="A1323" s="94"/>
      <c r="B1323" s="95"/>
      <c r="C1323" s="95"/>
      <c r="D1323" s="95"/>
      <c r="E1323" s="95"/>
      <c r="F1323"/>
      <c r="G1323" s="93" t="s">
        <v>407</v>
      </c>
      <c r="H1323" s="107">
        <f>SUM(G1321:G1322)</f>
        <v>32000</v>
      </c>
      <c r="I1323" s="71"/>
    </row>
    <row r="1324" spans="1:9" s="65" customFormat="1">
      <c r="A1324" s="94"/>
      <c r="B1324" s="95"/>
      <c r="C1324" s="95"/>
      <c r="D1324" s="95"/>
      <c r="E1324" s="95"/>
      <c r="F1324"/>
      <c r="G1324" s="74"/>
      <c r="H1324" s="74"/>
      <c r="I1324" s="71"/>
    </row>
    <row r="1325" spans="1:9" s="65" customFormat="1">
      <c r="A1325" s="96"/>
      <c r="B1325" s="97"/>
      <c r="C1325" s="98"/>
      <c r="D1325" s="98"/>
      <c r="E1325" s="98"/>
      <c r="F1325"/>
      <c r="G1325" s="99" t="s">
        <v>412</v>
      </c>
      <c r="H1325" s="115">
        <f>SUM(H1311:H1323)</f>
        <v>1231904</v>
      </c>
      <c r="I1325" s="71"/>
    </row>
    <row r="1326" spans="1:9" s="65" customFormat="1">
      <c r="A1326" s="96"/>
      <c r="B1326" s="97"/>
      <c r="C1326" s="98"/>
      <c r="D1326" s="98"/>
      <c r="E1326" s="98"/>
      <c r="F1326" s="101"/>
      <c r="G1326" s="116"/>
      <c r="H1326" s="70"/>
      <c r="I1326" s="71"/>
    </row>
    <row r="1327" spans="1:9" s="65" customFormat="1" ht="15.75" thickBot="1">
      <c r="A1327" s="624" t="s">
        <v>761</v>
      </c>
      <c r="B1327" s="625"/>
      <c r="C1327" s="625"/>
      <c r="D1327" s="625"/>
      <c r="E1327" s="625"/>
      <c r="F1327" s="625"/>
      <c r="G1327" s="626"/>
      <c r="H1327" s="117">
        <f>+ROUND(H1325,0)</f>
        <v>1231904</v>
      </c>
      <c r="I1327" s="103"/>
    </row>
    <row r="1328" spans="1:9" s="65" customFormat="1">
      <c r="A1328" s="120"/>
      <c r="B1328" s="73"/>
      <c r="C1328" s="73"/>
      <c r="D1328" s="73"/>
      <c r="E1328" s="73"/>
      <c r="F1328" s="121"/>
      <c r="G1328" s="121"/>
      <c r="H1328" s="121"/>
    </row>
    <row r="1329" spans="1:9" s="65" customFormat="1" ht="15.75" thickBot="1">
      <c r="A1329" s="128"/>
      <c r="B1329" s="141"/>
      <c r="C1329" s="141"/>
      <c r="D1329" s="141"/>
      <c r="E1329" s="141"/>
      <c r="F1329" s="141"/>
      <c r="G1329" s="141"/>
      <c r="H1329" s="121"/>
    </row>
    <row r="1330" spans="1:9" s="65" customFormat="1">
      <c r="A1330" s="627"/>
      <c r="B1330" s="629" t="s">
        <v>914</v>
      </c>
      <c r="C1330" s="630"/>
      <c r="D1330" s="630"/>
      <c r="E1330" s="630"/>
      <c r="F1330" s="630"/>
      <c r="G1330" s="630"/>
      <c r="H1330" s="643"/>
      <c r="I1330" s="66" t="s">
        <v>389</v>
      </c>
    </row>
    <row r="1331" spans="1:9" s="65" customFormat="1">
      <c r="A1331" s="628"/>
      <c r="B1331" s="631"/>
      <c r="C1331" s="632"/>
      <c r="D1331" s="632"/>
      <c r="E1331" s="632"/>
      <c r="F1331" s="632"/>
      <c r="G1331" s="632"/>
      <c r="H1331" s="644"/>
      <c r="I1331" s="67" t="s">
        <v>157</v>
      </c>
    </row>
    <row r="1332" spans="1:9" s="65" customFormat="1">
      <c r="A1332" s="68"/>
      <c r="B1332" s="69"/>
      <c r="C1332" s="69"/>
      <c r="D1332" s="69"/>
      <c r="E1332" s="69"/>
      <c r="F1332" s="70"/>
      <c r="G1332" s="70"/>
      <c r="H1332" s="70"/>
      <c r="I1332" s="71"/>
    </row>
    <row r="1333" spans="1:9" s="65" customFormat="1">
      <c r="A1333" s="72" t="s">
        <v>390</v>
      </c>
      <c r="B1333" s="73"/>
      <c r="C1333" s="73"/>
      <c r="D1333" s="73"/>
      <c r="E1333" s="73"/>
      <c r="F1333" s="74"/>
      <c r="G1333" s="74"/>
      <c r="H1333" s="70"/>
      <c r="I1333" s="71"/>
    </row>
    <row r="1334" spans="1:9" s="65" customFormat="1">
      <c r="A1334" s="75" t="s">
        <v>391</v>
      </c>
      <c r="B1334" s="76" t="s">
        <v>392</v>
      </c>
      <c r="C1334" s="76" t="s">
        <v>393</v>
      </c>
      <c r="D1334" s="76" t="s">
        <v>394</v>
      </c>
      <c r="E1334" s="76" t="s">
        <v>395</v>
      </c>
      <c r="F1334" s="76" t="s">
        <v>396</v>
      </c>
      <c r="G1334" s="76" t="s">
        <v>397</v>
      </c>
      <c r="H1334" s="74"/>
      <c r="I1334" s="71"/>
    </row>
    <row r="1335" spans="1:9" s="65" customFormat="1">
      <c r="A1335" s="77"/>
      <c r="B1335" s="79"/>
      <c r="C1335" s="79"/>
      <c r="D1335" s="107"/>
      <c r="E1335" s="79"/>
      <c r="F1335" s="79"/>
      <c r="G1335" s="107"/>
      <c r="H1335" s="74"/>
      <c r="I1335" s="71"/>
    </row>
    <row r="1336" spans="1:9" s="65" customFormat="1">
      <c r="A1336" s="82"/>
      <c r="B1336" s="83"/>
      <c r="C1336" s="84"/>
      <c r="D1336" s="84"/>
      <c r="E1336" s="84"/>
      <c r="F1336"/>
      <c r="G1336" s="93" t="s">
        <v>407</v>
      </c>
      <c r="H1336" s="107">
        <f>SUM(G1335:G1335)</f>
        <v>0</v>
      </c>
      <c r="I1336" s="71"/>
    </row>
    <row r="1337" spans="1:9" s="65" customFormat="1">
      <c r="A1337" s="72" t="s">
        <v>408</v>
      </c>
      <c r="B1337" s="73"/>
      <c r="C1337" s="73"/>
      <c r="D1337" s="73"/>
      <c r="E1337" s="73"/>
      <c r="F1337"/>
      <c r="G1337" s="74"/>
      <c r="H1337" s="108"/>
      <c r="I1337" s="71"/>
    </row>
    <row r="1338" spans="1:9" s="65" customFormat="1">
      <c r="A1338" s="75" t="s">
        <v>391</v>
      </c>
      <c r="B1338" s="76" t="s">
        <v>392</v>
      </c>
      <c r="C1338" s="76" t="s">
        <v>393</v>
      </c>
      <c r="D1338" s="76" t="s">
        <v>394</v>
      </c>
      <c r="E1338" s="76" t="s">
        <v>395</v>
      </c>
      <c r="F1338" s="76" t="s">
        <v>396</v>
      </c>
      <c r="G1338" s="76" t="s">
        <v>397</v>
      </c>
      <c r="H1338" s="108"/>
      <c r="I1338" s="71"/>
    </row>
    <row r="1339" spans="1:9" s="65" customFormat="1">
      <c r="A1339" s="135"/>
      <c r="B1339" s="78" t="s">
        <v>914</v>
      </c>
      <c r="C1339" s="127" t="s">
        <v>157</v>
      </c>
      <c r="D1339" s="107">
        <f>1436000*1.16*1.2</f>
        <v>1998912</v>
      </c>
      <c r="E1339" s="79">
        <v>1</v>
      </c>
      <c r="F1339" s="79">
        <v>0</v>
      </c>
      <c r="G1339" s="107">
        <f>(D1339*E1339)+((D1339*E1339)*F1339/100)</f>
        <v>1998912</v>
      </c>
      <c r="H1339" s="108"/>
      <c r="I1339" s="71"/>
    </row>
    <row r="1340" spans="1:9" s="65" customFormat="1">
      <c r="A1340" s="90"/>
      <c r="B1340" s="91"/>
      <c r="C1340" s="91"/>
      <c r="D1340" s="91"/>
      <c r="E1340" s="91"/>
      <c r="F1340"/>
      <c r="G1340" s="85" t="s">
        <v>407</v>
      </c>
      <c r="H1340" s="107">
        <f>SUM(G1339:G1339)</f>
        <v>1998912</v>
      </c>
      <c r="I1340" s="71"/>
    </row>
    <row r="1341" spans="1:9" s="65" customFormat="1">
      <c r="A1341" s="72" t="s">
        <v>410</v>
      </c>
      <c r="B1341" s="73"/>
      <c r="C1341" s="73"/>
      <c r="D1341" s="73"/>
      <c r="E1341" s="73"/>
      <c r="F1341"/>
      <c r="G1341" s="74"/>
      <c r="H1341" s="108"/>
      <c r="I1341" s="71"/>
    </row>
    <row r="1342" spans="1:9" s="65" customFormat="1">
      <c r="A1342" s="75" t="s">
        <v>391</v>
      </c>
      <c r="B1342" s="76" t="s">
        <v>392</v>
      </c>
      <c r="C1342" s="76" t="s">
        <v>393</v>
      </c>
      <c r="D1342" s="76" t="s">
        <v>394</v>
      </c>
      <c r="E1342" s="76" t="s">
        <v>395</v>
      </c>
      <c r="F1342" s="76" t="s">
        <v>396</v>
      </c>
      <c r="G1342" s="76" t="s">
        <v>397</v>
      </c>
      <c r="H1342" s="108"/>
      <c r="I1342" s="71"/>
    </row>
    <row r="1343" spans="1:9" s="65" customFormat="1">
      <c r="A1343" s="77"/>
      <c r="B1343" s="78"/>
      <c r="C1343" s="79"/>
      <c r="D1343" s="107"/>
      <c r="E1343" s="79"/>
      <c r="F1343" s="79"/>
      <c r="G1343" s="107"/>
      <c r="H1343" s="108"/>
      <c r="I1343" s="71"/>
    </row>
    <row r="1344" spans="1:9" s="65" customFormat="1">
      <c r="A1344" s="90"/>
      <c r="B1344" s="91"/>
      <c r="C1344" s="91"/>
      <c r="D1344" s="91"/>
      <c r="E1344" s="91"/>
      <c r="F1344"/>
      <c r="G1344" s="93" t="s">
        <v>407</v>
      </c>
      <c r="H1344" s="107">
        <f>SUM(G1343:G1343)</f>
        <v>0</v>
      </c>
      <c r="I1344" s="71"/>
    </row>
    <row r="1345" spans="1:9" s="65" customFormat="1">
      <c r="A1345" s="72" t="s">
        <v>411</v>
      </c>
      <c r="B1345" s="73"/>
      <c r="C1345" s="73"/>
      <c r="D1345" s="73"/>
      <c r="E1345" s="73"/>
      <c r="F1345"/>
      <c r="G1345" s="74"/>
      <c r="H1345" s="108"/>
      <c r="I1345" s="71"/>
    </row>
    <row r="1346" spans="1:9" s="65" customFormat="1">
      <c r="A1346" s="75" t="s">
        <v>391</v>
      </c>
      <c r="B1346" s="76" t="s">
        <v>392</v>
      </c>
      <c r="C1346" s="76" t="s">
        <v>393</v>
      </c>
      <c r="D1346" s="76" t="s">
        <v>394</v>
      </c>
      <c r="E1346" s="76" t="s">
        <v>395</v>
      </c>
      <c r="F1346" s="76" t="s">
        <v>396</v>
      </c>
      <c r="G1346" s="76" t="s">
        <v>397</v>
      </c>
      <c r="H1346" s="108"/>
      <c r="I1346" s="71"/>
    </row>
    <row r="1347" spans="1:9" s="65" customFormat="1">
      <c r="A1347" s="87" t="s">
        <v>409</v>
      </c>
      <c r="B1347" s="114" t="s">
        <v>747</v>
      </c>
      <c r="C1347" s="114" t="s">
        <v>437</v>
      </c>
      <c r="D1347" s="114">
        <v>800000</v>
      </c>
      <c r="E1347" s="215">
        <v>0.02</v>
      </c>
      <c r="F1347" s="79">
        <v>0</v>
      </c>
      <c r="G1347" s="107">
        <f>(D1347*E1347)+((D1347*E1347)*F1347/100)</f>
        <v>16000</v>
      </c>
      <c r="H1347" s="108"/>
      <c r="I1347" s="71"/>
    </row>
    <row r="1348" spans="1:9" s="65" customFormat="1">
      <c r="A1348" s="94"/>
      <c r="B1348" s="95"/>
      <c r="C1348" s="95"/>
      <c r="D1348" s="95"/>
      <c r="E1348" s="95"/>
      <c r="F1348"/>
      <c r="G1348" s="93" t="s">
        <v>407</v>
      </c>
      <c r="H1348" s="107">
        <f>SUM(G1346:G1347)</f>
        <v>16000</v>
      </c>
      <c r="I1348" s="71"/>
    </row>
    <row r="1349" spans="1:9" s="65" customFormat="1">
      <c r="A1349" s="94"/>
      <c r="B1349" s="95"/>
      <c r="C1349" s="95"/>
      <c r="D1349" s="95"/>
      <c r="E1349" s="95"/>
      <c r="F1349"/>
      <c r="G1349" s="74"/>
      <c r="H1349" s="74"/>
      <c r="I1349" s="71"/>
    </row>
    <row r="1350" spans="1:9" s="65" customFormat="1">
      <c r="A1350" s="96"/>
      <c r="B1350" s="97"/>
      <c r="C1350" s="98"/>
      <c r="D1350" s="98"/>
      <c r="E1350" s="98"/>
      <c r="F1350"/>
      <c r="G1350" s="99" t="s">
        <v>412</v>
      </c>
      <c r="H1350" s="115">
        <f>SUM(H1336:H1348)</f>
        <v>2014912</v>
      </c>
      <c r="I1350" s="71"/>
    </row>
    <row r="1351" spans="1:9" s="65" customFormat="1">
      <c r="A1351" s="96"/>
      <c r="B1351" s="97"/>
      <c r="C1351" s="98"/>
      <c r="D1351" s="98"/>
      <c r="E1351" s="98"/>
      <c r="F1351" s="101"/>
      <c r="G1351" s="116"/>
      <c r="H1351" s="70"/>
      <c r="I1351" s="71"/>
    </row>
    <row r="1352" spans="1:9" s="65" customFormat="1" ht="15.75" thickBot="1">
      <c r="A1352" s="624" t="s">
        <v>761</v>
      </c>
      <c r="B1352" s="625"/>
      <c r="C1352" s="625"/>
      <c r="D1352" s="625"/>
      <c r="E1352" s="625"/>
      <c r="F1352" s="625"/>
      <c r="G1352" s="626"/>
      <c r="H1352" s="117">
        <f>+ROUND(H1350,0)</f>
        <v>2014912</v>
      </c>
      <c r="I1352" s="103"/>
    </row>
    <row r="1353" spans="1:9" s="65" customFormat="1">
      <c r="A1353" s="128"/>
      <c r="B1353" s="141"/>
      <c r="C1353" s="141"/>
      <c r="D1353" s="141"/>
      <c r="E1353" s="141"/>
      <c r="F1353" s="141"/>
      <c r="G1353" s="141"/>
      <c r="H1353" s="121"/>
    </row>
    <row r="1354" spans="1:9" s="65" customFormat="1" ht="15.75" thickBot="1">
      <c r="A1354" s="69"/>
      <c r="B1354" s="69"/>
      <c r="C1354" s="69"/>
      <c r="D1354" s="69"/>
      <c r="E1354" s="69"/>
    </row>
    <row r="1355" spans="1:9" s="65" customFormat="1">
      <c r="A1355" s="627"/>
      <c r="B1355" s="629" t="s">
        <v>915</v>
      </c>
      <c r="C1355" s="630"/>
      <c r="D1355" s="630"/>
      <c r="E1355" s="630"/>
      <c r="F1355" s="630"/>
      <c r="G1355" s="630"/>
      <c r="H1355" s="643"/>
      <c r="I1355" s="66" t="s">
        <v>389</v>
      </c>
    </row>
    <row r="1356" spans="1:9" s="65" customFormat="1">
      <c r="A1356" s="628"/>
      <c r="B1356" s="631"/>
      <c r="C1356" s="632"/>
      <c r="D1356" s="632"/>
      <c r="E1356" s="632"/>
      <c r="F1356" s="632"/>
      <c r="G1356" s="632"/>
      <c r="H1356" s="644"/>
      <c r="I1356" s="67" t="s">
        <v>157</v>
      </c>
    </row>
    <row r="1357" spans="1:9" s="65" customFormat="1">
      <c r="A1357" s="68"/>
      <c r="B1357" s="69"/>
      <c r="C1357" s="69"/>
      <c r="D1357" s="69"/>
      <c r="E1357" s="69"/>
      <c r="F1357" s="70"/>
      <c r="G1357" s="70"/>
      <c r="H1357" s="70"/>
      <c r="I1357" s="71"/>
    </row>
    <row r="1358" spans="1:9" s="65" customFormat="1">
      <c r="A1358" s="72" t="s">
        <v>390</v>
      </c>
      <c r="B1358" s="73"/>
      <c r="C1358" s="73"/>
      <c r="D1358" s="73"/>
      <c r="E1358" s="73"/>
      <c r="F1358" s="74"/>
      <c r="G1358" s="74"/>
      <c r="H1358" s="70"/>
      <c r="I1358" s="71"/>
    </row>
    <row r="1359" spans="1:9" s="65" customFormat="1">
      <c r="A1359" s="75" t="s">
        <v>391</v>
      </c>
      <c r="B1359" s="76" t="s">
        <v>392</v>
      </c>
      <c r="C1359" s="76" t="s">
        <v>393</v>
      </c>
      <c r="D1359" s="76" t="s">
        <v>394</v>
      </c>
      <c r="E1359" s="76" t="s">
        <v>395</v>
      </c>
      <c r="F1359" s="76" t="s">
        <v>396</v>
      </c>
      <c r="G1359" s="76" t="s">
        <v>397</v>
      </c>
      <c r="H1359" s="74"/>
      <c r="I1359" s="71"/>
    </row>
    <row r="1360" spans="1:9" s="65" customFormat="1">
      <c r="A1360" s="77"/>
      <c r="B1360" s="79"/>
      <c r="C1360" s="79"/>
      <c r="D1360" s="107"/>
      <c r="E1360" s="79"/>
      <c r="F1360" s="79"/>
      <c r="G1360" s="107"/>
      <c r="H1360" s="74"/>
      <c r="I1360" s="71"/>
    </row>
    <row r="1361" spans="1:9" s="65" customFormat="1">
      <c r="A1361" s="82"/>
      <c r="B1361" s="83"/>
      <c r="C1361" s="84"/>
      <c r="D1361" s="84"/>
      <c r="E1361" s="84"/>
      <c r="F1361"/>
      <c r="G1361" s="93" t="s">
        <v>407</v>
      </c>
      <c r="H1361" s="107">
        <f>SUM(G1360:G1360)</f>
        <v>0</v>
      </c>
      <c r="I1361" s="71"/>
    </row>
    <row r="1362" spans="1:9" s="65" customFormat="1">
      <c r="A1362" s="72" t="s">
        <v>408</v>
      </c>
      <c r="B1362" s="73"/>
      <c r="C1362" s="73"/>
      <c r="D1362" s="73"/>
      <c r="E1362" s="73"/>
      <c r="F1362"/>
      <c r="G1362" s="74"/>
      <c r="H1362" s="108"/>
      <c r="I1362" s="71"/>
    </row>
    <row r="1363" spans="1:9" s="65" customFormat="1">
      <c r="A1363" s="75" t="s">
        <v>391</v>
      </c>
      <c r="B1363" s="76" t="s">
        <v>392</v>
      </c>
      <c r="C1363" s="76" t="s">
        <v>393</v>
      </c>
      <c r="D1363" s="76" t="s">
        <v>394</v>
      </c>
      <c r="E1363" s="76" t="s">
        <v>395</v>
      </c>
      <c r="F1363" s="76" t="s">
        <v>396</v>
      </c>
      <c r="G1363" s="76" t="s">
        <v>397</v>
      </c>
      <c r="H1363" s="108"/>
      <c r="I1363" s="71"/>
    </row>
    <row r="1364" spans="1:9" s="65" customFormat="1">
      <c r="A1364" s="135"/>
      <c r="B1364" s="78" t="s">
        <v>915</v>
      </c>
      <c r="C1364" s="127" t="s">
        <v>157</v>
      </c>
      <c r="D1364" s="107">
        <f>501000*1.16*1.2</f>
        <v>697392</v>
      </c>
      <c r="E1364" s="79">
        <v>1</v>
      </c>
      <c r="F1364" s="79">
        <v>0</v>
      </c>
      <c r="G1364" s="107">
        <f>(D1364*E1364)+((D1364*E1364)*F1364/100)</f>
        <v>697392</v>
      </c>
      <c r="H1364" s="108"/>
      <c r="I1364" s="71"/>
    </row>
    <row r="1365" spans="1:9" s="65" customFormat="1">
      <c r="A1365" s="90"/>
      <c r="B1365" s="91"/>
      <c r="C1365" s="91"/>
      <c r="D1365" s="91"/>
      <c r="E1365" s="91"/>
      <c r="F1365"/>
      <c r="G1365" s="85" t="s">
        <v>407</v>
      </c>
      <c r="H1365" s="107">
        <f>SUM(G1364:G1364)</f>
        <v>697392</v>
      </c>
      <c r="I1365" s="71"/>
    </row>
    <row r="1366" spans="1:9" s="65" customFormat="1">
      <c r="A1366" s="72" t="s">
        <v>410</v>
      </c>
      <c r="B1366" s="73"/>
      <c r="C1366" s="73"/>
      <c r="D1366" s="73"/>
      <c r="E1366" s="73"/>
      <c r="F1366"/>
      <c r="G1366" s="74"/>
      <c r="H1366" s="108"/>
      <c r="I1366" s="71"/>
    </row>
    <row r="1367" spans="1:9" s="65" customFormat="1">
      <c r="A1367" s="75" t="s">
        <v>391</v>
      </c>
      <c r="B1367" s="76" t="s">
        <v>392</v>
      </c>
      <c r="C1367" s="76" t="s">
        <v>393</v>
      </c>
      <c r="D1367" s="76" t="s">
        <v>394</v>
      </c>
      <c r="E1367" s="76" t="s">
        <v>395</v>
      </c>
      <c r="F1367" s="76" t="s">
        <v>396</v>
      </c>
      <c r="G1367" s="76" t="s">
        <v>397</v>
      </c>
      <c r="H1367" s="108"/>
      <c r="I1367" s="71"/>
    </row>
    <row r="1368" spans="1:9" s="65" customFormat="1">
      <c r="A1368" s="77"/>
      <c r="B1368" s="78"/>
      <c r="C1368" s="79"/>
      <c r="D1368" s="107"/>
      <c r="E1368" s="79"/>
      <c r="F1368" s="79"/>
      <c r="G1368" s="107"/>
      <c r="H1368" s="108"/>
      <c r="I1368" s="71"/>
    </row>
    <row r="1369" spans="1:9" s="65" customFormat="1">
      <c r="A1369" s="90"/>
      <c r="B1369" s="91"/>
      <c r="C1369" s="91"/>
      <c r="D1369" s="91"/>
      <c r="E1369" s="91"/>
      <c r="F1369"/>
      <c r="G1369" s="93" t="s">
        <v>407</v>
      </c>
      <c r="H1369" s="107">
        <f>SUM(G1368:G1368)</f>
        <v>0</v>
      </c>
      <c r="I1369" s="71"/>
    </row>
    <row r="1370" spans="1:9" s="65" customFormat="1">
      <c r="A1370" s="72" t="s">
        <v>411</v>
      </c>
      <c r="B1370" s="73"/>
      <c r="C1370" s="73"/>
      <c r="D1370" s="73"/>
      <c r="E1370" s="73"/>
      <c r="F1370"/>
      <c r="G1370" s="74"/>
      <c r="H1370" s="108"/>
      <c r="I1370" s="71"/>
    </row>
    <row r="1371" spans="1:9" s="65" customFormat="1">
      <c r="A1371" s="75" t="s">
        <v>391</v>
      </c>
      <c r="B1371" s="76" t="s">
        <v>392</v>
      </c>
      <c r="C1371" s="76" t="s">
        <v>393</v>
      </c>
      <c r="D1371" s="76" t="s">
        <v>394</v>
      </c>
      <c r="E1371" s="76" t="s">
        <v>395</v>
      </c>
      <c r="F1371" s="76" t="s">
        <v>396</v>
      </c>
      <c r="G1371" s="76" t="s">
        <v>397</v>
      </c>
      <c r="H1371" s="108"/>
      <c r="I1371" s="71"/>
    </row>
    <row r="1372" spans="1:9" s="65" customFormat="1">
      <c r="A1372" s="87" t="s">
        <v>409</v>
      </c>
      <c r="B1372" s="114" t="s">
        <v>747</v>
      </c>
      <c r="C1372" s="114" t="s">
        <v>437</v>
      </c>
      <c r="D1372" s="114">
        <v>800000</v>
      </c>
      <c r="E1372" s="215">
        <v>0.01</v>
      </c>
      <c r="F1372" s="79">
        <v>0</v>
      </c>
      <c r="G1372" s="107">
        <f>(D1372*E1372)+((D1372*E1372)*F1372/100)</f>
        <v>8000</v>
      </c>
      <c r="H1372" s="108"/>
      <c r="I1372" s="71"/>
    </row>
    <row r="1373" spans="1:9" s="65" customFormat="1">
      <c r="A1373" s="94"/>
      <c r="B1373" s="95"/>
      <c r="C1373" s="95"/>
      <c r="D1373" s="95"/>
      <c r="E1373" s="95"/>
      <c r="F1373"/>
      <c r="G1373" s="93" t="s">
        <v>407</v>
      </c>
      <c r="H1373" s="107">
        <f>SUM(G1371:G1372)</f>
        <v>8000</v>
      </c>
      <c r="I1373" s="71"/>
    </row>
    <row r="1374" spans="1:9" s="65" customFormat="1">
      <c r="A1374" s="94"/>
      <c r="B1374" s="95"/>
      <c r="C1374" s="95"/>
      <c r="D1374" s="95"/>
      <c r="E1374" s="95"/>
      <c r="F1374"/>
      <c r="G1374" s="74"/>
      <c r="H1374" s="74"/>
      <c r="I1374" s="71"/>
    </row>
    <row r="1375" spans="1:9" s="65" customFormat="1">
      <c r="A1375" s="96"/>
      <c r="B1375" s="97"/>
      <c r="C1375" s="98"/>
      <c r="D1375" s="98"/>
      <c r="E1375" s="98"/>
      <c r="F1375"/>
      <c r="G1375" s="99" t="s">
        <v>412</v>
      </c>
      <c r="H1375" s="115">
        <f>SUM(H1361:H1373)</f>
        <v>705392</v>
      </c>
      <c r="I1375" s="71"/>
    </row>
    <row r="1376" spans="1:9" s="65" customFormat="1">
      <c r="A1376" s="96"/>
      <c r="B1376" s="97"/>
      <c r="C1376" s="98"/>
      <c r="D1376" s="98"/>
      <c r="E1376" s="98"/>
      <c r="F1376" s="101"/>
      <c r="G1376" s="116"/>
      <c r="H1376" s="70"/>
      <c r="I1376" s="71"/>
    </row>
    <row r="1377" spans="1:9" s="65" customFormat="1" ht="15.75" thickBot="1">
      <c r="A1377" s="624" t="s">
        <v>761</v>
      </c>
      <c r="B1377" s="625"/>
      <c r="C1377" s="625"/>
      <c r="D1377" s="625"/>
      <c r="E1377" s="625"/>
      <c r="F1377" s="625"/>
      <c r="G1377" s="626"/>
      <c r="H1377" s="117">
        <f>+ROUND(H1375,0)</f>
        <v>705392</v>
      </c>
      <c r="I1377" s="210"/>
    </row>
    <row r="1378" spans="1:9" s="65" customFormat="1">
      <c r="A1378" s="273"/>
      <c r="B1378" s="248"/>
      <c r="C1378" s="248"/>
      <c r="D1378" s="248"/>
      <c r="E1378" s="248"/>
      <c r="F1378" s="248"/>
      <c r="G1378" s="248"/>
      <c r="H1378" s="119"/>
      <c r="I1378" s="70"/>
    </row>
    <row r="1379" spans="1:9" s="65" customFormat="1" ht="15.75" thickBot="1">
      <c r="A1379" s="273"/>
      <c r="B1379" s="248"/>
      <c r="C1379" s="248"/>
      <c r="D1379" s="248"/>
      <c r="E1379" s="248"/>
      <c r="F1379" s="248"/>
      <c r="G1379" s="248"/>
      <c r="H1379" s="119"/>
      <c r="I1379" s="70"/>
    </row>
    <row r="1380" spans="1:9" s="65" customFormat="1">
      <c r="A1380" s="627"/>
      <c r="B1380" s="629" t="s">
        <v>373</v>
      </c>
      <c r="C1380" s="630"/>
      <c r="D1380" s="630"/>
      <c r="E1380" s="630"/>
      <c r="F1380" s="630"/>
      <c r="G1380" s="630"/>
      <c r="H1380" s="643"/>
      <c r="I1380" s="66" t="s">
        <v>389</v>
      </c>
    </row>
    <row r="1381" spans="1:9" s="65" customFormat="1">
      <c r="A1381" s="628"/>
      <c r="B1381" s="631"/>
      <c r="C1381" s="632"/>
      <c r="D1381" s="632"/>
      <c r="E1381" s="632"/>
      <c r="F1381" s="632"/>
      <c r="G1381" s="632"/>
      <c r="H1381" s="644"/>
      <c r="I1381" s="67" t="s">
        <v>157</v>
      </c>
    </row>
    <row r="1382" spans="1:9" s="65" customFormat="1">
      <c r="A1382" s="68"/>
      <c r="B1382" s="69"/>
      <c r="C1382" s="69"/>
      <c r="D1382" s="69"/>
      <c r="E1382" s="69"/>
      <c r="F1382" s="70"/>
      <c r="G1382" s="70"/>
      <c r="H1382" s="70"/>
      <c r="I1382" s="71"/>
    </row>
    <row r="1383" spans="1:9" s="65" customFormat="1">
      <c r="A1383" s="72" t="s">
        <v>390</v>
      </c>
      <c r="B1383" s="73"/>
      <c r="C1383" s="73"/>
      <c r="D1383" s="73"/>
      <c r="E1383" s="73"/>
      <c r="F1383" s="74"/>
      <c r="G1383" s="74"/>
      <c r="H1383" s="70"/>
      <c r="I1383" s="71"/>
    </row>
    <row r="1384" spans="1:9" s="65" customFormat="1">
      <c r="A1384" s="75" t="s">
        <v>391</v>
      </c>
      <c r="B1384" s="76" t="s">
        <v>392</v>
      </c>
      <c r="C1384" s="76" t="s">
        <v>393</v>
      </c>
      <c r="D1384" s="76" t="s">
        <v>394</v>
      </c>
      <c r="E1384" s="76" t="s">
        <v>395</v>
      </c>
      <c r="F1384" s="76" t="s">
        <v>396</v>
      </c>
      <c r="G1384" s="76" t="s">
        <v>397</v>
      </c>
      <c r="H1384" s="74"/>
      <c r="I1384" s="71"/>
    </row>
    <row r="1385" spans="1:9" s="65" customFormat="1">
      <c r="A1385" s="77"/>
      <c r="B1385" s="79"/>
      <c r="C1385" s="79"/>
      <c r="D1385" s="107"/>
      <c r="E1385" s="79"/>
      <c r="F1385" s="79"/>
      <c r="G1385" s="107"/>
      <c r="H1385" s="74"/>
      <c r="I1385" s="71"/>
    </row>
    <row r="1386" spans="1:9" s="65" customFormat="1">
      <c r="A1386" s="82"/>
      <c r="B1386" s="83"/>
      <c r="C1386" s="84"/>
      <c r="D1386" s="84"/>
      <c r="E1386" s="84"/>
      <c r="F1386"/>
      <c r="G1386" s="93" t="s">
        <v>407</v>
      </c>
      <c r="H1386" s="107">
        <f>SUM(G1385:G1385)</f>
        <v>0</v>
      </c>
      <c r="I1386" s="71"/>
    </row>
    <row r="1387" spans="1:9" s="65" customFormat="1">
      <c r="A1387" s="72" t="s">
        <v>408</v>
      </c>
      <c r="B1387" s="73"/>
      <c r="C1387" s="73"/>
      <c r="D1387" s="73"/>
      <c r="E1387" s="73"/>
      <c r="F1387"/>
      <c r="G1387" s="74"/>
      <c r="H1387" s="108"/>
      <c r="I1387" s="71"/>
    </row>
    <row r="1388" spans="1:9" s="65" customFormat="1">
      <c r="A1388" s="75" t="s">
        <v>391</v>
      </c>
      <c r="B1388" s="76" t="s">
        <v>392</v>
      </c>
      <c r="C1388" s="76" t="s">
        <v>393</v>
      </c>
      <c r="D1388" s="76" t="s">
        <v>394</v>
      </c>
      <c r="E1388" s="76" t="s">
        <v>395</v>
      </c>
      <c r="F1388" s="76" t="s">
        <v>396</v>
      </c>
      <c r="G1388" s="76" t="s">
        <v>397</v>
      </c>
      <c r="H1388" s="108"/>
      <c r="I1388" s="71"/>
    </row>
    <row r="1389" spans="1:9" s="65" customFormat="1">
      <c r="A1389" s="135"/>
      <c r="B1389" s="78" t="s">
        <v>373</v>
      </c>
      <c r="C1389" s="127" t="s">
        <v>157</v>
      </c>
      <c r="D1389" s="107">
        <f>487000*1.2*1.16</f>
        <v>677904</v>
      </c>
      <c r="E1389" s="79">
        <v>1</v>
      </c>
      <c r="F1389" s="79">
        <v>0</v>
      </c>
      <c r="G1389" s="107">
        <f>(D1389*E1389)+((D1389*E1389)*F1389/100)</f>
        <v>677904</v>
      </c>
      <c r="H1389" s="108"/>
      <c r="I1389" s="71"/>
    </row>
    <row r="1390" spans="1:9" s="65" customFormat="1">
      <c r="A1390" s="90"/>
      <c r="B1390" s="91"/>
      <c r="C1390" s="91"/>
      <c r="D1390" s="91"/>
      <c r="E1390" s="91"/>
      <c r="F1390"/>
      <c r="G1390" s="85" t="s">
        <v>407</v>
      </c>
      <c r="H1390" s="107">
        <f>SUM(G1389:G1389)</f>
        <v>677904</v>
      </c>
      <c r="I1390" s="71"/>
    </row>
    <row r="1391" spans="1:9" s="65" customFormat="1">
      <c r="A1391" s="72" t="s">
        <v>410</v>
      </c>
      <c r="B1391" s="73"/>
      <c r="C1391" s="73"/>
      <c r="D1391" s="73"/>
      <c r="E1391" s="73"/>
      <c r="F1391"/>
      <c r="G1391" s="74"/>
      <c r="H1391" s="108"/>
      <c r="I1391" s="71"/>
    </row>
    <row r="1392" spans="1:9" s="65" customFormat="1">
      <c r="A1392" s="75" t="s">
        <v>391</v>
      </c>
      <c r="B1392" s="76" t="s">
        <v>392</v>
      </c>
      <c r="C1392" s="76" t="s">
        <v>393</v>
      </c>
      <c r="D1392" s="76" t="s">
        <v>394</v>
      </c>
      <c r="E1392" s="76" t="s">
        <v>395</v>
      </c>
      <c r="F1392" s="76" t="s">
        <v>396</v>
      </c>
      <c r="G1392" s="76" t="s">
        <v>397</v>
      </c>
      <c r="H1392" s="108"/>
      <c r="I1392" s="71"/>
    </row>
    <row r="1393" spans="1:9" s="65" customFormat="1">
      <c r="A1393" s="77"/>
      <c r="B1393" s="78"/>
      <c r="C1393" s="79"/>
      <c r="D1393" s="107"/>
      <c r="E1393" s="79"/>
      <c r="F1393" s="79"/>
      <c r="G1393" s="107"/>
      <c r="H1393" s="108"/>
      <c r="I1393" s="71"/>
    </row>
    <row r="1394" spans="1:9" s="65" customFormat="1">
      <c r="A1394" s="90"/>
      <c r="B1394" s="91"/>
      <c r="C1394" s="91"/>
      <c r="D1394" s="91"/>
      <c r="E1394" s="91"/>
      <c r="F1394"/>
      <c r="G1394" s="93" t="s">
        <v>407</v>
      </c>
      <c r="H1394" s="107">
        <f>SUM(G1393:G1393)</f>
        <v>0</v>
      </c>
      <c r="I1394" s="71"/>
    </row>
    <row r="1395" spans="1:9" s="65" customFormat="1">
      <c r="A1395" s="72" t="s">
        <v>411</v>
      </c>
      <c r="B1395" s="73"/>
      <c r="C1395" s="73"/>
      <c r="D1395" s="73"/>
      <c r="E1395" s="73"/>
      <c r="F1395"/>
      <c r="G1395" s="74"/>
      <c r="H1395" s="108"/>
      <c r="I1395" s="71"/>
    </row>
    <row r="1396" spans="1:9" s="65" customFormat="1">
      <c r="A1396" s="75" t="s">
        <v>391</v>
      </c>
      <c r="B1396" s="76" t="s">
        <v>392</v>
      </c>
      <c r="C1396" s="76" t="s">
        <v>393</v>
      </c>
      <c r="D1396" s="76" t="s">
        <v>394</v>
      </c>
      <c r="E1396" s="76" t="s">
        <v>395</v>
      </c>
      <c r="F1396" s="76" t="s">
        <v>396</v>
      </c>
      <c r="G1396" s="76" t="s">
        <v>397</v>
      </c>
      <c r="H1396" s="108"/>
      <c r="I1396" s="71"/>
    </row>
    <row r="1397" spans="1:9" s="65" customFormat="1" ht="71.25" customHeight="1">
      <c r="A1397" s="87" t="s">
        <v>409</v>
      </c>
      <c r="B1397" s="114" t="s">
        <v>747</v>
      </c>
      <c r="C1397" s="114" t="s">
        <v>437</v>
      </c>
      <c r="D1397" s="114">
        <v>800000</v>
      </c>
      <c r="E1397" s="215">
        <v>0.09</v>
      </c>
      <c r="F1397" s="79">
        <v>0</v>
      </c>
      <c r="G1397" s="107">
        <f>(D1397*E1397)+((D1397*E1397)*F1397/100)</f>
        <v>72000</v>
      </c>
      <c r="H1397" s="108"/>
      <c r="I1397" s="71"/>
    </row>
    <row r="1398" spans="1:9" s="65" customFormat="1">
      <c r="A1398" s="94"/>
      <c r="B1398" s="95"/>
      <c r="C1398" s="95"/>
      <c r="D1398" s="95"/>
      <c r="E1398" s="95"/>
      <c r="F1398"/>
      <c r="G1398" s="93" t="s">
        <v>407</v>
      </c>
      <c r="H1398" s="107">
        <f>SUM(G1396:G1397)</f>
        <v>72000</v>
      </c>
      <c r="I1398" s="71"/>
    </row>
    <row r="1399" spans="1:9" s="65" customFormat="1">
      <c r="A1399" s="94"/>
      <c r="B1399" s="95"/>
      <c r="C1399" s="95"/>
      <c r="D1399" s="95"/>
      <c r="E1399" s="95"/>
      <c r="F1399"/>
      <c r="G1399" s="74"/>
      <c r="H1399" s="74"/>
      <c r="I1399" s="71"/>
    </row>
    <row r="1400" spans="1:9" s="65" customFormat="1">
      <c r="A1400" s="96"/>
      <c r="B1400" s="97"/>
      <c r="C1400" s="98"/>
      <c r="D1400" s="98"/>
      <c r="E1400" s="98"/>
      <c r="F1400"/>
      <c r="G1400" s="99" t="s">
        <v>412</v>
      </c>
      <c r="H1400" s="115">
        <f>SUM(H1386:H1398)</f>
        <v>749904</v>
      </c>
      <c r="I1400" s="71"/>
    </row>
    <row r="1401" spans="1:9" s="65" customFormat="1">
      <c r="A1401" s="96"/>
      <c r="B1401" s="97"/>
      <c r="C1401" s="98"/>
      <c r="D1401" s="98"/>
      <c r="E1401" s="98"/>
      <c r="F1401" s="101"/>
      <c r="G1401" s="116"/>
      <c r="H1401" s="70"/>
      <c r="I1401" s="71"/>
    </row>
    <row r="1402" spans="1:9" s="65" customFormat="1" ht="15.75" thickBot="1">
      <c r="A1402" s="624" t="s">
        <v>761</v>
      </c>
      <c r="B1402" s="625"/>
      <c r="C1402" s="625"/>
      <c r="D1402" s="625"/>
      <c r="E1402" s="625"/>
      <c r="F1402" s="625"/>
      <c r="G1402" s="626"/>
      <c r="H1402" s="117">
        <f>+ROUND(H1400,0)</f>
        <v>749904</v>
      </c>
      <c r="I1402" s="103"/>
    </row>
    <row r="1403" spans="1:9" s="65" customFormat="1">
      <c r="B1403" s="97"/>
      <c r="C1403" s="98"/>
      <c r="D1403" s="98"/>
      <c r="E1403" s="98"/>
      <c r="F1403" s="128"/>
      <c r="G1403" s="133"/>
      <c r="H1403" s="134"/>
    </row>
    <row r="1404" spans="1:9" s="65" customFormat="1">
      <c r="A1404" s="633"/>
      <c r="B1404" s="633"/>
      <c r="C1404" s="633"/>
      <c r="D1404" s="633"/>
      <c r="E1404" s="633"/>
      <c r="F1404" s="633"/>
      <c r="G1404" s="633"/>
    </row>
    <row r="1405" spans="1:9" s="65" customFormat="1" ht="15.75" thickBot="1">
      <c r="H1405" s="156"/>
      <c r="I1405" s="151"/>
    </row>
    <row r="1406" spans="1:9" s="65" customFormat="1">
      <c r="A1406" s="627"/>
      <c r="B1406" s="629" t="s">
        <v>369</v>
      </c>
      <c r="C1406" s="630"/>
      <c r="D1406" s="630"/>
      <c r="E1406" s="630"/>
      <c r="F1406" s="630"/>
      <c r="G1406" s="630"/>
      <c r="H1406" s="643"/>
      <c r="I1406" s="66" t="s">
        <v>389</v>
      </c>
    </row>
    <row r="1407" spans="1:9" s="65" customFormat="1">
      <c r="A1407" s="628"/>
      <c r="B1407" s="631"/>
      <c r="C1407" s="632"/>
      <c r="D1407" s="632"/>
      <c r="E1407" s="632"/>
      <c r="F1407" s="632"/>
      <c r="G1407" s="632"/>
      <c r="H1407" s="644"/>
      <c r="I1407" s="67" t="s">
        <v>7</v>
      </c>
    </row>
    <row r="1408" spans="1:9" s="65" customFormat="1">
      <c r="A1408" s="68"/>
      <c r="B1408" s="69"/>
      <c r="C1408" s="69"/>
      <c r="D1408" s="69"/>
      <c r="E1408" s="69"/>
      <c r="F1408" s="70"/>
      <c r="G1408" s="70"/>
      <c r="H1408" s="70"/>
      <c r="I1408" s="71"/>
    </row>
    <row r="1409" spans="1:9" s="65" customFormat="1">
      <c r="A1409" s="72" t="s">
        <v>390</v>
      </c>
      <c r="B1409" s="73"/>
      <c r="C1409" s="73"/>
      <c r="D1409" s="73"/>
      <c r="E1409" s="73"/>
      <c r="F1409" s="74"/>
      <c r="G1409" s="74"/>
      <c r="H1409" s="70"/>
      <c r="I1409" s="71"/>
    </row>
    <row r="1410" spans="1:9" s="65" customFormat="1">
      <c r="A1410" s="75" t="s">
        <v>391</v>
      </c>
      <c r="B1410" s="76" t="s">
        <v>392</v>
      </c>
      <c r="C1410" s="76" t="s">
        <v>393</v>
      </c>
      <c r="D1410" s="76" t="s">
        <v>394</v>
      </c>
      <c r="E1410" s="76" t="s">
        <v>395</v>
      </c>
      <c r="F1410" s="76" t="s">
        <v>396</v>
      </c>
      <c r="G1410" s="76" t="s">
        <v>397</v>
      </c>
      <c r="H1410" s="74"/>
      <c r="I1410" s="71"/>
    </row>
    <row r="1411" spans="1:9" s="65" customFormat="1">
      <c r="A1411" s="77"/>
      <c r="B1411" s="79"/>
      <c r="C1411" s="79"/>
      <c r="D1411" s="107"/>
      <c r="E1411" s="79"/>
      <c r="F1411" s="79"/>
      <c r="G1411" s="107"/>
      <c r="H1411" s="74"/>
      <c r="I1411" s="71"/>
    </row>
    <row r="1412" spans="1:9" s="65" customFormat="1">
      <c r="A1412" s="82"/>
      <c r="B1412" s="83"/>
      <c r="C1412" s="84"/>
      <c r="D1412" s="84"/>
      <c r="E1412" s="84"/>
      <c r="F1412"/>
      <c r="G1412" s="93" t="s">
        <v>407</v>
      </c>
      <c r="H1412" s="107">
        <f>SUM(G1411:G1411)</f>
        <v>0</v>
      </c>
      <c r="I1412" s="71"/>
    </row>
    <row r="1413" spans="1:9" s="65" customFormat="1">
      <c r="A1413" s="72" t="s">
        <v>408</v>
      </c>
      <c r="B1413" s="73"/>
      <c r="C1413" s="73"/>
      <c r="D1413" s="73"/>
      <c r="E1413" s="73"/>
      <c r="F1413"/>
      <c r="G1413" s="74"/>
      <c r="H1413" s="108"/>
      <c r="I1413" s="71"/>
    </row>
    <row r="1414" spans="1:9" s="65" customFormat="1">
      <c r="A1414" s="75" t="s">
        <v>391</v>
      </c>
      <c r="B1414" s="76" t="s">
        <v>392</v>
      </c>
      <c r="C1414" s="76" t="s">
        <v>393</v>
      </c>
      <c r="D1414" s="76" t="s">
        <v>394</v>
      </c>
      <c r="E1414" s="76" t="s">
        <v>395</v>
      </c>
      <c r="F1414" s="76" t="s">
        <v>396</v>
      </c>
      <c r="G1414" s="76" t="s">
        <v>397</v>
      </c>
      <c r="H1414" s="108"/>
      <c r="I1414" s="71"/>
    </row>
    <row r="1415" spans="1:9" s="65" customFormat="1">
      <c r="A1415" s="135"/>
      <c r="B1415" s="78" t="s">
        <v>369</v>
      </c>
      <c r="C1415" s="127" t="s">
        <v>493</v>
      </c>
      <c r="D1415" s="107">
        <f>501000*2*1.2*1.16</f>
        <v>1394784</v>
      </c>
      <c r="E1415" s="79">
        <v>1</v>
      </c>
      <c r="F1415" s="79">
        <v>0</v>
      </c>
      <c r="G1415" s="107">
        <f>(D1415*E1415)+((D1415*E1415)*F1415/100)</f>
        <v>1394784</v>
      </c>
      <c r="H1415" s="108"/>
      <c r="I1415" s="71"/>
    </row>
    <row r="1416" spans="1:9" s="65" customFormat="1">
      <c r="A1416" s="90"/>
      <c r="B1416" s="91"/>
      <c r="C1416" s="91"/>
      <c r="D1416" s="91"/>
      <c r="E1416" s="91"/>
      <c r="F1416"/>
      <c r="G1416" s="85" t="s">
        <v>407</v>
      </c>
      <c r="H1416" s="107">
        <f>SUM(G1415:G1415)</f>
        <v>1394784</v>
      </c>
      <c r="I1416" s="71"/>
    </row>
    <row r="1417" spans="1:9" s="65" customFormat="1">
      <c r="A1417" s="72" t="s">
        <v>410</v>
      </c>
      <c r="B1417" s="73"/>
      <c r="C1417" s="73"/>
      <c r="D1417" s="73"/>
      <c r="E1417" s="73"/>
      <c r="F1417"/>
      <c r="G1417" s="74"/>
      <c r="H1417" s="108"/>
      <c r="I1417" s="71"/>
    </row>
    <row r="1418" spans="1:9" s="65" customFormat="1">
      <c r="A1418" s="75" t="s">
        <v>391</v>
      </c>
      <c r="B1418" s="76" t="s">
        <v>392</v>
      </c>
      <c r="C1418" s="76" t="s">
        <v>393</v>
      </c>
      <c r="D1418" s="76" t="s">
        <v>394</v>
      </c>
      <c r="E1418" s="76" t="s">
        <v>395</v>
      </c>
      <c r="F1418" s="76" t="s">
        <v>396</v>
      </c>
      <c r="G1418" s="76" t="s">
        <v>397</v>
      </c>
      <c r="H1418" s="108"/>
      <c r="I1418" s="71"/>
    </row>
    <row r="1419" spans="1:9" s="65" customFormat="1">
      <c r="A1419" s="77"/>
      <c r="B1419" s="78"/>
      <c r="C1419" s="79"/>
      <c r="D1419" s="107"/>
      <c r="E1419" s="79"/>
      <c r="F1419" s="79"/>
      <c r="G1419" s="107"/>
      <c r="H1419" s="108"/>
      <c r="I1419" s="71"/>
    </row>
    <row r="1420" spans="1:9" s="65" customFormat="1">
      <c r="A1420" s="90"/>
      <c r="B1420" s="91"/>
      <c r="C1420" s="91"/>
      <c r="D1420" s="91"/>
      <c r="E1420" s="91"/>
      <c r="F1420"/>
      <c r="G1420" s="93" t="s">
        <v>407</v>
      </c>
      <c r="H1420" s="107">
        <f>SUM(G1419:G1419)</f>
        <v>0</v>
      </c>
      <c r="I1420" s="71"/>
    </row>
    <row r="1421" spans="1:9" s="65" customFormat="1">
      <c r="A1421" s="72" t="s">
        <v>411</v>
      </c>
      <c r="B1421" s="73"/>
      <c r="C1421" s="73"/>
      <c r="D1421" s="73"/>
      <c r="E1421" s="73"/>
      <c r="F1421"/>
      <c r="G1421" s="74"/>
      <c r="H1421" s="108"/>
      <c r="I1421" s="71"/>
    </row>
    <row r="1422" spans="1:9" s="65" customFormat="1">
      <c r="A1422" s="75" t="s">
        <v>391</v>
      </c>
      <c r="B1422" s="76" t="s">
        <v>392</v>
      </c>
      <c r="C1422" s="76" t="s">
        <v>393</v>
      </c>
      <c r="D1422" s="76" t="s">
        <v>394</v>
      </c>
      <c r="E1422" s="76" t="s">
        <v>395</v>
      </c>
      <c r="F1422" s="76" t="s">
        <v>396</v>
      </c>
      <c r="G1422" s="76" t="s">
        <v>397</v>
      </c>
      <c r="H1422" s="108"/>
      <c r="I1422" s="71"/>
    </row>
    <row r="1423" spans="1:9" s="65" customFormat="1">
      <c r="A1423" s="87" t="s">
        <v>409</v>
      </c>
      <c r="B1423" s="114" t="s">
        <v>747</v>
      </c>
      <c r="C1423" s="114" t="s">
        <v>437</v>
      </c>
      <c r="D1423" s="114">
        <v>800000</v>
      </c>
      <c r="E1423" s="215">
        <v>0.1</v>
      </c>
      <c r="F1423" s="79">
        <v>0</v>
      </c>
      <c r="G1423" s="107">
        <f>(D1423*E1423)+((D1423*E1423)*F1423/100)</f>
        <v>80000</v>
      </c>
      <c r="H1423" s="108"/>
      <c r="I1423" s="71"/>
    </row>
    <row r="1424" spans="1:9" s="65" customFormat="1">
      <c r="A1424" s="94"/>
      <c r="B1424" s="95"/>
      <c r="C1424" s="95"/>
      <c r="D1424" s="95"/>
      <c r="E1424" s="95"/>
      <c r="F1424"/>
      <c r="G1424" s="93" t="s">
        <v>407</v>
      </c>
      <c r="H1424" s="107">
        <f>SUM(G1422:G1423)</f>
        <v>80000</v>
      </c>
      <c r="I1424" s="71"/>
    </row>
    <row r="1425" spans="1:9" s="65" customFormat="1">
      <c r="A1425" s="94"/>
      <c r="B1425" s="95"/>
      <c r="C1425" s="95"/>
      <c r="D1425" s="95"/>
      <c r="E1425" s="95"/>
      <c r="F1425"/>
      <c r="G1425" s="74"/>
      <c r="H1425" s="74"/>
      <c r="I1425" s="71"/>
    </row>
    <row r="1426" spans="1:9" s="65" customFormat="1">
      <c r="A1426" s="96"/>
      <c r="B1426" s="97"/>
      <c r="C1426" s="98"/>
      <c r="D1426" s="98"/>
      <c r="E1426" s="98"/>
      <c r="F1426"/>
      <c r="G1426" s="99" t="s">
        <v>412</v>
      </c>
      <c r="H1426" s="115">
        <f>SUM(H1412:H1424)</f>
        <v>1474784</v>
      </c>
      <c r="I1426" s="71"/>
    </row>
    <row r="1427" spans="1:9" s="65" customFormat="1">
      <c r="A1427" s="96"/>
      <c r="B1427" s="97"/>
      <c r="C1427" s="98"/>
      <c r="D1427" s="98"/>
      <c r="E1427" s="98"/>
      <c r="F1427" s="101"/>
      <c r="G1427" s="116"/>
      <c r="H1427" s="70"/>
      <c r="I1427" s="71"/>
    </row>
    <row r="1428" spans="1:9" s="65" customFormat="1" ht="15.75" thickBot="1">
      <c r="A1428" s="624" t="s">
        <v>502</v>
      </c>
      <c r="B1428" s="625"/>
      <c r="C1428" s="625"/>
      <c r="D1428" s="625"/>
      <c r="E1428" s="625"/>
      <c r="F1428" s="625"/>
      <c r="G1428" s="626"/>
      <c r="H1428" s="117">
        <f>+ROUND(H1426,0)</f>
        <v>1474784</v>
      </c>
      <c r="I1428" s="103"/>
    </row>
    <row r="1429" spans="1:9" s="65" customFormat="1">
      <c r="B1429" s="97"/>
      <c r="C1429" s="98"/>
      <c r="D1429" s="98"/>
      <c r="E1429" s="98"/>
      <c r="F1429" s="128"/>
      <c r="G1429" s="133"/>
      <c r="H1429" s="134"/>
    </row>
    <row r="1430" spans="1:9" s="65" customFormat="1" ht="15.75" thickBot="1">
      <c r="A1430" s="633"/>
      <c r="B1430" s="633"/>
      <c r="C1430" s="633"/>
      <c r="D1430" s="633"/>
      <c r="E1430" s="633"/>
      <c r="F1430" s="633"/>
      <c r="G1430" s="633"/>
    </row>
    <row r="1431" spans="1:9" s="65" customFormat="1">
      <c r="A1431" s="627"/>
      <c r="B1431" s="629" t="s">
        <v>371</v>
      </c>
      <c r="C1431" s="630"/>
      <c r="D1431" s="630"/>
      <c r="E1431" s="630"/>
      <c r="F1431" s="630"/>
      <c r="G1431" s="630"/>
      <c r="H1431" s="643"/>
      <c r="I1431" s="66" t="s">
        <v>389</v>
      </c>
    </row>
    <row r="1432" spans="1:9" s="65" customFormat="1">
      <c r="A1432" s="628"/>
      <c r="B1432" s="631"/>
      <c r="C1432" s="632"/>
      <c r="D1432" s="632"/>
      <c r="E1432" s="632"/>
      <c r="F1432" s="632"/>
      <c r="G1432" s="632"/>
      <c r="H1432" s="644"/>
      <c r="I1432" s="67" t="s">
        <v>7</v>
      </c>
    </row>
    <row r="1433" spans="1:9" s="65" customFormat="1">
      <c r="A1433" s="68"/>
      <c r="B1433" s="69"/>
      <c r="C1433" s="69"/>
      <c r="D1433" s="69"/>
      <c r="E1433" s="69"/>
      <c r="F1433" s="70"/>
      <c r="G1433" s="70"/>
      <c r="H1433" s="70"/>
      <c r="I1433" s="71"/>
    </row>
    <row r="1434" spans="1:9" s="65" customFormat="1">
      <c r="A1434" s="72" t="s">
        <v>390</v>
      </c>
      <c r="B1434" s="73"/>
      <c r="C1434" s="73"/>
      <c r="D1434" s="73"/>
      <c r="E1434" s="73"/>
      <c r="F1434" s="74"/>
      <c r="G1434" s="74"/>
      <c r="H1434" s="70"/>
      <c r="I1434" s="71"/>
    </row>
    <row r="1435" spans="1:9" s="65" customFormat="1">
      <c r="A1435" s="75" t="s">
        <v>391</v>
      </c>
      <c r="B1435" s="76" t="s">
        <v>392</v>
      </c>
      <c r="C1435" s="76" t="s">
        <v>393</v>
      </c>
      <c r="D1435" s="76" t="s">
        <v>394</v>
      </c>
      <c r="E1435" s="76" t="s">
        <v>395</v>
      </c>
      <c r="F1435" s="76" t="s">
        <v>396</v>
      </c>
      <c r="G1435" s="76" t="s">
        <v>397</v>
      </c>
      <c r="H1435" s="74"/>
      <c r="I1435" s="71"/>
    </row>
    <row r="1436" spans="1:9" s="65" customFormat="1">
      <c r="A1436" s="77"/>
      <c r="B1436" s="79"/>
      <c r="C1436" s="79"/>
      <c r="D1436" s="107"/>
      <c r="E1436" s="79"/>
      <c r="F1436" s="79"/>
      <c r="G1436" s="107"/>
      <c r="H1436" s="74"/>
      <c r="I1436" s="71"/>
    </row>
    <row r="1437" spans="1:9" s="65" customFormat="1">
      <c r="A1437" s="82"/>
      <c r="B1437" s="83"/>
      <c r="C1437" s="84"/>
      <c r="D1437" s="84"/>
      <c r="E1437" s="84"/>
      <c r="F1437"/>
      <c r="G1437" s="93" t="s">
        <v>407</v>
      </c>
      <c r="H1437" s="107">
        <f>SUM(G1436:G1436)</f>
        <v>0</v>
      </c>
      <c r="I1437" s="71"/>
    </row>
    <row r="1438" spans="1:9" s="65" customFormat="1">
      <c r="A1438" s="72" t="s">
        <v>408</v>
      </c>
      <c r="B1438" s="73"/>
      <c r="C1438" s="73"/>
      <c r="D1438" s="73"/>
      <c r="E1438" s="73"/>
      <c r="F1438"/>
      <c r="G1438" s="74"/>
      <c r="H1438" s="108"/>
      <c r="I1438" s="71"/>
    </row>
    <row r="1439" spans="1:9" s="65" customFormat="1">
      <c r="A1439" s="75" t="s">
        <v>391</v>
      </c>
      <c r="B1439" s="76" t="s">
        <v>392</v>
      </c>
      <c r="C1439" s="76" t="s">
        <v>393</v>
      </c>
      <c r="D1439" s="76" t="s">
        <v>394</v>
      </c>
      <c r="E1439" s="76" t="s">
        <v>395</v>
      </c>
      <c r="F1439" s="76" t="s">
        <v>396</v>
      </c>
      <c r="G1439" s="76" t="s">
        <v>397</v>
      </c>
      <c r="H1439" s="108"/>
      <c r="I1439" s="71"/>
    </row>
    <row r="1440" spans="1:9" s="65" customFormat="1">
      <c r="A1440" s="135"/>
      <c r="B1440" s="78" t="s">
        <v>371</v>
      </c>
      <c r="C1440" s="127" t="s">
        <v>493</v>
      </c>
      <c r="D1440" s="107">
        <f>1048000*2*1.2*1.16</f>
        <v>2917632</v>
      </c>
      <c r="E1440" s="79">
        <v>1</v>
      </c>
      <c r="F1440" s="79">
        <v>0</v>
      </c>
      <c r="G1440" s="107">
        <f>(D1440*E1440)+((D1440*E1440)*F1440/100)</f>
        <v>2917632</v>
      </c>
      <c r="H1440" s="108"/>
      <c r="I1440" s="71"/>
    </row>
    <row r="1441" spans="1:9" s="65" customFormat="1">
      <c r="A1441" s="90"/>
      <c r="B1441" s="91"/>
      <c r="C1441" s="91"/>
      <c r="D1441" s="91"/>
      <c r="E1441" s="91"/>
      <c r="F1441"/>
      <c r="G1441" s="85" t="s">
        <v>407</v>
      </c>
      <c r="H1441" s="107">
        <f>SUM(G1440:G1440)</f>
        <v>2917632</v>
      </c>
      <c r="I1441" s="71"/>
    </row>
    <row r="1442" spans="1:9" s="65" customFormat="1">
      <c r="A1442" s="72" t="s">
        <v>410</v>
      </c>
      <c r="B1442" s="73"/>
      <c r="C1442" s="73"/>
      <c r="D1442" s="73"/>
      <c r="E1442" s="73"/>
      <c r="F1442"/>
      <c r="G1442" s="74"/>
      <c r="H1442" s="108"/>
      <c r="I1442" s="71"/>
    </row>
    <row r="1443" spans="1:9" s="65" customFormat="1">
      <c r="A1443" s="75" t="s">
        <v>391</v>
      </c>
      <c r="B1443" s="76" t="s">
        <v>392</v>
      </c>
      <c r="C1443" s="76" t="s">
        <v>393</v>
      </c>
      <c r="D1443" s="76" t="s">
        <v>394</v>
      </c>
      <c r="E1443" s="76" t="s">
        <v>395</v>
      </c>
      <c r="F1443" s="76" t="s">
        <v>396</v>
      </c>
      <c r="G1443" s="76" t="s">
        <v>397</v>
      </c>
      <c r="H1443" s="108"/>
      <c r="I1443" s="71"/>
    </row>
    <row r="1444" spans="1:9" s="65" customFormat="1">
      <c r="A1444" s="77"/>
      <c r="B1444" s="78"/>
      <c r="C1444" s="79"/>
      <c r="D1444" s="107"/>
      <c r="E1444" s="79"/>
      <c r="F1444" s="79"/>
      <c r="G1444" s="107"/>
      <c r="H1444" s="108"/>
      <c r="I1444" s="71"/>
    </row>
    <row r="1445" spans="1:9" s="65" customFormat="1">
      <c r="A1445" s="90"/>
      <c r="B1445" s="91"/>
      <c r="C1445" s="91"/>
      <c r="D1445" s="91"/>
      <c r="E1445" s="91"/>
      <c r="F1445"/>
      <c r="G1445" s="93" t="s">
        <v>407</v>
      </c>
      <c r="H1445" s="107">
        <f>SUM(G1444:G1444)</f>
        <v>0</v>
      </c>
      <c r="I1445" s="71"/>
    </row>
    <row r="1446" spans="1:9" s="65" customFormat="1">
      <c r="A1446" s="72" t="s">
        <v>411</v>
      </c>
      <c r="B1446" s="73"/>
      <c r="C1446" s="73"/>
      <c r="D1446" s="73"/>
      <c r="E1446" s="73"/>
      <c r="F1446"/>
      <c r="G1446" s="74"/>
      <c r="H1446" s="108"/>
      <c r="I1446" s="71"/>
    </row>
    <row r="1447" spans="1:9" s="65" customFormat="1">
      <c r="A1447" s="75" t="s">
        <v>391</v>
      </c>
      <c r="B1447" s="76" t="s">
        <v>392</v>
      </c>
      <c r="C1447" s="76" t="s">
        <v>393</v>
      </c>
      <c r="D1447" s="76" t="s">
        <v>394</v>
      </c>
      <c r="E1447" s="76" t="s">
        <v>395</v>
      </c>
      <c r="F1447" s="76" t="s">
        <v>396</v>
      </c>
      <c r="G1447" s="76" t="s">
        <v>397</v>
      </c>
      <c r="H1447" s="108"/>
      <c r="I1447" s="71"/>
    </row>
    <row r="1448" spans="1:9" s="65" customFormat="1">
      <c r="A1448" s="87" t="s">
        <v>409</v>
      </c>
      <c r="B1448" s="114" t="s">
        <v>747</v>
      </c>
      <c r="C1448" s="114" t="s">
        <v>437</v>
      </c>
      <c r="D1448" s="114">
        <v>800000</v>
      </c>
      <c r="E1448" s="215">
        <v>0.1</v>
      </c>
      <c r="F1448" s="79">
        <v>0</v>
      </c>
      <c r="G1448" s="107">
        <f>(D1448*E1448)+((D1448*E1448)*F1448/100)</f>
        <v>80000</v>
      </c>
      <c r="H1448" s="108"/>
      <c r="I1448" s="71"/>
    </row>
    <row r="1449" spans="1:9" s="65" customFormat="1">
      <c r="A1449" s="94"/>
      <c r="B1449" s="95"/>
      <c r="C1449" s="95"/>
      <c r="D1449" s="95"/>
      <c r="E1449" s="95"/>
      <c r="F1449"/>
      <c r="G1449" s="93" t="s">
        <v>407</v>
      </c>
      <c r="H1449" s="107">
        <f>SUM(G1447:G1448)</f>
        <v>80000</v>
      </c>
      <c r="I1449" s="71"/>
    </row>
    <row r="1450" spans="1:9" s="65" customFormat="1">
      <c r="A1450" s="94"/>
      <c r="B1450" s="95"/>
      <c r="C1450" s="95"/>
      <c r="D1450" s="95"/>
      <c r="E1450" s="95"/>
      <c r="F1450"/>
      <c r="G1450" s="74"/>
      <c r="H1450" s="74"/>
      <c r="I1450" s="71"/>
    </row>
    <row r="1451" spans="1:9" s="65" customFormat="1">
      <c r="A1451" s="96"/>
      <c r="B1451" s="97"/>
      <c r="C1451" s="98"/>
      <c r="D1451" s="98"/>
      <c r="E1451" s="98"/>
      <c r="F1451"/>
      <c r="G1451" s="99" t="s">
        <v>412</v>
      </c>
      <c r="H1451" s="115">
        <f>SUM(H1437:H1449)</f>
        <v>2997632</v>
      </c>
      <c r="I1451" s="71"/>
    </row>
    <row r="1452" spans="1:9" s="65" customFormat="1">
      <c r="A1452" s="96"/>
      <c r="B1452" s="97"/>
      <c r="C1452" s="98"/>
      <c r="D1452" s="98"/>
      <c r="E1452" s="98"/>
      <c r="F1452" s="101"/>
      <c r="G1452" s="116"/>
      <c r="H1452" s="70"/>
      <c r="I1452" s="71"/>
    </row>
    <row r="1453" spans="1:9" s="65" customFormat="1" ht="15.75" thickBot="1">
      <c r="A1453" s="624" t="s">
        <v>502</v>
      </c>
      <c r="B1453" s="625"/>
      <c r="C1453" s="625"/>
      <c r="D1453" s="625"/>
      <c r="E1453" s="625"/>
      <c r="F1453" s="625"/>
      <c r="G1453" s="626"/>
      <c r="H1453" s="117">
        <f>+ROUND(H1451,0)</f>
        <v>2997632</v>
      </c>
      <c r="I1453" s="103"/>
    </row>
    <row r="1454" spans="1:9" s="65" customFormat="1">
      <c r="B1454" s="97"/>
      <c r="C1454" s="98"/>
      <c r="D1454" s="98"/>
      <c r="E1454" s="98"/>
      <c r="G1454" s="128"/>
    </row>
    <row r="1455" spans="1:9" s="65" customFormat="1" ht="15.75" thickBot="1">
      <c r="B1455" s="97"/>
      <c r="C1455" s="98"/>
      <c r="D1455" s="98"/>
      <c r="E1455" s="98"/>
      <c r="F1455" s="128"/>
      <c r="G1455" s="133"/>
      <c r="H1455" s="134"/>
    </row>
    <row r="1456" spans="1:9" s="65" customFormat="1">
      <c r="A1456" s="627"/>
      <c r="B1456" s="629" t="s">
        <v>916</v>
      </c>
      <c r="C1456" s="630"/>
      <c r="D1456" s="630"/>
      <c r="E1456" s="630"/>
      <c r="F1456" s="630"/>
      <c r="G1456" s="630"/>
      <c r="H1456" s="643"/>
      <c r="I1456" s="66" t="s">
        <v>389</v>
      </c>
    </row>
    <row r="1457" spans="1:9" s="65" customFormat="1">
      <c r="A1457" s="628"/>
      <c r="B1457" s="631"/>
      <c r="C1457" s="632"/>
      <c r="D1457" s="632"/>
      <c r="E1457" s="632"/>
      <c r="F1457" s="632"/>
      <c r="G1457" s="632"/>
      <c r="H1457" s="644"/>
      <c r="I1457" s="67" t="s">
        <v>7</v>
      </c>
    </row>
    <row r="1458" spans="1:9" s="65" customFormat="1">
      <c r="A1458" s="68"/>
      <c r="B1458" s="69"/>
      <c r="C1458" s="69"/>
      <c r="D1458" s="69"/>
      <c r="E1458" s="69"/>
      <c r="F1458" s="70"/>
      <c r="G1458" s="70"/>
      <c r="H1458" s="70"/>
      <c r="I1458" s="71"/>
    </row>
    <row r="1459" spans="1:9" s="65" customFormat="1">
      <c r="A1459" s="72" t="s">
        <v>390</v>
      </c>
      <c r="B1459" s="73"/>
      <c r="C1459" s="73"/>
      <c r="D1459" s="73"/>
      <c r="E1459" s="73"/>
      <c r="F1459" s="74"/>
      <c r="G1459" s="74"/>
      <c r="H1459" s="70"/>
      <c r="I1459" s="71"/>
    </row>
    <row r="1460" spans="1:9" s="65" customFormat="1">
      <c r="A1460" s="75" t="s">
        <v>391</v>
      </c>
      <c r="B1460" s="76" t="s">
        <v>392</v>
      </c>
      <c r="C1460" s="76" t="s">
        <v>393</v>
      </c>
      <c r="D1460" s="76" t="s">
        <v>394</v>
      </c>
      <c r="E1460" s="76" t="s">
        <v>395</v>
      </c>
      <c r="F1460" s="76" t="s">
        <v>396</v>
      </c>
      <c r="G1460" s="76" t="s">
        <v>397</v>
      </c>
      <c r="H1460" s="74"/>
      <c r="I1460" s="71"/>
    </row>
    <row r="1461" spans="1:9" s="65" customFormat="1">
      <c r="A1461" s="77"/>
      <c r="B1461" s="79"/>
      <c r="C1461" s="79"/>
      <c r="D1461" s="107"/>
      <c r="E1461" s="79"/>
      <c r="F1461" s="79"/>
      <c r="G1461" s="107"/>
      <c r="H1461" s="74"/>
      <c r="I1461" s="71"/>
    </row>
    <row r="1462" spans="1:9" s="65" customFormat="1">
      <c r="A1462" s="82"/>
      <c r="B1462" s="83"/>
      <c r="C1462" s="84"/>
      <c r="D1462" s="84"/>
      <c r="E1462" s="84"/>
      <c r="F1462"/>
      <c r="G1462" s="93" t="s">
        <v>407</v>
      </c>
      <c r="H1462" s="107">
        <f>SUM(G1461:G1461)</f>
        <v>0</v>
      </c>
      <c r="I1462" s="71"/>
    </row>
    <row r="1463" spans="1:9" s="65" customFormat="1">
      <c r="A1463" s="72" t="s">
        <v>408</v>
      </c>
      <c r="B1463" s="73"/>
      <c r="C1463" s="73"/>
      <c r="D1463" s="73"/>
      <c r="E1463" s="73"/>
      <c r="F1463"/>
      <c r="G1463" s="74"/>
      <c r="H1463" s="108"/>
      <c r="I1463" s="71"/>
    </row>
    <row r="1464" spans="1:9" s="65" customFormat="1">
      <c r="A1464" s="75" t="s">
        <v>391</v>
      </c>
      <c r="B1464" s="76" t="s">
        <v>392</v>
      </c>
      <c r="C1464" s="76" t="s">
        <v>393</v>
      </c>
      <c r="D1464" s="76" t="s">
        <v>394</v>
      </c>
      <c r="E1464" s="76" t="s">
        <v>395</v>
      </c>
      <c r="F1464" s="76" t="s">
        <v>396</v>
      </c>
      <c r="G1464" s="76" t="s">
        <v>397</v>
      </c>
      <c r="H1464" s="108"/>
      <c r="I1464" s="71"/>
    </row>
    <row r="1465" spans="1:9" s="65" customFormat="1" ht="25.5">
      <c r="A1465" s="135"/>
      <c r="B1465" s="78" t="s">
        <v>916</v>
      </c>
      <c r="C1465" s="127" t="s">
        <v>493</v>
      </c>
      <c r="D1465" s="107">
        <f>99000*1.16*1.2*0.2</f>
        <v>27561.599999999995</v>
      </c>
      <c r="E1465" s="79">
        <v>1</v>
      </c>
      <c r="F1465" s="79">
        <v>0</v>
      </c>
      <c r="G1465" s="107">
        <f>(D1465*E1465)+((D1465*E1465)*F1465/100)</f>
        <v>27561.599999999995</v>
      </c>
      <c r="H1465" s="108"/>
      <c r="I1465" s="71"/>
    </row>
    <row r="1466" spans="1:9" s="65" customFormat="1">
      <c r="A1466" s="90"/>
      <c r="B1466" s="91"/>
      <c r="C1466" s="91"/>
      <c r="D1466" s="91"/>
      <c r="E1466" s="91"/>
      <c r="F1466"/>
      <c r="G1466" s="85" t="s">
        <v>407</v>
      </c>
      <c r="H1466" s="107">
        <f>SUM(G1465:G1465)</f>
        <v>27561.599999999995</v>
      </c>
      <c r="I1466" s="71"/>
    </row>
    <row r="1467" spans="1:9" s="65" customFormat="1">
      <c r="A1467" s="72" t="s">
        <v>410</v>
      </c>
      <c r="B1467" s="73"/>
      <c r="C1467" s="73"/>
      <c r="D1467" s="73"/>
      <c r="E1467" s="73"/>
      <c r="F1467"/>
      <c r="G1467" s="74"/>
      <c r="H1467" s="108"/>
      <c r="I1467" s="71"/>
    </row>
    <row r="1468" spans="1:9" s="65" customFormat="1">
      <c r="A1468" s="75" t="s">
        <v>391</v>
      </c>
      <c r="B1468" s="76" t="s">
        <v>392</v>
      </c>
      <c r="C1468" s="76" t="s">
        <v>393</v>
      </c>
      <c r="D1468" s="76" t="s">
        <v>394</v>
      </c>
      <c r="E1468" s="76" t="s">
        <v>395</v>
      </c>
      <c r="F1468" s="76" t="s">
        <v>396</v>
      </c>
      <c r="G1468" s="76" t="s">
        <v>397</v>
      </c>
      <c r="H1468" s="108"/>
      <c r="I1468" s="71"/>
    </row>
    <row r="1469" spans="1:9" s="65" customFormat="1">
      <c r="A1469" s="77"/>
      <c r="B1469" s="78"/>
      <c r="C1469" s="79"/>
      <c r="D1469" s="107"/>
      <c r="E1469" s="79"/>
      <c r="F1469" s="79"/>
      <c r="G1469" s="107"/>
      <c r="H1469" s="108"/>
      <c r="I1469" s="71"/>
    </row>
    <row r="1470" spans="1:9" s="65" customFormat="1">
      <c r="A1470" s="90"/>
      <c r="B1470" s="91"/>
      <c r="C1470" s="91"/>
      <c r="D1470" s="91"/>
      <c r="E1470" s="91"/>
      <c r="F1470"/>
      <c r="G1470" s="93" t="s">
        <v>407</v>
      </c>
      <c r="H1470" s="107">
        <f>SUM(G1469:G1469)</f>
        <v>0</v>
      </c>
      <c r="I1470" s="71"/>
    </row>
    <row r="1471" spans="1:9" s="65" customFormat="1">
      <c r="A1471" s="72" t="s">
        <v>411</v>
      </c>
      <c r="B1471" s="73"/>
      <c r="C1471" s="73"/>
      <c r="D1471" s="73"/>
      <c r="E1471" s="73"/>
      <c r="F1471"/>
      <c r="G1471" s="74"/>
      <c r="H1471" s="108"/>
      <c r="I1471" s="71"/>
    </row>
    <row r="1472" spans="1:9" s="65" customFormat="1">
      <c r="A1472" s="75" t="s">
        <v>391</v>
      </c>
      <c r="B1472" s="76" t="s">
        <v>392</v>
      </c>
      <c r="C1472" s="76" t="s">
        <v>393</v>
      </c>
      <c r="D1472" s="76" t="s">
        <v>394</v>
      </c>
      <c r="E1472" s="76" t="s">
        <v>395</v>
      </c>
      <c r="F1472" s="76" t="s">
        <v>396</v>
      </c>
      <c r="G1472" s="76" t="s">
        <v>397</v>
      </c>
      <c r="H1472" s="108"/>
      <c r="I1472" s="71"/>
    </row>
    <row r="1473" spans="1:9" s="65" customFormat="1">
      <c r="A1473" s="87" t="s">
        <v>409</v>
      </c>
      <c r="B1473" s="114" t="s">
        <v>747</v>
      </c>
      <c r="C1473" s="114" t="s">
        <v>437</v>
      </c>
      <c r="D1473" s="114">
        <v>800000</v>
      </c>
      <c r="E1473" s="215">
        <v>8.0000000000000002E-3</v>
      </c>
      <c r="F1473" s="79">
        <v>0</v>
      </c>
      <c r="G1473" s="107">
        <f>(D1473*E1473)+((D1473*E1473)*F1473/100)</f>
        <v>6400</v>
      </c>
      <c r="H1473" s="108"/>
      <c r="I1473" s="71"/>
    </row>
    <row r="1474" spans="1:9" s="65" customFormat="1">
      <c r="A1474" s="94"/>
      <c r="B1474" s="95"/>
      <c r="C1474" s="95"/>
      <c r="D1474" s="95"/>
      <c r="E1474" s="95"/>
      <c r="F1474"/>
      <c r="G1474" s="93" t="s">
        <v>407</v>
      </c>
      <c r="H1474" s="107">
        <f>SUM(G1472:G1473)</f>
        <v>6400</v>
      </c>
      <c r="I1474" s="71"/>
    </row>
    <row r="1475" spans="1:9" s="65" customFormat="1">
      <c r="A1475" s="94"/>
      <c r="B1475" s="95"/>
      <c r="C1475" s="95"/>
      <c r="D1475" s="95"/>
      <c r="E1475" s="95"/>
      <c r="F1475"/>
      <c r="G1475" s="74"/>
      <c r="H1475" s="74"/>
      <c r="I1475" s="71"/>
    </row>
    <row r="1476" spans="1:9" s="65" customFormat="1">
      <c r="A1476" s="96"/>
      <c r="B1476" s="97"/>
      <c r="C1476" s="98"/>
      <c r="D1476" s="98"/>
      <c r="E1476" s="98"/>
      <c r="F1476"/>
      <c r="G1476" s="99" t="s">
        <v>412</v>
      </c>
      <c r="H1476" s="115">
        <f>SUM(H1462:H1474)</f>
        <v>33961.599999999991</v>
      </c>
      <c r="I1476" s="71"/>
    </row>
    <row r="1477" spans="1:9" s="65" customFormat="1">
      <c r="A1477" s="96"/>
      <c r="B1477" s="97"/>
      <c r="C1477" s="98"/>
      <c r="D1477" s="98"/>
      <c r="E1477" s="98"/>
      <c r="F1477" s="101"/>
      <c r="G1477" s="116"/>
      <c r="H1477" s="70"/>
      <c r="I1477" s="71"/>
    </row>
    <row r="1478" spans="1:9" s="65" customFormat="1" ht="15.75" thickBot="1">
      <c r="A1478" s="624" t="s">
        <v>502</v>
      </c>
      <c r="B1478" s="625"/>
      <c r="C1478" s="625"/>
      <c r="D1478" s="625"/>
      <c r="E1478" s="625"/>
      <c r="F1478" s="625"/>
      <c r="G1478" s="626"/>
      <c r="H1478" s="117">
        <f>+ROUND(H1476,0)</f>
        <v>33962</v>
      </c>
      <c r="I1478" s="103"/>
    </row>
    <row r="1479" spans="1:9" s="65" customFormat="1">
      <c r="B1479" s="97"/>
      <c r="C1479" s="98"/>
      <c r="D1479" s="98"/>
      <c r="E1479" s="98"/>
      <c r="F1479" s="128"/>
      <c r="G1479" s="133"/>
      <c r="H1479" s="134"/>
    </row>
    <row r="1480" spans="1:9" s="65" customFormat="1" ht="15.75" thickBot="1">
      <c r="A1480" s="633"/>
      <c r="B1480" s="633"/>
      <c r="C1480" s="633"/>
      <c r="D1480" s="633"/>
      <c r="E1480" s="633"/>
      <c r="F1480" s="633"/>
      <c r="G1480" s="633"/>
    </row>
    <row r="1481" spans="1:9" s="65" customFormat="1">
      <c r="A1481" s="627"/>
      <c r="B1481" s="629" t="s">
        <v>917</v>
      </c>
      <c r="C1481" s="630"/>
      <c r="D1481" s="630"/>
      <c r="E1481" s="630"/>
      <c r="F1481" s="630"/>
      <c r="G1481" s="630"/>
      <c r="H1481" s="643"/>
      <c r="I1481" s="66" t="s">
        <v>389</v>
      </c>
    </row>
    <row r="1482" spans="1:9" s="65" customFormat="1">
      <c r="A1482" s="628"/>
      <c r="B1482" s="631"/>
      <c r="C1482" s="632"/>
      <c r="D1482" s="632"/>
      <c r="E1482" s="632"/>
      <c r="F1482" s="632"/>
      <c r="G1482" s="632"/>
      <c r="H1482" s="644"/>
      <c r="I1482" s="67" t="s">
        <v>7</v>
      </c>
    </row>
    <row r="1483" spans="1:9" s="65" customFormat="1">
      <c r="A1483" s="68"/>
      <c r="B1483" s="69"/>
      <c r="C1483" s="69"/>
      <c r="D1483" s="69"/>
      <c r="E1483" s="69"/>
      <c r="F1483" s="70"/>
      <c r="G1483" s="70"/>
      <c r="H1483" s="70"/>
      <c r="I1483" s="71"/>
    </row>
    <row r="1484" spans="1:9" s="65" customFormat="1">
      <c r="A1484" s="72" t="s">
        <v>390</v>
      </c>
      <c r="B1484" s="73"/>
      <c r="C1484" s="73"/>
      <c r="D1484" s="73"/>
      <c r="E1484" s="73"/>
      <c r="F1484" s="74"/>
      <c r="G1484" s="74"/>
      <c r="H1484" s="70"/>
      <c r="I1484" s="71"/>
    </row>
    <row r="1485" spans="1:9" s="65" customFormat="1">
      <c r="A1485" s="75" t="s">
        <v>391</v>
      </c>
      <c r="B1485" s="76" t="s">
        <v>392</v>
      </c>
      <c r="C1485" s="76" t="s">
        <v>393</v>
      </c>
      <c r="D1485" s="76" t="s">
        <v>394</v>
      </c>
      <c r="E1485" s="76" t="s">
        <v>395</v>
      </c>
      <c r="F1485" s="76" t="s">
        <v>396</v>
      </c>
      <c r="G1485" s="76" t="s">
        <v>397</v>
      </c>
      <c r="H1485" s="74"/>
      <c r="I1485" s="71"/>
    </row>
    <row r="1486" spans="1:9" s="65" customFormat="1">
      <c r="A1486" s="77"/>
      <c r="B1486" s="79"/>
      <c r="C1486" s="79"/>
      <c r="D1486" s="107"/>
      <c r="E1486" s="79"/>
      <c r="F1486" s="79"/>
      <c r="G1486" s="107"/>
      <c r="H1486" s="74"/>
      <c r="I1486" s="71"/>
    </row>
    <row r="1487" spans="1:9" s="65" customFormat="1">
      <c r="A1487" s="82"/>
      <c r="B1487" s="83"/>
      <c r="C1487" s="84"/>
      <c r="D1487" s="84"/>
      <c r="E1487" s="84"/>
      <c r="F1487"/>
      <c r="G1487" s="93" t="s">
        <v>407</v>
      </c>
      <c r="H1487" s="107">
        <f>SUM(G1486:G1486)</f>
        <v>0</v>
      </c>
      <c r="I1487" s="71"/>
    </row>
    <row r="1488" spans="1:9" s="65" customFormat="1">
      <c r="A1488" s="72" t="s">
        <v>408</v>
      </c>
      <c r="B1488" s="73"/>
      <c r="C1488" s="73"/>
      <c r="D1488" s="73"/>
      <c r="E1488" s="73"/>
      <c r="F1488"/>
      <c r="G1488" s="74"/>
      <c r="H1488" s="108"/>
      <c r="I1488" s="71"/>
    </row>
    <row r="1489" spans="1:9" s="65" customFormat="1">
      <c r="A1489" s="75" t="s">
        <v>391</v>
      </c>
      <c r="B1489" s="76" t="s">
        <v>392</v>
      </c>
      <c r="C1489" s="76" t="s">
        <v>393</v>
      </c>
      <c r="D1489" s="76" t="s">
        <v>394</v>
      </c>
      <c r="E1489" s="76" t="s">
        <v>395</v>
      </c>
      <c r="F1489" s="76" t="s">
        <v>396</v>
      </c>
      <c r="G1489" s="76" t="s">
        <v>397</v>
      </c>
      <c r="H1489" s="108"/>
      <c r="I1489" s="71"/>
    </row>
    <row r="1490" spans="1:9" s="65" customFormat="1" ht="25.5">
      <c r="A1490" s="135"/>
      <c r="B1490" s="78" t="s">
        <v>917</v>
      </c>
      <c r="C1490" s="127" t="s">
        <v>493</v>
      </c>
      <c r="D1490" s="107">
        <f>99000*1.16*1.2*3</f>
        <v>413423.99999999988</v>
      </c>
      <c r="E1490" s="79">
        <v>1</v>
      </c>
      <c r="F1490" s="79">
        <v>0</v>
      </c>
      <c r="G1490" s="107">
        <f>(D1490*E1490)+((D1490*E1490)*F1490/100)</f>
        <v>413423.99999999988</v>
      </c>
      <c r="H1490" s="108"/>
      <c r="I1490" s="71"/>
    </row>
    <row r="1491" spans="1:9" s="65" customFormat="1">
      <c r="A1491" s="90"/>
      <c r="B1491" s="91"/>
      <c r="C1491" s="91"/>
      <c r="D1491" s="91"/>
      <c r="E1491" s="91"/>
      <c r="F1491"/>
      <c r="G1491" s="85" t="s">
        <v>407</v>
      </c>
      <c r="H1491" s="107">
        <f>SUM(G1490:G1490)</f>
        <v>413423.99999999988</v>
      </c>
      <c r="I1491" s="71"/>
    </row>
    <row r="1492" spans="1:9" s="65" customFormat="1">
      <c r="A1492" s="72" t="s">
        <v>410</v>
      </c>
      <c r="B1492" s="73"/>
      <c r="C1492" s="73"/>
      <c r="D1492" s="73"/>
      <c r="E1492" s="73"/>
      <c r="F1492"/>
      <c r="G1492" s="74"/>
      <c r="H1492" s="108"/>
      <c r="I1492" s="71"/>
    </row>
    <row r="1493" spans="1:9" s="65" customFormat="1">
      <c r="A1493" s="75" t="s">
        <v>391</v>
      </c>
      <c r="B1493" s="76" t="s">
        <v>392</v>
      </c>
      <c r="C1493" s="76" t="s">
        <v>393</v>
      </c>
      <c r="D1493" s="76" t="s">
        <v>394</v>
      </c>
      <c r="E1493" s="76" t="s">
        <v>395</v>
      </c>
      <c r="F1493" s="76" t="s">
        <v>396</v>
      </c>
      <c r="G1493" s="76" t="s">
        <v>397</v>
      </c>
      <c r="H1493" s="108"/>
      <c r="I1493" s="71"/>
    </row>
    <row r="1494" spans="1:9" s="65" customFormat="1">
      <c r="A1494" s="77"/>
      <c r="B1494" s="78"/>
      <c r="C1494" s="79"/>
      <c r="D1494" s="107"/>
      <c r="E1494" s="79"/>
      <c r="F1494" s="79"/>
      <c r="G1494" s="107"/>
      <c r="H1494" s="108"/>
      <c r="I1494" s="71"/>
    </row>
    <row r="1495" spans="1:9" s="65" customFormat="1">
      <c r="A1495" s="90"/>
      <c r="B1495" s="91"/>
      <c r="C1495" s="91"/>
      <c r="D1495" s="91"/>
      <c r="E1495" s="91"/>
      <c r="F1495"/>
      <c r="G1495" s="93" t="s">
        <v>407</v>
      </c>
      <c r="H1495" s="107">
        <f>SUM(G1494:G1494)</f>
        <v>0</v>
      </c>
      <c r="I1495" s="71"/>
    </row>
    <row r="1496" spans="1:9" s="65" customFormat="1">
      <c r="A1496" s="72" t="s">
        <v>411</v>
      </c>
      <c r="B1496" s="73"/>
      <c r="C1496" s="73"/>
      <c r="D1496" s="73"/>
      <c r="E1496" s="73"/>
      <c r="F1496"/>
      <c r="G1496" s="74"/>
      <c r="H1496" s="108"/>
      <c r="I1496" s="71"/>
    </row>
    <row r="1497" spans="1:9" s="65" customFormat="1">
      <c r="A1497" s="75" t="s">
        <v>391</v>
      </c>
      <c r="B1497" s="76" t="s">
        <v>392</v>
      </c>
      <c r="C1497" s="76" t="s">
        <v>393</v>
      </c>
      <c r="D1497" s="76" t="s">
        <v>394</v>
      </c>
      <c r="E1497" s="76" t="s">
        <v>395</v>
      </c>
      <c r="F1497" s="76" t="s">
        <v>396</v>
      </c>
      <c r="G1497" s="76" t="s">
        <v>397</v>
      </c>
      <c r="H1497" s="108"/>
      <c r="I1497" s="71"/>
    </row>
    <row r="1498" spans="1:9" s="65" customFormat="1">
      <c r="A1498" s="87" t="s">
        <v>409</v>
      </c>
      <c r="B1498" s="114" t="s">
        <v>747</v>
      </c>
      <c r="C1498" s="114" t="s">
        <v>437</v>
      </c>
      <c r="D1498" s="114">
        <v>800000</v>
      </c>
      <c r="E1498" s="215">
        <v>1.4999999999999999E-2</v>
      </c>
      <c r="F1498" s="79">
        <v>0</v>
      </c>
      <c r="G1498" s="107">
        <f>(D1498*E1498)+((D1498*E1498)*F1498/100)</f>
        <v>12000</v>
      </c>
      <c r="H1498" s="108"/>
      <c r="I1498" s="71"/>
    </row>
    <row r="1499" spans="1:9" s="65" customFormat="1">
      <c r="A1499" s="94"/>
      <c r="B1499" s="95"/>
      <c r="C1499" s="95"/>
      <c r="D1499" s="95"/>
      <c r="E1499" s="95"/>
      <c r="F1499"/>
      <c r="G1499" s="93" t="s">
        <v>407</v>
      </c>
      <c r="H1499" s="107">
        <f>SUM(G1497:G1498)</f>
        <v>12000</v>
      </c>
      <c r="I1499" s="71"/>
    </row>
    <row r="1500" spans="1:9" s="65" customFormat="1">
      <c r="A1500" s="94"/>
      <c r="B1500" s="95"/>
      <c r="C1500" s="95"/>
      <c r="D1500" s="95"/>
      <c r="E1500" s="95"/>
      <c r="F1500"/>
      <c r="G1500" s="74"/>
      <c r="H1500" s="74"/>
      <c r="I1500" s="71"/>
    </row>
    <row r="1501" spans="1:9" s="65" customFormat="1">
      <c r="A1501" s="96"/>
      <c r="B1501" s="97"/>
      <c r="C1501" s="98"/>
      <c r="D1501" s="98"/>
      <c r="E1501" s="98"/>
      <c r="F1501"/>
      <c r="G1501" s="99" t="s">
        <v>412</v>
      </c>
      <c r="H1501" s="115">
        <f>SUM(H1487:H1499)</f>
        <v>425423.99999999988</v>
      </c>
      <c r="I1501" s="71"/>
    </row>
    <row r="1502" spans="1:9" s="65" customFormat="1">
      <c r="A1502" s="96"/>
      <c r="B1502" s="97"/>
      <c r="C1502" s="98"/>
      <c r="D1502" s="98"/>
      <c r="E1502" s="98"/>
      <c r="F1502" s="101"/>
      <c r="G1502" s="116"/>
      <c r="H1502" s="70"/>
      <c r="I1502" s="71"/>
    </row>
    <row r="1503" spans="1:9" s="65" customFormat="1" ht="15.75" thickBot="1">
      <c r="A1503" s="624" t="s">
        <v>502</v>
      </c>
      <c r="B1503" s="625"/>
      <c r="C1503" s="625"/>
      <c r="D1503" s="625"/>
      <c r="E1503" s="625"/>
      <c r="F1503" s="625"/>
      <c r="G1503" s="626"/>
      <c r="H1503" s="117">
        <f>+ROUND(H1501,0)</f>
        <v>425424</v>
      </c>
      <c r="I1503" s="103"/>
    </row>
    <row r="1504" spans="1:9" s="65" customFormat="1">
      <c r="A1504" s="633"/>
      <c r="B1504" s="633"/>
      <c r="C1504" s="633"/>
      <c r="D1504" s="633"/>
      <c r="E1504" s="633"/>
      <c r="F1504" s="633"/>
      <c r="G1504" s="633"/>
    </row>
    <row r="1505" spans="1:9" s="65" customFormat="1" ht="15.75" thickBot="1">
      <c r="H1505" s="156"/>
      <c r="I1505" s="151"/>
    </row>
    <row r="1506" spans="1:9" s="65" customFormat="1">
      <c r="A1506" s="627"/>
      <c r="B1506" s="629" t="s">
        <v>918</v>
      </c>
      <c r="C1506" s="630"/>
      <c r="D1506" s="630"/>
      <c r="E1506" s="630"/>
      <c r="F1506" s="630"/>
      <c r="G1506" s="630"/>
      <c r="H1506" s="643"/>
      <c r="I1506" s="66" t="s">
        <v>389</v>
      </c>
    </row>
    <row r="1507" spans="1:9" s="65" customFormat="1">
      <c r="A1507" s="628"/>
      <c r="B1507" s="631"/>
      <c r="C1507" s="632"/>
      <c r="D1507" s="632"/>
      <c r="E1507" s="632"/>
      <c r="F1507" s="632"/>
      <c r="G1507" s="632"/>
      <c r="H1507" s="644"/>
      <c r="I1507" s="67" t="s">
        <v>7</v>
      </c>
    </row>
    <row r="1508" spans="1:9" s="65" customFormat="1">
      <c r="A1508" s="68"/>
      <c r="B1508" s="69"/>
      <c r="C1508" s="69"/>
      <c r="D1508" s="69"/>
      <c r="E1508" s="69"/>
      <c r="F1508" s="70"/>
      <c r="G1508" s="70"/>
      <c r="H1508" s="70"/>
      <c r="I1508" s="71"/>
    </row>
    <row r="1509" spans="1:9" s="65" customFormat="1">
      <c r="A1509" s="72" t="s">
        <v>390</v>
      </c>
      <c r="B1509" s="73"/>
      <c r="C1509" s="73"/>
      <c r="D1509" s="73"/>
      <c r="E1509" s="73"/>
      <c r="F1509" s="74"/>
      <c r="G1509" s="74"/>
      <c r="H1509" s="70"/>
      <c r="I1509" s="71"/>
    </row>
    <row r="1510" spans="1:9" s="65" customFormat="1">
      <c r="A1510" s="75" t="s">
        <v>391</v>
      </c>
      <c r="B1510" s="76" t="s">
        <v>392</v>
      </c>
      <c r="C1510" s="76" t="s">
        <v>393</v>
      </c>
      <c r="D1510" s="76" t="s">
        <v>394</v>
      </c>
      <c r="E1510" s="76" t="s">
        <v>395</v>
      </c>
      <c r="F1510" s="76" t="s">
        <v>396</v>
      </c>
      <c r="G1510" s="76" t="s">
        <v>397</v>
      </c>
      <c r="H1510" s="74"/>
      <c r="I1510" s="71"/>
    </row>
    <row r="1511" spans="1:9" s="65" customFormat="1">
      <c r="A1511" s="77"/>
      <c r="B1511" s="79"/>
      <c r="C1511" s="79"/>
      <c r="D1511" s="107"/>
      <c r="E1511" s="79"/>
      <c r="F1511" s="79"/>
      <c r="G1511" s="107"/>
      <c r="H1511" s="74"/>
      <c r="I1511" s="71"/>
    </row>
    <row r="1512" spans="1:9" s="65" customFormat="1">
      <c r="A1512" s="82"/>
      <c r="B1512" s="83"/>
      <c r="C1512" s="84"/>
      <c r="D1512" s="84"/>
      <c r="E1512" s="84"/>
      <c r="F1512"/>
      <c r="G1512" s="93" t="s">
        <v>407</v>
      </c>
      <c r="H1512" s="107">
        <f>SUM(G1511:G1511)</f>
        <v>0</v>
      </c>
      <c r="I1512" s="71"/>
    </row>
    <row r="1513" spans="1:9" s="65" customFormat="1">
      <c r="A1513" s="72" t="s">
        <v>408</v>
      </c>
      <c r="B1513" s="73"/>
      <c r="C1513" s="73"/>
      <c r="D1513" s="73"/>
      <c r="E1513" s="73"/>
      <c r="F1513"/>
      <c r="G1513" s="74"/>
      <c r="H1513" s="108"/>
      <c r="I1513" s="71"/>
    </row>
    <row r="1514" spans="1:9" s="65" customFormat="1">
      <c r="A1514" s="75" t="s">
        <v>391</v>
      </c>
      <c r="B1514" s="76" t="s">
        <v>392</v>
      </c>
      <c r="C1514" s="76" t="s">
        <v>393</v>
      </c>
      <c r="D1514" s="76" t="s">
        <v>394</v>
      </c>
      <c r="E1514" s="76" t="s">
        <v>395</v>
      </c>
      <c r="F1514" s="76" t="s">
        <v>396</v>
      </c>
      <c r="G1514" s="76" t="s">
        <v>397</v>
      </c>
      <c r="H1514" s="108"/>
      <c r="I1514" s="71"/>
    </row>
    <row r="1515" spans="1:9" s="65" customFormat="1" ht="25.5">
      <c r="A1515" s="135"/>
      <c r="B1515" s="78" t="s">
        <v>918</v>
      </c>
      <c r="C1515" s="127" t="s">
        <v>493</v>
      </c>
      <c r="D1515" s="107">
        <f>99000*1.16*1.2*3.3</f>
        <v>454766.39999999991</v>
      </c>
      <c r="E1515" s="79">
        <v>1</v>
      </c>
      <c r="F1515" s="79">
        <v>0</v>
      </c>
      <c r="G1515" s="107">
        <f>(D1515*E1515)+((D1515*E1515)*F1515/100)</f>
        <v>454766.39999999991</v>
      </c>
      <c r="H1515" s="108"/>
      <c r="I1515" s="71"/>
    </row>
    <row r="1516" spans="1:9" s="65" customFormat="1">
      <c r="A1516" s="90"/>
      <c r="B1516" s="91"/>
      <c r="C1516" s="91"/>
      <c r="D1516" s="91"/>
      <c r="E1516" s="91"/>
      <c r="F1516"/>
      <c r="G1516" s="85" t="s">
        <v>407</v>
      </c>
      <c r="H1516" s="107">
        <f>SUM(G1515:G1515)</f>
        <v>454766.39999999991</v>
      </c>
      <c r="I1516" s="71"/>
    </row>
    <row r="1517" spans="1:9" s="65" customFormat="1">
      <c r="A1517" s="72" t="s">
        <v>410</v>
      </c>
      <c r="B1517" s="73"/>
      <c r="C1517" s="73"/>
      <c r="D1517" s="73"/>
      <c r="E1517" s="73"/>
      <c r="F1517"/>
      <c r="G1517" s="74"/>
      <c r="H1517" s="108"/>
      <c r="I1517" s="71"/>
    </row>
    <row r="1518" spans="1:9" s="65" customFormat="1">
      <c r="A1518" s="75" t="s">
        <v>391</v>
      </c>
      <c r="B1518" s="76" t="s">
        <v>392</v>
      </c>
      <c r="C1518" s="76" t="s">
        <v>393</v>
      </c>
      <c r="D1518" s="76" t="s">
        <v>394</v>
      </c>
      <c r="E1518" s="76" t="s">
        <v>395</v>
      </c>
      <c r="F1518" s="76" t="s">
        <v>396</v>
      </c>
      <c r="G1518" s="76" t="s">
        <v>397</v>
      </c>
      <c r="H1518" s="108"/>
      <c r="I1518" s="71"/>
    </row>
    <row r="1519" spans="1:9" s="65" customFormat="1">
      <c r="A1519" s="77"/>
      <c r="B1519" s="78"/>
      <c r="C1519" s="79"/>
      <c r="D1519" s="107"/>
      <c r="E1519" s="79"/>
      <c r="F1519" s="79"/>
      <c r="G1519" s="107"/>
      <c r="H1519" s="108"/>
      <c r="I1519" s="71"/>
    </row>
    <row r="1520" spans="1:9" s="65" customFormat="1">
      <c r="A1520" s="90"/>
      <c r="B1520" s="91"/>
      <c r="C1520" s="91"/>
      <c r="D1520" s="91"/>
      <c r="E1520" s="91"/>
      <c r="F1520"/>
      <c r="G1520" s="93" t="s">
        <v>407</v>
      </c>
      <c r="H1520" s="107">
        <f>SUM(G1519:G1519)</f>
        <v>0</v>
      </c>
      <c r="I1520" s="71"/>
    </row>
    <row r="1521" spans="1:9" s="65" customFormat="1">
      <c r="A1521" s="72" t="s">
        <v>411</v>
      </c>
      <c r="B1521" s="73"/>
      <c r="C1521" s="73"/>
      <c r="D1521" s="73"/>
      <c r="E1521" s="73"/>
      <c r="F1521"/>
      <c r="G1521" s="74"/>
      <c r="H1521" s="108"/>
      <c r="I1521" s="71"/>
    </row>
    <row r="1522" spans="1:9" s="65" customFormat="1">
      <c r="A1522" s="75" t="s">
        <v>391</v>
      </c>
      <c r="B1522" s="76" t="s">
        <v>392</v>
      </c>
      <c r="C1522" s="76" t="s">
        <v>393</v>
      </c>
      <c r="D1522" s="76" t="s">
        <v>394</v>
      </c>
      <c r="E1522" s="76" t="s">
        <v>395</v>
      </c>
      <c r="F1522" s="76" t="s">
        <v>396</v>
      </c>
      <c r="G1522" s="76" t="s">
        <v>397</v>
      </c>
      <c r="H1522" s="108"/>
      <c r="I1522" s="71"/>
    </row>
    <row r="1523" spans="1:9" s="65" customFormat="1">
      <c r="A1523" s="87" t="s">
        <v>409</v>
      </c>
      <c r="B1523" s="114" t="s">
        <v>747</v>
      </c>
      <c r="C1523" s="114" t="s">
        <v>437</v>
      </c>
      <c r="D1523" s="114">
        <v>800000</v>
      </c>
      <c r="E1523" s="215">
        <v>1.7999999999999999E-2</v>
      </c>
      <c r="F1523" s="79">
        <v>0</v>
      </c>
      <c r="G1523" s="107">
        <f>(D1523*E1523)+((D1523*E1523)*F1523/100)</f>
        <v>14399.999999999998</v>
      </c>
      <c r="H1523" s="108"/>
      <c r="I1523" s="71"/>
    </row>
    <row r="1524" spans="1:9" s="65" customFormat="1">
      <c r="A1524" s="94"/>
      <c r="B1524" s="95"/>
      <c r="C1524" s="95"/>
      <c r="D1524" s="95"/>
      <c r="E1524" s="95"/>
      <c r="F1524"/>
      <c r="G1524" s="93" t="s">
        <v>407</v>
      </c>
      <c r="H1524" s="107">
        <f>SUM(G1522:G1523)</f>
        <v>14399.999999999998</v>
      </c>
      <c r="I1524" s="71"/>
    </row>
    <row r="1525" spans="1:9" s="65" customFormat="1">
      <c r="A1525" s="94"/>
      <c r="B1525" s="95"/>
      <c r="C1525" s="95"/>
      <c r="D1525" s="95"/>
      <c r="E1525" s="95"/>
      <c r="F1525"/>
      <c r="G1525" s="74"/>
      <c r="H1525" s="74"/>
      <c r="I1525" s="71"/>
    </row>
    <row r="1526" spans="1:9" s="65" customFormat="1">
      <c r="A1526" s="96"/>
      <c r="B1526" s="97"/>
      <c r="C1526" s="98"/>
      <c r="D1526" s="98"/>
      <c r="E1526" s="98"/>
      <c r="F1526"/>
      <c r="G1526" s="99" t="s">
        <v>412</v>
      </c>
      <c r="H1526" s="115">
        <f>SUM(H1512:H1524)</f>
        <v>469166.39999999991</v>
      </c>
      <c r="I1526" s="71"/>
    </row>
    <row r="1527" spans="1:9" s="65" customFormat="1">
      <c r="A1527" s="96"/>
      <c r="B1527" s="97"/>
      <c r="C1527" s="98"/>
      <c r="D1527" s="98"/>
      <c r="E1527" s="98"/>
      <c r="F1527" s="101"/>
      <c r="G1527" s="116"/>
      <c r="H1527" s="70"/>
      <c r="I1527" s="71"/>
    </row>
    <row r="1528" spans="1:9" s="65" customFormat="1" ht="15.75" thickBot="1">
      <c r="A1528" s="624" t="s">
        <v>502</v>
      </c>
      <c r="B1528" s="625"/>
      <c r="C1528" s="625"/>
      <c r="D1528" s="625"/>
      <c r="E1528" s="625"/>
      <c r="F1528" s="625"/>
      <c r="G1528" s="626"/>
      <c r="H1528" s="117">
        <f>+ROUND(H1526,0)</f>
        <v>469166</v>
      </c>
      <c r="I1528" s="103"/>
    </row>
    <row r="1529" spans="1:9" s="65" customFormat="1" ht="15.75" thickBot="1">
      <c r="H1529" s="156"/>
      <c r="I1529" s="151"/>
    </row>
    <row r="1530" spans="1:9" s="65" customFormat="1">
      <c r="A1530" s="627"/>
      <c r="B1530" s="629" t="s">
        <v>343</v>
      </c>
      <c r="C1530" s="630"/>
      <c r="D1530" s="630"/>
      <c r="E1530" s="630"/>
      <c r="F1530" s="630"/>
      <c r="G1530" s="630"/>
      <c r="H1530" s="643"/>
      <c r="I1530" s="66" t="s">
        <v>389</v>
      </c>
    </row>
    <row r="1531" spans="1:9" s="65" customFormat="1">
      <c r="A1531" s="628"/>
      <c r="B1531" s="631"/>
      <c r="C1531" s="632"/>
      <c r="D1531" s="632"/>
      <c r="E1531" s="632"/>
      <c r="F1531" s="632"/>
      <c r="G1531" s="632"/>
      <c r="H1531" s="644"/>
      <c r="I1531" s="67" t="s">
        <v>7</v>
      </c>
    </row>
    <row r="1532" spans="1:9" s="65" customFormat="1">
      <c r="A1532" s="68"/>
      <c r="B1532" s="69"/>
      <c r="C1532" s="69"/>
      <c r="D1532" s="69"/>
      <c r="E1532" s="69"/>
      <c r="F1532" s="70"/>
      <c r="G1532" s="70"/>
      <c r="H1532" s="70"/>
      <c r="I1532" s="71"/>
    </row>
    <row r="1533" spans="1:9" s="65" customFormat="1">
      <c r="A1533" s="72" t="s">
        <v>390</v>
      </c>
      <c r="B1533" s="73"/>
      <c r="C1533" s="73"/>
      <c r="D1533" s="73"/>
      <c r="E1533" s="73"/>
      <c r="F1533" s="74"/>
      <c r="G1533" s="74"/>
      <c r="H1533" s="70"/>
      <c r="I1533" s="71"/>
    </row>
    <row r="1534" spans="1:9" s="65" customFormat="1">
      <c r="A1534" s="75" t="s">
        <v>391</v>
      </c>
      <c r="B1534" s="76" t="s">
        <v>392</v>
      </c>
      <c r="C1534" s="76" t="s">
        <v>393</v>
      </c>
      <c r="D1534" s="76" t="s">
        <v>394</v>
      </c>
      <c r="E1534" s="76" t="s">
        <v>395</v>
      </c>
      <c r="F1534" s="76" t="s">
        <v>396</v>
      </c>
      <c r="G1534" s="76" t="s">
        <v>397</v>
      </c>
      <c r="H1534" s="74"/>
      <c r="I1534" s="71"/>
    </row>
    <row r="1535" spans="1:9" s="65" customFormat="1">
      <c r="A1535" s="77"/>
      <c r="B1535" s="79"/>
      <c r="C1535" s="79"/>
      <c r="D1535" s="107"/>
      <c r="E1535" s="79"/>
      <c r="F1535" s="79"/>
      <c r="G1535" s="107"/>
      <c r="H1535" s="74"/>
      <c r="I1535" s="71"/>
    </row>
    <row r="1536" spans="1:9" s="65" customFormat="1">
      <c r="A1536" s="82"/>
      <c r="B1536" s="83"/>
      <c r="C1536" s="84"/>
      <c r="D1536" s="84"/>
      <c r="E1536" s="84"/>
      <c r="F1536"/>
      <c r="G1536" s="93" t="s">
        <v>407</v>
      </c>
      <c r="H1536" s="107">
        <f>SUM(G1535:G1535)</f>
        <v>0</v>
      </c>
      <c r="I1536" s="71"/>
    </row>
    <row r="1537" spans="1:9" s="65" customFormat="1">
      <c r="A1537" s="72" t="s">
        <v>408</v>
      </c>
      <c r="B1537" s="73"/>
      <c r="C1537" s="73"/>
      <c r="D1537" s="73"/>
      <c r="E1537" s="73"/>
      <c r="F1537"/>
      <c r="G1537" s="74"/>
      <c r="H1537" s="108"/>
      <c r="I1537" s="71"/>
    </row>
    <row r="1538" spans="1:9" s="65" customFormat="1">
      <c r="A1538" s="75" t="s">
        <v>391</v>
      </c>
      <c r="B1538" s="76" t="s">
        <v>392</v>
      </c>
      <c r="C1538" s="76" t="s">
        <v>393</v>
      </c>
      <c r="D1538" s="76" t="s">
        <v>394</v>
      </c>
      <c r="E1538" s="76" t="s">
        <v>395</v>
      </c>
      <c r="F1538" s="76" t="s">
        <v>396</v>
      </c>
      <c r="G1538" s="76" t="s">
        <v>397</v>
      </c>
      <c r="H1538" s="108"/>
      <c r="I1538" s="71"/>
    </row>
    <row r="1539" spans="1:9" s="65" customFormat="1">
      <c r="A1539" s="135"/>
      <c r="B1539" s="78" t="s">
        <v>343</v>
      </c>
      <c r="C1539" s="127" t="s">
        <v>493</v>
      </c>
      <c r="D1539" s="107">
        <f>142000*1.16*1.2*1.5</f>
        <v>296496</v>
      </c>
      <c r="E1539" s="79">
        <v>1</v>
      </c>
      <c r="F1539" s="79">
        <v>0</v>
      </c>
      <c r="G1539" s="107">
        <f>(D1539*E1539)+((D1539*E1539)*F1539/100)</f>
        <v>296496</v>
      </c>
      <c r="H1539" s="108"/>
      <c r="I1539" s="71"/>
    </row>
    <row r="1540" spans="1:9" s="65" customFormat="1">
      <c r="A1540" s="90"/>
      <c r="B1540" s="91"/>
      <c r="C1540" s="91"/>
      <c r="D1540" s="91"/>
      <c r="E1540" s="91"/>
      <c r="F1540"/>
      <c r="G1540" s="85" t="s">
        <v>407</v>
      </c>
      <c r="H1540" s="107">
        <f>SUM(G1539:G1539)</f>
        <v>296496</v>
      </c>
      <c r="I1540" s="71"/>
    </row>
    <row r="1541" spans="1:9" s="65" customFormat="1">
      <c r="A1541" s="72" t="s">
        <v>410</v>
      </c>
      <c r="B1541" s="73"/>
      <c r="C1541" s="73"/>
      <c r="D1541" s="73"/>
      <c r="E1541" s="73"/>
      <c r="F1541"/>
      <c r="G1541" s="74"/>
      <c r="H1541" s="108"/>
      <c r="I1541" s="71"/>
    </row>
    <row r="1542" spans="1:9" s="65" customFormat="1">
      <c r="A1542" s="75" t="s">
        <v>391</v>
      </c>
      <c r="B1542" s="76" t="s">
        <v>392</v>
      </c>
      <c r="C1542" s="76" t="s">
        <v>393</v>
      </c>
      <c r="D1542" s="76" t="s">
        <v>394</v>
      </c>
      <c r="E1542" s="76" t="s">
        <v>395</v>
      </c>
      <c r="F1542" s="76" t="s">
        <v>396</v>
      </c>
      <c r="G1542" s="76" t="s">
        <v>397</v>
      </c>
      <c r="H1542" s="108"/>
      <c r="I1542" s="71"/>
    </row>
    <row r="1543" spans="1:9" s="65" customFormat="1">
      <c r="A1543" s="77"/>
      <c r="B1543" s="78"/>
      <c r="C1543" s="79"/>
      <c r="D1543" s="107"/>
      <c r="E1543" s="79"/>
      <c r="F1543" s="79"/>
      <c r="G1543" s="107"/>
      <c r="H1543" s="108"/>
      <c r="I1543" s="71"/>
    </row>
    <row r="1544" spans="1:9" s="65" customFormat="1">
      <c r="A1544" s="90"/>
      <c r="B1544" s="91"/>
      <c r="C1544" s="91"/>
      <c r="D1544" s="91"/>
      <c r="E1544" s="91"/>
      <c r="F1544"/>
      <c r="G1544" s="93" t="s">
        <v>407</v>
      </c>
      <c r="H1544" s="107">
        <f>SUM(G1543:G1543)</f>
        <v>0</v>
      </c>
      <c r="I1544" s="71"/>
    </row>
    <row r="1545" spans="1:9" s="65" customFormat="1">
      <c r="A1545" s="72" t="s">
        <v>411</v>
      </c>
      <c r="B1545" s="73"/>
      <c r="C1545" s="73"/>
      <c r="D1545" s="73"/>
      <c r="E1545" s="73"/>
      <c r="F1545"/>
      <c r="G1545" s="74"/>
      <c r="H1545" s="108"/>
      <c r="I1545" s="71"/>
    </row>
    <row r="1546" spans="1:9" s="65" customFormat="1">
      <c r="A1546" s="75" t="s">
        <v>391</v>
      </c>
      <c r="B1546" s="76" t="s">
        <v>392</v>
      </c>
      <c r="C1546" s="76" t="s">
        <v>393</v>
      </c>
      <c r="D1546" s="76" t="s">
        <v>394</v>
      </c>
      <c r="E1546" s="76" t="s">
        <v>395</v>
      </c>
      <c r="F1546" s="76" t="s">
        <v>396</v>
      </c>
      <c r="G1546" s="76" t="s">
        <v>397</v>
      </c>
      <c r="H1546" s="108"/>
      <c r="I1546" s="71"/>
    </row>
    <row r="1547" spans="1:9" s="65" customFormat="1">
      <c r="A1547" s="87" t="s">
        <v>409</v>
      </c>
      <c r="B1547" s="114" t="s">
        <v>747</v>
      </c>
      <c r="C1547" s="114" t="s">
        <v>437</v>
      </c>
      <c r="D1547" s="114">
        <v>800000</v>
      </c>
      <c r="E1547" s="215">
        <v>2.5000000000000001E-2</v>
      </c>
      <c r="F1547" s="79">
        <v>0</v>
      </c>
      <c r="G1547" s="107">
        <f>(D1547*E1547)+((D1547*E1547)*F1547/100)</f>
        <v>20000</v>
      </c>
      <c r="H1547" s="108"/>
      <c r="I1547" s="71"/>
    </row>
    <row r="1548" spans="1:9" s="65" customFormat="1">
      <c r="A1548" s="94"/>
      <c r="B1548" s="95"/>
      <c r="C1548" s="95"/>
      <c r="D1548" s="95"/>
      <c r="E1548" s="95"/>
      <c r="F1548"/>
      <c r="G1548" s="93" t="s">
        <v>407</v>
      </c>
      <c r="H1548" s="107">
        <f>SUM(G1546:G1547)</f>
        <v>20000</v>
      </c>
      <c r="I1548" s="71"/>
    </row>
    <row r="1549" spans="1:9" s="65" customFormat="1">
      <c r="A1549" s="94"/>
      <c r="B1549" s="95"/>
      <c r="C1549" s="95"/>
      <c r="D1549" s="95"/>
      <c r="E1549" s="95"/>
      <c r="F1549"/>
      <c r="G1549" s="74"/>
      <c r="H1549" s="74"/>
      <c r="I1549" s="71"/>
    </row>
    <row r="1550" spans="1:9" s="65" customFormat="1">
      <c r="A1550" s="96"/>
      <c r="B1550" s="97"/>
      <c r="C1550" s="98"/>
      <c r="D1550" s="98"/>
      <c r="E1550" s="98"/>
      <c r="F1550"/>
      <c r="G1550" s="99" t="s">
        <v>412</v>
      </c>
      <c r="H1550" s="115">
        <f>SUM(H1536:H1548)</f>
        <v>316496</v>
      </c>
      <c r="I1550" s="71"/>
    </row>
    <row r="1551" spans="1:9" s="65" customFormat="1">
      <c r="A1551" s="96"/>
      <c r="B1551" s="97"/>
      <c r="C1551" s="98"/>
      <c r="D1551" s="98"/>
      <c r="E1551" s="98"/>
      <c r="F1551" s="101"/>
      <c r="G1551" s="116"/>
      <c r="H1551" s="70"/>
      <c r="I1551" s="71"/>
    </row>
    <row r="1552" spans="1:9" s="65" customFormat="1" ht="15.75" thickBot="1">
      <c r="A1552" s="624" t="s">
        <v>502</v>
      </c>
      <c r="B1552" s="625"/>
      <c r="C1552" s="625"/>
      <c r="D1552" s="625"/>
      <c r="E1552" s="625"/>
      <c r="F1552" s="625"/>
      <c r="G1552" s="626"/>
      <c r="H1552" s="117">
        <f>+ROUND(H1550,0)</f>
        <v>316496</v>
      </c>
      <c r="I1552" s="103"/>
    </row>
    <row r="1553" spans="1:9" s="65" customFormat="1" ht="15.75" thickBot="1">
      <c r="H1553" s="156"/>
      <c r="I1553" s="151"/>
    </row>
    <row r="1554" spans="1:9" s="65" customFormat="1">
      <c r="A1554" s="627"/>
      <c r="B1554" s="629" t="s">
        <v>919</v>
      </c>
      <c r="C1554" s="630"/>
      <c r="D1554" s="630"/>
      <c r="E1554" s="630"/>
      <c r="F1554" s="630"/>
      <c r="G1554" s="630"/>
      <c r="H1554" s="643"/>
      <c r="I1554" s="66" t="s">
        <v>389</v>
      </c>
    </row>
    <row r="1555" spans="1:9" s="65" customFormat="1">
      <c r="A1555" s="628"/>
      <c r="B1555" s="631"/>
      <c r="C1555" s="632"/>
      <c r="D1555" s="632"/>
      <c r="E1555" s="632"/>
      <c r="F1555" s="632"/>
      <c r="G1555" s="632"/>
      <c r="H1555" s="644"/>
      <c r="I1555" s="67" t="s">
        <v>7</v>
      </c>
    </row>
    <row r="1556" spans="1:9" s="65" customFormat="1">
      <c r="A1556" s="68"/>
      <c r="B1556" s="69"/>
      <c r="C1556" s="69"/>
      <c r="D1556" s="69"/>
      <c r="E1556" s="69"/>
      <c r="F1556" s="70"/>
      <c r="G1556" s="70"/>
      <c r="H1556" s="70"/>
      <c r="I1556" s="71"/>
    </row>
    <row r="1557" spans="1:9" s="65" customFormat="1">
      <c r="A1557" s="72" t="s">
        <v>390</v>
      </c>
      <c r="B1557" s="73"/>
      <c r="C1557" s="73"/>
      <c r="D1557" s="73"/>
      <c r="E1557" s="73"/>
      <c r="F1557" s="74"/>
      <c r="G1557" s="74"/>
      <c r="H1557" s="70"/>
      <c r="I1557" s="71"/>
    </row>
    <row r="1558" spans="1:9" s="65" customFormat="1">
      <c r="A1558" s="75" t="s">
        <v>391</v>
      </c>
      <c r="B1558" s="76" t="s">
        <v>392</v>
      </c>
      <c r="C1558" s="76" t="s">
        <v>393</v>
      </c>
      <c r="D1558" s="76" t="s">
        <v>394</v>
      </c>
      <c r="E1558" s="76" t="s">
        <v>395</v>
      </c>
      <c r="F1558" s="76" t="s">
        <v>396</v>
      </c>
      <c r="G1558" s="76" t="s">
        <v>397</v>
      </c>
      <c r="H1558" s="74"/>
      <c r="I1558" s="71"/>
    </row>
    <row r="1559" spans="1:9" s="65" customFormat="1">
      <c r="A1559" s="77"/>
      <c r="B1559" s="79"/>
      <c r="C1559" s="79"/>
      <c r="D1559" s="107"/>
      <c r="E1559" s="79"/>
      <c r="F1559" s="79"/>
      <c r="G1559" s="107"/>
      <c r="H1559" s="74"/>
      <c r="I1559" s="71"/>
    </row>
    <row r="1560" spans="1:9" s="65" customFormat="1">
      <c r="A1560" s="82"/>
      <c r="B1560" s="83"/>
      <c r="C1560" s="84"/>
      <c r="D1560" s="84"/>
      <c r="E1560" s="84"/>
      <c r="F1560"/>
      <c r="G1560" s="93" t="s">
        <v>407</v>
      </c>
      <c r="H1560" s="107">
        <f>SUM(G1559:G1559)</f>
        <v>0</v>
      </c>
      <c r="I1560" s="71"/>
    </row>
    <row r="1561" spans="1:9" s="65" customFormat="1">
      <c r="A1561" s="72" t="s">
        <v>408</v>
      </c>
      <c r="B1561" s="73"/>
      <c r="C1561" s="73"/>
      <c r="D1561" s="73"/>
      <c r="E1561" s="73"/>
      <c r="F1561"/>
      <c r="G1561" s="74"/>
      <c r="H1561" s="108"/>
      <c r="I1561" s="71"/>
    </row>
    <row r="1562" spans="1:9" s="65" customFormat="1">
      <c r="A1562" s="75" t="s">
        <v>391</v>
      </c>
      <c r="B1562" s="76" t="s">
        <v>392</v>
      </c>
      <c r="C1562" s="76" t="s">
        <v>393</v>
      </c>
      <c r="D1562" s="76" t="s">
        <v>394</v>
      </c>
      <c r="E1562" s="76" t="s">
        <v>395</v>
      </c>
      <c r="F1562" s="76" t="s">
        <v>396</v>
      </c>
      <c r="G1562" s="76" t="s">
        <v>397</v>
      </c>
      <c r="H1562" s="108"/>
      <c r="I1562" s="71"/>
    </row>
    <row r="1563" spans="1:9" s="65" customFormat="1">
      <c r="A1563" s="135"/>
      <c r="B1563" s="78" t="s">
        <v>919</v>
      </c>
      <c r="C1563" s="127" t="s">
        <v>493</v>
      </c>
      <c r="D1563" s="107">
        <f>142000*1.16*1.2*1.6</f>
        <v>316262.40000000002</v>
      </c>
      <c r="E1563" s="79">
        <v>1</v>
      </c>
      <c r="F1563" s="79">
        <v>0</v>
      </c>
      <c r="G1563" s="107">
        <f>(D1563*E1563)+((D1563*E1563)*F1563/100)</f>
        <v>316262.40000000002</v>
      </c>
      <c r="H1563" s="108"/>
      <c r="I1563" s="71"/>
    </row>
    <row r="1564" spans="1:9" s="65" customFormat="1">
      <c r="A1564" s="90"/>
      <c r="B1564" s="91"/>
      <c r="C1564" s="91"/>
      <c r="D1564" s="91"/>
      <c r="E1564" s="91"/>
      <c r="F1564"/>
      <c r="G1564" s="85" t="s">
        <v>407</v>
      </c>
      <c r="H1564" s="107">
        <f>SUM(G1563:G1563)</f>
        <v>316262.40000000002</v>
      </c>
      <c r="I1564" s="71"/>
    </row>
    <row r="1565" spans="1:9" s="65" customFormat="1">
      <c r="A1565" s="72" t="s">
        <v>410</v>
      </c>
      <c r="B1565" s="73"/>
      <c r="C1565" s="73"/>
      <c r="D1565" s="73"/>
      <c r="E1565" s="73"/>
      <c r="F1565"/>
      <c r="G1565" s="74"/>
      <c r="H1565" s="108"/>
      <c r="I1565" s="71"/>
    </row>
    <row r="1566" spans="1:9" s="65" customFormat="1">
      <c r="A1566" s="75" t="s">
        <v>391</v>
      </c>
      <c r="B1566" s="76" t="s">
        <v>392</v>
      </c>
      <c r="C1566" s="76" t="s">
        <v>393</v>
      </c>
      <c r="D1566" s="76" t="s">
        <v>394</v>
      </c>
      <c r="E1566" s="76" t="s">
        <v>395</v>
      </c>
      <c r="F1566" s="76" t="s">
        <v>396</v>
      </c>
      <c r="G1566" s="76" t="s">
        <v>397</v>
      </c>
      <c r="H1566" s="108"/>
      <c r="I1566" s="71"/>
    </row>
    <row r="1567" spans="1:9" s="65" customFormat="1">
      <c r="A1567" s="77"/>
      <c r="B1567" s="78"/>
      <c r="C1567" s="79"/>
      <c r="D1567" s="107"/>
      <c r="E1567" s="79"/>
      <c r="F1567" s="79"/>
      <c r="G1567" s="107"/>
      <c r="H1567" s="108"/>
      <c r="I1567" s="71"/>
    </row>
    <row r="1568" spans="1:9" s="65" customFormat="1">
      <c r="A1568" s="90"/>
      <c r="B1568" s="91"/>
      <c r="C1568" s="91"/>
      <c r="D1568" s="91"/>
      <c r="E1568" s="91"/>
      <c r="F1568"/>
      <c r="G1568" s="93" t="s">
        <v>407</v>
      </c>
      <c r="H1568" s="107">
        <f>SUM(G1567:G1567)</f>
        <v>0</v>
      </c>
      <c r="I1568" s="71"/>
    </row>
    <row r="1569" spans="1:9" s="65" customFormat="1">
      <c r="A1569" s="72" t="s">
        <v>411</v>
      </c>
      <c r="B1569" s="73"/>
      <c r="C1569" s="73"/>
      <c r="D1569" s="73"/>
      <c r="E1569" s="73"/>
      <c r="F1569"/>
      <c r="G1569" s="74"/>
      <c r="H1569" s="108"/>
      <c r="I1569" s="71"/>
    </row>
    <row r="1570" spans="1:9" s="65" customFormat="1">
      <c r="A1570" s="75" t="s">
        <v>391</v>
      </c>
      <c r="B1570" s="76" t="s">
        <v>392</v>
      </c>
      <c r="C1570" s="76" t="s">
        <v>393</v>
      </c>
      <c r="D1570" s="76" t="s">
        <v>394</v>
      </c>
      <c r="E1570" s="76" t="s">
        <v>395</v>
      </c>
      <c r="F1570" s="76" t="s">
        <v>396</v>
      </c>
      <c r="G1570" s="76" t="s">
        <v>397</v>
      </c>
      <c r="H1570" s="108"/>
      <c r="I1570" s="71"/>
    </row>
    <row r="1571" spans="1:9" s="65" customFormat="1">
      <c r="A1571" s="87" t="s">
        <v>409</v>
      </c>
      <c r="B1571" s="114" t="s">
        <v>747</v>
      </c>
      <c r="C1571" s="114" t="s">
        <v>437</v>
      </c>
      <c r="D1571" s="114">
        <v>800000</v>
      </c>
      <c r="E1571" s="215">
        <v>0.03</v>
      </c>
      <c r="F1571" s="79">
        <v>0</v>
      </c>
      <c r="G1571" s="107">
        <f>(D1571*E1571)+((D1571*E1571)*F1571/100)</f>
        <v>24000</v>
      </c>
      <c r="H1571" s="108"/>
      <c r="I1571" s="71"/>
    </row>
    <row r="1572" spans="1:9" s="65" customFormat="1">
      <c r="A1572" s="94"/>
      <c r="B1572" s="95"/>
      <c r="C1572" s="95"/>
      <c r="D1572" s="95"/>
      <c r="E1572" s="95"/>
      <c r="F1572"/>
      <c r="G1572" s="93" t="s">
        <v>407</v>
      </c>
      <c r="H1572" s="107">
        <f>SUM(G1570:G1571)</f>
        <v>24000</v>
      </c>
      <c r="I1572" s="71"/>
    </row>
    <row r="1573" spans="1:9" s="65" customFormat="1">
      <c r="A1573" s="94"/>
      <c r="B1573" s="95"/>
      <c r="C1573" s="95"/>
      <c r="D1573" s="95"/>
      <c r="E1573" s="95"/>
      <c r="F1573"/>
      <c r="G1573" s="74"/>
      <c r="H1573" s="74"/>
      <c r="I1573" s="71"/>
    </row>
    <row r="1574" spans="1:9" s="65" customFormat="1">
      <c r="A1574" s="96"/>
      <c r="B1574" s="97"/>
      <c r="C1574" s="98"/>
      <c r="D1574" s="98"/>
      <c r="E1574" s="98"/>
      <c r="F1574"/>
      <c r="G1574" s="99" t="s">
        <v>412</v>
      </c>
      <c r="H1574" s="115">
        <f>SUM(H1560:H1572)</f>
        <v>340262.40000000002</v>
      </c>
      <c r="I1574" s="71"/>
    </row>
    <row r="1575" spans="1:9" s="65" customFormat="1">
      <c r="A1575" s="96"/>
      <c r="B1575" s="97"/>
      <c r="C1575" s="98"/>
      <c r="D1575" s="98"/>
      <c r="E1575" s="98"/>
      <c r="F1575" s="101"/>
      <c r="G1575" s="116"/>
      <c r="H1575" s="70"/>
      <c r="I1575" s="71"/>
    </row>
    <row r="1576" spans="1:9" s="65" customFormat="1" ht="15.75" thickBot="1">
      <c r="A1576" s="624" t="s">
        <v>502</v>
      </c>
      <c r="B1576" s="625"/>
      <c r="C1576" s="625"/>
      <c r="D1576" s="625"/>
      <c r="E1576" s="625"/>
      <c r="F1576" s="625"/>
      <c r="G1576" s="626"/>
      <c r="H1576" s="117">
        <f>+ROUND(H1574,0)</f>
        <v>340262</v>
      </c>
      <c r="I1576" s="103"/>
    </row>
    <row r="1577" spans="1:9" s="65" customFormat="1"/>
    <row r="1578" spans="1:9" s="65" customFormat="1" ht="15.75" thickBot="1">
      <c r="H1578" s="156"/>
      <c r="I1578" s="151"/>
    </row>
    <row r="1579" spans="1:9" s="65" customFormat="1">
      <c r="A1579" s="627"/>
      <c r="B1579" s="629" t="s">
        <v>346</v>
      </c>
      <c r="C1579" s="630"/>
      <c r="D1579" s="630"/>
      <c r="E1579" s="630"/>
      <c r="F1579" s="630"/>
      <c r="G1579" s="630"/>
      <c r="H1579" s="643"/>
      <c r="I1579" s="66" t="s">
        <v>389</v>
      </c>
    </row>
    <row r="1580" spans="1:9" s="65" customFormat="1">
      <c r="A1580" s="628"/>
      <c r="B1580" s="631"/>
      <c r="C1580" s="632"/>
      <c r="D1580" s="632"/>
      <c r="E1580" s="632"/>
      <c r="F1580" s="632"/>
      <c r="G1580" s="632"/>
      <c r="H1580" s="644"/>
      <c r="I1580" s="67" t="s">
        <v>7</v>
      </c>
    </row>
    <row r="1581" spans="1:9" s="65" customFormat="1">
      <c r="A1581" s="68"/>
      <c r="B1581" s="69"/>
      <c r="C1581" s="69"/>
      <c r="D1581" s="69"/>
      <c r="E1581" s="69"/>
      <c r="F1581" s="70"/>
      <c r="G1581" s="70"/>
      <c r="H1581" s="70"/>
      <c r="I1581" s="71"/>
    </row>
    <row r="1582" spans="1:9" s="65" customFormat="1">
      <c r="A1582" s="72" t="s">
        <v>390</v>
      </c>
      <c r="B1582" s="73"/>
      <c r="C1582" s="73"/>
      <c r="D1582" s="73"/>
      <c r="E1582" s="73"/>
      <c r="F1582" s="74"/>
      <c r="G1582" s="74"/>
      <c r="H1582" s="70"/>
      <c r="I1582" s="71"/>
    </row>
    <row r="1583" spans="1:9" s="65" customFormat="1">
      <c r="A1583" s="75" t="s">
        <v>391</v>
      </c>
      <c r="B1583" s="76" t="s">
        <v>392</v>
      </c>
      <c r="C1583" s="76" t="s">
        <v>393</v>
      </c>
      <c r="D1583" s="76" t="s">
        <v>394</v>
      </c>
      <c r="E1583" s="76" t="s">
        <v>395</v>
      </c>
      <c r="F1583" s="76" t="s">
        <v>396</v>
      </c>
      <c r="G1583" s="76" t="s">
        <v>397</v>
      </c>
      <c r="H1583" s="74"/>
      <c r="I1583" s="71"/>
    </row>
    <row r="1584" spans="1:9" s="65" customFormat="1">
      <c r="A1584" s="77"/>
      <c r="B1584" s="79"/>
      <c r="C1584" s="79"/>
      <c r="D1584" s="107"/>
      <c r="E1584" s="79"/>
      <c r="F1584" s="79"/>
      <c r="G1584" s="107"/>
      <c r="H1584" s="74"/>
      <c r="I1584" s="71"/>
    </row>
    <row r="1585" spans="1:9" s="65" customFormat="1">
      <c r="A1585" s="82"/>
      <c r="B1585" s="83"/>
      <c r="C1585" s="84"/>
      <c r="D1585" s="84"/>
      <c r="E1585" s="84"/>
      <c r="F1585"/>
      <c r="G1585" s="93" t="s">
        <v>407</v>
      </c>
      <c r="H1585" s="107">
        <f>SUM(G1584:G1584)</f>
        <v>0</v>
      </c>
      <c r="I1585" s="71"/>
    </row>
    <row r="1586" spans="1:9" s="65" customFormat="1">
      <c r="A1586" s="72" t="s">
        <v>408</v>
      </c>
      <c r="B1586" s="73"/>
      <c r="C1586" s="73"/>
      <c r="D1586" s="73"/>
      <c r="E1586" s="73"/>
      <c r="F1586"/>
      <c r="G1586" s="74"/>
      <c r="H1586" s="108"/>
      <c r="I1586" s="71"/>
    </row>
    <row r="1587" spans="1:9" s="65" customFormat="1">
      <c r="A1587" s="75" t="s">
        <v>391</v>
      </c>
      <c r="B1587" s="76" t="s">
        <v>392</v>
      </c>
      <c r="C1587" s="76" t="s">
        <v>393</v>
      </c>
      <c r="D1587" s="76" t="s">
        <v>394</v>
      </c>
      <c r="E1587" s="76" t="s">
        <v>395</v>
      </c>
      <c r="F1587" s="76" t="s">
        <v>396</v>
      </c>
      <c r="G1587" s="76" t="s">
        <v>397</v>
      </c>
      <c r="H1587" s="108"/>
      <c r="I1587" s="71"/>
    </row>
    <row r="1588" spans="1:9" s="65" customFormat="1">
      <c r="A1588" s="135"/>
      <c r="B1588" s="78" t="s">
        <v>346</v>
      </c>
      <c r="C1588" s="127" t="s">
        <v>493</v>
      </c>
      <c r="D1588" s="107">
        <f>205000*1.16*1.2*0.3</f>
        <v>85607.999999999985</v>
      </c>
      <c r="E1588" s="79">
        <v>1</v>
      </c>
      <c r="F1588" s="79">
        <v>0</v>
      </c>
      <c r="G1588" s="107">
        <f>(D1588*E1588)+((D1588*E1588)*F1588/100)</f>
        <v>85607.999999999985</v>
      </c>
      <c r="H1588" s="108"/>
      <c r="I1588" s="71"/>
    </row>
    <row r="1589" spans="1:9" s="65" customFormat="1">
      <c r="A1589" s="90"/>
      <c r="B1589" s="91"/>
      <c r="C1589" s="91"/>
      <c r="D1589" s="91"/>
      <c r="E1589" s="91"/>
      <c r="F1589"/>
      <c r="G1589" s="85" t="s">
        <v>407</v>
      </c>
      <c r="H1589" s="107">
        <f>SUM(G1588:G1588)</f>
        <v>85607.999999999985</v>
      </c>
      <c r="I1589" s="71"/>
    </row>
    <row r="1590" spans="1:9" s="65" customFormat="1">
      <c r="A1590" s="72" t="s">
        <v>410</v>
      </c>
      <c r="B1590" s="73"/>
      <c r="C1590" s="73"/>
      <c r="D1590" s="73"/>
      <c r="E1590" s="73"/>
      <c r="F1590"/>
      <c r="G1590" s="74"/>
      <c r="H1590" s="108"/>
      <c r="I1590" s="71"/>
    </row>
    <row r="1591" spans="1:9" s="65" customFormat="1">
      <c r="A1591" s="75" t="s">
        <v>391</v>
      </c>
      <c r="B1591" s="76" t="s">
        <v>392</v>
      </c>
      <c r="C1591" s="76" t="s">
        <v>393</v>
      </c>
      <c r="D1591" s="76" t="s">
        <v>394</v>
      </c>
      <c r="E1591" s="76" t="s">
        <v>395</v>
      </c>
      <c r="F1591" s="76" t="s">
        <v>396</v>
      </c>
      <c r="G1591" s="76" t="s">
        <v>397</v>
      </c>
      <c r="H1591" s="108"/>
      <c r="I1591" s="71"/>
    </row>
    <row r="1592" spans="1:9" s="65" customFormat="1">
      <c r="A1592" s="77"/>
      <c r="B1592" s="78"/>
      <c r="C1592" s="79"/>
      <c r="D1592" s="107"/>
      <c r="E1592" s="79"/>
      <c r="F1592" s="79"/>
      <c r="G1592" s="107"/>
      <c r="H1592" s="108"/>
      <c r="I1592" s="71"/>
    </row>
    <row r="1593" spans="1:9" s="65" customFormat="1">
      <c r="A1593" s="90"/>
      <c r="B1593" s="91"/>
      <c r="C1593" s="91"/>
      <c r="D1593" s="91"/>
      <c r="E1593" s="91"/>
      <c r="F1593"/>
      <c r="G1593" s="93" t="s">
        <v>407</v>
      </c>
      <c r="H1593" s="107">
        <f>SUM(G1592:G1592)</f>
        <v>0</v>
      </c>
      <c r="I1593" s="71"/>
    </row>
    <row r="1594" spans="1:9" s="65" customFormat="1">
      <c r="A1594" s="72" t="s">
        <v>411</v>
      </c>
      <c r="B1594" s="73"/>
      <c r="C1594" s="73"/>
      <c r="D1594" s="73"/>
      <c r="E1594" s="73"/>
      <c r="F1594"/>
      <c r="G1594" s="74"/>
      <c r="H1594" s="108"/>
      <c r="I1594" s="71"/>
    </row>
    <row r="1595" spans="1:9" s="65" customFormat="1">
      <c r="A1595" s="75" t="s">
        <v>391</v>
      </c>
      <c r="B1595" s="76" t="s">
        <v>392</v>
      </c>
      <c r="C1595" s="76" t="s">
        <v>393</v>
      </c>
      <c r="D1595" s="76" t="s">
        <v>394</v>
      </c>
      <c r="E1595" s="76" t="s">
        <v>395</v>
      </c>
      <c r="F1595" s="76" t="s">
        <v>396</v>
      </c>
      <c r="G1595" s="76" t="s">
        <v>397</v>
      </c>
      <c r="H1595" s="108"/>
      <c r="I1595" s="71"/>
    </row>
    <row r="1596" spans="1:9" s="65" customFormat="1">
      <c r="A1596" s="87" t="s">
        <v>409</v>
      </c>
      <c r="B1596" s="114" t="s">
        <v>747</v>
      </c>
      <c r="C1596" s="114" t="s">
        <v>437</v>
      </c>
      <c r="D1596" s="114">
        <v>800000</v>
      </c>
      <c r="E1596" s="215">
        <v>1.9230769230769232E-2</v>
      </c>
      <c r="F1596" s="79">
        <v>0</v>
      </c>
      <c r="G1596" s="107">
        <f>(D1596*E1596)+((D1596*E1596)*F1596/100)</f>
        <v>15384.615384615385</v>
      </c>
      <c r="H1596" s="108"/>
      <c r="I1596" s="71"/>
    </row>
    <row r="1597" spans="1:9" s="65" customFormat="1">
      <c r="A1597" s="94"/>
      <c r="B1597" s="95"/>
      <c r="C1597" s="95"/>
      <c r="D1597" s="95"/>
      <c r="E1597" s="95"/>
      <c r="F1597"/>
      <c r="G1597" s="93" t="s">
        <v>407</v>
      </c>
      <c r="H1597" s="107">
        <f>SUM(G1595:G1596)</f>
        <v>15384.615384615385</v>
      </c>
      <c r="I1597" s="71"/>
    </row>
    <row r="1598" spans="1:9" s="65" customFormat="1">
      <c r="A1598" s="94"/>
      <c r="B1598" s="95"/>
      <c r="C1598" s="95"/>
      <c r="D1598" s="95"/>
      <c r="E1598" s="95"/>
      <c r="F1598"/>
      <c r="G1598" s="74"/>
      <c r="H1598" s="74"/>
      <c r="I1598" s="71"/>
    </row>
    <row r="1599" spans="1:9" s="65" customFormat="1">
      <c r="A1599" s="96"/>
      <c r="B1599" s="97"/>
      <c r="C1599" s="98"/>
      <c r="D1599" s="98"/>
      <c r="E1599" s="98"/>
      <c r="F1599"/>
      <c r="G1599" s="99" t="s">
        <v>412</v>
      </c>
      <c r="H1599" s="115">
        <f>SUM(H1585:H1597)</f>
        <v>100992.61538461538</v>
      </c>
      <c r="I1599" s="71"/>
    </row>
    <row r="1600" spans="1:9" s="65" customFormat="1">
      <c r="A1600" s="96"/>
      <c r="B1600" s="97"/>
      <c r="C1600" s="98"/>
      <c r="D1600" s="98"/>
      <c r="E1600" s="98"/>
      <c r="F1600" s="101"/>
      <c r="G1600" s="116"/>
      <c r="H1600" s="70"/>
      <c r="I1600" s="71"/>
    </row>
    <row r="1601" spans="1:9" s="65" customFormat="1" ht="15.75" thickBot="1">
      <c r="A1601" s="624" t="s">
        <v>502</v>
      </c>
      <c r="B1601" s="625"/>
      <c r="C1601" s="625"/>
      <c r="D1601" s="625"/>
      <c r="E1601" s="625"/>
      <c r="F1601" s="625"/>
      <c r="G1601" s="626"/>
      <c r="H1601" s="117">
        <f>+ROUND(H1599,0)</f>
        <v>100993</v>
      </c>
      <c r="I1601" s="103"/>
    </row>
    <row r="1602" spans="1:9" s="65" customFormat="1" ht="15.75" thickBot="1">
      <c r="H1602" s="156"/>
      <c r="I1602" s="151"/>
    </row>
    <row r="1603" spans="1:9" s="65" customFormat="1">
      <c r="A1603" s="627"/>
      <c r="B1603" s="629" t="s">
        <v>345</v>
      </c>
      <c r="C1603" s="630"/>
      <c r="D1603" s="630"/>
      <c r="E1603" s="630"/>
      <c r="F1603" s="630"/>
      <c r="G1603" s="630"/>
      <c r="H1603" s="643"/>
      <c r="I1603" s="66" t="s">
        <v>389</v>
      </c>
    </row>
    <row r="1604" spans="1:9" s="65" customFormat="1">
      <c r="A1604" s="628"/>
      <c r="B1604" s="631"/>
      <c r="C1604" s="632"/>
      <c r="D1604" s="632"/>
      <c r="E1604" s="632"/>
      <c r="F1604" s="632"/>
      <c r="G1604" s="632"/>
      <c r="H1604" s="644"/>
      <c r="I1604" s="67" t="s">
        <v>7</v>
      </c>
    </row>
    <row r="1605" spans="1:9" s="65" customFormat="1">
      <c r="A1605" s="68"/>
      <c r="B1605" s="69"/>
      <c r="C1605" s="69"/>
      <c r="D1605" s="69"/>
      <c r="E1605" s="69"/>
      <c r="F1605" s="70"/>
      <c r="G1605" s="70"/>
      <c r="H1605" s="70"/>
      <c r="I1605" s="71"/>
    </row>
    <row r="1606" spans="1:9" s="65" customFormat="1">
      <c r="A1606" s="72" t="s">
        <v>390</v>
      </c>
      <c r="B1606" s="73"/>
      <c r="C1606" s="73"/>
      <c r="D1606" s="73"/>
      <c r="E1606" s="73"/>
      <c r="F1606" s="74"/>
      <c r="G1606" s="74"/>
      <c r="H1606" s="70"/>
      <c r="I1606" s="71"/>
    </row>
    <row r="1607" spans="1:9" s="65" customFormat="1">
      <c r="A1607" s="75" t="s">
        <v>391</v>
      </c>
      <c r="B1607" s="76" t="s">
        <v>392</v>
      </c>
      <c r="C1607" s="76" t="s">
        <v>393</v>
      </c>
      <c r="D1607" s="76" t="s">
        <v>394</v>
      </c>
      <c r="E1607" s="76" t="s">
        <v>395</v>
      </c>
      <c r="F1607" s="76" t="s">
        <v>396</v>
      </c>
      <c r="G1607" s="76" t="s">
        <v>397</v>
      </c>
      <c r="H1607" s="74"/>
      <c r="I1607" s="71"/>
    </row>
    <row r="1608" spans="1:9" s="65" customFormat="1">
      <c r="A1608" s="77"/>
      <c r="B1608" s="79"/>
      <c r="C1608" s="79"/>
      <c r="D1608" s="107"/>
      <c r="E1608" s="79"/>
      <c r="F1608" s="79"/>
      <c r="G1608" s="107"/>
      <c r="H1608" s="74"/>
      <c r="I1608" s="71"/>
    </row>
    <row r="1609" spans="1:9" s="65" customFormat="1">
      <c r="A1609" s="82"/>
      <c r="B1609" s="83"/>
      <c r="C1609" s="84"/>
      <c r="D1609" s="84"/>
      <c r="E1609" s="84"/>
      <c r="F1609"/>
      <c r="G1609" s="93" t="s">
        <v>407</v>
      </c>
      <c r="H1609" s="107">
        <f>SUM(G1608:G1608)</f>
        <v>0</v>
      </c>
      <c r="I1609" s="71"/>
    </row>
    <row r="1610" spans="1:9" s="65" customFormat="1">
      <c r="A1610" s="72" t="s">
        <v>408</v>
      </c>
      <c r="B1610" s="73"/>
      <c r="C1610" s="73"/>
      <c r="D1610" s="73"/>
      <c r="E1610" s="73"/>
      <c r="F1610"/>
      <c r="G1610" s="74"/>
      <c r="H1610" s="108"/>
      <c r="I1610" s="71"/>
    </row>
    <row r="1611" spans="1:9" s="65" customFormat="1">
      <c r="A1611" s="75" t="s">
        <v>391</v>
      </c>
      <c r="B1611" s="76" t="s">
        <v>392</v>
      </c>
      <c r="C1611" s="76" t="s">
        <v>393</v>
      </c>
      <c r="D1611" s="76" t="s">
        <v>394</v>
      </c>
      <c r="E1611" s="76" t="s">
        <v>395</v>
      </c>
      <c r="F1611" s="76" t="s">
        <v>396</v>
      </c>
      <c r="G1611" s="76" t="s">
        <v>397</v>
      </c>
      <c r="H1611" s="108"/>
      <c r="I1611" s="71"/>
    </row>
    <row r="1612" spans="1:9" s="65" customFormat="1">
      <c r="A1612" s="135"/>
      <c r="B1612" s="78" t="s">
        <v>345</v>
      </c>
      <c r="C1612" s="127" t="s">
        <v>493</v>
      </c>
      <c r="D1612" s="107">
        <f>205000*1.16*1.2*0.4</f>
        <v>114143.99999999999</v>
      </c>
      <c r="E1612" s="79">
        <v>1</v>
      </c>
      <c r="F1612" s="79">
        <v>0</v>
      </c>
      <c r="G1612" s="107">
        <f>(D1612*E1612)+((D1612*E1612)*F1612/100)</f>
        <v>114143.99999999999</v>
      </c>
      <c r="H1612" s="108"/>
      <c r="I1612" s="71"/>
    </row>
    <row r="1613" spans="1:9" s="65" customFormat="1">
      <c r="A1613" s="90"/>
      <c r="B1613" s="91"/>
      <c r="C1613" s="91"/>
      <c r="D1613" s="91"/>
      <c r="E1613" s="91"/>
      <c r="F1613"/>
      <c r="G1613" s="85" t="s">
        <v>407</v>
      </c>
      <c r="H1613" s="107">
        <f>SUM(G1612:G1612)</f>
        <v>114143.99999999999</v>
      </c>
      <c r="I1613" s="71"/>
    </row>
    <row r="1614" spans="1:9" s="65" customFormat="1">
      <c r="A1614" s="72" t="s">
        <v>410</v>
      </c>
      <c r="B1614" s="73"/>
      <c r="C1614" s="73"/>
      <c r="D1614" s="73"/>
      <c r="E1614" s="73"/>
      <c r="F1614"/>
      <c r="G1614" s="74"/>
      <c r="H1614" s="108"/>
      <c r="I1614" s="71"/>
    </row>
    <row r="1615" spans="1:9" s="65" customFormat="1">
      <c r="A1615" s="75" t="s">
        <v>391</v>
      </c>
      <c r="B1615" s="76" t="s">
        <v>392</v>
      </c>
      <c r="C1615" s="76" t="s">
        <v>393</v>
      </c>
      <c r="D1615" s="76" t="s">
        <v>394</v>
      </c>
      <c r="E1615" s="76" t="s">
        <v>395</v>
      </c>
      <c r="F1615" s="76" t="s">
        <v>396</v>
      </c>
      <c r="G1615" s="76" t="s">
        <v>397</v>
      </c>
      <c r="H1615" s="108"/>
      <c r="I1615" s="71"/>
    </row>
    <row r="1616" spans="1:9" s="65" customFormat="1">
      <c r="A1616" s="77"/>
      <c r="B1616" s="78"/>
      <c r="C1616" s="79"/>
      <c r="D1616" s="107"/>
      <c r="E1616" s="79"/>
      <c r="F1616" s="79"/>
      <c r="G1616" s="107"/>
      <c r="H1616" s="108"/>
      <c r="I1616" s="71"/>
    </row>
    <row r="1617" spans="1:9" s="65" customFormat="1">
      <c r="A1617" s="90"/>
      <c r="B1617" s="91"/>
      <c r="C1617" s="91"/>
      <c r="D1617" s="91"/>
      <c r="E1617" s="91"/>
      <c r="F1617"/>
      <c r="G1617" s="93" t="s">
        <v>407</v>
      </c>
      <c r="H1617" s="107">
        <f>SUM(G1616:G1616)</f>
        <v>0</v>
      </c>
      <c r="I1617" s="71"/>
    </row>
    <row r="1618" spans="1:9" s="65" customFormat="1">
      <c r="A1618" s="72" t="s">
        <v>411</v>
      </c>
      <c r="B1618" s="73"/>
      <c r="C1618" s="73"/>
      <c r="D1618" s="73"/>
      <c r="E1618" s="73"/>
      <c r="F1618"/>
      <c r="G1618" s="74"/>
      <c r="H1618" s="108"/>
      <c r="I1618" s="71"/>
    </row>
    <row r="1619" spans="1:9" s="65" customFormat="1">
      <c r="A1619" s="75" t="s">
        <v>391</v>
      </c>
      <c r="B1619" s="76" t="s">
        <v>392</v>
      </c>
      <c r="C1619" s="76" t="s">
        <v>393</v>
      </c>
      <c r="D1619" s="76" t="s">
        <v>394</v>
      </c>
      <c r="E1619" s="76" t="s">
        <v>395</v>
      </c>
      <c r="F1619" s="76" t="s">
        <v>396</v>
      </c>
      <c r="G1619" s="76" t="s">
        <v>397</v>
      </c>
      <c r="H1619" s="108"/>
      <c r="I1619" s="71"/>
    </row>
    <row r="1620" spans="1:9" s="65" customFormat="1">
      <c r="A1620" s="87" t="s">
        <v>409</v>
      </c>
      <c r="B1620" s="114" t="s">
        <v>747</v>
      </c>
      <c r="C1620" s="114" t="s">
        <v>437</v>
      </c>
      <c r="D1620" s="114">
        <v>800000</v>
      </c>
      <c r="E1620" s="215">
        <v>2.1999999999999999E-2</v>
      </c>
      <c r="F1620" s="79">
        <v>0</v>
      </c>
      <c r="G1620" s="107">
        <f>(D1620*E1620)+((D1620*E1620)*F1620/100)</f>
        <v>17600</v>
      </c>
      <c r="H1620" s="108"/>
      <c r="I1620" s="71"/>
    </row>
    <row r="1621" spans="1:9" s="65" customFormat="1">
      <c r="A1621" s="94"/>
      <c r="B1621" s="95"/>
      <c r="C1621" s="95"/>
      <c r="D1621" s="95"/>
      <c r="E1621" s="95"/>
      <c r="F1621"/>
      <c r="G1621" s="93" t="s">
        <v>407</v>
      </c>
      <c r="H1621" s="107">
        <f>SUM(G1619:G1620)</f>
        <v>17600</v>
      </c>
      <c r="I1621" s="71"/>
    </row>
    <row r="1622" spans="1:9" s="65" customFormat="1">
      <c r="A1622" s="94"/>
      <c r="B1622" s="95"/>
      <c r="C1622" s="95"/>
      <c r="D1622" s="95"/>
      <c r="E1622" s="95"/>
      <c r="F1622"/>
      <c r="G1622" s="74"/>
      <c r="H1622" s="74"/>
      <c r="I1622" s="71"/>
    </row>
    <row r="1623" spans="1:9" s="65" customFormat="1">
      <c r="A1623" s="96"/>
      <c r="B1623" s="97"/>
      <c r="C1623" s="98"/>
      <c r="D1623" s="98"/>
      <c r="E1623" s="98"/>
      <c r="F1623"/>
      <c r="G1623" s="99" t="s">
        <v>412</v>
      </c>
      <c r="H1623" s="115">
        <f>SUM(H1609:H1621)</f>
        <v>131744</v>
      </c>
      <c r="I1623" s="71"/>
    </row>
    <row r="1624" spans="1:9" s="65" customFormat="1">
      <c r="A1624" s="96"/>
      <c r="B1624" s="97"/>
      <c r="C1624" s="98"/>
      <c r="D1624" s="98"/>
      <c r="E1624" s="98"/>
      <c r="F1624" s="101"/>
      <c r="G1624" s="116"/>
      <c r="H1624" s="70"/>
      <c r="I1624" s="71"/>
    </row>
    <row r="1625" spans="1:9" s="65" customFormat="1" ht="15.75" thickBot="1">
      <c r="A1625" s="624" t="s">
        <v>502</v>
      </c>
      <c r="B1625" s="625"/>
      <c r="C1625" s="625"/>
      <c r="D1625" s="625"/>
      <c r="E1625" s="625"/>
      <c r="F1625" s="625"/>
      <c r="G1625" s="626"/>
      <c r="H1625" s="117">
        <f>+ROUND(H1623,0)</f>
        <v>131744</v>
      </c>
      <c r="I1625" s="103"/>
    </row>
    <row r="1626" spans="1:9" s="65" customFormat="1" ht="15.75" thickBot="1">
      <c r="H1626" s="156"/>
      <c r="I1626" s="151"/>
    </row>
    <row r="1627" spans="1:9" s="65" customFormat="1">
      <c r="A1627" s="627"/>
      <c r="B1627" s="629" t="s">
        <v>347</v>
      </c>
      <c r="C1627" s="630"/>
      <c r="D1627" s="630"/>
      <c r="E1627" s="630"/>
      <c r="F1627" s="630"/>
      <c r="G1627" s="630"/>
      <c r="H1627" s="643"/>
      <c r="I1627" s="66" t="s">
        <v>389</v>
      </c>
    </row>
    <row r="1628" spans="1:9" s="65" customFormat="1">
      <c r="A1628" s="628"/>
      <c r="B1628" s="631"/>
      <c r="C1628" s="632"/>
      <c r="D1628" s="632"/>
      <c r="E1628" s="632"/>
      <c r="F1628" s="632"/>
      <c r="G1628" s="632"/>
      <c r="H1628" s="644"/>
      <c r="I1628" s="67" t="s">
        <v>7</v>
      </c>
    </row>
    <row r="1629" spans="1:9" s="65" customFormat="1">
      <c r="A1629" s="68"/>
      <c r="B1629" s="69"/>
      <c r="C1629" s="69"/>
      <c r="D1629" s="69"/>
      <c r="E1629" s="69"/>
      <c r="F1629" s="70"/>
      <c r="G1629" s="70"/>
      <c r="H1629" s="70"/>
      <c r="I1629" s="71"/>
    </row>
    <row r="1630" spans="1:9" s="65" customFormat="1">
      <c r="A1630" s="72" t="s">
        <v>390</v>
      </c>
      <c r="B1630" s="73"/>
      <c r="C1630" s="73"/>
      <c r="D1630" s="73"/>
      <c r="E1630" s="73"/>
      <c r="F1630" s="74"/>
      <c r="G1630" s="74"/>
      <c r="H1630" s="70"/>
      <c r="I1630" s="71"/>
    </row>
    <row r="1631" spans="1:9" s="65" customFormat="1">
      <c r="A1631" s="75" t="s">
        <v>391</v>
      </c>
      <c r="B1631" s="76" t="s">
        <v>392</v>
      </c>
      <c r="C1631" s="76" t="s">
        <v>393</v>
      </c>
      <c r="D1631" s="76" t="s">
        <v>394</v>
      </c>
      <c r="E1631" s="76" t="s">
        <v>395</v>
      </c>
      <c r="F1631" s="76" t="s">
        <v>396</v>
      </c>
      <c r="G1631" s="76" t="s">
        <v>397</v>
      </c>
      <c r="H1631" s="74"/>
      <c r="I1631" s="71"/>
    </row>
    <row r="1632" spans="1:9" s="65" customFormat="1">
      <c r="A1632" s="77"/>
      <c r="B1632" s="79"/>
      <c r="C1632" s="79"/>
      <c r="D1632" s="107"/>
      <c r="E1632" s="79"/>
      <c r="F1632" s="79"/>
      <c r="G1632" s="107"/>
      <c r="H1632" s="74"/>
      <c r="I1632" s="71"/>
    </row>
    <row r="1633" spans="1:9" s="65" customFormat="1">
      <c r="A1633" s="82"/>
      <c r="B1633" s="83"/>
      <c r="C1633" s="84"/>
      <c r="D1633" s="84"/>
      <c r="E1633" s="84"/>
      <c r="F1633"/>
      <c r="G1633" s="93" t="s">
        <v>407</v>
      </c>
      <c r="H1633" s="107">
        <f>SUM(G1632:G1632)</f>
        <v>0</v>
      </c>
      <c r="I1633" s="71"/>
    </row>
    <row r="1634" spans="1:9" s="65" customFormat="1">
      <c r="A1634" s="72" t="s">
        <v>408</v>
      </c>
      <c r="B1634" s="73"/>
      <c r="C1634" s="73"/>
      <c r="D1634" s="73"/>
      <c r="E1634" s="73"/>
      <c r="F1634"/>
      <c r="G1634" s="74"/>
      <c r="H1634" s="108"/>
      <c r="I1634" s="71"/>
    </row>
    <row r="1635" spans="1:9" s="65" customFormat="1">
      <c r="A1635" s="75" t="s">
        <v>391</v>
      </c>
      <c r="B1635" s="76" t="s">
        <v>392</v>
      </c>
      <c r="C1635" s="76" t="s">
        <v>393</v>
      </c>
      <c r="D1635" s="76" t="s">
        <v>394</v>
      </c>
      <c r="E1635" s="76" t="s">
        <v>395</v>
      </c>
      <c r="F1635" s="76" t="s">
        <v>396</v>
      </c>
      <c r="G1635" s="76" t="s">
        <v>397</v>
      </c>
      <c r="H1635" s="108"/>
      <c r="I1635" s="71"/>
    </row>
    <row r="1636" spans="1:9" s="65" customFormat="1">
      <c r="A1636" s="135"/>
      <c r="B1636" s="78" t="s">
        <v>347</v>
      </c>
      <c r="C1636" s="127" t="s">
        <v>493</v>
      </c>
      <c r="D1636" s="107">
        <f>205000*1.16*1.2*0.5</f>
        <v>142679.99999999997</v>
      </c>
      <c r="E1636" s="79">
        <v>1</v>
      </c>
      <c r="F1636" s="79">
        <v>0</v>
      </c>
      <c r="G1636" s="107">
        <f>(D1636*E1636)+((D1636*E1636)*F1636/100)</f>
        <v>142679.99999999997</v>
      </c>
      <c r="H1636" s="108"/>
      <c r="I1636" s="71"/>
    </row>
    <row r="1637" spans="1:9" s="65" customFormat="1">
      <c r="A1637" s="90"/>
      <c r="B1637" s="91"/>
      <c r="C1637" s="91"/>
      <c r="D1637" s="91"/>
      <c r="E1637" s="91"/>
      <c r="F1637"/>
      <c r="G1637" s="85" t="s">
        <v>407</v>
      </c>
      <c r="H1637" s="107">
        <f>SUM(G1636:G1636)</f>
        <v>142679.99999999997</v>
      </c>
      <c r="I1637" s="71"/>
    </row>
    <row r="1638" spans="1:9" s="65" customFormat="1">
      <c r="A1638" s="72" t="s">
        <v>410</v>
      </c>
      <c r="B1638" s="73"/>
      <c r="C1638" s="73"/>
      <c r="D1638" s="73"/>
      <c r="E1638" s="73"/>
      <c r="F1638"/>
      <c r="G1638" s="74"/>
      <c r="H1638" s="108"/>
      <c r="I1638" s="71"/>
    </row>
    <row r="1639" spans="1:9" s="65" customFormat="1">
      <c r="A1639" s="75" t="s">
        <v>391</v>
      </c>
      <c r="B1639" s="76" t="s">
        <v>392</v>
      </c>
      <c r="C1639" s="76" t="s">
        <v>393</v>
      </c>
      <c r="D1639" s="76" t="s">
        <v>394</v>
      </c>
      <c r="E1639" s="76" t="s">
        <v>395</v>
      </c>
      <c r="F1639" s="76" t="s">
        <v>396</v>
      </c>
      <c r="G1639" s="76" t="s">
        <v>397</v>
      </c>
      <c r="H1639" s="108"/>
      <c r="I1639" s="71"/>
    </row>
    <row r="1640" spans="1:9" s="65" customFormat="1">
      <c r="A1640" s="77"/>
      <c r="B1640" s="78"/>
      <c r="C1640" s="79"/>
      <c r="D1640" s="107"/>
      <c r="E1640" s="79"/>
      <c r="F1640" s="79"/>
      <c r="G1640" s="107"/>
      <c r="H1640" s="108"/>
      <c r="I1640" s="71"/>
    </row>
    <row r="1641" spans="1:9" s="65" customFormat="1">
      <c r="A1641" s="90"/>
      <c r="B1641" s="91"/>
      <c r="C1641" s="91"/>
      <c r="D1641" s="91"/>
      <c r="E1641" s="91"/>
      <c r="F1641"/>
      <c r="G1641" s="93" t="s">
        <v>407</v>
      </c>
      <c r="H1641" s="107">
        <f>SUM(G1640:G1640)</f>
        <v>0</v>
      </c>
      <c r="I1641" s="71"/>
    </row>
    <row r="1642" spans="1:9" s="65" customFormat="1">
      <c r="A1642" s="72" t="s">
        <v>411</v>
      </c>
      <c r="B1642" s="73"/>
      <c r="C1642" s="73"/>
      <c r="D1642" s="73"/>
      <c r="E1642" s="73"/>
      <c r="F1642"/>
      <c r="G1642" s="74"/>
      <c r="H1642" s="108"/>
      <c r="I1642" s="71"/>
    </row>
    <row r="1643" spans="1:9" s="65" customFormat="1">
      <c r="A1643" s="75" t="s">
        <v>391</v>
      </c>
      <c r="B1643" s="76" t="s">
        <v>392</v>
      </c>
      <c r="C1643" s="76" t="s">
        <v>393</v>
      </c>
      <c r="D1643" s="76" t="s">
        <v>394</v>
      </c>
      <c r="E1643" s="76" t="s">
        <v>395</v>
      </c>
      <c r="F1643" s="76" t="s">
        <v>396</v>
      </c>
      <c r="G1643" s="76" t="s">
        <v>397</v>
      </c>
      <c r="H1643" s="108"/>
      <c r="I1643" s="71"/>
    </row>
    <row r="1644" spans="1:9" s="65" customFormat="1">
      <c r="A1644" s="87" t="s">
        <v>409</v>
      </c>
      <c r="B1644" s="114" t="s">
        <v>747</v>
      </c>
      <c r="C1644" s="114" t="s">
        <v>437</v>
      </c>
      <c r="D1644" s="114">
        <v>800000</v>
      </c>
      <c r="E1644" s="215">
        <v>0.03</v>
      </c>
      <c r="F1644" s="79">
        <v>0</v>
      </c>
      <c r="G1644" s="107">
        <f>(D1644*E1644)+((D1644*E1644)*F1644/100)</f>
        <v>24000</v>
      </c>
      <c r="H1644" s="108"/>
      <c r="I1644" s="71"/>
    </row>
    <row r="1645" spans="1:9" s="65" customFormat="1">
      <c r="A1645" s="94"/>
      <c r="B1645" s="95"/>
      <c r="C1645" s="95"/>
      <c r="D1645" s="95"/>
      <c r="E1645" s="95"/>
      <c r="F1645"/>
      <c r="G1645" s="93" t="s">
        <v>407</v>
      </c>
      <c r="H1645" s="107">
        <f>SUM(G1643:G1644)</f>
        <v>24000</v>
      </c>
      <c r="I1645" s="71"/>
    </row>
    <row r="1646" spans="1:9" s="65" customFormat="1">
      <c r="A1646" s="94"/>
      <c r="B1646" s="95"/>
      <c r="C1646" s="95"/>
      <c r="D1646" s="95"/>
      <c r="E1646" s="95"/>
      <c r="F1646"/>
      <c r="G1646" s="74"/>
      <c r="H1646" s="74"/>
      <c r="I1646" s="71"/>
    </row>
    <row r="1647" spans="1:9" s="65" customFormat="1">
      <c r="A1647" s="96"/>
      <c r="B1647" s="97"/>
      <c r="C1647" s="98"/>
      <c r="D1647" s="98"/>
      <c r="E1647" s="98"/>
      <c r="F1647"/>
      <c r="G1647" s="99" t="s">
        <v>412</v>
      </c>
      <c r="H1647" s="115">
        <f>SUM(H1633:H1645)</f>
        <v>166679.99999999997</v>
      </c>
      <c r="I1647" s="71"/>
    </row>
    <row r="1648" spans="1:9" s="65" customFormat="1">
      <c r="A1648" s="96"/>
      <c r="B1648" s="97"/>
      <c r="C1648" s="98"/>
      <c r="D1648" s="98"/>
      <c r="E1648" s="98"/>
      <c r="F1648" s="101"/>
      <c r="G1648" s="116"/>
      <c r="H1648" s="70"/>
      <c r="I1648" s="71"/>
    </row>
    <row r="1649" spans="1:9" s="65" customFormat="1" ht="15.75" thickBot="1">
      <c r="A1649" s="624" t="s">
        <v>502</v>
      </c>
      <c r="B1649" s="625"/>
      <c r="C1649" s="625"/>
      <c r="D1649" s="625"/>
      <c r="E1649" s="625"/>
      <c r="F1649" s="625"/>
      <c r="G1649" s="626"/>
      <c r="H1649" s="117">
        <f>+ROUND(H1647,0)</f>
        <v>166680</v>
      </c>
      <c r="I1649" s="103"/>
    </row>
    <row r="1650" spans="1:9" s="65" customFormat="1" ht="15.75" thickBot="1">
      <c r="H1650" s="156"/>
      <c r="I1650" s="151"/>
    </row>
    <row r="1651" spans="1:9" s="65" customFormat="1">
      <c r="A1651" s="627"/>
      <c r="B1651" s="629" t="s">
        <v>349</v>
      </c>
      <c r="C1651" s="630"/>
      <c r="D1651" s="630"/>
      <c r="E1651" s="630"/>
      <c r="F1651" s="630"/>
      <c r="G1651" s="630"/>
      <c r="H1651" s="643"/>
      <c r="I1651" s="66" t="s">
        <v>389</v>
      </c>
    </row>
    <row r="1652" spans="1:9" s="65" customFormat="1">
      <c r="A1652" s="628"/>
      <c r="B1652" s="631"/>
      <c r="C1652" s="632"/>
      <c r="D1652" s="632"/>
      <c r="E1652" s="632"/>
      <c r="F1652" s="632"/>
      <c r="G1652" s="632"/>
      <c r="H1652" s="644"/>
      <c r="I1652" s="67" t="s">
        <v>7</v>
      </c>
    </row>
    <row r="1653" spans="1:9" s="65" customFormat="1">
      <c r="A1653" s="68"/>
      <c r="B1653" s="69"/>
      <c r="C1653" s="69"/>
      <c r="D1653" s="69"/>
      <c r="E1653" s="69"/>
      <c r="F1653" s="70"/>
      <c r="G1653" s="70"/>
      <c r="H1653" s="70"/>
      <c r="I1653" s="71"/>
    </row>
    <row r="1654" spans="1:9" s="65" customFormat="1">
      <c r="A1654" s="72" t="s">
        <v>390</v>
      </c>
      <c r="B1654" s="73"/>
      <c r="C1654" s="73"/>
      <c r="D1654" s="73"/>
      <c r="E1654" s="73"/>
      <c r="F1654" s="74"/>
      <c r="G1654" s="74"/>
      <c r="H1654" s="70"/>
      <c r="I1654" s="71"/>
    </row>
    <row r="1655" spans="1:9" s="65" customFormat="1">
      <c r="A1655" s="75" t="s">
        <v>391</v>
      </c>
      <c r="B1655" s="76" t="s">
        <v>392</v>
      </c>
      <c r="C1655" s="76" t="s">
        <v>393</v>
      </c>
      <c r="D1655" s="76" t="s">
        <v>394</v>
      </c>
      <c r="E1655" s="76" t="s">
        <v>395</v>
      </c>
      <c r="F1655" s="76" t="s">
        <v>396</v>
      </c>
      <c r="G1655" s="76" t="s">
        <v>397</v>
      </c>
      <c r="H1655" s="74"/>
      <c r="I1655" s="71"/>
    </row>
    <row r="1656" spans="1:9" s="65" customFormat="1">
      <c r="A1656" s="77"/>
      <c r="B1656" s="79"/>
      <c r="C1656" s="79"/>
      <c r="D1656" s="107"/>
      <c r="E1656" s="79"/>
      <c r="F1656" s="79"/>
      <c r="G1656" s="107"/>
      <c r="H1656" s="74"/>
      <c r="I1656" s="71"/>
    </row>
    <row r="1657" spans="1:9" s="65" customFormat="1">
      <c r="A1657" s="82"/>
      <c r="B1657" s="83"/>
      <c r="C1657" s="84"/>
      <c r="D1657" s="84"/>
      <c r="E1657" s="84"/>
      <c r="F1657"/>
      <c r="G1657" s="93" t="s">
        <v>407</v>
      </c>
      <c r="H1657" s="107">
        <f>SUM(G1656:G1656)</f>
        <v>0</v>
      </c>
      <c r="I1657" s="71"/>
    </row>
    <row r="1658" spans="1:9" s="65" customFormat="1">
      <c r="A1658" s="72" t="s">
        <v>408</v>
      </c>
      <c r="B1658" s="73"/>
      <c r="C1658" s="73"/>
      <c r="D1658" s="73"/>
      <c r="E1658" s="73"/>
      <c r="F1658"/>
      <c r="G1658" s="74"/>
      <c r="H1658" s="108"/>
      <c r="I1658" s="71"/>
    </row>
    <row r="1659" spans="1:9" s="65" customFormat="1">
      <c r="A1659" s="75" t="s">
        <v>391</v>
      </c>
      <c r="B1659" s="76" t="s">
        <v>392</v>
      </c>
      <c r="C1659" s="76" t="s">
        <v>393</v>
      </c>
      <c r="D1659" s="76" t="s">
        <v>394</v>
      </c>
      <c r="E1659" s="76" t="s">
        <v>395</v>
      </c>
      <c r="F1659" s="76" t="s">
        <v>396</v>
      </c>
      <c r="G1659" s="76" t="s">
        <v>397</v>
      </c>
      <c r="H1659" s="108"/>
      <c r="I1659" s="71"/>
    </row>
    <row r="1660" spans="1:9" s="65" customFormat="1">
      <c r="A1660" s="135"/>
      <c r="B1660" s="78" t="s">
        <v>349</v>
      </c>
      <c r="C1660" s="127" t="s">
        <v>493</v>
      </c>
      <c r="D1660" s="107">
        <f>205000*1.16*1.2*0.6</f>
        <v>171215.99999999997</v>
      </c>
      <c r="E1660" s="79">
        <v>1</v>
      </c>
      <c r="F1660" s="79">
        <v>0</v>
      </c>
      <c r="G1660" s="107">
        <f>(D1660*E1660)+((D1660*E1660)*F1660/100)</f>
        <v>171215.99999999997</v>
      </c>
      <c r="H1660" s="108"/>
      <c r="I1660" s="71"/>
    </row>
    <row r="1661" spans="1:9" s="65" customFormat="1">
      <c r="A1661" s="90"/>
      <c r="B1661" s="91"/>
      <c r="C1661" s="91"/>
      <c r="D1661" s="91"/>
      <c r="E1661" s="91"/>
      <c r="F1661"/>
      <c r="G1661" s="85" t="s">
        <v>407</v>
      </c>
      <c r="H1661" s="107">
        <f>SUM(G1660:G1660)</f>
        <v>171215.99999999997</v>
      </c>
      <c r="I1661" s="71"/>
    </row>
    <row r="1662" spans="1:9" s="65" customFormat="1">
      <c r="A1662" s="72" t="s">
        <v>410</v>
      </c>
      <c r="B1662" s="73"/>
      <c r="C1662" s="73"/>
      <c r="D1662" s="73"/>
      <c r="E1662" s="73"/>
      <c r="F1662"/>
      <c r="G1662" s="74"/>
      <c r="H1662" s="108"/>
      <c r="I1662" s="71"/>
    </row>
    <row r="1663" spans="1:9" s="65" customFormat="1">
      <c r="A1663" s="75" t="s">
        <v>391</v>
      </c>
      <c r="B1663" s="76" t="s">
        <v>392</v>
      </c>
      <c r="C1663" s="76" t="s">
        <v>393</v>
      </c>
      <c r="D1663" s="76" t="s">
        <v>394</v>
      </c>
      <c r="E1663" s="76" t="s">
        <v>395</v>
      </c>
      <c r="F1663" s="76" t="s">
        <v>396</v>
      </c>
      <c r="G1663" s="76" t="s">
        <v>397</v>
      </c>
      <c r="H1663" s="108"/>
      <c r="I1663" s="71"/>
    </row>
    <row r="1664" spans="1:9" s="65" customFormat="1">
      <c r="A1664" s="77"/>
      <c r="B1664" s="78"/>
      <c r="C1664" s="79"/>
      <c r="D1664" s="107"/>
      <c r="E1664" s="79"/>
      <c r="F1664" s="79"/>
      <c r="G1664" s="107"/>
      <c r="H1664" s="108"/>
      <c r="I1664" s="71"/>
    </row>
    <row r="1665" spans="1:9" s="65" customFormat="1">
      <c r="A1665" s="90"/>
      <c r="B1665" s="91"/>
      <c r="C1665" s="91"/>
      <c r="D1665" s="91"/>
      <c r="E1665" s="91"/>
      <c r="F1665"/>
      <c r="G1665" s="93" t="s">
        <v>407</v>
      </c>
      <c r="H1665" s="107">
        <f>SUM(G1664:G1664)</f>
        <v>0</v>
      </c>
      <c r="I1665" s="71"/>
    </row>
    <row r="1666" spans="1:9" s="65" customFormat="1">
      <c r="A1666" s="72" t="s">
        <v>411</v>
      </c>
      <c r="B1666" s="73"/>
      <c r="C1666" s="73"/>
      <c r="D1666" s="73"/>
      <c r="E1666" s="73"/>
      <c r="F1666"/>
      <c r="G1666" s="74"/>
      <c r="H1666" s="108"/>
      <c r="I1666" s="71"/>
    </row>
    <row r="1667" spans="1:9" s="65" customFormat="1">
      <c r="A1667" s="75" t="s">
        <v>391</v>
      </c>
      <c r="B1667" s="76" t="s">
        <v>392</v>
      </c>
      <c r="C1667" s="76" t="s">
        <v>393</v>
      </c>
      <c r="D1667" s="76" t="s">
        <v>394</v>
      </c>
      <c r="E1667" s="76" t="s">
        <v>395</v>
      </c>
      <c r="F1667" s="76" t="s">
        <v>396</v>
      </c>
      <c r="G1667" s="76" t="s">
        <v>397</v>
      </c>
      <c r="H1667" s="108"/>
      <c r="I1667" s="71"/>
    </row>
    <row r="1668" spans="1:9" s="65" customFormat="1">
      <c r="A1668" s="87" t="s">
        <v>409</v>
      </c>
      <c r="B1668" s="114" t="s">
        <v>747</v>
      </c>
      <c r="C1668" s="114" t="s">
        <v>437</v>
      </c>
      <c r="D1668" s="114">
        <v>800000</v>
      </c>
      <c r="E1668" s="215">
        <v>3.5000000000000003E-2</v>
      </c>
      <c r="F1668" s="79">
        <v>0</v>
      </c>
      <c r="G1668" s="107">
        <f>(D1668*E1668)+((D1668*E1668)*F1668/100)</f>
        <v>28000.000000000004</v>
      </c>
      <c r="H1668" s="108"/>
      <c r="I1668" s="71"/>
    </row>
    <row r="1669" spans="1:9" s="65" customFormat="1">
      <c r="A1669" s="94"/>
      <c r="B1669" s="95"/>
      <c r="C1669" s="95"/>
      <c r="D1669" s="95"/>
      <c r="E1669" s="95"/>
      <c r="F1669"/>
      <c r="G1669" s="93" t="s">
        <v>407</v>
      </c>
      <c r="H1669" s="107">
        <f>SUM(G1667:G1668)</f>
        <v>28000.000000000004</v>
      </c>
      <c r="I1669" s="71"/>
    </row>
    <row r="1670" spans="1:9" s="65" customFormat="1">
      <c r="A1670" s="94"/>
      <c r="B1670" s="95"/>
      <c r="C1670" s="95"/>
      <c r="D1670" s="95"/>
      <c r="E1670" s="95"/>
      <c r="F1670"/>
      <c r="G1670" s="74"/>
      <c r="H1670" s="74"/>
      <c r="I1670" s="71"/>
    </row>
    <row r="1671" spans="1:9" s="65" customFormat="1">
      <c r="A1671" s="96"/>
      <c r="B1671" s="97"/>
      <c r="C1671" s="98"/>
      <c r="D1671" s="98"/>
      <c r="E1671" s="98"/>
      <c r="F1671"/>
      <c r="G1671" s="99" t="s">
        <v>412</v>
      </c>
      <c r="H1671" s="115">
        <f>SUM(H1657:H1669)</f>
        <v>199215.99999999997</v>
      </c>
      <c r="I1671" s="71"/>
    </row>
    <row r="1672" spans="1:9" s="65" customFormat="1">
      <c r="A1672" s="96"/>
      <c r="B1672" s="97"/>
      <c r="C1672" s="98"/>
      <c r="D1672" s="98"/>
      <c r="E1672" s="98"/>
      <c r="F1672" s="101"/>
      <c r="G1672" s="116"/>
      <c r="H1672" s="70"/>
      <c r="I1672" s="71"/>
    </row>
    <row r="1673" spans="1:9" s="65" customFormat="1" ht="15.75" thickBot="1">
      <c r="A1673" s="624" t="s">
        <v>502</v>
      </c>
      <c r="B1673" s="625"/>
      <c r="C1673" s="625"/>
      <c r="D1673" s="625"/>
      <c r="E1673" s="625"/>
      <c r="F1673" s="625"/>
      <c r="G1673" s="626"/>
      <c r="H1673" s="117">
        <f>+ROUND(H1671,0)</f>
        <v>199216</v>
      </c>
      <c r="I1673" s="103"/>
    </row>
    <row r="1674" spans="1:9" s="65" customFormat="1" ht="15.75" thickBot="1">
      <c r="H1674" s="156"/>
      <c r="I1674" s="151"/>
    </row>
    <row r="1675" spans="1:9" s="65" customFormat="1">
      <c r="A1675" s="627"/>
      <c r="B1675" s="629" t="s">
        <v>348</v>
      </c>
      <c r="C1675" s="630"/>
      <c r="D1675" s="630"/>
      <c r="E1675" s="630"/>
      <c r="F1675" s="630"/>
      <c r="G1675" s="630"/>
      <c r="H1675" s="643"/>
      <c r="I1675" s="66" t="s">
        <v>389</v>
      </c>
    </row>
    <row r="1676" spans="1:9" s="65" customFormat="1">
      <c r="A1676" s="628"/>
      <c r="B1676" s="631"/>
      <c r="C1676" s="632"/>
      <c r="D1676" s="632"/>
      <c r="E1676" s="632"/>
      <c r="F1676" s="632"/>
      <c r="G1676" s="632"/>
      <c r="H1676" s="644"/>
      <c r="I1676" s="67" t="s">
        <v>7</v>
      </c>
    </row>
    <row r="1677" spans="1:9" s="65" customFormat="1">
      <c r="A1677" s="68"/>
      <c r="B1677" s="69"/>
      <c r="C1677" s="69"/>
      <c r="D1677" s="69"/>
      <c r="E1677" s="69"/>
      <c r="F1677" s="70"/>
      <c r="G1677" s="70"/>
      <c r="H1677" s="70"/>
      <c r="I1677" s="71"/>
    </row>
    <row r="1678" spans="1:9" s="65" customFormat="1">
      <c r="A1678" s="72" t="s">
        <v>390</v>
      </c>
      <c r="B1678" s="73"/>
      <c r="C1678" s="73"/>
      <c r="D1678" s="73"/>
      <c r="E1678" s="73"/>
      <c r="F1678" s="74"/>
      <c r="G1678" s="74"/>
      <c r="H1678" s="70"/>
      <c r="I1678" s="71"/>
    </row>
    <row r="1679" spans="1:9" s="65" customFormat="1">
      <c r="A1679" s="75" t="s">
        <v>391</v>
      </c>
      <c r="B1679" s="76" t="s">
        <v>392</v>
      </c>
      <c r="C1679" s="76" t="s">
        <v>393</v>
      </c>
      <c r="D1679" s="76" t="s">
        <v>394</v>
      </c>
      <c r="E1679" s="76" t="s">
        <v>395</v>
      </c>
      <c r="F1679" s="76" t="s">
        <v>396</v>
      </c>
      <c r="G1679" s="76" t="s">
        <v>397</v>
      </c>
      <c r="H1679" s="74"/>
      <c r="I1679" s="71"/>
    </row>
    <row r="1680" spans="1:9" s="65" customFormat="1">
      <c r="A1680" s="77"/>
      <c r="B1680" s="79"/>
      <c r="C1680" s="79"/>
      <c r="D1680" s="107"/>
      <c r="E1680" s="79"/>
      <c r="F1680" s="79"/>
      <c r="G1680" s="107"/>
      <c r="H1680" s="74"/>
      <c r="I1680" s="71"/>
    </row>
    <row r="1681" spans="1:9" s="65" customFormat="1">
      <c r="A1681" s="82"/>
      <c r="B1681" s="83"/>
      <c r="C1681" s="84"/>
      <c r="D1681" s="84"/>
      <c r="E1681" s="84"/>
      <c r="F1681"/>
      <c r="G1681" s="93" t="s">
        <v>407</v>
      </c>
      <c r="H1681" s="107">
        <f>SUM(G1680:G1680)</f>
        <v>0</v>
      </c>
      <c r="I1681" s="71"/>
    </row>
    <row r="1682" spans="1:9" s="65" customFormat="1">
      <c r="A1682" s="72" t="s">
        <v>408</v>
      </c>
      <c r="B1682" s="73"/>
      <c r="C1682" s="73"/>
      <c r="D1682" s="73"/>
      <c r="E1682" s="73"/>
      <c r="F1682"/>
      <c r="G1682" s="74"/>
      <c r="H1682" s="108"/>
      <c r="I1682" s="71"/>
    </row>
    <row r="1683" spans="1:9" s="65" customFormat="1">
      <c r="A1683" s="75" t="s">
        <v>391</v>
      </c>
      <c r="B1683" s="76" t="s">
        <v>392</v>
      </c>
      <c r="C1683" s="76" t="s">
        <v>393</v>
      </c>
      <c r="D1683" s="76" t="s">
        <v>394</v>
      </c>
      <c r="E1683" s="76" t="s">
        <v>395</v>
      </c>
      <c r="F1683" s="76" t="s">
        <v>396</v>
      </c>
      <c r="G1683" s="76" t="s">
        <v>397</v>
      </c>
      <c r="H1683" s="108"/>
      <c r="I1683" s="71"/>
    </row>
    <row r="1684" spans="1:9" s="65" customFormat="1">
      <c r="A1684" s="135"/>
      <c r="B1684" s="78" t="s">
        <v>348</v>
      </c>
      <c r="C1684" s="127" t="s">
        <v>493</v>
      </c>
      <c r="D1684" s="107">
        <f>205000*1.16*1.2*0.8</f>
        <v>228287.99999999997</v>
      </c>
      <c r="E1684" s="79">
        <v>1</v>
      </c>
      <c r="F1684" s="79">
        <v>0</v>
      </c>
      <c r="G1684" s="107">
        <f>(D1684*E1684)+((D1684*E1684)*F1684/100)</f>
        <v>228287.99999999997</v>
      </c>
      <c r="H1684" s="108"/>
      <c r="I1684" s="71"/>
    </row>
    <row r="1685" spans="1:9" s="65" customFormat="1">
      <c r="A1685" s="90"/>
      <c r="B1685" s="91"/>
      <c r="C1685" s="91"/>
      <c r="D1685" s="91"/>
      <c r="E1685" s="91"/>
      <c r="F1685"/>
      <c r="G1685" s="85" t="s">
        <v>407</v>
      </c>
      <c r="H1685" s="107">
        <f>SUM(G1684:G1684)</f>
        <v>228287.99999999997</v>
      </c>
      <c r="I1685" s="71"/>
    </row>
    <row r="1686" spans="1:9" s="65" customFormat="1">
      <c r="A1686" s="72" t="s">
        <v>410</v>
      </c>
      <c r="B1686" s="73"/>
      <c r="C1686" s="73"/>
      <c r="D1686" s="73"/>
      <c r="E1686" s="73"/>
      <c r="F1686"/>
      <c r="G1686" s="74"/>
      <c r="H1686" s="108"/>
      <c r="I1686" s="71"/>
    </row>
    <row r="1687" spans="1:9" s="65" customFormat="1">
      <c r="A1687" s="75" t="s">
        <v>391</v>
      </c>
      <c r="B1687" s="76" t="s">
        <v>392</v>
      </c>
      <c r="C1687" s="76" t="s">
        <v>393</v>
      </c>
      <c r="D1687" s="76" t="s">
        <v>394</v>
      </c>
      <c r="E1687" s="76" t="s">
        <v>395</v>
      </c>
      <c r="F1687" s="76" t="s">
        <v>396</v>
      </c>
      <c r="G1687" s="76" t="s">
        <v>397</v>
      </c>
      <c r="H1687" s="108"/>
      <c r="I1687" s="71"/>
    </row>
    <row r="1688" spans="1:9" s="65" customFormat="1">
      <c r="A1688" s="77"/>
      <c r="B1688" s="78"/>
      <c r="C1688" s="79"/>
      <c r="D1688" s="107"/>
      <c r="E1688" s="79"/>
      <c r="F1688" s="79"/>
      <c r="G1688" s="107"/>
      <c r="H1688" s="108"/>
      <c r="I1688" s="71"/>
    </row>
    <row r="1689" spans="1:9" s="65" customFormat="1">
      <c r="A1689" s="90"/>
      <c r="B1689" s="91"/>
      <c r="C1689" s="91"/>
      <c r="D1689" s="91"/>
      <c r="E1689" s="91"/>
      <c r="F1689"/>
      <c r="G1689" s="93" t="s">
        <v>407</v>
      </c>
      <c r="H1689" s="107">
        <f>SUM(G1688:G1688)</f>
        <v>0</v>
      </c>
      <c r="I1689" s="71"/>
    </row>
    <row r="1690" spans="1:9" s="65" customFormat="1">
      <c r="A1690" s="72" t="s">
        <v>411</v>
      </c>
      <c r="B1690" s="73"/>
      <c r="C1690" s="73"/>
      <c r="D1690" s="73"/>
      <c r="E1690" s="73"/>
      <c r="F1690"/>
      <c r="G1690" s="74"/>
      <c r="H1690" s="108"/>
      <c r="I1690" s="71"/>
    </row>
    <row r="1691" spans="1:9" s="65" customFormat="1">
      <c r="A1691" s="75" t="s">
        <v>391</v>
      </c>
      <c r="B1691" s="76" t="s">
        <v>392</v>
      </c>
      <c r="C1691" s="76" t="s">
        <v>393</v>
      </c>
      <c r="D1691" s="76" t="s">
        <v>394</v>
      </c>
      <c r="E1691" s="76" t="s">
        <v>395</v>
      </c>
      <c r="F1691" s="76" t="s">
        <v>396</v>
      </c>
      <c r="G1691" s="76" t="s">
        <v>397</v>
      </c>
      <c r="H1691" s="108"/>
      <c r="I1691" s="71"/>
    </row>
    <row r="1692" spans="1:9" s="65" customFormat="1">
      <c r="A1692" s="87" t="s">
        <v>409</v>
      </c>
      <c r="B1692" s="114" t="s">
        <v>747</v>
      </c>
      <c r="C1692" s="114" t="s">
        <v>437</v>
      </c>
      <c r="D1692" s="114">
        <v>800000</v>
      </c>
      <c r="E1692" s="215">
        <v>0.04</v>
      </c>
      <c r="F1692" s="79">
        <v>0</v>
      </c>
      <c r="G1692" s="107">
        <f>(D1692*E1692)+((D1692*E1692)*F1692/100)</f>
        <v>32000</v>
      </c>
      <c r="H1692" s="108"/>
      <c r="I1692" s="71"/>
    </row>
    <row r="1693" spans="1:9" s="65" customFormat="1">
      <c r="A1693" s="94"/>
      <c r="B1693" s="95"/>
      <c r="C1693" s="95"/>
      <c r="D1693" s="95"/>
      <c r="E1693" s="95"/>
      <c r="F1693"/>
      <c r="G1693" s="93" t="s">
        <v>407</v>
      </c>
      <c r="H1693" s="107">
        <f>SUM(G1691:G1692)</f>
        <v>32000</v>
      </c>
      <c r="I1693" s="71"/>
    </row>
    <row r="1694" spans="1:9" s="65" customFormat="1">
      <c r="A1694" s="94"/>
      <c r="B1694" s="95"/>
      <c r="C1694" s="95"/>
      <c r="D1694" s="95"/>
      <c r="E1694" s="95"/>
      <c r="F1694"/>
      <c r="G1694" s="74"/>
      <c r="H1694" s="74"/>
      <c r="I1694" s="71"/>
    </row>
    <row r="1695" spans="1:9" s="65" customFormat="1">
      <c r="A1695" s="96"/>
      <c r="B1695" s="97"/>
      <c r="C1695" s="98"/>
      <c r="D1695" s="98"/>
      <c r="E1695" s="98"/>
      <c r="F1695"/>
      <c r="G1695" s="99" t="s">
        <v>412</v>
      </c>
      <c r="H1695" s="115">
        <f>SUM(H1681:H1693)</f>
        <v>260287.99999999997</v>
      </c>
      <c r="I1695" s="71"/>
    </row>
    <row r="1696" spans="1:9" s="65" customFormat="1">
      <c r="A1696" s="96"/>
      <c r="B1696" s="97"/>
      <c r="C1696" s="98"/>
      <c r="D1696" s="98"/>
      <c r="E1696" s="98"/>
      <c r="F1696" s="101"/>
      <c r="G1696" s="116"/>
      <c r="H1696" s="70"/>
      <c r="I1696" s="71"/>
    </row>
    <row r="1697" spans="1:9" s="65" customFormat="1" ht="15.75" thickBot="1">
      <c r="A1697" s="624" t="s">
        <v>502</v>
      </c>
      <c r="B1697" s="625"/>
      <c r="C1697" s="625"/>
      <c r="D1697" s="625"/>
      <c r="E1697" s="625"/>
      <c r="F1697" s="625"/>
      <c r="G1697" s="626"/>
      <c r="H1697" s="117">
        <f>+ROUND(H1695,0)</f>
        <v>260288</v>
      </c>
      <c r="I1697" s="103"/>
    </row>
    <row r="1698" spans="1:9" s="65" customFormat="1" ht="15.75" thickBot="1">
      <c r="H1698" s="156"/>
      <c r="I1698" s="151"/>
    </row>
    <row r="1699" spans="1:9" s="65" customFormat="1">
      <c r="A1699" s="627"/>
      <c r="B1699" s="629" t="s">
        <v>920</v>
      </c>
      <c r="C1699" s="630"/>
      <c r="D1699" s="630"/>
      <c r="E1699" s="630"/>
      <c r="F1699" s="630"/>
      <c r="G1699" s="630"/>
      <c r="H1699" s="643"/>
      <c r="I1699" s="66" t="s">
        <v>389</v>
      </c>
    </row>
    <row r="1700" spans="1:9" s="65" customFormat="1">
      <c r="A1700" s="628"/>
      <c r="B1700" s="631"/>
      <c r="C1700" s="632"/>
      <c r="D1700" s="632"/>
      <c r="E1700" s="632"/>
      <c r="F1700" s="632"/>
      <c r="G1700" s="632"/>
      <c r="H1700" s="644"/>
      <c r="I1700" s="67" t="s">
        <v>7</v>
      </c>
    </row>
    <row r="1701" spans="1:9" s="65" customFormat="1">
      <c r="A1701" s="68"/>
      <c r="B1701" s="69"/>
      <c r="C1701" s="69"/>
      <c r="D1701" s="69"/>
      <c r="E1701" s="69"/>
      <c r="F1701" s="70"/>
      <c r="G1701" s="70"/>
      <c r="H1701" s="70"/>
      <c r="I1701" s="71"/>
    </row>
    <row r="1702" spans="1:9" s="65" customFormat="1">
      <c r="A1702" s="72" t="s">
        <v>390</v>
      </c>
      <c r="B1702" s="73"/>
      <c r="C1702" s="73"/>
      <c r="D1702" s="73"/>
      <c r="E1702" s="73"/>
      <c r="F1702" s="74"/>
      <c r="G1702" s="74"/>
      <c r="H1702" s="70"/>
      <c r="I1702" s="71"/>
    </row>
    <row r="1703" spans="1:9" s="65" customFormat="1">
      <c r="A1703" s="75" t="s">
        <v>391</v>
      </c>
      <c r="B1703" s="76" t="s">
        <v>392</v>
      </c>
      <c r="C1703" s="76" t="s">
        <v>393</v>
      </c>
      <c r="D1703" s="76" t="s">
        <v>394</v>
      </c>
      <c r="E1703" s="76" t="s">
        <v>395</v>
      </c>
      <c r="F1703" s="76" t="s">
        <v>396</v>
      </c>
      <c r="G1703" s="76" t="s">
        <v>397</v>
      </c>
      <c r="H1703" s="74"/>
      <c r="I1703" s="71"/>
    </row>
    <row r="1704" spans="1:9" s="65" customFormat="1">
      <c r="A1704" s="77"/>
      <c r="B1704" s="79"/>
      <c r="C1704" s="79"/>
      <c r="D1704" s="107"/>
      <c r="E1704" s="79"/>
      <c r="F1704" s="79"/>
      <c r="G1704" s="107"/>
      <c r="H1704" s="74"/>
      <c r="I1704" s="71"/>
    </row>
    <row r="1705" spans="1:9" s="65" customFormat="1">
      <c r="A1705" s="82"/>
      <c r="B1705" s="83"/>
      <c r="C1705" s="84"/>
      <c r="D1705" s="84"/>
      <c r="E1705" s="84"/>
      <c r="F1705"/>
      <c r="G1705" s="93" t="s">
        <v>407</v>
      </c>
      <c r="H1705" s="107">
        <f>SUM(G1704:G1704)</f>
        <v>0</v>
      </c>
      <c r="I1705" s="71"/>
    </row>
    <row r="1706" spans="1:9" s="65" customFormat="1">
      <c r="A1706" s="72" t="s">
        <v>408</v>
      </c>
      <c r="B1706" s="73"/>
      <c r="C1706" s="73"/>
      <c r="D1706" s="73"/>
      <c r="E1706" s="73"/>
      <c r="F1706"/>
      <c r="G1706" s="74"/>
      <c r="H1706" s="108"/>
      <c r="I1706" s="71"/>
    </row>
    <row r="1707" spans="1:9" s="65" customFormat="1">
      <c r="A1707" s="75" t="s">
        <v>391</v>
      </c>
      <c r="B1707" s="76" t="s">
        <v>392</v>
      </c>
      <c r="C1707" s="76" t="s">
        <v>393</v>
      </c>
      <c r="D1707" s="76" t="s">
        <v>394</v>
      </c>
      <c r="E1707" s="76" t="s">
        <v>395</v>
      </c>
      <c r="F1707" s="76" t="s">
        <v>396</v>
      </c>
      <c r="G1707" s="76" t="s">
        <v>397</v>
      </c>
      <c r="H1707" s="108"/>
      <c r="I1707" s="71"/>
    </row>
    <row r="1708" spans="1:9" s="65" customFormat="1">
      <c r="A1708" s="135"/>
      <c r="B1708" s="78" t="s">
        <v>920</v>
      </c>
      <c r="C1708" s="127" t="s">
        <v>493</v>
      </c>
      <c r="D1708" s="107">
        <f>205000*1.16*1.2*1</f>
        <v>285359.99999999994</v>
      </c>
      <c r="E1708" s="79">
        <v>1</v>
      </c>
      <c r="F1708" s="79">
        <v>0</v>
      </c>
      <c r="G1708" s="107">
        <f>(D1708*E1708)+((D1708*E1708)*F1708/100)</f>
        <v>285359.99999999994</v>
      </c>
      <c r="H1708" s="108"/>
      <c r="I1708" s="71"/>
    </row>
    <row r="1709" spans="1:9" s="65" customFormat="1">
      <c r="A1709" s="90"/>
      <c r="B1709" s="91"/>
      <c r="C1709" s="91"/>
      <c r="D1709" s="91"/>
      <c r="E1709" s="91"/>
      <c r="F1709"/>
      <c r="G1709" s="85" t="s">
        <v>407</v>
      </c>
      <c r="H1709" s="107">
        <f>SUM(G1708:G1708)</f>
        <v>285359.99999999994</v>
      </c>
      <c r="I1709" s="71"/>
    </row>
    <row r="1710" spans="1:9" s="65" customFormat="1">
      <c r="A1710" s="72" t="s">
        <v>410</v>
      </c>
      <c r="B1710" s="73"/>
      <c r="C1710" s="73"/>
      <c r="D1710" s="73"/>
      <c r="E1710" s="73"/>
      <c r="F1710"/>
      <c r="G1710" s="74"/>
      <c r="H1710" s="108"/>
      <c r="I1710" s="71"/>
    </row>
    <row r="1711" spans="1:9" s="65" customFormat="1">
      <c r="A1711" s="75" t="s">
        <v>391</v>
      </c>
      <c r="B1711" s="76" t="s">
        <v>392</v>
      </c>
      <c r="C1711" s="76" t="s">
        <v>393</v>
      </c>
      <c r="D1711" s="76" t="s">
        <v>394</v>
      </c>
      <c r="E1711" s="76" t="s">
        <v>395</v>
      </c>
      <c r="F1711" s="76" t="s">
        <v>396</v>
      </c>
      <c r="G1711" s="76" t="s">
        <v>397</v>
      </c>
      <c r="H1711" s="108"/>
      <c r="I1711" s="71"/>
    </row>
    <row r="1712" spans="1:9" s="65" customFormat="1">
      <c r="A1712" s="77"/>
      <c r="B1712" s="78"/>
      <c r="C1712" s="79"/>
      <c r="D1712" s="107"/>
      <c r="E1712" s="79"/>
      <c r="F1712" s="79"/>
      <c r="G1712" s="107"/>
      <c r="H1712" s="108"/>
      <c r="I1712" s="71"/>
    </row>
    <row r="1713" spans="1:9" s="65" customFormat="1">
      <c r="A1713" s="90"/>
      <c r="B1713" s="91"/>
      <c r="C1713" s="91"/>
      <c r="D1713" s="91"/>
      <c r="E1713" s="91"/>
      <c r="F1713"/>
      <c r="G1713" s="93" t="s">
        <v>407</v>
      </c>
      <c r="H1713" s="107">
        <f>SUM(G1712:G1712)</f>
        <v>0</v>
      </c>
      <c r="I1713" s="71"/>
    </row>
    <row r="1714" spans="1:9" s="65" customFormat="1">
      <c r="A1714" s="72" t="s">
        <v>411</v>
      </c>
      <c r="B1714" s="73"/>
      <c r="C1714" s="73"/>
      <c r="D1714" s="73"/>
      <c r="E1714" s="73"/>
      <c r="F1714"/>
      <c r="G1714" s="74"/>
      <c r="H1714" s="108"/>
      <c r="I1714" s="71"/>
    </row>
    <row r="1715" spans="1:9" s="65" customFormat="1">
      <c r="A1715" s="75" t="s">
        <v>391</v>
      </c>
      <c r="B1715" s="76" t="s">
        <v>392</v>
      </c>
      <c r="C1715" s="76" t="s">
        <v>393</v>
      </c>
      <c r="D1715" s="76" t="s">
        <v>394</v>
      </c>
      <c r="E1715" s="76" t="s">
        <v>395</v>
      </c>
      <c r="F1715" s="76" t="s">
        <v>396</v>
      </c>
      <c r="G1715" s="76" t="s">
        <v>397</v>
      </c>
      <c r="H1715" s="108"/>
      <c r="I1715" s="71"/>
    </row>
    <row r="1716" spans="1:9" s="65" customFormat="1">
      <c r="A1716" s="87" t="s">
        <v>409</v>
      </c>
      <c r="B1716" s="114" t="s">
        <v>747</v>
      </c>
      <c r="C1716" s="114" t="s">
        <v>437</v>
      </c>
      <c r="D1716" s="114">
        <v>800000</v>
      </c>
      <c r="E1716" s="215">
        <v>4.4999999999999998E-2</v>
      </c>
      <c r="F1716" s="79">
        <v>0</v>
      </c>
      <c r="G1716" s="107">
        <f>(D1716*E1716)+((D1716*E1716)*F1716/100)</f>
        <v>36000</v>
      </c>
      <c r="H1716" s="108"/>
      <c r="I1716" s="71"/>
    </row>
    <row r="1717" spans="1:9" s="65" customFormat="1">
      <c r="A1717" s="94"/>
      <c r="B1717" s="95"/>
      <c r="C1717" s="95"/>
      <c r="D1717" s="95"/>
      <c r="E1717" s="95"/>
      <c r="F1717"/>
      <c r="G1717" s="93" t="s">
        <v>407</v>
      </c>
      <c r="H1717" s="107">
        <f>SUM(G1715:G1716)</f>
        <v>36000</v>
      </c>
      <c r="I1717" s="71"/>
    </row>
    <row r="1718" spans="1:9" s="65" customFormat="1">
      <c r="A1718" s="94"/>
      <c r="B1718" s="95"/>
      <c r="C1718" s="95"/>
      <c r="D1718" s="95"/>
      <c r="E1718" s="95"/>
      <c r="F1718"/>
      <c r="G1718" s="74"/>
      <c r="H1718" s="74"/>
      <c r="I1718" s="71"/>
    </row>
    <row r="1719" spans="1:9" s="65" customFormat="1">
      <c r="A1719" s="96"/>
      <c r="B1719" s="97"/>
      <c r="C1719" s="98"/>
      <c r="D1719" s="98"/>
      <c r="E1719" s="98"/>
      <c r="F1719"/>
      <c r="G1719" s="99" t="s">
        <v>412</v>
      </c>
      <c r="H1719" s="115">
        <f>SUM(H1705:H1717)</f>
        <v>321359.99999999994</v>
      </c>
      <c r="I1719" s="71"/>
    </row>
    <row r="1720" spans="1:9" s="65" customFormat="1">
      <c r="A1720" s="96"/>
      <c r="B1720" s="97"/>
      <c r="C1720" s="98"/>
      <c r="D1720" s="98"/>
      <c r="E1720" s="98"/>
      <c r="F1720" s="101"/>
      <c r="G1720" s="116"/>
      <c r="H1720" s="70"/>
      <c r="I1720" s="71"/>
    </row>
    <row r="1721" spans="1:9" s="65" customFormat="1" ht="15.75" thickBot="1">
      <c r="A1721" s="624" t="s">
        <v>502</v>
      </c>
      <c r="B1721" s="625"/>
      <c r="C1721" s="625"/>
      <c r="D1721" s="625"/>
      <c r="E1721" s="625"/>
      <c r="F1721" s="625"/>
      <c r="G1721" s="626"/>
      <c r="H1721" s="117">
        <f>+ROUND(H1719,0)</f>
        <v>321360</v>
      </c>
      <c r="I1721" s="103"/>
    </row>
    <row r="1722" spans="1:9" s="65" customFormat="1" ht="15.75" thickBot="1">
      <c r="H1722" s="156"/>
      <c r="I1722" s="151"/>
    </row>
    <row r="1723" spans="1:9" s="65" customFormat="1">
      <c r="A1723" s="627"/>
      <c r="B1723" s="629" t="s">
        <v>921</v>
      </c>
      <c r="C1723" s="630"/>
      <c r="D1723" s="630"/>
      <c r="E1723" s="630"/>
      <c r="F1723" s="630"/>
      <c r="G1723" s="630"/>
      <c r="H1723" s="643"/>
      <c r="I1723" s="66" t="s">
        <v>389</v>
      </c>
    </row>
    <row r="1724" spans="1:9" s="65" customFormat="1">
      <c r="A1724" s="628"/>
      <c r="B1724" s="631"/>
      <c r="C1724" s="632"/>
      <c r="D1724" s="632"/>
      <c r="E1724" s="632"/>
      <c r="F1724" s="632"/>
      <c r="G1724" s="632"/>
      <c r="H1724" s="644"/>
      <c r="I1724" s="67" t="s">
        <v>7</v>
      </c>
    </row>
    <row r="1725" spans="1:9" s="65" customFormat="1">
      <c r="A1725" s="68"/>
      <c r="B1725" s="69"/>
      <c r="C1725" s="69"/>
      <c r="D1725" s="69"/>
      <c r="E1725" s="69"/>
      <c r="F1725" s="70"/>
      <c r="G1725" s="70"/>
      <c r="H1725" s="70"/>
      <c r="I1725" s="71"/>
    </row>
    <row r="1726" spans="1:9" s="65" customFormat="1">
      <c r="A1726" s="72" t="s">
        <v>390</v>
      </c>
      <c r="B1726" s="73"/>
      <c r="C1726" s="73"/>
      <c r="D1726" s="73"/>
      <c r="E1726" s="73"/>
      <c r="F1726" s="74"/>
      <c r="G1726" s="74"/>
      <c r="H1726" s="70"/>
      <c r="I1726" s="71"/>
    </row>
    <row r="1727" spans="1:9" s="65" customFormat="1">
      <c r="A1727" s="75" t="s">
        <v>391</v>
      </c>
      <c r="B1727" s="76" t="s">
        <v>392</v>
      </c>
      <c r="C1727" s="76" t="s">
        <v>393</v>
      </c>
      <c r="D1727" s="76" t="s">
        <v>394</v>
      </c>
      <c r="E1727" s="76" t="s">
        <v>395</v>
      </c>
      <c r="F1727" s="76" t="s">
        <v>396</v>
      </c>
      <c r="G1727" s="76" t="s">
        <v>397</v>
      </c>
      <c r="H1727" s="74"/>
      <c r="I1727" s="71"/>
    </row>
    <row r="1728" spans="1:9" s="65" customFormat="1">
      <c r="A1728" s="77"/>
      <c r="B1728" s="79"/>
      <c r="C1728" s="79"/>
      <c r="D1728" s="107"/>
      <c r="E1728" s="79"/>
      <c r="F1728" s="79"/>
      <c r="G1728" s="107"/>
      <c r="H1728" s="74"/>
      <c r="I1728" s="71"/>
    </row>
    <row r="1729" spans="1:9" s="65" customFormat="1">
      <c r="A1729" s="82"/>
      <c r="B1729" s="83"/>
      <c r="C1729" s="84"/>
      <c r="D1729" s="84"/>
      <c r="E1729" s="84"/>
      <c r="F1729"/>
      <c r="G1729" s="93" t="s">
        <v>407</v>
      </c>
      <c r="H1729" s="107">
        <f>SUM(G1728:G1728)</f>
        <v>0</v>
      </c>
      <c r="I1729" s="71"/>
    </row>
    <row r="1730" spans="1:9" s="65" customFormat="1">
      <c r="A1730" s="72" t="s">
        <v>408</v>
      </c>
      <c r="B1730" s="73"/>
      <c r="C1730" s="73"/>
      <c r="D1730" s="73"/>
      <c r="E1730" s="73"/>
      <c r="F1730"/>
      <c r="G1730" s="74"/>
      <c r="H1730" s="108"/>
      <c r="I1730" s="71"/>
    </row>
    <row r="1731" spans="1:9" s="65" customFormat="1">
      <c r="A1731" s="75" t="s">
        <v>391</v>
      </c>
      <c r="B1731" s="76" t="s">
        <v>392</v>
      </c>
      <c r="C1731" s="76" t="s">
        <v>393</v>
      </c>
      <c r="D1731" s="76" t="s">
        <v>394</v>
      </c>
      <c r="E1731" s="76" t="s">
        <v>395</v>
      </c>
      <c r="F1731" s="76" t="s">
        <v>396</v>
      </c>
      <c r="G1731" s="76" t="s">
        <v>397</v>
      </c>
      <c r="H1731" s="108"/>
      <c r="I1731" s="71"/>
    </row>
    <row r="1732" spans="1:9" s="65" customFormat="1">
      <c r="A1732" s="135"/>
      <c r="B1732" s="78" t="s">
        <v>921</v>
      </c>
      <c r="C1732" s="127" t="s">
        <v>493</v>
      </c>
      <c r="D1732" s="107">
        <f>205000*1.16*1.2*2</f>
        <v>570719.99999999988</v>
      </c>
      <c r="E1732" s="79">
        <v>1</v>
      </c>
      <c r="F1732" s="79">
        <v>0</v>
      </c>
      <c r="G1732" s="107">
        <f>(D1732*E1732)+((D1732*E1732)*F1732/100)</f>
        <v>570719.99999999988</v>
      </c>
      <c r="H1732" s="108"/>
      <c r="I1732" s="71"/>
    </row>
    <row r="1733" spans="1:9" s="65" customFormat="1">
      <c r="A1733" s="90"/>
      <c r="B1733" s="91"/>
      <c r="C1733" s="91"/>
      <c r="D1733" s="91"/>
      <c r="E1733" s="91"/>
      <c r="F1733"/>
      <c r="G1733" s="85" t="s">
        <v>407</v>
      </c>
      <c r="H1733" s="107">
        <f>SUM(G1732:G1732)</f>
        <v>570719.99999999988</v>
      </c>
      <c r="I1733" s="71"/>
    </row>
    <row r="1734" spans="1:9" s="65" customFormat="1">
      <c r="A1734" s="72" t="s">
        <v>410</v>
      </c>
      <c r="B1734" s="73"/>
      <c r="C1734" s="73"/>
      <c r="D1734" s="73"/>
      <c r="E1734" s="73"/>
      <c r="F1734"/>
      <c r="G1734" s="74"/>
      <c r="H1734" s="108"/>
      <c r="I1734" s="71"/>
    </row>
    <row r="1735" spans="1:9" s="65" customFormat="1">
      <c r="A1735" s="75" t="s">
        <v>391</v>
      </c>
      <c r="B1735" s="76" t="s">
        <v>392</v>
      </c>
      <c r="C1735" s="76" t="s">
        <v>393</v>
      </c>
      <c r="D1735" s="76" t="s">
        <v>394</v>
      </c>
      <c r="E1735" s="76" t="s">
        <v>395</v>
      </c>
      <c r="F1735" s="76" t="s">
        <v>396</v>
      </c>
      <c r="G1735" s="76" t="s">
        <v>397</v>
      </c>
      <c r="H1735" s="108"/>
      <c r="I1735" s="71"/>
    </row>
    <row r="1736" spans="1:9" s="65" customFormat="1">
      <c r="A1736" s="77"/>
      <c r="B1736" s="78"/>
      <c r="C1736" s="79"/>
      <c r="D1736" s="107"/>
      <c r="E1736" s="79"/>
      <c r="F1736" s="79"/>
      <c r="G1736" s="107"/>
      <c r="H1736" s="108"/>
      <c r="I1736" s="71"/>
    </row>
    <row r="1737" spans="1:9" s="65" customFormat="1">
      <c r="A1737" s="90"/>
      <c r="B1737" s="91"/>
      <c r="C1737" s="91"/>
      <c r="D1737" s="91"/>
      <c r="E1737" s="91"/>
      <c r="F1737"/>
      <c r="G1737" s="93" t="s">
        <v>407</v>
      </c>
      <c r="H1737" s="107">
        <f>SUM(G1736:G1736)</f>
        <v>0</v>
      </c>
      <c r="I1737" s="71"/>
    </row>
    <row r="1738" spans="1:9" s="65" customFormat="1">
      <c r="A1738" s="72" t="s">
        <v>411</v>
      </c>
      <c r="B1738" s="73"/>
      <c r="C1738" s="73"/>
      <c r="D1738" s="73"/>
      <c r="E1738" s="73"/>
      <c r="F1738"/>
      <c r="G1738" s="74"/>
      <c r="H1738" s="108"/>
      <c r="I1738" s="71"/>
    </row>
    <row r="1739" spans="1:9" s="65" customFormat="1">
      <c r="A1739" s="75" t="s">
        <v>391</v>
      </c>
      <c r="B1739" s="76" t="s">
        <v>392</v>
      </c>
      <c r="C1739" s="76" t="s">
        <v>393</v>
      </c>
      <c r="D1739" s="76" t="s">
        <v>394</v>
      </c>
      <c r="E1739" s="76" t="s">
        <v>395</v>
      </c>
      <c r="F1739" s="76" t="s">
        <v>396</v>
      </c>
      <c r="G1739" s="76" t="s">
        <v>397</v>
      </c>
      <c r="H1739" s="108"/>
      <c r="I1739" s="71"/>
    </row>
    <row r="1740" spans="1:9" s="65" customFormat="1">
      <c r="A1740" s="87" t="s">
        <v>409</v>
      </c>
      <c r="B1740" s="114" t="s">
        <v>747</v>
      </c>
      <c r="C1740" s="114" t="s">
        <v>437</v>
      </c>
      <c r="D1740" s="114">
        <v>800000</v>
      </c>
      <c r="E1740" s="215">
        <v>5.5E-2</v>
      </c>
      <c r="F1740" s="79">
        <v>0</v>
      </c>
      <c r="G1740" s="107">
        <f>(D1740*E1740)+((D1740*E1740)*F1740/100)</f>
        <v>44000</v>
      </c>
      <c r="H1740" s="108"/>
      <c r="I1740" s="71"/>
    </row>
    <row r="1741" spans="1:9" s="65" customFormat="1">
      <c r="A1741" s="94"/>
      <c r="B1741" s="95"/>
      <c r="C1741" s="95"/>
      <c r="D1741" s="95"/>
      <c r="E1741" s="95"/>
      <c r="F1741"/>
      <c r="G1741" s="93" t="s">
        <v>407</v>
      </c>
      <c r="H1741" s="107">
        <f>SUM(G1739:G1740)</f>
        <v>44000</v>
      </c>
      <c r="I1741" s="71"/>
    </row>
    <row r="1742" spans="1:9" s="65" customFormat="1">
      <c r="A1742" s="94"/>
      <c r="B1742" s="95"/>
      <c r="C1742" s="95"/>
      <c r="D1742" s="95"/>
      <c r="E1742" s="95"/>
      <c r="F1742"/>
      <c r="G1742" s="74"/>
      <c r="H1742" s="74"/>
      <c r="I1742" s="71"/>
    </row>
    <row r="1743" spans="1:9" s="65" customFormat="1">
      <c r="A1743" s="96"/>
      <c r="B1743" s="97"/>
      <c r="C1743" s="98"/>
      <c r="D1743" s="98"/>
      <c r="E1743" s="98"/>
      <c r="F1743"/>
      <c r="G1743" s="99" t="s">
        <v>412</v>
      </c>
      <c r="H1743" s="115">
        <f>SUM(H1729:H1741)</f>
        <v>614719.99999999988</v>
      </c>
      <c r="I1743" s="71"/>
    </row>
    <row r="1744" spans="1:9" s="65" customFormat="1">
      <c r="A1744" s="96"/>
      <c r="B1744" s="97"/>
      <c r="C1744" s="98"/>
      <c r="D1744" s="98"/>
      <c r="E1744" s="98"/>
      <c r="F1744" s="101"/>
      <c r="G1744" s="116"/>
      <c r="H1744" s="70"/>
      <c r="I1744" s="71"/>
    </row>
    <row r="1745" spans="1:9" s="65" customFormat="1" ht="15.75" thickBot="1">
      <c r="A1745" s="624" t="s">
        <v>502</v>
      </c>
      <c r="B1745" s="625"/>
      <c r="C1745" s="625"/>
      <c r="D1745" s="625"/>
      <c r="E1745" s="625"/>
      <c r="F1745" s="625"/>
      <c r="G1745" s="626"/>
      <c r="H1745" s="117">
        <f>+ROUND(H1743,0)</f>
        <v>614720</v>
      </c>
      <c r="I1745" s="103"/>
    </row>
    <row r="1746" spans="1:9" s="65" customFormat="1" ht="15.75" thickBot="1">
      <c r="H1746" s="156"/>
      <c r="I1746" s="151"/>
    </row>
    <row r="1747" spans="1:9" s="65" customFormat="1">
      <c r="A1747" s="627"/>
      <c r="B1747" s="629" t="s">
        <v>922</v>
      </c>
      <c r="C1747" s="630"/>
      <c r="D1747" s="630"/>
      <c r="E1747" s="630"/>
      <c r="F1747" s="630"/>
      <c r="G1747" s="630"/>
      <c r="H1747" s="643"/>
      <c r="I1747" s="66" t="s">
        <v>389</v>
      </c>
    </row>
    <row r="1748" spans="1:9" s="65" customFormat="1">
      <c r="A1748" s="628"/>
      <c r="B1748" s="631"/>
      <c r="C1748" s="632"/>
      <c r="D1748" s="632"/>
      <c r="E1748" s="632"/>
      <c r="F1748" s="632"/>
      <c r="G1748" s="632"/>
      <c r="H1748" s="644"/>
      <c r="I1748" s="67" t="s">
        <v>7</v>
      </c>
    </row>
    <row r="1749" spans="1:9" s="65" customFormat="1">
      <c r="A1749" s="68"/>
      <c r="B1749" s="69"/>
      <c r="C1749" s="69"/>
      <c r="D1749" s="69"/>
      <c r="E1749" s="69"/>
      <c r="F1749" s="70"/>
      <c r="G1749" s="70"/>
      <c r="H1749" s="70"/>
      <c r="I1749" s="71"/>
    </row>
    <row r="1750" spans="1:9" s="65" customFormat="1">
      <c r="A1750" s="72" t="s">
        <v>390</v>
      </c>
      <c r="B1750" s="73"/>
      <c r="C1750" s="73"/>
      <c r="D1750" s="73"/>
      <c r="E1750" s="73"/>
      <c r="F1750" s="74"/>
      <c r="G1750" s="74"/>
      <c r="H1750" s="70"/>
      <c r="I1750" s="71"/>
    </row>
    <row r="1751" spans="1:9" s="65" customFormat="1">
      <c r="A1751" s="75" t="s">
        <v>391</v>
      </c>
      <c r="B1751" s="76" t="s">
        <v>392</v>
      </c>
      <c r="C1751" s="76" t="s">
        <v>393</v>
      </c>
      <c r="D1751" s="76" t="s">
        <v>394</v>
      </c>
      <c r="E1751" s="76" t="s">
        <v>395</v>
      </c>
      <c r="F1751" s="76" t="s">
        <v>396</v>
      </c>
      <c r="G1751" s="76" t="s">
        <v>397</v>
      </c>
      <c r="H1751" s="74"/>
      <c r="I1751" s="71"/>
    </row>
    <row r="1752" spans="1:9" s="65" customFormat="1">
      <c r="A1752" s="77"/>
      <c r="B1752" s="79"/>
      <c r="C1752" s="79"/>
      <c r="D1752" s="107"/>
      <c r="E1752" s="79"/>
      <c r="F1752" s="79"/>
      <c r="G1752" s="107"/>
      <c r="H1752" s="74"/>
      <c r="I1752" s="71"/>
    </row>
    <row r="1753" spans="1:9" s="65" customFormat="1">
      <c r="A1753" s="82"/>
      <c r="B1753" s="83"/>
      <c r="C1753" s="84"/>
      <c r="D1753" s="84"/>
      <c r="E1753" s="84"/>
      <c r="F1753"/>
      <c r="G1753" s="93" t="s">
        <v>407</v>
      </c>
      <c r="H1753" s="107">
        <f>SUM(G1752:G1752)</f>
        <v>0</v>
      </c>
      <c r="I1753" s="71"/>
    </row>
    <row r="1754" spans="1:9" s="65" customFormat="1">
      <c r="A1754" s="72" t="s">
        <v>408</v>
      </c>
      <c r="B1754" s="73"/>
      <c r="C1754" s="73"/>
      <c r="D1754" s="73"/>
      <c r="E1754" s="73"/>
      <c r="F1754"/>
      <c r="G1754" s="74"/>
      <c r="H1754" s="108"/>
      <c r="I1754" s="71"/>
    </row>
    <row r="1755" spans="1:9" s="65" customFormat="1">
      <c r="A1755" s="75" t="s">
        <v>391</v>
      </c>
      <c r="B1755" s="76" t="s">
        <v>392</v>
      </c>
      <c r="C1755" s="76" t="s">
        <v>393</v>
      </c>
      <c r="D1755" s="76" t="s">
        <v>394</v>
      </c>
      <c r="E1755" s="76" t="s">
        <v>395</v>
      </c>
      <c r="F1755" s="76" t="s">
        <v>396</v>
      </c>
      <c r="G1755" s="76" t="s">
        <v>397</v>
      </c>
      <c r="H1755" s="108"/>
      <c r="I1755" s="71"/>
    </row>
    <row r="1756" spans="1:9" s="65" customFormat="1">
      <c r="A1756" s="135"/>
      <c r="B1756" s="78" t="s">
        <v>922</v>
      </c>
      <c r="C1756" s="127" t="s">
        <v>493</v>
      </c>
      <c r="D1756" s="107">
        <f>407000*2*1.2*1.16</f>
        <v>1133088</v>
      </c>
      <c r="E1756" s="79">
        <v>1</v>
      </c>
      <c r="F1756" s="79">
        <v>0</v>
      </c>
      <c r="G1756" s="107">
        <f>(D1756*E1756)+((D1756*E1756)*F1756/100)</f>
        <v>1133088</v>
      </c>
      <c r="H1756" s="108"/>
      <c r="I1756" s="71"/>
    </row>
    <row r="1757" spans="1:9" s="65" customFormat="1">
      <c r="A1757" s="90"/>
      <c r="B1757" s="91"/>
      <c r="C1757" s="91"/>
      <c r="D1757" s="91"/>
      <c r="E1757" s="91"/>
      <c r="F1757"/>
      <c r="G1757" s="85" t="s">
        <v>407</v>
      </c>
      <c r="H1757" s="107">
        <f>SUM(G1756:G1756)</f>
        <v>1133088</v>
      </c>
      <c r="I1757" s="71"/>
    </row>
    <row r="1758" spans="1:9" s="65" customFormat="1">
      <c r="A1758" s="72" t="s">
        <v>410</v>
      </c>
      <c r="B1758" s="73"/>
      <c r="C1758" s="73"/>
      <c r="D1758" s="73"/>
      <c r="E1758" s="73"/>
      <c r="F1758"/>
      <c r="G1758" s="74"/>
      <c r="H1758" s="108"/>
      <c r="I1758" s="71"/>
    </row>
    <row r="1759" spans="1:9" s="65" customFormat="1">
      <c r="A1759" s="75" t="s">
        <v>391</v>
      </c>
      <c r="B1759" s="76" t="s">
        <v>392</v>
      </c>
      <c r="C1759" s="76" t="s">
        <v>393</v>
      </c>
      <c r="D1759" s="76" t="s">
        <v>394</v>
      </c>
      <c r="E1759" s="76" t="s">
        <v>395</v>
      </c>
      <c r="F1759" s="76" t="s">
        <v>396</v>
      </c>
      <c r="G1759" s="76" t="s">
        <v>397</v>
      </c>
      <c r="H1759" s="108"/>
      <c r="I1759" s="71"/>
    </row>
    <row r="1760" spans="1:9" s="65" customFormat="1">
      <c r="A1760" s="77"/>
      <c r="B1760" s="78"/>
      <c r="C1760" s="79"/>
      <c r="D1760" s="107"/>
      <c r="E1760" s="79"/>
      <c r="F1760" s="79"/>
      <c r="G1760" s="107"/>
      <c r="H1760" s="108"/>
      <c r="I1760" s="71"/>
    </row>
    <row r="1761" spans="1:9" s="65" customFormat="1">
      <c r="A1761" s="90"/>
      <c r="B1761" s="91"/>
      <c r="C1761" s="91"/>
      <c r="D1761" s="91"/>
      <c r="E1761" s="91"/>
      <c r="F1761"/>
      <c r="G1761" s="93" t="s">
        <v>407</v>
      </c>
      <c r="H1761" s="107">
        <f>SUM(G1760:G1760)</f>
        <v>0</v>
      </c>
      <c r="I1761" s="71"/>
    </row>
    <row r="1762" spans="1:9" s="65" customFormat="1">
      <c r="A1762" s="72" t="s">
        <v>411</v>
      </c>
      <c r="B1762" s="73"/>
      <c r="C1762" s="73"/>
      <c r="D1762" s="73"/>
      <c r="E1762" s="73"/>
      <c r="F1762"/>
      <c r="G1762" s="74"/>
      <c r="H1762" s="108"/>
      <c r="I1762" s="71"/>
    </row>
    <row r="1763" spans="1:9" s="65" customFormat="1">
      <c r="A1763" s="75" t="s">
        <v>391</v>
      </c>
      <c r="B1763" s="76" t="s">
        <v>392</v>
      </c>
      <c r="C1763" s="76" t="s">
        <v>393</v>
      </c>
      <c r="D1763" s="76" t="s">
        <v>394</v>
      </c>
      <c r="E1763" s="76" t="s">
        <v>395</v>
      </c>
      <c r="F1763" s="76" t="s">
        <v>396</v>
      </c>
      <c r="G1763" s="76" t="s">
        <v>397</v>
      </c>
      <c r="H1763" s="108"/>
      <c r="I1763" s="71"/>
    </row>
    <row r="1764" spans="1:9" s="65" customFormat="1">
      <c r="A1764" s="87" t="s">
        <v>409</v>
      </c>
      <c r="B1764" s="114" t="s">
        <v>747</v>
      </c>
      <c r="C1764" s="114" t="s">
        <v>437</v>
      </c>
      <c r="D1764" s="114">
        <v>800000</v>
      </c>
      <c r="E1764" s="215">
        <v>0.1</v>
      </c>
      <c r="F1764" s="79">
        <v>0</v>
      </c>
      <c r="G1764" s="107">
        <f>(D1764*E1764)+((D1764*E1764)*F1764/100)</f>
        <v>80000</v>
      </c>
      <c r="H1764" s="108"/>
      <c r="I1764" s="71"/>
    </row>
    <row r="1765" spans="1:9" s="65" customFormat="1">
      <c r="A1765" s="94"/>
      <c r="B1765" s="95"/>
      <c r="C1765" s="95"/>
      <c r="D1765" s="95"/>
      <c r="E1765" s="95"/>
      <c r="F1765"/>
      <c r="G1765" s="93" t="s">
        <v>407</v>
      </c>
      <c r="H1765" s="107">
        <f>SUM(G1763:G1764)</f>
        <v>80000</v>
      </c>
      <c r="I1765" s="71"/>
    </row>
    <row r="1766" spans="1:9" s="65" customFormat="1">
      <c r="A1766" s="94"/>
      <c r="B1766" s="95"/>
      <c r="C1766" s="95"/>
      <c r="D1766" s="95"/>
      <c r="E1766" s="95"/>
      <c r="F1766"/>
      <c r="G1766" s="74"/>
      <c r="H1766" s="74"/>
      <c r="I1766" s="71"/>
    </row>
    <row r="1767" spans="1:9" s="65" customFormat="1">
      <c r="A1767" s="96"/>
      <c r="B1767" s="97"/>
      <c r="C1767" s="98"/>
      <c r="D1767" s="98"/>
      <c r="E1767" s="98"/>
      <c r="F1767"/>
      <c r="G1767" s="99" t="s">
        <v>412</v>
      </c>
      <c r="H1767" s="115">
        <f>SUM(H1753:H1765)</f>
        <v>1213088</v>
      </c>
      <c r="I1767" s="71"/>
    </row>
    <row r="1768" spans="1:9" s="65" customFormat="1">
      <c r="A1768" s="96"/>
      <c r="B1768" s="97"/>
      <c r="C1768" s="98"/>
      <c r="D1768" s="98"/>
      <c r="E1768" s="98"/>
      <c r="F1768" s="101"/>
      <c r="G1768" s="116"/>
      <c r="H1768" s="70"/>
      <c r="I1768" s="71"/>
    </row>
    <row r="1769" spans="1:9" s="65" customFormat="1" ht="15.75" thickBot="1">
      <c r="A1769" s="624" t="s">
        <v>502</v>
      </c>
      <c r="B1769" s="625"/>
      <c r="C1769" s="625"/>
      <c r="D1769" s="625"/>
      <c r="E1769" s="625"/>
      <c r="F1769" s="625"/>
      <c r="G1769" s="626"/>
      <c r="H1769" s="117">
        <f>+ROUND(H1767,0)</f>
        <v>1213088</v>
      </c>
      <c r="I1769" s="103"/>
    </row>
    <row r="1770" spans="1:9" s="65" customFormat="1" ht="15.75" thickBot="1">
      <c r="H1770" s="156"/>
      <c r="I1770" s="151"/>
    </row>
    <row r="1771" spans="1:9" s="65" customFormat="1">
      <c r="A1771" s="627"/>
      <c r="B1771" s="629" t="s">
        <v>312</v>
      </c>
      <c r="C1771" s="630"/>
      <c r="D1771" s="630"/>
      <c r="E1771" s="630"/>
      <c r="F1771" s="630"/>
      <c r="G1771" s="630"/>
      <c r="H1771" s="643"/>
      <c r="I1771" s="66" t="s">
        <v>389</v>
      </c>
    </row>
    <row r="1772" spans="1:9" s="65" customFormat="1">
      <c r="A1772" s="628"/>
      <c r="B1772" s="631"/>
      <c r="C1772" s="632"/>
      <c r="D1772" s="632"/>
      <c r="E1772" s="632"/>
      <c r="F1772" s="632"/>
      <c r="G1772" s="632"/>
      <c r="H1772" s="644"/>
      <c r="I1772" s="67" t="s">
        <v>157</v>
      </c>
    </row>
    <row r="1773" spans="1:9" s="65" customFormat="1">
      <c r="A1773" s="68"/>
      <c r="B1773" s="69"/>
      <c r="C1773" s="69"/>
      <c r="D1773" s="69"/>
      <c r="E1773" s="69"/>
      <c r="F1773" s="70"/>
      <c r="G1773" s="70"/>
      <c r="H1773" s="70"/>
      <c r="I1773" s="71"/>
    </row>
    <row r="1774" spans="1:9" s="65" customFormat="1">
      <c r="A1774" s="72" t="s">
        <v>390</v>
      </c>
      <c r="B1774" s="73"/>
      <c r="C1774" s="73"/>
      <c r="D1774" s="73"/>
      <c r="E1774" s="73"/>
      <c r="F1774" s="74"/>
      <c r="G1774" s="74"/>
      <c r="H1774" s="70"/>
      <c r="I1774" s="71"/>
    </row>
    <row r="1775" spans="1:9" s="65" customFormat="1">
      <c r="A1775" s="75" t="s">
        <v>391</v>
      </c>
      <c r="B1775" s="76" t="s">
        <v>392</v>
      </c>
      <c r="C1775" s="76" t="s">
        <v>393</v>
      </c>
      <c r="D1775" s="76" t="s">
        <v>394</v>
      </c>
      <c r="E1775" s="76" t="s">
        <v>395</v>
      </c>
      <c r="F1775" s="76" t="s">
        <v>396</v>
      </c>
      <c r="G1775" s="76" t="s">
        <v>397</v>
      </c>
      <c r="H1775" s="74"/>
      <c r="I1775" s="71"/>
    </row>
    <row r="1776" spans="1:9" s="65" customFormat="1">
      <c r="A1776" s="77"/>
      <c r="B1776" s="79"/>
      <c r="C1776" s="79"/>
      <c r="D1776" s="107"/>
      <c r="E1776" s="79"/>
      <c r="F1776" s="79"/>
      <c r="G1776" s="107"/>
      <c r="H1776" s="74"/>
      <c r="I1776" s="71"/>
    </row>
    <row r="1777" spans="1:9" s="65" customFormat="1">
      <c r="A1777" s="82"/>
      <c r="B1777" s="83"/>
      <c r="C1777" s="84"/>
      <c r="D1777" s="84"/>
      <c r="E1777" s="84"/>
      <c r="F1777"/>
      <c r="G1777" s="93" t="s">
        <v>407</v>
      </c>
      <c r="H1777" s="107">
        <f>SUM(G1776:G1776)</f>
        <v>0</v>
      </c>
      <c r="I1777" s="71"/>
    </row>
    <row r="1778" spans="1:9" s="65" customFormat="1">
      <c r="A1778" s="72" t="s">
        <v>408</v>
      </c>
      <c r="B1778" s="73"/>
      <c r="C1778" s="73"/>
      <c r="D1778" s="73"/>
      <c r="E1778" s="73"/>
      <c r="F1778"/>
      <c r="G1778" s="74"/>
      <c r="H1778" s="108"/>
      <c r="I1778" s="71"/>
    </row>
    <row r="1779" spans="1:9" s="65" customFormat="1">
      <c r="A1779" s="75" t="s">
        <v>391</v>
      </c>
      <c r="B1779" s="76" t="s">
        <v>392</v>
      </c>
      <c r="C1779" s="76" t="s">
        <v>393</v>
      </c>
      <c r="D1779" s="76" t="s">
        <v>394</v>
      </c>
      <c r="E1779" s="76" t="s">
        <v>395</v>
      </c>
      <c r="F1779" s="76" t="s">
        <v>396</v>
      </c>
      <c r="G1779" s="76" t="s">
        <v>397</v>
      </c>
      <c r="H1779" s="108"/>
      <c r="I1779" s="71"/>
    </row>
    <row r="1780" spans="1:9" s="65" customFormat="1">
      <c r="A1780" s="135"/>
      <c r="B1780" s="78" t="s">
        <v>312</v>
      </c>
      <c r="C1780" s="127" t="s">
        <v>157</v>
      </c>
      <c r="D1780" s="107">
        <f>1196000*1.16*1.2</f>
        <v>1664832</v>
      </c>
      <c r="E1780" s="79">
        <v>1</v>
      </c>
      <c r="F1780" s="79">
        <v>0</v>
      </c>
      <c r="G1780" s="107">
        <f>(D1780*E1780)+((D1780*E1780)*F1780/100)</f>
        <v>1664832</v>
      </c>
      <c r="H1780" s="108"/>
      <c r="I1780" s="71"/>
    </row>
    <row r="1781" spans="1:9" s="65" customFormat="1">
      <c r="A1781" s="90"/>
      <c r="B1781" s="91"/>
      <c r="C1781" s="91"/>
      <c r="D1781" s="91"/>
      <c r="E1781" s="91"/>
      <c r="F1781"/>
      <c r="G1781" s="85" t="s">
        <v>407</v>
      </c>
      <c r="H1781" s="107">
        <f>SUM(G1780:G1780)</f>
        <v>1664832</v>
      </c>
      <c r="I1781" s="71"/>
    </row>
    <row r="1782" spans="1:9" s="65" customFormat="1">
      <c r="A1782" s="72" t="s">
        <v>410</v>
      </c>
      <c r="B1782" s="73"/>
      <c r="C1782" s="73"/>
      <c r="D1782" s="73"/>
      <c r="E1782" s="73"/>
      <c r="F1782"/>
      <c r="G1782" s="74"/>
      <c r="H1782" s="108"/>
      <c r="I1782" s="71"/>
    </row>
    <row r="1783" spans="1:9" s="65" customFormat="1">
      <c r="A1783" s="75" t="s">
        <v>391</v>
      </c>
      <c r="B1783" s="76" t="s">
        <v>392</v>
      </c>
      <c r="C1783" s="76" t="s">
        <v>393</v>
      </c>
      <c r="D1783" s="76" t="s">
        <v>394</v>
      </c>
      <c r="E1783" s="76" t="s">
        <v>395</v>
      </c>
      <c r="F1783" s="76" t="s">
        <v>396</v>
      </c>
      <c r="G1783" s="76" t="s">
        <v>397</v>
      </c>
      <c r="H1783" s="108"/>
      <c r="I1783" s="71"/>
    </row>
    <row r="1784" spans="1:9" s="65" customFormat="1">
      <c r="A1784" s="77"/>
      <c r="B1784" s="78"/>
      <c r="C1784" s="79"/>
      <c r="D1784" s="107"/>
      <c r="E1784" s="79"/>
      <c r="F1784" s="79"/>
      <c r="G1784" s="107"/>
      <c r="H1784" s="108"/>
      <c r="I1784" s="71"/>
    </row>
    <row r="1785" spans="1:9" s="65" customFormat="1">
      <c r="A1785" s="90"/>
      <c r="B1785" s="91"/>
      <c r="C1785" s="91"/>
      <c r="D1785" s="91"/>
      <c r="E1785" s="91"/>
      <c r="F1785"/>
      <c r="G1785" s="93" t="s">
        <v>407</v>
      </c>
      <c r="H1785" s="107">
        <f>SUM(G1784:G1784)</f>
        <v>0</v>
      </c>
      <c r="I1785" s="71"/>
    </row>
    <row r="1786" spans="1:9" s="65" customFormat="1">
      <c r="A1786" s="72" t="s">
        <v>411</v>
      </c>
      <c r="B1786" s="73"/>
      <c r="C1786" s="73"/>
      <c r="D1786" s="73"/>
      <c r="E1786" s="73"/>
      <c r="F1786"/>
      <c r="G1786" s="74"/>
      <c r="H1786" s="108"/>
      <c r="I1786" s="71"/>
    </row>
    <row r="1787" spans="1:9" s="65" customFormat="1">
      <c r="A1787" s="75" t="s">
        <v>391</v>
      </c>
      <c r="B1787" s="76" t="s">
        <v>392</v>
      </c>
      <c r="C1787" s="76" t="s">
        <v>393</v>
      </c>
      <c r="D1787" s="76" t="s">
        <v>394</v>
      </c>
      <c r="E1787" s="76" t="s">
        <v>395</v>
      </c>
      <c r="F1787" s="76" t="s">
        <v>396</v>
      </c>
      <c r="G1787" s="76" t="s">
        <v>397</v>
      </c>
      <c r="H1787" s="108"/>
      <c r="I1787" s="71"/>
    </row>
    <row r="1788" spans="1:9" s="65" customFormat="1">
      <c r="A1788" s="87" t="s">
        <v>409</v>
      </c>
      <c r="B1788" s="114" t="s">
        <v>747</v>
      </c>
      <c r="C1788" s="114" t="s">
        <v>437</v>
      </c>
      <c r="D1788" s="114">
        <v>800000</v>
      </c>
      <c r="E1788" s="215">
        <v>2.5000000000000001E-2</v>
      </c>
      <c r="F1788" s="79">
        <v>0</v>
      </c>
      <c r="G1788" s="107">
        <f>(D1788*E1788)+((D1788*E1788)*F1788/100)</f>
        <v>20000</v>
      </c>
      <c r="H1788" s="108"/>
      <c r="I1788" s="71"/>
    </row>
    <row r="1789" spans="1:9" s="65" customFormat="1">
      <c r="A1789" s="94"/>
      <c r="B1789" s="95"/>
      <c r="C1789" s="95"/>
      <c r="D1789" s="95"/>
      <c r="E1789" s="95"/>
      <c r="F1789"/>
      <c r="G1789" s="93" t="s">
        <v>407</v>
      </c>
      <c r="H1789" s="107">
        <f>SUM(G1787:G1788)</f>
        <v>20000</v>
      </c>
      <c r="I1789" s="71"/>
    </row>
    <row r="1790" spans="1:9" s="65" customFormat="1">
      <c r="A1790" s="94"/>
      <c r="B1790" s="95"/>
      <c r="C1790" s="95"/>
      <c r="D1790" s="95"/>
      <c r="E1790" s="95"/>
      <c r="F1790"/>
      <c r="G1790" s="74"/>
      <c r="H1790" s="74"/>
      <c r="I1790" s="71"/>
    </row>
    <row r="1791" spans="1:9" s="65" customFormat="1">
      <c r="A1791" s="96"/>
      <c r="B1791" s="97"/>
      <c r="C1791" s="98"/>
      <c r="D1791" s="98"/>
      <c r="E1791" s="98"/>
      <c r="F1791"/>
      <c r="G1791" s="99" t="s">
        <v>412</v>
      </c>
      <c r="H1791" s="115">
        <f>SUM(H1777:H1789)</f>
        <v>1684832</v>
      </c>
      <c r="I1791" s="71"/>
    </row>
    <row r="1792" spans="1:9" s="65" customFormat="1">
      <c r="A1792" s="96"/>
      <c r="B1792" s="97"/>
      <c r="C1792" s="98"/>
      <c r="D1792" s="98"/>
      <c r="E1792" s="98"/>
      <c r="F1792" s="101"/>
      <c r="G1792" s="116"/>
      <c r="H1792" s="70"/>
      <c r="I1792" s="71"/>
    </row>
    <row r="1793" spans="1:9" s="65" customFormat="1" ht="15.75" thickBot="1">
      <c r="A1793" s="624" t="s">
        <v>761</v>
      </c>
      <c r="B1793" s="625"/>
      <c r="C1793" s="625"/>
      <c r="D1793" s="625"/>
      <c r="E1793" s="625"/>
      <c r="F1793" s="625"/>
      <c r="G1793" s="626"/>
      <c r="H1793" s="117">
        <f>+ROUND(H1791,0)</f>
        <v>1684832</v>
      </c>
      <c r="I1793" s="103"/>
    </row>
    <row r="1794" spans="1:9" s="65" customFormat="1">
      <c r="B1794" s="97"/>
      <c r="C1794" s="98"/>
      <c r="D1794" s="98"/>
      <c r="E1794" s="98"/>
      <c r="F1794" s="128"/>
      <c r="G1794" s="133"/>
      <c r="H1794" s="134"/>
    </row>
    <row r="1795" spans="1:9" s="65" customFormat="1">
      <c r="A1795" s="633"/>
      <c r="B1795" s="633"/>
      <c r="C1795" s="633"/>
      <c r="D1795" s="633"/>
      <c r="E1795" s="633"/>
      <c r="F1795" s="633"/>
      <c r="G1795" s="633"/>
    </row>
    <row r="1796" spans="1:9" s="65" customFormat="1" ht="15.75" thickBot="1">
      <c r="H1796" s="156"/>
      <c r="I1796" s="151"/>
    </row>
    <row r="1797" spans="1:9" s="65" customFormat="1">
      <c r="A1797" s="627"/>
      <c r="B1797" s="629" t="s">
        <v>923</v>
      </c>
      <c r="C1797" s="630"/>
      <c r="D1797" s="630"/>
      <c r="E1797" s="630"/>
      <c r="F1797" s="630"/>
      <c r="G1797" s="630"/>
      <c r="H1797" s="643"/>
      <c r="I1797" s="66" t="s">
        <v>389</v>
      </c>
    </row>
    <row r="1798" spans="1:9" s="65" customFormat="1">
      <c r="A1798" s="628"/>
      <c r="B1798" s="631"/>
      <c r="C1798" s="632"/>
      <c r="D1798" s="632"/>
      <c r="E1798" s="632"/>
      <c r="F1798" s="632"/>
      <c r="G1798" s="632"/>
      <c r="H1798" s="644"/>
      <c r="I1798" s="67" t="s">
        <v>157</v>
      </c>
    </row>
    <row r="1799" spans="1:9" s="65" customFormat="1">
      <c r="A1799" s="68"/>
      <c r="B1799" s="69"/>
      <c r="C1799" s="69"/>
      <c r="D1799" s="69"/>
      <c r="E1799" s="69"/>
      <c r="F1799" s="70"/>
      <c r="G1799" s="70"/>
      <c r="H1799" s="70"/>
      <c r="I1799" s="71"/>
    </row>
    <row r="1800" spans="1:9" s="65" customFormat="1">
      <c r="A1800" s="72" t="s">
        <v>390</v>
      </c>
      <c r="B1800" s="73"/>
      <c r="C1800" s="73"/>
      <c r="D1800" s="73"/>
      <c r="E1800" s="73"/>
      <c r="F1800" s="74"/>
      <c r="G1800" s="74"/>
      <c r="H1800" s="70"/>
      <c r="I1800" s="71"/>
    </row>
    <row r="1801" spans="1:9" s="65" customFormat="1">
      <c r="A1801" s="75" t="s">
        <v>391</v>
      </c>
      <c r="B1801" s="76" t="s">
        <v>392</v>
      </c>
      <c r="C1801" s="76" t="s">
        <v>393</v>
      </c>
      <c r="D1801" s="76" t="s">
        <v>394</v>
      </c>
      <c r="E1801" s="76" t="s">
        <v>395</v>
      </c>
      <c r="F1801" s="76" t="s">
        <v>396</v>
      </c>
      <c r="G1801" s="76" t="s">
        <v>397</v>
      </c>
      <c r="H1801" s="74"/>
      <c r="I1801" s="71"/>
    </row>
    <row r="1802" spans="1:9" s="65" customFormat="1">
      <c r="A1802" s="77"/>
      <c r="B1802" s="79"/>
      <c r="C1802" s="79"/>
      <c r="D1802" s="107"/>
      <c r="E1802" s="79"/>
      <c r="F1802" s="79"/>
      <c r="G1802" s="107"/>
      <c r="H1802" s="74"/>
      <c r="I1802" s="71"/>
    </row>
    <row r="1803" spans="1:9" s="65" customFormat="1">
      <c r="A1803" s="82"/>
      <c r="B1803" s="83"/>
      <c r="C1803" s="84"/>
      <c r="D1803" s="84"/>
      <c r="E1803" s="84"/>
      <c r="F1803"/>
      <c r="G1803" s="93" t="s">
        <v>407</v>
      </c>
      <c r="H1803" s="107">
        <f>SUM(G1802:G1802)</f>
        <v>0</v>
      </c>
      <c r="I1803" s="71"/>
    </row>
    <row r="1804" spans="1:9" s="65" customFormat="1">
      <c r="A1804" s="72" t="s">
        <v>408</v>
      </c>
      <c r="B1804" s="73"/>
      <c r="C1804" s="73"/>
      <c r="D1804" s="73"/>
      <c r="E1804" s="73"/>
      <c r="F1804"/>
      <c r="G1804" s="74"/>
      <c r="H1804" s="108"/>
      <c r="I1804" s="71"/>
    </row>
    <row r="1805" spans="1:9" s="65" customFormat="1">
      <c r="A1805" s="75" t="s">
        <v>391</v>
      </c>
      <c r="B1805" s="76" t="s">
        <v>392</v>
      </c>
      <c r="C1805" s="76" t="s">
        <v>393</v>
      </c>
      <c r="D1805" s="76" t="s">
        <v>394</v>
      </c>
      <c r="E1805" s="76" t="s">
        <v>395</v>
      </c>
      <c r="F1805" s="76" t="s">
        <v>396</v>
      </c>
      <c r="G1805" s="76" t="s">
        <v>397</v>
      </c>
      <c r="H1805" s="108"/>
      <c r="I1805" s="71"/>
    </row>
    <row r="1806" spans="1:9" s="65" customFormat="1">
      <c r="A1806" s="135"/>
      <c r="B1806" s="78" t="s">
        <v>923</v>
      </c>
      <c r="C1806" s="127" t="s">
        <v>157</v>
      </c>
      <c r="D1806" s="107">
        <f>1546000*1.2*1.16</f>
        <v>2152032</v>
      </c>
      <c r="E1806" s="79">
        <v>1</v>
      </c>
      <c r="F1806" s="79">
        <v>0</v>
      </c>
      <c r="G1806" s="107">
        <f>(D1806*E1806)+((D1806*E1806)*F1806/100)</f>
        <v>2152032</v>
      </c>
      <c r="H1806" s="108"/>
      <c r="I1806" s="71"/>
    </row>
    <row r="1807" spans="1:9" s="65" customFormat="1">
      <c r="A1807" s="90"/>
      <c r="B1807" s="91"/>
      <c r="C1807" s="91"/>
      <c r="D1807" s="91"/>
      <c r="E1807" s="91"/>
      <c r="F1807"/>
      <c r="G1807" s="85" t="s">
        <v>407</v>
      </c>
      <c r="H1807" s="107">
        <f>SUM(G1806:G1806)</f>
        <v>2152032</v>
      </c>
      <c r="I1807" s="71"/>
    </row>
    <row r="1808" spans="1:9" s="65" customFormat="1">
      <c r="A1808" s="72" t="s">
        <v>410</v>
      </c>
      <c r="B1808" s="73"/>
      <c r="C1808" s="73"/>
      <c r="D1808" s="73"/>
      <c r="E1808" s="73"/>
      <c r="F1808"/>
      <c r="G1808" s="74"/>
      <c r="H1808" s="108"/>
      <c r="I1808" s="71"/>
    </row>
    <row r="1809" spans="1:9" s="65" customFormat="1">
      <c r="A1809" s="75" t="s">
        <v>391</v>
      </c>
      <c r="B1809" s="76" t="s">
        <v>392</v>
      </c>
      <c r="C1809" s="76" t="s">
        <v>393</v>
      </c>
      <c r="D1809" s="76" t="s">
        <v>394</v>
      </c>
      <c r="E1809" s="76" t="s">
        <v>395</v>
      </c>
      <c r="F1809" s="76" t="s">
        <v>396</v>
      </c>
      <c r="G1809" s="76" t="s">
        <v>397</v>
      </c>
      <c r="H1809" s="108"/>
      <c r="I1809" s="71"/>
    </row>
    <row r="1810" spans="1:9" s="65" customFormat="1">
      <c r="A1810" s="77"/>
      <c r="B1810" s="78"/>
      <c r="C1810" s="79"/>
      <c r="D1810" s="107"/>
      <c r="E1810" s="79"/>
      <c r="F1810" s="79"/>
      <c r="G1810" s="107"/>
      <c r="H1810" s="108"/>
      <c r="I1810" s="71"/>
    </row>
    <row r="1811" spans="1:9" s="65" customFormat="1">
      <c r="A1811" s="90"/>
      <c r="B1811" s="91"/>
      <c r="C1811" s="91"/>
      <c r="D1811" s="91"/>
      <c r="E1811" s="91"/>
      <c r="F1811"/>
      <c r="G1811" s="93" t="s">
        <v>407</v>
      </c>
      <c r="H1811" s="107">
        <f>SUM(G1810:G1810)</f>
        <v>0</v>
      </c>
      <c r="I1811" s="71"/>
    </row>
    <row r="1812" spans="1:9" s="65" customFormat="1">
      <c r="A1812" s="72" t="s">
        <v>411</v>
      </c>
      <c r="B1812" s="73"/>
      <c r="C1812" s="73"/>
      <c r="D1812" s="73"/>
      <c r="E1812" s="73"/>
      <c r="F1812"/>
      <c r="G1812" s="74"/>
      <c r="H1812" s="108"/>
      <c r="I1812" s="71"/>
    </row>
    <row r="1813" spans="1:9" s="65" customFormat="1">
      <c r="A1813" s="75" t="s">
        <v>391</v>
      </c>
      <c r="B1813" s="76" t="s">
        <v>392</v>
      </c>
      <c r="C1813" s="76" t="s">
        <v>393</v>
      </c>
      <c r="D1813" s="76" t="s">
        <v>394</v>
      </c>
      <c r="E1813" s="76" t="s">
        <v>395</v>
      </c>
      <c r="F1813" s="76" t="s">
        <v>396</v>
      </c>
      <c r="G1813" s="76" t="s">
        <v>397</v>
      </c>
      <c r="H1813" s="108"/>
      <c r="I1813" s="71"/>
    </row>
    <row r="1814" spans="1:9" s="65" customFormat="1">
      <c r="A1814" s="87" t="s">
        <v>409</v>
      </c>
      <c r="B1814" s="114" t="s">
        <v>747</v>
      </c>
      <c r="C1814" s="114" t="s">
        <v>437</v>
      </c>
      <c r="D1814" s="114">
        <v>800000</v>
      </c>
      <c r="E1814" s="215">
        <v>0.02</v>
      </c>
      <c r="F1814" s="79">
        <v>0</v>
      </c>
      <c r="G1814" s="107">
        <f>(D1814*E1814)+((D1814*E1814)*F1814/100)</f>
        <v>16000</v>
      </c>
      <c r="H1814" s="108"/>
      <c r="I1814" s="71"/>
    </row>
    <row r="1815" spans="1:9" s="65" customFormat="1">
      <c r="A1815" s="94"/>
      <c r="B1815" s="95"/>
      <c r="C1815" s="95"/>
      <c r="D1815" s="95"/>
      <c r="E1815" s="95"/>
      <c r="F1815"/>
      <c r="G1815" s="93" t="s">
        <v>407</v>
      </c>
      <c r="H1815" s="107">
        <f>SUM(G1813:G1814)</f>
        <v>16000</v>
      </c>
      <c r="I1815" s="71"/>
    </row>
    <row r="1816" spans="1:9" s="65" customFormat="1">
      <c r="A1816" s="94"/>
      <c r="B1816" s="95"/>
      <c r="C1816" s="95"/>
      <c r="D1816" s="95"/>
      <c r="E1816" s="95"/>
      <c r="F1816"/>
      <c r="G1816" s="74"/>
      <c r="H1816" s="74"/>
      <c r="I1816" s="71"/>
    </row>
    <row r="1817" spans="1:9" s="65" customFormat="1">
      <c r="A1817" s="96"/>
      <c r="B1817" s="97"/>
      <c r="C1817" s="98"/>
      <c r="D1817" s="98"/>
      <c r="E1817" s="98"/>
      <c r="F1817"/>
      <c r="G1817" s="99" t="s">
        <v>412</v>
      </c>
      <c r="H1817" s="115">
        <f>SUM(H1803:H1815)</f>
        <v>2168032</v>
      </c>
      <c r="I1817" s="71"/>
    </row>
    <row r="1818" spans="1:9" s="65" customFormat="1">
      <c r="A1818" s="96"/>
      <c r="B1818" s="97"/>
      <c r="C1818" s="98"/>
      <c r="D1818" s="98"/>
      <c r="E1818" s="98"/>
      <c r="F1818" s="101"/>
      <c r="G1818" s="116"/>
      <c r="H1818" s="70"/>
      <c r="I1818" s="71"/>
    </row>
    <row r="1819" spans="1:9" s="65" customFormat="1" ht="15.75" thickBot="1">
      <c r="A1819" s="624" t="s">
        <v>761</v>
      </c>
      <c r="B1819" s="625"/>
      <c r="C1819" s="625"/>
      <c r="D1819" s="625"/>
      <c r="E1819" s="625"/>
      <c r="F1819" s="625"/>
      <c r="G1819" s="626"/>
      <c r="H1819" s="117">
        <f>+ROUND(H1817,0)</f>
        <v>2168032</v>
      </c>
      <c r="I1819" s="103"/>
    </row>
    <row r="1820" spans="1:9" s="65" customFormat="1">
      <c r="B1820" s="97"/>
      <c r="C1820" s="98"/>
      <c r="D1820" s="98"/>
      <c r="E1820" s="98"/>
      <c r="F1820" s="128"/>
      <c r="G1820" s="133"/>
      <c r="H1820" s="134"/>
    </row>
    <row r="1821" spans="1:9" s="65" customFormat="1">
      <c r="A1821" s="633"/>
      <c r="B1821" s="633"/>
      <c r="C1821" s="633"/>
      <c r="D1821" s="633"/>
      <c r="E1821" s="633"/>
      <c r="F1821" s="633"/>
      <c r="G1821" s="633"/>
    </row>
    <row r="1822" spans="1:9" s="65" customFormat="1" ht="15.75" thickBot="1">
      <c r="H1822" s="156"/>
      <c r="I1822" s="151"/>
    </row>
    <row r="1823" spans="1:9" s="65" customFormat="1">
      <c r="A1823" s="627"/>
      <c r="B1823" s="629" t="s">
        <v>924</v>
      </c>
      <c r="C1823" s="630"/>
      <c r="D1823" s="630"/>
      <c r="E1823" s="630"/>
      <c r="F1823" s="630"/>
      <c r="G1823" s="630"/>
      <c r="H1823" s="643"/>
      <c r="I1823" s="66" t="s">
        <v>389</v>
      </c>
    </row>
    <row r="1824" spans="1:9" s="65" customFormat="1">
      <c r="A1824" s="628"/>
      <c r="B1824" s="631"/>
      <c r="C1824" s="632"/>
      <c r="D1824" s="632"/>
      <c r="E1824" s="632"/>
      <c r="F1824" s="632"/>
      <c r="G1824" s="632"/>
      <c r="H1824" s="644"/>
      <c r="I1824" s="67" t="s">
        <v>157</v>
      </c>
    </row>
    <row r="1825" spans="1:9" s="65" customFormat="1">
      <c r="A1825" s="68"/>
      <c r="B1825" s="69"/>
      <c r="C1825" s="69"/>
      <c r="D1825" s="69"/>
      <c r="E1825" s="69"/>
      <c r="F1825" s="70"/>
      <c r="G1825" s="70"/>
      <c r="H1825" s="70"/>
      <c r="I1825" s="71"/>
    </row>
    <row r="1826" spans="1:9" s="65" customFormat="1">
      <c r="A1826" s="72" t="s">
        <v>390</v>
      </c>
      <c r="B1826" s="73"/>
      <c r="C1826" s="73"/>
      <c r="D1826" s="73"/>
      <c r="E1826" s="73"/>
      <c r="F1826" s="74"/>
      <c r="G1826" s="74"/>
      <c r="H1826" s="70"/>
      <c r="I1826" s="71"/>
    </row>
    <row r="1827" spans="1:9" s="65" customFormat="1">
      <c r="A1827" s="75" t="s">
        <v>391</v>
      </c>
      <c r="B1827" s="76" t="s">
        <v>392</v>
      </c>
      <c r="C1827" s="76" t="s">
        <v>393</v>
      </c>
      <c r="D1827" s="76" t="s">
        <v>394</v>
      </c>
      <c r="E1827" s="76" t="s">
        <v>395</v>
      </c>
      <c r="F1827" s="76" t="s">
        <v>396</v>
      </c>
      <c r="G1827" s="76" t="s">
        <v>397</v>
      </c>
      <c r="H1827" s="74"/>
      <c r="I1827" s="71"/>
    </row>
    <row r="1828" spans="1:9" s="65" customFormat="1">
      <c r="A1828" s="77"/>
      <c r="B1828" s="79"/>
      <c r="C1828" s="79"/>
      <c r="D1828" s="107"/>
      <c r="E1828" s="79"/>
      <c r="F1828" s="79"/>
      <c r="G1828" s="107"/>
      <c r="H1828" s="74"/>
      <c r="I1828" s="71"/>
    </row>
    <row r="1829" spans="1:9" s="65" customFormat="1">
      <c r="A1829" s="82"/>
      <c r="B1829" s="83"/>
      <c r="C1829" s="84"/>
      <c r="D1829" s="84"/>
      <c r="E1829" s="84"/>
      <c r="F1829"/>
      <c r="G1829" s="93" t="s">
        <v>407</v>
      </c>
      <c r="H1829" s="107">
        <f>SUM(G1828:G1828)</f>
        <v>0</v>
      </c>
      <c r="I1829" s="71"/>
    </row>
    <row r="1830" spans="1:9" s="65" customFormat="1">
      <c r="A1830" s="72" t="s">
        <v>408</v>
      </c>
      <c r="B1830" s="73"/>
      <c r="C1830" s="73"/>
      <c r="D1830" s="73"/>
      <c r="E1830" s="73"/>
      <c r="F1830"/>
      <c r="G1830" s="74"/>
      <c r="H1830" s="108"/>
      <c r="I1830" s="71"/>
    </row>
    <row r="1831" spans="1:9" s="65" customFormat="1">
      <c r="A1831" s="75" t="s">
        <v>391</v>
      </c>
      <c r="B1831" s="76" t="s">
        <v>392</v>
      </c>
      <c r="C1831" s="76" t="s">
        <v>393</v>
      </c>
      <c r="D1831" s="76" t="s">
        <v>394</v>
      </c>
      <c r="E1831" s="76" t="s">
        <v>395</v>
      </c>
      <c r="F1831" s="76" t="s">
        <v>396</v>
      </c>
      <c r="G1831" s="76" t="s">
        <v>397</v>
      </c>
      <c r="H1831" s="108"/>
      <c r="I1831" s="71"/>
    </row>
    <row r="1832" spans="1:9" s="65" customFormat="1" ht="25.5">
      <c r="A1832" s="135"/>
      <c r="B1832" s="78" t="s">
        <v>924</v>
      </c>
      <c r="C1832" s="127" t="s">
        <v>157</v>
      </c>
      <c r="D1832" s="107">
        <f>4200000*1.4*1.16</f>
        <v>6820799.9999999991</v>
      </c>
      <c r="E1832" s="79">
        <v>1</v>
      </c>
      <c r="F1832" s="79">
        <v>0</v>
      </c>
      <c r="G1832" s="107">
        <f>(D1832*E1832)+((D1832*E1832)*F1832/100)</f>
        <v>6820799.9999999991</v>
      </c>
      <c r="H1832" s="108"/>
      <c r="I1832" s="71"/>
    </row>
    <row r="1833" spans="1:9" s="65" customFormat="1">
      <c r="A1833" s="90"/>
      <c r="B1833" s="91"/>
      <c r="C1833" s="91"/>
      <c r="D1833" s="91"/>
      <c r="E1833" s="91"/>
      <c r="F1833"/>
      <c r="G1833" s="85" t="s">
        <v>407</v>
      </c>
      <c r="H1833" s="107">
        <f>SUM(G1832:G1832)</f>
        <v>6820799.9999999991</v>
      </c>
      <c r="I1833" s="71"/>
    </row>
    <row r="1834" spans="1:9" s="65" customFormat="1">
      <c r="A1834" s="72" t="s">
        <v>410</v>
      </c>
      <c r="B1834" s="73"/>
      <c r="C1834" s="73"/>
      <c r="D1834" s="73"/>
      <c r="E1834" s="73"/>
      <c r="F1834"/>
      <c r="G1834" s="74"/>
      <c r="H1834" s="108"/>
      <c r="I1834" s="71"/>
    </row>
    <row r="1835" spans="1:9" s="65" customFormat="1">
      <c r="A1835" s="75" t="s">
        <v>391</v>
      </c>
      <c r="B1835" s="76" t="s">
        <v>392</v>
      </c>
      <c r="C1835" s="76" t="s">
        <v>393</v>
      </c>
      <c r="D1835" s="76" t="s">
        <v>394</v>
      </c>
      <c r="E1835" s="76" t="s">
        <v>395</v>
      </c>
      <c r="F1835" s="76" t="s">
        <v>396</v>
      </c>
      <c r="G1835" s="76" t="s">
        <v>397</v>
      </c>
      <c r="H1835" s="108"/>
      <c r="I1835" s="71"/>
    </row>
    <row r="1836" spans="1:9" s="65" customFormat="1">
      <c r="A1836" s="77"/>
      <c r="B1836" s="78"/>
      <c r="C1836" s="79"/>
      <c r="D1836" s="107"/>
      <c r="E1836" s="79"/>
      <c r="F1836" s="79"/>
      <c r="G1836" s="107"/>
      <c r="H1836" s="108"/>
      <c r="I1836" s="71"/>
    </row>
    <row r="1837" spans="1:9" s="65" customFormat="1">
      <c r="A1837" s="90"/>
      <c r="B1837" s="91"/>
      <c r="C1837" s="91"/>
      <c r="D1837" s="91"/>
      <c r="E1837" s="91"/>
      <c r="F1837"/>
      <c r="G1837" s="93" t="s">
        <v>407</v>
      </c>
      <c r="H1837" s="107">
        <f>SUM(G1836:G1836)</f>
        <v>0</v>
      </c>
      <c r="I1837" s="71"/>
    </row>
    <row r="1838" spans="1:9" s="65" customFormat="1">
      <c r="A1838" s="72" t="s">
        <v>411</v>
      </c>
      <c r="B1838" s="73"/>
      <c r="C1838" s="73"/>
      <c r="D1838" s="73"/>
      <c r="E1838" s="73"/>
      <c r="F1838"/>
      <c r="G1838" s="74"/>
      <c r="H1838" s="108"/>
      <c r="I1838" s="71"/>
    </row>
    <row r="1839" spans="1:9" s="65" customFormat="1">
      <c r="A1839" s="75" t="s">
        <v>391</v>
      </c>
      <c r="B1839" s="76" t="s">
        <v>392</v>
      </c>
      <c r="C1839" s="76" t="s">
        <v>393</v>
      </c>
      <c r="D1839" s="76" t="s">
        <v>394</v>
      </c>
      <c r="E1839" s="76" t="s">
        <v>395</v>
      </c>
      <c r="F1839" s="76" t="s">
        <v>396</v>
      </c>
      <c r="G1839" s="76" t="s">
        <v>397</v>
      </c>
      <c r="H1839" s="108"/>
      <c r="I1839" s="71"/>
    </row>
    <row r="1840" spans="1:9" s="65" customFormat="1">
      <c r="A1840" s="87" t="s">
        <v>409</v>
      </c>
      <c r="B1840" s="114" t="s">
        <v>747</v>
      </c>
      <c r="C1840" s="114" t="s">
        <v>437</v>
      </c>
      <c r="D1840" s="114">
        <v>800000</v>
      </c>
      <c r="E1840" s="215">
        <v>0.1</v>
      </c>
      <c r="F1840" s="79">
        <v>0</v>
      </c>
      <c r="G1840" s="107">
        <f>(D1840*E1840)+((D1840*E1840)*F1840/100)</f>
        <v>80000</v>
      </c>
      <c r="H1840" s="108"/>
      <c r="I1840" s="71"/>
    </row>
    <row r="1841" spans="1:9" s="65" customFormat="1">
      <c r="A1841" s="94"/>
      <c r="B1841" s="95"/>
      <c r="C1841" s="95"/>
      <c r="D1841" s="95"/>
      <c r="E1841" s="95"/>
      <c r="F1841"/>
      <c r="G1841" s="93" t="s">
        <v>407</v>
      </c>
      <c r="H1841" s="107">
        <f>SUM(G1839:G1840)</f>
        <v>80000</v>
      </c>
      <c r="I1841" s="71"/>
    </row>
    <row r="1842" spans="1:9" s="65" customFormat="1">
      <c r="A1842" s="94"/>
      <c r="B1842" s="95"/>
      <c r="C1842" s="95"/>
      <c r="D1842" s="95"/>
      <c r="E1842" s="95"/>
      <c r="F1842"/>
      <c r="G1842" s="74"/>
      <c r="H1842" s="74"/>
      <c r="I1842" s="71"/>
    </row>
    <row r="1843" spans="1:9" s="65" customFormat="1">
      <c r="A1843" s="96"/>
      <c r="B1843" s="97"/>
      <c r="C1843" s="98"/>
      <c r="D1843" s="98"/>
      <c r="E1843" s="98"/>
      <c r="F1843"/>
      <c r="G1843" s="99" t="s">
        <v>412</v>
      </c>
      <c r="H1843" s="115">
        <f>SUM(H1829:H1841)</f>
        <v>6900799.9999999991</v>
      </c>
      <c r="I1843" s="71"/>
    </row>
    <row r="1844" spans="1:9" s="65" customFormat="1">
      <c r="A1844" s="96"/>
      <c r="B1844" s="97"/>
      <c r="C1844" s="98"/>
      <c r="D1844" s="98"/>
      <c r="E1844" s="98"/>
      <c r="F1844" s="101"/>
      <c r="G1844" s="116"/>
      <c r="H1844" s="70"/>
      <c r="I1844" s="71"/>
    </row>
    <row r="1845" spans="1:9" s="65" customFormat="1" ht="15.75" thickBot="1">
      <c r="A1845" s="624" t="s">
        <v>761</v>
      </c>
      <c r="B1845" s="625"/>
      <c r="C1845" s="625"/>
      <c r="D1845" s="625"/>
      <c r="E1845" s="625"/>
      <c r="F1845" s="625"/>
      <c r="G1845" s="626"/>
      <c r="H1845" s="117">
        <f>+ROUND(H1843,0)</f>
        <v>6900800</v>
      </c>
      <c r="I1845" s="103"/>
    </row>
    <row r="1846" spans="1:9" s="65" customFormat="1">
      <c r="B1846" s="97"/>
      <c r="C1846" s="98"/>
      <c r="D1846" s="98"/>
      <c r="E1846" s="98"/>
      <c r="F1846" s="128"/>
      <c r="G1846" s="133"/>
      <c r="H1846" s="134"/>
    </row>
    <row r="1847" spans="1:9" s="65" customFormat="1">
      <c r="A1847" s="633"/>
      <c r="B1847" s="633"/>
      <c r="C1847" s="633"/>
      <c r="D1847" s="633"/>
      <c r="E1847" s="633"/>
      <c r="F1847" s="633"/>
      <c r="G1847" s="633"/>
    </row>
    <row r="1848" spans="1:9" s="65" customFormat="1" ht="15.75" thickBot="1">
      <c r="H1848" s="156"/>
      <c r="I1848" s="151"/>
    </row>
    <row r="1849" spans="1:9" s="65" customFormat="1">
      <c r="A1849" s="627"/>
      <c r="B1849" s="629" t="s">
        <v>925</v>
      </c>
      <c r="C1849" s="630"/>
      <c r="D1849" s="630"/>
      <c r="E1849" s="630"/>
      <c r="F1849" s="630"/>
      <c r="G1849" s="630"/>
      <c r="H1849" s="643"/>
      <c r="I1849" s="66" t="s">
        <v>389</v>
      </c>
    </row>
    <row r="1850" spans="1:9" s="65" customFormat="1">
      <c r="A1850" s="628"/>
      <c r="B1850" s="631"/>
      <c r="C1850" s="632"/>
      <c r="D1850" s="632"/>
      <c r="E1850" s="632"/>
      <c r="F1850" s="632"/>
      <c r="G1850" s="632"/>
      <c r="H1850" s="644"/>
      <c r="I1850" s="67" t="s">
        <v>7</v>
      </c>
    </row>
    <row r="1851" spans="1:9" s="65" customFormat="1">
      <c r="A1851" s="68"/>
      <c r="B1851" s="69"/>
      <c r="C1851" s="69"/>
      <c r="D1851" s="69"/>
      <c r="E1851" s="69"/>
      <c r="F1851" s="70"/>
      <c r="G1851" s="70"/>
      <c r="H1851" s="70"/>
      <c r="I1851" s="71"/>
    </row>
    <row r="1852" spans="1:9" s="65" customFormat="1">
      <c r="A1852" s="72" t="s">
        <v>390</v>
      </c>
      <c r="B1852" s="73"/>
      <c r="C1852" s="73"/>
      <c r="D1852" s="73"/>
      <c r="E1852" s="73"/>
      <c r="F1852" s="74"/>
      <c r="G1852" s="74"/>
      <c r="H1852" s="70"/>
      <c r="I1852" s="71"/>
    </row>
    <row r="1853" spans="1:9" s="65" customFormat="1">
      <c r="A1853" s="75" t="s">
        <v>391</v>
      </c>
      <c r="B1853" s="76" t="s">
        <v>392</v>
      </c>
      <c r="C1853" s="76" t="s">
        <v>393</v>
      </c>
      <c r="D1853" s="76" t="s">
        <v>394</v>
      </c>
      <c r="E1853" s="76" t="s">
        <v>395</v>
      </c>
      <c r="F1853" s="76" t="s">
        <v>396</v>
      </c>
      <c r="G1853" s="76" t="s">
        <v>397</v>
      </c>
      <c r="H1853" s="74"/>
      <c r="I1853" s="71"/>
    </row>
    <row r="1854" spans="1:9" s="65" customFormat="1">
      <c r="A1854" s="77"/>
      <c r="B1854" s="79"/>
      <c r="C1854" s="79"/>
      <c r="D1854" s="107"/>
      <c r="E1854" s="79"/>
      <c r="F1854" s="79"/>
      <c r="G1854" s="107"/>
      <c r="H1854" s="74"/>
      <c r="I1854" s="71"/>
    </row>
    <row r="1855" spans="1:9" s="65" customFormat="1">
      <c r="A1855" s="82"/>
      <c r="B1855" s="83"/>
      <c r="C1855" s="84"/>
      <c r="D1855" s="84"/>
      <c r="E1855" s="84"/>
      <c r="F1855"/>
      <c r="G1855" s="93" t="s">
        <v>407</v>
      </c>
      <c r="H1855" s="107">
        <f>SUM(G1854:G1854)</f>
        <v>0</v>
      </c>
      <c r="I1855" s="71"/>
    </row>
    <row r="1856" spans="1:9" s="65" customFormat="1">
      <c r="A1856" s="72" t="s">
        <v>408</v>
      </c>
      <c r="B1856" s="73"/>
      <c r="C1856" s="73"/>
      <c r="D1856" s="73"/>
      <c r="E1856" s="73"/>
      <c r="F1856"/>
      <c r="G1856" s="74"/>
      <c r="H1856" s="108"/>
      <c r="I1856" s="71"/>
    </row>
    <row r="1857" spans="1:9" s="65" customFormat="1">
      <c r="A1857" s="75" t="s">
        <v>391</v>
      </c>
      <c r="B1857" s="76" t="s">
        <v>392</v>
      </c>
      <c r="C1857" s="76" t="s">
        <v>393</v>
      </c>
      <c r="D1857" s="76" t="s">
        <v>394</v>
      </c>
      <c r="E1857" s="76" t="s">
        <v>395</v>
      </c>
      <c r="F1857" s="76" t="s">
        <v>396</v>
      </c>
      <c r="G1857" s="76" t="s">
        <v>397</v>
      </c>
      <c r="H1857" s="108"/>
      <c r="I1857" s="71"/>
    </row>
    <row r="1858" spans="1:9" s="65" customFormat="1" ht="25.5">
      <c r="A1858" s="135"/>
      <c r="B1858" s="78" t="s">
        <v>926</v>
      </c>
      <c r="C1858" s="127" t="s">
        <v>493</v>
      </c>
      <c r="D1858" s="107">
        <f>99000*1.16*1.2*1</f>
        <v>137807.99999999997</v>
      </c>
      <c r="E1858" s="79">
        <v>1</v>
      </c>
      <c r="F1858" s="79">
        <v>0</v>
      </c>
      <c r="G1858" s="107">
        <f>(D1858*E1858)+((D1858*E1858)*F1858/100)</f>
        <v>137807.99999999997</v>
      </c>
      <c r="H1858" s="108"/>
      <c r="I1858" s="71"/>
    </row>
    <row r="1859" spans="1:9" s="65" customFormat="1">
      <c r="A1859" s="90"/>
      <c r="B1859" s="91"/>
      <c r="C1859" s="91"/>
      <c r="D1859" s="91"/>
      <c r="E1859" s="91"/>
      <c r="F1859"/>
      <c r="G1859" s="85" t="s">
        <v>407</v>
      </c>
      <c r="H1859" s="107">
        <f>SUM(G1858:G1858)</f>
        <v>137807.99999999997</v>
      </c>
      <c r="I1859" s="71"/>
    </row>
    <row r="1860" spans="1:9" s="65" customFormat="1">
      <c r="A1860" s="72" t="s">
        <v>410</v>
      </c>
      <c r="B1860" s="73"/>
      <c r="C1860" s="73"/>
      <c r="D1860" s="73"/>
      <c r="E1860" s="73"/>
      <c r="F1860"/>
      <c r="G1860" s="74"/>
      <c r="H1860" s="108"/>
      <c r="I1860" s="71"/>
    </row>
    <row r="1861" spans="1:9" s="65" customFormat="1">
      <c r="A1861" s="75" t="s">
        <v>391</v>
      </c>
      <c r="B1861" s="76" t="s">
        <v>392</v>
      </c>
      <c r="C1861" s="76" t="s">
        <v>393</v>
      </c>
      <c r="D1861" s="76" t="s">
        <v>394</v>
      </c>
      <c r="E1861" s="76" t="s">
        <v>395</v>
      </c>
      <c r="F1861" s="76" t="s">
        <v>396</v>
      </c>
      <c r="G1861" s="76" t="s">
        <v>397</v>
      </c>
      <c r="H1861" s="108"/>
      <c r="I1861" s="71"/>
    </row>
    <row r="1862" spans="1:9" s="65" customFormat="1">
      <c r="A1862" s="77"/>
      <c r="B1862" s="78"/>
      <c r="C1862" s="79"/>
      <c r="D1862" s="107"/>
      <c r="E1862" s="79"/>
      <c r="F1862" s="79"/>
      <c r="G1862" s="107"/>
      <c r="H1862" s="108"/>
      <c r="I1862" s="71"/>
    </row>
    <row r="1863" spans="1:9" s="65" customFormat="1">
      <c r="A1863" s="90"/>
      <c r="B1863" s="91"/>
      <c r="C1863" s="91"/>
      <c r="D1863" s="91"/>
      <c r="E1863" s="91"/>
      <c r="F1863"/>
      <c r="G1863" s="93" t="s">
        <v>407</v>
      </c>
      <c r="H1863" s="107">
        <f>SUM(G1862:G1862)</f>
        <v>0</v>
      </c>
      <c r="I1863" s="71"/>
    </row>
    <row r="1864" spans="1:9" s="65" customFormat="1">
      <c r="A1864" s="72" t="s">
        <v>411</v>
      </c>
      <c r="B1864" s="73"/>
      <c r="C1864" s="73"/>
      <c r="D1864" s="73"/>
      <c r="E1864" s="73"/>
      <c r="F1864"/>
      <c r="G1864" s="74"/>
      <c r="H1864" s="108"/>
      <c r="I1864" s="71"/>
    </row>
    <row r="1865" spans="1:9" s="65" customFormat="1">
      <c r="A1865" s="75" t="s">
        <v>391</v>
      </c>
      <c r="B1865" s="76" t="s">
        <v>392</v>
      </c>
      <c r="C1865" s="76" t="s">
        <v>393</v>
      </c>
      <c r="D1865" s="76" t="s">
        <v>394</v>
      </c>
      <c r="E1865" s="76" t="s">
        <v>395</v>
      </c>
      <c r="F1865" s="76" t="s">
        <v>396</v>
      </c>
      <c r="G1865" s="76" t="s">
        <v>397</v>
      </c>
      <c r="H1865" s="108"/>
      <c r="I1865" s="71"/>
    </row>
    <row r="1866" spans="1:9" s="65" customFormat="1">
      <c r="A1866" s="87" t="s">
        <v>409</v>
      </c>
      <c r="B1866" s="114" t="s">
        <v>747</v>
      </c>
      <c r="C1866" s="114" t="s">
        <v>437</v>
      </c>
      <c r="D1866" s="114">
        <v>800000</v>
      </c>
      <c r="E1866" s="215">
        <v>1.7999999999999999E-2</v>
      </c>
      <c r="F1866" s="79">
        <v>0</v>
      </c>
      <c r="G1866" s="107">
        <f>(D1866*E1866)+((D1866*E1866)*F1866/100)</f>
        <v>14399.999999999998</v>
      </c>
      <c r="H1866" s="108"/>
      <c r="I1866" s="71"/>
    </row>
    <row r="1867" spans="1:9" s="65" customFormat="1">
      <c r="A1867" s="94"/>
      <c r="B1867" s="95"/>
      <c r="C1867" s="95"/>
      <c r="D1867" s="95"/>
      <c r="E1867" s="95"/>
      <c r="F1867"/>
      <c r="G1867" s="93" t="s">
        <v>407</v>
      </c>
      <c r="H1867" s="107">
        <f>SUM(G1865:G1866)</f>
        <v>14399.999999999998</v>
      </c>
      <c r="I1867" s="71"/>
    </row>
    <row r="1868" spans="1:9" s="65" customFormat="1">
      <c r="A1868" s="94"/>
      <c r="B1868" s="95"/>
      <c r="C1868" s="95"/>
      <c r="D1868" s="95"/>
      <c r="E1868" s="95"/>
      <c r="F1868"/>
      <c r="G1868" s="74"/>
      <c r="H1868" s="74"/>
      <c r="I1868" s="71"/>
    </row>
    <row r="1869" spans="1:9" s="65" customFormat="1">
      <c r="A1869" s="96"/>
      <c r="B1869" s="97"/>
      <c r="C1869" s="98"/>
      <c r="D1869" s="98"/>
      <c r="E1869" s="98"/>
      <c r="F1869"/>
      <c r="G1869" s="99" t="s">
        <v>412</v>
      </c>
      <c r="H1869" s="115">
        <f>SUM(H1855:H1867)</f>
        <v>152207.99999999997</v>
      </c>
      <c r="I1869" s="71"/>
    </row>
    <row r="1870" spans="1:9" s="65" customFormat="1">
      <c r="A1870" s="96"/>
      <c r="B1870" s="97"/>
      <c r="C1870" s="98"/>
      <c r="D1870" s="98"/>
      <c r="E1870" s="98"/>
      <c r="F1870" s="101"/>
      <c r="G1870" s="116"/>
      <c r="H1870" s="70"/>
      <c r="I1870" s="71"/>
    </row>
    <row r="1871" spans="1:9" s="65" customFormat="1" ht="15.75" thickBot="1">
      <c r="A1871" s="624" t="s">
        <v>502</v>
      </c>
      <c r="B1871" s="625"/>
      <c r="C1871" s="625"/>
      <c r="D1871" s="625"/>
      <c r="E1871" s="625"/>
      <c r="F1871" s="625"/>
      <c r="G1871" s="626"/>
      <c r="H1871" s="117">
        <f>+ROUND(H1869,0)</f>
        <v>152208</v>
      </c>
      <c r="I1871" s="103"/>
    </row>
    <row r="1872" spans="1:9" s="65" customFormat="1">
      <c r="B1872" s="97"/>
      <c r="C1872" s="98"/>
      <c r="D1872" s="98"/>
      <c r="E1872" s="98"/>
      <c r="F1872" s="128"/>
      <c r="G1872" s="133"/>
      <c r="H1872" s="134"/>
    </row>
    <row r="1873" spans="1:9" s="65" customFormat="1">
      <c r="A1873" s="633"/>
      <c r="B1873" s="633"/>
      <c r="C1873" s="633"/>
      <c r="D1873" s="633"/>
      <c r="E1873" s="633"/>
      <c r="F1873" s="633"/>
      <c r="G1873" s="633"/>
    </row>
    <row r="1874" spans="1:9" s="65" customFormat="1" ht="15.75" thickBot="1">
      <c r="H1874" s="156"/>
      <c r="I1874" s="151"/>
    </row>
    <row r="1875" spans="1:9" s="65" customFormat="1">
      <c r="A1875" s="627"/>
      <c r="B1875" s="629" t="s">
        <v>927</v>
      </c>
      <c r="C1875" s="630"/>
      <c r="D1875" s="630"/>
      <c r="E1875" s="630"/>
      <c r="F1875" s="630"/>
      <c r="G1875" s="630"/>
      <c r="H1875" s="643"/>
      <c r="I1875" s="66" t="s">
        <v>389</v>
      </c>
    </row>
    <row r="1876" spans="1:9" s="65" customFormat="1">
      <c r="A1876" s="628"/>
      <c r="B1876" s="631"/>
      <c r="C1876" s="632"/>
      <c r="D1876" s="632"/>
      <c r="E1876" s="632"/>
      <c r="F1876" s="632"/>
      <c r="G1876" s="632"/>
      <c r="H1876" s="644"/>
      <c r="I1876" s="67" t="s">
        <v>7</v>
      </c>
    </row>
    <row r="1877" spans="1:9" s="65" customFormat="1">
      <c r="A1877" s="68"/>
      <c r="B1877" s="69"/>
      <c r="C1877" s="69"/>
      <c r="D1877" s="69"/>
      <c r="E1877" s="69"/>
      <c r="F1877" s="70"/>
      <c r="G1877" s="70"/>
      <c r="H1877" s="70"/>
      <c r="I1877" s="71"/>
    </row>
    <row r="1878" spans="1:9" s="65" customFormat="1">
      <c r="A1878" s="72" t="s">
        <v>390</v>
      </c>
      <c r="B1878" s="73"/>
      <c r="C1878" s="73"/>
      <c r="D1878" s="73"/>
      <c r="E1878" s="73"/>
      <c r="F1878" s="74"/>
      <c r="G1878" s="74"/>
      <c r="H1878" s="70"/>
      <c r="I1878" s="71"/>
    </row>
    <row r="1879" spans="1:9" s="65" customFormat="1">
      <c r="A1879" s="75" t="s">
        <v>391</v>
      </c>
      <c r="B1879" s="76" t="s">
        <v>392</v>
      </c>
      <c r="C1879" s="76" t="s">
        <v>393</v>
      </c>
      <c r="D1879" s="76" t="s">
        <v>394</v>
      </c>
      <c r="E1879" s="76" t="s">
        <v>395</v>
      </c>
      <c r="F1879" s="76" t="s">
        <v>396</v>
      </c>
      <c r="G1879" s="76" t="s">
        <v>397</v>
      </c>
      <c r="H1879" s="74"/>
      <c r="I1879" s="71"/>
    </row>
    <row r="1880" spans="1:9" s="65" customFormat="1">
      <c r="A1880" s="77"/>
      <c r="B1880" s="79"/>
      <c r="C1880" s="79"/>
      <c r="D1880" s="107"/>
      <c r="E1880" s="79"/>
      <c r="F1880" s="79"/>
      <c r="G1880" s="107"/>
      <c r="H1880" s="74"/>
      <c r="I1880" s="71"/>
    </row>
    <row r="1881" spans="1:9" s="65" customFormat="1">
      <c r="A1881" s="82"/>
      <c r="B1881" s="83"/>
      <c r="C1881" s="84"/>
      <c r="D1881" s="84"/>
      <c r="E1881" s="84"/>
      <c r="F1881"/>
      <c r="G1881" s="93" t="s">
        <v>407</v>
      </c>
      <c r="H1881" s="107">
        <f>SUM(G1880:G1880)</f>
        <v>0</v>
      </c>
      <c r="I1881" s="71"/>
    </row>
    <row r="1882" spans="1:9" s="65" customFormat="1">
      <c r="A1882" s="72" t="s">
        <v>408</v>
      </c>
      <c r="B1882" s="73"/>
      <c r="C1882" s="73"/>
      <c r="D1882" s="73"/>
      <c r="E1882" s="73"/>
      <c r="F1882"/>
      <c r="G1882" s="74"/>
      <c r="H1882" s="108"/>
      <c r="I1882" s="71"/>
    </row>
    <row r="1883" spans="1:9" s="65" customFormat="1">
      <c r="A1883" s="75" t="s">
        <v>391</v>
      </c>
      <c r="B1883" s="76" t="s">
        <v>392</v>
      </c>
      <c r="C1883" s="76" t="s">
        <v>393</v>
      </c>
      <c r="D1883" s="76" t="s">
        <v>394</v>
      </c>
      <c r="E1883" s="76" t="s">
        <v>395</v>
      </c>
      <c r="F1883" s="76" t="s">
        <v>396</v>
      </c>
      <c r="G1883" s="76" t="s">
        <v>397</v>
      </c>
      <c r="H1883" s="108"/>
      <c r="I1883" s="71"/>
    </row>
    <row r="1884" spans="1:9" s="65" customFormat="1" ht="25.5">
      <c r="A1884" s="135"/>
      <c r="B1884" s="78" t="s">
        <v>928</v>
      </c>
      <c r="C1884" s="127" t="s">
        <v>493</v>
      </c>
      <c r="D1884" s="107">
        <f>99000*1.16*1.2*1.5</f>
        <v>206711.99999999994</v>
      </c>
      <c r="E1884" s="79">
        <v>1</v>
      </c>
      <c r="F1884" s="79">
        <v>0</v>
      </c>
      <c r="G1884" s="107">
        <f>(D1884*E1884)+((D1884*E1884)*F1884/100)</f>
        <v>206711.99999999994</v>
      </c>
      <c r="H1884" s="108"/>
      <c r="I1884" s="71"/>
    </row>
    <row r="1885" spans="1:9" s="65" customFormat="1">
      <c r="A1885" s="90"/>
      <c r="B1885" s="91"/>
      <c r="C1885" s="91"/>
      <c r="D1885" s="91"/>
      <c r="E1885" s="91"/>
      <c r="F1885"/>
      <c r="G1885" s="85" t="s">
        <v>407</v>
      </c>
      <c r="H1885" s="107">
        <f>SUM(G1884:G1884)</f>
        <v>206711.99999999994</v>
      </c>
      <c r="I1885" s="71"/>
    </row>
    <row r="1886" spans="1:9" s="65" customFormat="1">
      <c r="A1886" s="72" t="s">
        <v>410</v>
      </c>
      <c r="B1886" s="73"/>
      <c r="C1886" s="73"/>
      <c r="D1886" s="73"/>
      <c r="E1886" s="73"/>
      <c r="F1886"/>
      <c r="G1886" s="74"/>
      <c r="H1886" s="108"/>
      <c r="I1886" s="71"/>
    </row>
    <row r="1887" spans="1:9" s="65" customFormat="1">
      <c r="A1887" s="75" t="s">
        <v>391</v>
      </c>
      <c r="B1887" s="76" t="s">
        <v>392</v>
      </c>
      <c r="C1887" s="76" t="s">
        <v>393</v>
      </c>
      <c r="D1887" s="76" t="s">
        <v>394</v>
      </c>
      <c r="E1887" s="76" t="s">
        <v>395</v>
      </c>
      <c r="F1887" s="76" t="s">
        <v>396</v>
      </c>
      <c r="G1887" s="76" t="s">
        <v>397</v>
      </c>
      <c r="H1887" s="108"/>
      <c r="I1887" s="71"/>
    </row>
    <row r="1888" spans="1:9" s="65" customFormat="1">
      <c r="A1888" s="77"/>
      <c r="B1888" s="78"/>
      <c r="C1888" s="79"/>
      <c r="D1888" s="107"/>
      <c r="E1888" s="79"/>
      <c r="F1888" s="79"/>
      <c r="G1888" s="107"/>
      <c r="H1888" s="108"/>
      <c r="I1888" s="71"/>
    </row>
    <row r="1889" spans="1:9" s="65" customFormat="1">
      <c r="A1889" s="90"/>
      <c r="B1889" s="91"/>
      <c r="C1889" s="91"/>
      <c r="D1889" s="91"/>
      <c r="E1889" s="91"/>
      <c r="F1889"/>
      <c r="G1889" s="93" t="s">
        <v>407</v>
      </c>
      <c r="H1889" s="107">
        <f>SUM(G1888:G1888)</f>
        <v>0</v>
      </c>
      <c r="I1889" s="71"/>
    </row>
    <row r="1890" spans="1:9" s="65" customFormat="1">
      <c r="A1890" s="72" t="s">
        <v>411</v>
      </c>
      <c r="B1890" s="73"/>
      <c r="C1890" s="73"/>
      <c r="D1890" s="73"/>
      <c r="E1890" s="73"/>
      <c r="F1890"/>
      <c r="G1890" s="74"/>
      <c r="H1890" s="108"/>
      <c r="I1890" s="71"/>
    </row>
    <row r="1891" spans="1:9" s="65" customFormat="1">
      <c r="A1891" s="75" t="s">
        <v>391</v>
      </c>
      <c r="B1891" s="76" t="s">
        <v>392</v>
      </c>
      <c r="C1891" s="76" t="s">
        <v>393</v>
      </c>
      <c r="D1891" s="76" t="s">
        <v>394</v>
      </c>
      <c r="E1891" s="76" t="s">
        <v>395</v>
      </c>
      <c r="F1891" s="76" t="s">
        <v>396</v>
      </c>
      <c r="G1891" s="76" t="s">
        <v>397</v>
      </c>
      <c r="H1891" s="108"/>
      <c r="I1891" s="71"/>
    </row>
    <row r="1892" spans="1:9" s="65" customFormat="1">
      <c r="A1892" s="87" t="s">
        <v>409</v>
      </c>
      <c r="B1892" s="114" t="s">
        <v>747</v>
      </c>
      <c r="C1892" s="114" t="s">
        <v>437</v>
      </c>
      <c r="D1892" s="114">
        <v>800000</v>
      </c>
      <c r="E1892" s="215">
        <v>1.7999999999999999E-2</v>
      </c>
      <c r="F1892" s="79">
        <v>0</v>
      </c>
      <c r="G1892" s="107">
        <f>(D1892*E1892)+((D1892*E1892)*F1892/100)</f>
        <v>14399.999999999998</v>
      </c>
      <c r="H1892" s="108"/>
      <c r="I1892" s="71"/>
    </row>
    <row r="1893" spans="1:9" s="65" customFormat="1">
      <c r="A1893" s="94"/>
      <c r="B1893" s="95"/>
      <c r="C1893" s="95"/>
      <c r="D1893" s="95"/>
      <c r="E1893" s="95"/>
      <c r="F1893"/>
      <c r="G1893" s="93" t="s">
        <v>407</v>
      </c>
      <c r="H1893" s="107">
        <f>SUM(G1891:G1892)</f>
        <v>14399.999999999998</v>
      </c>
      <c r="I1893" s="71"/>
    </row>
    <row r="1894" spans="1:9" s="65" customFormat="1">
      <c r="A1894" s="94"/>
      <c r="B1894" s="95"/>
      <c r="C1894" s="95"/>
      <c r="D1894" s="95"/>
      <c r="E1894" s="95"/>
      <c r="F1894"/>
      <c r="G1894" s="74"/>
      <c r="H1894" s="74"/>
      <c r="I1894" s="71"/>
    </row>
    <row r="1895" spans="1:9" s="65" customFormat="1">
      <c r="A1895" s="96"/>
      <c r="B1895" s="97"/>
      <c r="C1895" s="98"/>
      <c r="D1895" s="98"/>
      <c r="E1895" s="98"/>
      <c r="F1895"/>
      <c r="G1895" s="99" t="s">
        <v>412</v>
      </c>
      <c r="H1895" s="115">
        <f>SUM(H1881:H1893)</f>
        <v>221111.99999999994</v>
      </c>
      <c r="I1895" s="71"/>
    </row>
    <row r="1896" spans="1:9" s="65" customFormat="1">
      <c r="A1896" s="96"/>
      <c r="B1896" s="97"/>
      <c r="C1896" s="98"/>
      <c r="D1896" s="98"/>
      <c r="E1896" s="98"/>
      <c r="F1896" s="101"/>
      <c r="G1896" s="116"/>
      <c r="H1896" s="70"/>
      <c r="I1896" s="71"/>
    </row>
    <row r="1897" spans="1:9" s="65" customFormat="1" ht="15.75" thickBot="1">
      <c r="A1897" s="624" t="s">
        <v>502</v>
      </c>
      <c r="B1897" s="625"/>
      <c r="C1897" s="625"/>
      <c r="D1897" s="625"/>
      <c r="E1897" s="625"/>
      <c r="F1897" s="625"/>
      <c r="G1897" s="626"/>
      <c r="H1897" s="117">
        <f>+ROUND(H1895,0)</f>
        <v>221112</v>
      </c>
      <c r="I1897" s="103"/>
    </row>
    <row r="1898" spans="1:9" s="65" customFormat="1" ht="15.75" thickBot="1">
      <c r="H1898" s="157"/>
      <c r="I1898" s="158"/>
    </row>
    <row r="1899" spans="1:9" s="65" customFormat="1">
      <c r="A1899" s="627"/>
      <c r="B1899" s="629" t="s">
        <v>929</v>
      </c>
      <c r="C1899" s="630"/>
      <c r="D1899" s="630"/>
      <c r="E1899" s="630"/>
      <c r="F1899" s="630"/>
      <c r="G1899" s="630"/>
      <c r="H1899" s="643"/>
      <c r="I1899" s="66" t="s">
        <v>389</v>
      </c>
    </row>
    <row r="1900" spans="1:9" s="65" customFormat="1">
      <c r="A1900" s="628"/>
      <c r="B1900" s="631"/>
      <c r="C1900" s="632"/>
      <c r="D1900" s="632"/>
      <c r="E1900" s="632"/>
      <c r="F1900" s="632"/>
      <c r="G1900" s="632"/>
      <c r="H1900" s="644"/>
      <c r="I1900" s="67" t="s">
        <v>7</v>
      </c>
    </row>
    <row r="1901" spans="1:9" s="65" customFormat="1">
      <c r="A1901" s="68"/>
      <c r="B1901" s="69"/>
      <c r="C1901" s="69"/>
      <c r="D1901" s="69"/>
      <c r="E1901" s="69"/>
      <c r="F1901" s="70"/>
      <c r="G1901" s="70"/>
      <c r="H1901" s="70"/>
      <c r="I1901" s="71"/>
    </row>
    <row r="1902" spans="1:9" s="65" customFormat="1">
      <c r="A1902" s="72" t="s">
        <v>390</v>
      </c>
      <c r="B1902" s="73"/>
      <c r="C1902" s="73"/>
      <c r="D1902" s="73"/>
      <c r="E1902" s="73"/>
      <c r="F1902" s="74"/>
      <c r="G1902" s="74"/>
      <c r="H1902" s="70"/>
      <c r="I1902" s="71"/>
    </row>
    <row r="1903" spans="1:9" s="65" customFormat="1">
      <c r="A1903" s="75" t="s">
        <v>391</v>
      </c>
      <c r="B1903" s="76" t="s">
        <v>392</v>
      </c>
      <c r="C1903" s="76" t="s">
        <v>393</v>
      </c>
      <c r="D1903" s="76" t="s">
        <v>394</v>
      </c>
      <c r="E1903" s="76" t="s">
        <v>395</v>
      </c>
      <c r="F1903" s="76" t="s">
        <v>396</v>
      </c>
      <c r="G1903" s="76" t="s">
        <v>397</v>
      </c>
      <c r="H1903" s="74"/>
      <c r="I1903" s="71"/>
    </row>
    <row r="1904" spans="1:9" s="65" customFormat="1">
      <c r="A1904" s="77"/>
      <c r="B1904" s="79"/>
      <c r="C1904" s="79"/>
      <c r="D1904" s="107"/>
      <c r="E1904" s="79"/>
      <c r="F1904" s="79"/>
      <c r="G1904" s="107"/>
      <c r="H1904" s="74"/>
      <c r="I1904" s="71"/>
    </row>
    <row r="1905" spans="1:9" s="65" customFormat="1">
      <c r="A1905" s="82"/>
      <c r="B1905" s="83"/>
      <c r="C1905" s="84"/>
      <c r="D1905" s="84"/>
      <c r="E1905" s="84"/>
      <c r="F1905"/>
      <c r="G1905" s="93" t="s">
        <v>407</v>
      </c>
      <c r="H1905" s="107">
        <f>SUM(G1904:G1904)</f>
        <v>0</v>
      </c>
      <c r="I1905" s="71"/>
    </row>
    <row r="1906" spans="1:9" s="65" customFormat="1">
      <c r="A1906" s="72" t="s">
        <v>408</v>
      </c>
      <c r="B1906" s="73"/>
      <c r="C1906" s="73"/>
      <c r="D1906" s="73"/>
      <c r="E1906" s="73"/>
      <c r="F1906"/>
      <c r="G1906" s="74"/>
      <c r="H1906" s="108"/>
      <c r="I1906" s="71"/>
    </row>
    <row r="1907" spans="1:9" s="65" customFormat="1">
      <c r="A1907" s="75" t="s">
        <v>391</v>
      </c>
      <c r="B1907" s="76" t="s">
        <v>392</v>
      </c>
      <c r="C1907" s="76" t="s">
        <v>393</v>
      </c>
      <c r="D1907" s="76" t="s">
        <v>394</v>
      </c>
      <c r="E1907" s="76" t="s">
        <v>395</v>
      </c>
      <c r="F1907" s="76" t="s">
        <v>396</v>
      </c>
      <c r="G1907" s="76" t="s">
        <v>397</v>
      </c>
      <c r="H1907" s="108"/>
      <c r="I1907" s="71"/>
    </row>
    <row r="1908" spans="1:9" s="65" customFormat="1">
      <c r="A1908" s="135"/>
      <c r="B1908" s="78" t="s">
        <v>929</v>
      </c>
      <c r="C1908" s="127" t="s">
        <v>493</v>
      </c>
      <c r="D1908" s="107">
        <f>205000*1.16*1.2*1.35</f>
        <v>385235.99999999994</v>
      </c>
      <c r="E1908" s="79">
        <v>1</v>
      </c>
      <c r="F1908" s="79">
        <v>0</v>
      </c>
      <c r="G1908" s="107">
        <f>(D1908*E1908)+((D1908*E1908)*F1908/100)</f>
        <v>385235.99999999994</v>
      </c>
      <c r="H1908" s="108"/>
      <c r="I1908" s="71"/>
    </row>
    <row r="1909" spans="1:9" s="65" customFormat="1">
      <c r="A1909" s="90"/>
      <c r="B1909" s="91"/>
      <c r="C1909" s="91"/>
      <c r="D1909" s="91"/>
      <c r="E1909" s="91"/>
      <c r="F1909"/>
      <c r="G1909" s="85" t="s">
        <v>407</v>
      </c>
      <c r="H1909" s="107">
        <f>SUM(G1908:G1908)</f>
        <v>385235.99999999994</v>
      </c>
      <c r="I1909" s="71"/>
    </row>
    <row r="1910" spans="1:9" s="65" customFormat="1">
      <c r="A1910" s="72" t="s">
        <v>410</v>
      </c>
      <c r="B1910" s="73"/>
      <c r="C1910" s="73"/>
      <c r="D1910" s="73"/>
      <c r="E1910" s="73"/>
      <c r="F1910"/>
      <c r="G1910" s="74"/>
      <c r="H1910" s="108"/>
      <c r="I1910" s="71"/>
    </row>
    <row r="1911" spans="1:9" s="65" customFormat="1">
      <c r="A1911" s="75" t="s">
        <v>391</v>
      </c>
      <c r="B1911" s="76" t="s">
        <v>392</v>
      </c>
      <c r="C1911" s="76" t="s">
        <v>393</v>
      </c>
      <c r="D1911" s="76" t="s">
        <v>394</v>
      </c>
      <c r="E1911" s="76" t="s">
        <v>395</v>
      </c>
      <c r="F1911" s="76" t="s">
        <v>396</v>
      </c>
      <c r="G1911" s="76" t="s">
        <v>397</v>
      </c>
      <c r="H1911" s="108"/>
      <c r="I1911" s="71"/>
    </row>
    <row r="1912" spans="1:9" s="65" customFormat="1">
      <c r="A1912" s="77"/>
      <c r="B1912" s="78"/>
      <c r="C1912" s="79"/>
      <c r="D1912" s="107"/>
      <c r="E1912" s="79"/>
      <c r="F1912" s="79"/>
      <c r="G1912" s="107"/>
      <c r="H1912" s="108"/>
      <c r="I1912" s="71"/>
    </row>
    <row r="1913" spans="1:9" s="65" customFormat="1">
      <c r="A1913" s="90"/>
      <c r="B1913" s="91"/>
      <c r="C1913" s="91"/>
      <c r="D1913" s="91"/>
      <c r="E1913" s="91"/>
      <c r="F1913"/>
      <c r="G1913" s="93" t="s">
        <v>407</v>
      </c>
      <c r="H1913" s="107">
        <f>SUM(G1912:G1912)</f>
        <v>0</v>
      </c>
      <c r="I1913" s="71"/>
    </row>
    <row r="1914" spans="1:9" s="65" customFormat="1">
      <c r="A1914" s="72" t="s">
        <v>411</v>
      </c>
      <c r="B1914" s="73"/>
      <c r="C1914" s="73"/>
      <c r="D1914" s="73"/>
      <c r="E1914" s="73"/>
      <c r="F1914"/>
      <c r="G1914" s="74"/>
      <c r="H1914" s="108"/>
      <c r="I1914" s="71"/>
    </row>
    <row r="1915" spans="1:9" s="65" customFormat="1">
      <c r="A1915" s="75" t="s">
        <v>391</v>
      </c>
      <c r="B1915" s="76" t="s">
        <v>392</v>
      </c>
      <c r="C1915" s="76" t="s">
        <v>393</v>
      </c>
      <c r="D1915" s="76" t="s">
        <v>394</v>
      </c>
      <c r="E1915" s="76" t="s">
        <v>395</v>
      </c>
      <c r="F1915" s="76" t="s">
        <v>396</v>
      </c>
      <c r="G1915" s="76" t="s">
        <v>397</v>
      </c>
      <c r="H1915" s="108"/>
      <c r="I1915" s="71"/>
    </row>
    <row r="1916" spans="1:9" s="65" customFormat="1">
      <c r="A1916" s="87" t="s">
        <v>409</v>
      </c>
      <c r="B1916" s="114" t="s">
        <v>747</v>
      </c>
      <c r="C1916" s="114" t="s">
        <v>437</v>
      </c>
      <c r="D1916" s="114">
        <v>800000</v>
      </c>
      <c r="E1916" s="215">
        <v>2.1999999999999999E-2</v>
      </c>
      <c r="F1916" s="79">
        <v>0</v>
      </c>
      <c r="G1916" s="107">
        <f>(D1916*E1916)+((D1916*E1916)*F1916/100)</f>
        <v>17600</v>
      </c>
      <c r="H1916" s="108"/>
      <c r="I1916" s="71"/>
    </row>
    <row r="1917" spans="1:9" s="65" customFormat="1">
      <c r="A1917" s="94"/>
      <c r="B1917" s="95"/>
      <c r="C1917" s="95"/>
      <c r="D1917" s="95"/>
      <c r="E1917" s="95"/>
      <c r="F1917"/>
      <c r="G1917" s="93" t="s">
        <v>407</v>
      </c>
      <c r="H1917" s="107">
        <f>SUM(G1915:G1916)</f>
        <v>17600</v>
      </c>
      <c r="I1917" s="71"/>
    </row>
    <row r="1918" spans="1:9" s="65" customFormat="1">
      <c r="A1918" s="94"/>
      <c r="B1918" s="95"/>
      <c r="C1918" s="95"/>
      <c r="D1918" s="95"/>
      <c r="E1918" s="95"/>
      <c r="F1918"/>
      <c r="G1918" s="74"/>
      <c r="H1918" s="74"/>
      <c r="I1918" s="71"/>
    </row>
    <row r="1919" spans="1:9" s="65" customFormat="1">
      <c r="A1919" s="96"/>
      <c r="B1919" s="97"/>
      <c r="C1919" s="98"/>
      <c r="D1919" s="98"/>
      <c r="E1919" s="98"/>
      <c r="F1919"/>
      <c r="G1919" s="99" t="s">
        <v>412</v>
      </c>
      <c r="H1919" s="115">
        <f>SUM(H1905:H1917)</f>
        <v>402835.99999999994</v>
      </c>
      <c r="I1919" s="71"/>
    </row>
    <row r="1920" spans="1:9" s="65" customFormat="1">
      <c r="A1920" s="96"/>
      <c r="B1920" s="97"/>
      <c r="C1920" s="98"/>
      <c r="D1920" s="98"/>
      <c r="E1920" s="98"/>
      <c r="F1920" s="101"/>
      <c r="G1920" s="116"/>
      <c r="H1920" s="70"/>
      <c r="I1920" s="71"/>
    </row>
    <row r="1921" spans="1:9" s="65" customFormat="1" ht="15.75" thickBot="1">
      <c r="A1921" s="624" t="s">
        <v>502</v>
      </c>
      <c r="B1921" s="625"/>
      <c r="C1921" s="625"/>
      <c r="D1921" s="625"/>
      <c r="E1921" s="625"/>
      <c r="F1921" s="625"/>
      <c r="G1921" s="626"/>
      <c r="H1921" s="117">
        <f>+ROUND(H1919,0)</f>
        <v>402836</v>
      </c>
      <c r="I1921" s="103"/>
    </row>
    <row r="1922" spans="1:9" s="65" customFormat="1" ht="15.75" thickBot="1">
      <c r="H1922" s="156"/>
      <c r="I1922" s="151"/>
    </row>
    <row r="1923" spans="1:9" s="65" customFormat="1">
      <c r="A1923" s="627"/>
      <c r="B1923" s="629" t="s">
        <v>930</v>
      </c>
      <c r="C1923" s="630"/>
      <c r="D1923" s="630"/>
      <c r="E1923" s="630"/>
      <c r="F1923" s="630"/>
      <c r="G1923" s="630"/>
      <c r="H1923" s="643"/>
      <c r="I1923" s="66" t="s">
        <v>389</v>
      </c>
    </row>
    <row r="1924" spans="1:9" s="65" customFormat="1">
      <c r="A1924" s="628"/>
      <c r="B1924" s="631"/>
      <c r="C1924" s="632"/>
      <c r="D1924" s="632"/>
      <c r="E1924" s="632"/>
      <c r="F1924" s="632"/>
      <c r="G1924" s="632"/>
      <c r="H1924" s="644"/>
      <c r="I1924" s="67" t="s">
        <v>7</v>
      </c>
    </row>
    <row r="1925" spans="1:9" s="65" customFormat="1">
      <c r="A1925" s="68"/>
      <c r="B1925" s="69"/>
      <c r="C1925" s="69"/>
      <c r="D1925" s="69"/>
      <c r="E1925" s="69"/>
      <c r="F1925" s="70"/>
      <c r="G1925" s="70"/>
      <c r="H1925" s="70"/>
      <c r="I1925" s="71"/>
    </row>
    <row r="1926" spans="1:9" s="65" customFormat="1">
      <c r="A1926" s="72" t="s">
        <v>390</v>
      </c>
      <c r="B1926" s="73"/>
      <c r="C1926" s="73"/>
      <c r="D1926" s="73"/>
      <c r="E1926" s="73"/>
      <c r="F1926" s="74"/>
      <c r="G1926" s="74"/>
      <c r="H1926" s="70"/>
      <c r="I1926" s="71"/>
    </row>
    <row r="1927" spans="1:9" s="65" customFormat="1">
      <c r="A1927" s="75" t="s">
        <v>391</v>
      </c>
      <c r="B1927" s="76" t="s">
        <v>392</v>
      </c>
      <c r="C1927" s="76" t="s">
        <v>393</v>
      </c>
      <c r="D1927" s="76" t="s">
        <v>394</v>
      </c>
      <c r="E1927" s="76" t="s">
        <v>395</v>
      </c>
      <c r="F1927" s="76" t="s">
        <v>396</v>
      </c>
      <c r="G1927" s="76" t="s">
        <v>397</v>
      </c>
      <c r="H1927" s="74"/>
      <c r="I1927" s="71"/>
    </row>
    <row r="1928" spans="1:9" s="65" customFormat="1">
      <c r="A1928" s="77"/>
      <c r="B1928" s="79"/>
      <c r="C1928" s="79"/>
      <c r="D1928" s="107"/>
      <c r="E1928" s="79"/>
      <c r="F1928" s="79"/>
      <c r="G1928" s="107"/>
      <c r="H1928" s="74"/>
      <c r="I1928" s="71"/>
    </row>
    <row r="1929" spans="1:9" s="65" customFormat="1">
      <c r="A1929" s="82"/>
      <c r="B1929" s="83"/>
      <c r="C1929" s="84"/>
      <c r="D1929" s="84"/>
      <c r="E1929" s="84"/>
      <c r="F1929"/>
      <c r="G1929" s="93" t="s">
        <v>407</v>
      </c>
      <c r="H1929" s="107">
        <f>SUM(G1928:G1928)</f>
        <v>0</v>
      </c>
      <c r="I1929" s="71"/>
    </row>
    <row r="1930" spans="1:9" s="65" customFormat="1">
      <c r="A1930" s="72" t="s">
        <v>408</v>
      </c>
      <c r="B1930" s="73"/>
      <c r="C1930" s="73"/>
      <c r="D1930" s="73"/>
      <c r="E1930" s="73"/>
      <c r="F1930"/>
      <c r="G1930" s="74"/>
      <c r="H1930" s="108"/>
      <c r="I1930" s="71"/>
    </row>
    <row r="1931" spans="1:9" s="65" customFormat="1">
      <c r="A1931" s="75" t="s">
        <v>391</v>
      </c>
      <c r="B1931" s="76" t="s">
        <v>392</v>
      </c>
      <c r="C1931" s="76" t="s">
        <v>393</v>
      </c>
      <c r="D1931" s="76" t="s">
        <v>394</v>
      </c>
      <c r="E1931" s="76" t="s">
        <v>395</v>
      </c>
      <c r="F1931" s="76" t="s">
        <v>396</v>
      </c>
      <c r="G1931" s="76" t="s">
        <v>397</v>
      </c>
      <c r="H1931" s="108"/>
      <c r="I1931" s="71"/>
    </row>
    <row r="1932" spans="1:9" s="65" customFormat="1">
      <c r="A1932" s="135"/>
      <c r="B1932" s="78" t="s">
        <v>930</v>
      </c>
      <c r="C1932" s="127" t="s">
        <v>493</v>
      </c>
      <c r="D1932" s="107">
        <f>205000*1.16*1.2*1.45</f>
        <v>413771.99999999988</v>
      </c>
      <c r="E1932" s="79">
        <v>1</v>
      </c>
      <c r="F1932" s="79">
        <v>0</v>
      </c>
      <c r="G1932" s="107">
        <f>(D1932*E1932)+((D1932*E1932)*F1932/100)</f>
        <v>413771.99999999988</v>
      </c>
      <c r="H1932" s="108"/>
      <c r="I1932" s="71"/>
    </row>
    <row r="1933" spans="1:9" s="65" customFormat="1">
      <c r="A1933" s="90"/>
      <c r="B1933" s="91"/>
      <c r="C1933" s="91"/>
      <c r="D1933" s="91"/>
      <c r="E1933" s="91"/>
      <c r="F1933"/>
      <c r="G1933" s="85" t="s">
        <v>407</v>
      </c>
      <c r="H1933" s="107">
        <f>SUM(G1932:G1932)</f>
        <v>413771.99999999988</v>
      </c>
      <c r="I1933" s="71"/>
    </row>
    <row r="1934" spans="1:9" s="65" customFormat="1">
      <c r="A1934" s="72" t="s">
        <v>410</v>
      </c>
      <c r="B1934" s="73"/>
      <c r="C1934" s="73"/>
      <c r="D1934" s="73"/>
      <c r="E1934" s="73"/>
      <c r="F1934"/>
      <c r="G1934" s="74"/>
      <c r="H1934" s="108"/>
      <c r="I1934" s="71"/>
    </row>
    <row r="1935" spans="1:9" s="65" customFormat="1">
      <c r="A1935" s="75" t="s">
        <v>391</v>
      </c>
      <c r="B1935" s="76" t="s">
        <v>392</v>
      </c>
      <c r="C1935" s="76" t="s">
        <v>393</v>
      </c>
      <c r="D1935" s="76" t="s">
        <v>394</v>
      </c>
      <c r="E1935" s="76" t="s">
        <v>395</v>
      </c>
      <c r="F1935" s="76" t="s">
        <v>396</v>
      </c>
      <c r="G1935" s="76" t="s">
        <v>397</v>
      </c>
      <c r="H1935" s="108"/>
      <c r="I1935" s="71"/>
    </row>
    <row r="1936" spans="1:9" s="65" customFormat="1">
      <c r="A1936" s="77"/>
      <c r="B1936" s="78"/>
      <c r="C1936" s="79"/>
      <c r="D1936" s="107"/>
      <c r="E1936" s="79"/>
      <c r="F1936" s="79"/>
      <c r="G1936" s="107"/>
      <c r="H1936" s="108"/>
      <c r="I1936" s="71"/>
    </row>
    <row r="1937" spans="1:9" s="65" customFormat="1">
      <c r="A1937" s="90"/>
      <c r="B1937" s="91"/>
      <c r="C1937" s="91"/>
      <c r="D1937" s="91"/>
      <c r="E1937" s="91"/>
      <c r="F1937"/>
      <c r="G1937" s="93" t="s">
        <v>407</v>
      </c>
      <c r="H1937" s="107">
        <f>SUM(G1936:G1936)</f>
        <v>0</v>
      </c>
      <c r="I1937" s="71"/>
    </row>
    <row r="1938" spans="1:9" s="65" customFormat="1">
      <c r="A1938" s="72" t="s">
        <v>411</v>
      </c>
      <c r="B1938" s="73"/>
      <c r="C1938" s="73"/>
      <c r="D1938" s="73"/>
      <c r="E1938" s="73"/>
      <c r="F1938"/>
      <c r="G1938" s="74"/>
      <c r="H1938" s="108"/>
      <c r="I1938" s="71"/>
    </row>
    <row r="1939" spans="1:9" s="65" customFormat="1">
      <c r="A1939" s="75" t="s">
        <v>391</v>
      </c>
      <c r="B1939" s="76" t="s">
        <v>392</v>
      </c>
      <c r="C1939" s="76" t="s">
        <v>393</v>
      </c>
      <c r="D1939" s="76" t="s">
        <v>394</v>
      </c>
      <c r="E1939" s="76" t="s">
        <v>395</v>
      </c>
      <c r="F1939" s="76" t="s">
        <v>396</v>
      </c>
      <c r="G1939" s="76" t="s">
        <v>397</v>
      </c>
      <c r="H1939" s="108"/>
      <c r="I1939" s="71"/>
    </row>
    <row r="1940" spans="1:9" s="65" customFormat="1">
      <c r="A1940" s="87" t="s">
        <v>409</v>
      </c>
      <c r="B1940" s="114" t="s">
        <v>747</v>
      </c>
      <c r="C1940" s="114" t="s">
        <v>437</v>
      </c>
      <c r="D1940" s="114">
        <v>800000</v>
      </c>
      <c r="E1940" s="215">
        <v>2.5000000000000001E-2</v>
      </c>
      <c r="F1940" s="79">
        <v>0</v>
      </c>
      <c r="G1940" s="107">
        <f>(D1940*E1940)+((D1940*E1940)*F1940/100)</f>
        <v>20000</v>
      </c>
      <c r="H1940" s="108"/>
      <c r="I1940" s="71"/>
    </row>
    <row r="1941" spans="1:9" s="65" customFormat="1">
      <c r="A1941" s="94"/>
      <c r="B1941" s="95"/>
      <c r="C1941" s="95"/>
      <c r="D1941" s="95"/>
      <c r="E1941" s="95"/>
      <c r="F1941"/>
      <c r="G1941" s="93" t="s">
        <v>407</v>
      </c>
      <c r="H1941" s="107">
        <f>SUM(G1939:G1940)</f>
        <v>20000</v>
      </c>
      <c r="I1941" s="71"/>
    </row>
    <row r="1942" spans="1:9" s="65" customFormat="1">
      <c r="A1942" s="94"/>
      <c r="B1942" s="95"/>
      <c r="C1942" s="95"/>
      <c r="D1942" s="95"/>
      <c r="E1942" s="95"/>
      <c r="F1942"/>
      <c r="G1942" s="74"/>
      <c r="H1942" s="74"/>
      <c r="I1942" s="71"/>
    </row>
    <row r="1943" spans="1:9" s="65" customFormat="1">
      <c r="A1943" s="96"/>
      <c r="B1943" s="97"/>
      <c r="C1943" s="98"/>
      <c r="D1943" s="98"/>
      <c r="E1943" s="98"/>
      <c r="F1943"/>
      <c r="G1943" s="99" t="s">
        <v>412</v>
      </c>
      <c r="H1943" s="115">
        <f>SUM(H1929:H1941)</f>
        <v>433771.99999999988</v>
      </c>
      <c r="I1943" s="71"/>
    </row>
    <row r="1944" spans="1:9" s="65" customFormat="1">
      <c r="A1944" s="96"/>
      <c r="B1944" s="97"/>
      <c r="C1944" s="98"/>
      <c r="D1944" s="98"/>
      <c r="E1944" s="98"/>
      <c r="F1944" s="101"/>
      <c r="G1944" s="116"/>
      <c r="H1944" s="70"/>
      <c r="I1944" s="71"/>
    </row>
    <row r="1945" spans="1:9" s="65" customFormat="1" ht="15.75" thickBot="1">
      <c r="A1945" s="624" t="s">
        <v>502</v>
      </c>
      <c r="B1945" s="625"/>
      <c r="C1945" s="625"/>
      <c r="D1945" s="625"/>
      <c r="E1945" s="625"/>
      <c r="F1945" s="625"/>
      <c r="G1945" s="626"/>
      <c r="H1945" s="117">
        <f>+ROUND(H1943,0)</f>
        <v>433772</v>
      </c>
      <c r="I1945" s="103"/>
    </row>
    <row r="1946" spans="1:9" s="65" customFormat="1" ht="15.75" thickBot="1">
      <c r="H1946" s="156"/>
      <c r="I1946" s="151"/>
    </row>
    <row r="1947" spans="1:9" s="65" customFormat="1">
      <c r="A1947" s="627"/>
      <c r="B1947" s="629" t="s">
        <v>931</v>
      </c>
      <c r="C1947" s="630"/>
      <c r="D1947" s="630"/>
      <c r="E1947" s="630"/>
      <c r="F1947" s="630"/>
      <c r="G1947" s="630"/>
      <c r="H1947" s="643"/>
      <c r="I1947" s="66" t="s">
        <v>389</v>
      </c>
    </row>
    <row r="1948" spans="1:9" s="65" customFormat="1">
      <c r="A1948" s="628"/>
      <c r="B1948" s="631"/>
      <c r="C1948" s="632"/>
      <c r="D1948" s="632"/>
      <c r="E1948" s="632"/>
      <c r="F1948" s="632"/>
      <c r="G1948" s="632"/>
      <c r="H1948" s="644"/>
      <c r="I1948" s="67" t="s">
        <v>7</v>
      </c>
    </row>
    <row r="1949" spans="1:9" s="65" customFormat="1">
      <c r="A1949" s="68"/>
      <c r="B1949" s="69"/>
      <c r="C1949" s="69"/>
      <c r="D1949" s="69"/>
      <c r="E1949" s="69"/>
      <c r="F1949" s="70"/>
      <c r="G1949" s="70"/>
      <c r="H1949" s="70"/>
      <c r="I1949" s="71"/>
    </row>
    <row r="1950" spans="1:9" s="65" customFormat="1">
      <c r="A1950" s="72" t="s">
        <v>390</v>
      </c>
      <c r="B1950" s="73"/>
      <c r="C1950" s="73"/>
      <c r="D1950" s="73"/>
      <c r="E1950" s="73"/>
      <c r="F1950" s="74"/>
      <c r="G1950" s="74"/>
      <c r="H1950" s="70"/>
      <c r="I1950" s="71"/>
    </row>
    <row r="1951" spans="1:9" s="65" customFormat="1">
      <c r="A1951" s="75" t="s">
        <v>391</v>
      </c>
      <c r="B1951" s="76" t="s">
        <v>392</v>
      </c>
      <c r="C1951" s="76" t="s">
        <v>393</v>
      </c>
      <c r="D1951" s="76" t="s">
        <v>394</v>
      </c>
      <c r="E1951" s="76" t="s">
        <v>395</v>
      </c>
      <c r="F1951" s="76" t="s">
        <v>396</v>
      </c>
      <c r="G1951" s="76" t="s">
        <v>397</v>
      </c>
      <c r="H1951" s="74"/>
      <c r="I1951" s="71"/>
    </row>
    <row r="1952" spans="1:9" s="65" customFormat="1">
      <c r="A1952" s="77"/>
      <c r="B1952" s="79"/>
      <c r="C1952" s="79"/>
      <c r="D1952" s="107"/>
      <c r="E1952" s="79"/>
      <c r="F1952" s="79"/>
      <c r="G1952" s="107"/>
      <c r="H1952" s="74"/>
      <c r="I1952" s="71"/>
    </row>
    <row r="1953" spans="1:9" s="65" customFormat="1">
      <c r="A1953" s="82"/>
      <c r="B1953" s="83"/>
      <c r="C1953" s="84"/>
      <c r="D1953" s="84"/>
      <c r="E1953" s="84"/>
      <c r="F1953"/>
      <c r="G1953" s="93" t="s">
        <v>407</v>
      </c>
      <c r="H1953" s="107">
        <f>SUM(G1952:G1952)</f>
        <v>0</v>
      </c>
      <c r="I1953" s="71"/>
    </row>
    <row r="1954" spans="1:9" s="65" customFormat="1">
      <c r="A1954" s="72" t="s">
        <v>408</v>
      </c>
      <c r="B1954" s="73"/>
      <c r="C1954" s="73"/>
      <c r="D1954" s="73"/>
      <c r="E1954" s="73"/>
      <c r="F1954"/>
      <c r="G1954" s="74"/>
      <c r="H1954" s="108"/>
      <c r="I1954" s="71"/>
    </row>
    <row r="1955" spans="1:9" s="65" customFormat="1">
      <c r="A1955" s="75" t="s">
        <v>391</v>
      </c>
      <c r="B1955" s="76" t="s">
        <v>392</v>
      </c>
      <c r="C1955" s="76" t="s">
        <v>393</v>
      </c>
      <c r="D1955" s="76" t="s">
        <v>394</v>
      </c>
      <c r="E1955" s="76" t="s">
        <v>395</v>
      </c>
      <c r="F1955" s="76" t="s">
        <v>396</v>
      </c>
      <c r="G1955" s="76" t="s">
        <v>397</v>
      </c>
      <c r="H1955" s="108"/>
      <c r="I1955" s="71"/>
    </row>
    <row r="1956" spans="1:9" s="65" customFormat="1">
      <c r="A1956" s="135"/>
      <c r="B1956" s="78" t="s">
        <v>931</v>
      </c>
      <c r="C1956" s="127" t="s">
        <v>493</v>
      </c>
      <c r="D1956" s="107">
        <f>205000*1.16*1.2*1.75</f>
        <v>499379.99999999988</v>
      </c>
      <c r="E1956" s="79">
        <v>1</v>
      </c>
      <c r="F1956" s="79">
        <v>0</v>
      </c>
      <c r="G1956" s="107">
        <f>(D1956*E1956)+((D1956*E1956)*F1956/100)</f>
        <v>499379.99999999988</v>
      </c>
      <c r="H1956" s="108"/>
      <c r="I1956" s="71"/>
    </row>
    <row r="1957" spans="1:9" s="65" customFormat="1">
      <c r="A1957" s="90"/>
      <c r="B1957" s="91"/>
      <c r="C1957" s="91"/>
      <c r="D1957" s="91"/>
      <c r="E1957" s="91"/>
      <c r="F1957"/>
      <c r="G1957" s="85" t="s">
        <v>407</v>
      </c>
      <c r="H1957" s="107">
        <f>SUM(G1956:G1956)</f>
        <v>499379.99999999988</v>
      </c>
      <c r="I1957" s="71"/>
    </row>
    <row r="1958" spans="1:9" s="65" customFormat="1">
      <c r="A1958" s="72" t="s">
        <v>410</v>
      </c>
      <c r="B1958" s="73"/>
      <c r="C1958" s="73"/>
      <c r="D1958" s="73"/>
      <c r="E1958" s="73"/>
      <c r="F1958"/>
      <c r="G1958" s="74"/>
      <c r="H1958" s="108"/>
      <c r="I1958" s="71"/>
    </row>
    <row r="1959" spans="1:9" s="65" customFormat="1">
      <c r="A1959" s="75" t="s">
        <v>391</v>
      </c>
      <c r="B1959" s="76" t="s">
        <v>392</v>
      </c>
      <c r="C1959" s="76" t="s">
        <v>393</v>
      </c>
      <c r="D1959" s="76" t="s">
        <v>394</v>
      </c>
      <c r="E1959" s="76" t="s">
        <v>395</v>
      </c>
      <c r="F1959" s="76" t="s">
        <v>396</v>
      </c>
      <c r="G1959" s="76" t="s">
        <v>397</v>
      </c>
      <c r="H1959" s="108"/>
      <c r="I1959" s="71"/>
    </row>
    <row r="1960" spans="1:9" s="65" customFormat="1">
      <c r="A1960" s="77"/>
      <c r="B1960" s="78"/>
      <c r="C1960" s="79"/>
      <c r="D1960" s="107"/>
      <c r="E1960" s="79"/>
      <c r="F1960" s="79"/>
      <c r="G1960" s="107"/>
      <c r="H1960" s="108"/>
      <c r="I1960" s="71"/>
    </row>
    <row r="1961" spans="1:9" s="65" customFormat="1">
      <c r="A1961" s="90"/>
      <c r="B1961" s="91"/>
      <c r="C1961" s="91"/>
      <c r="D1961" s="91"/>
      <c r="E1961" s="91"/>
      <c r="F1961"/>
      <c r="G1961" s="93" t="s">
        <v>407</v>
      </c>
      <c r="H1961" s="107">
        <f>SUM(G1960:G1960)</f>
        <v>0</v>
      </c>
      <c r="I1961" s="71"/>
    </row>
    <row r="1962" spans="1:9" s="65" customFormat="1">
      <c r="A1962" s="72" t="s">
        <v>411</v>
      </c>
      <c r="B1962" s="73"/>
      <c r="C1962" s="73"/>
      <c r="D1962" s="73"/>
      <c r="E1962" s="73"/>
      <c r="F1962"/>
      <c r="G1962" s="74"/>
      <c r="H1962" s="108"/>
      <c r="I1962" s="71"/>
    </row>
    <row r="1963" spans="1:9" s="65" customFormat="1">
      <c r="A1963" s="75" t="s">
        <v>391</v>
      </c>
      <c r="B1963" s="76" t="s">
        <v>392</v>
      </c>
      <c r="C1963" s="76" t="s">
        <v>393</v>
      </c>
      <c r="D1963" s="76" t="s">
        <v>394</v>
      </c>
      <c r="E1963" s="76" t="s">
        <v>395</v>
      </c>
      <c r="F1963" s="76" t="s">
        <v>396</v>
      </c>
      <c r="G1963" s="76" t="s">
        <v>397</v>
      </c>
      <c r="H1963" s="108"/>
      <c r="I1963" s="71"/>
    </row>
    <row r="1964" spans="1:9" s="65" customFormat="1">
      <c r="A1964" s="87" t="s">
        <v>409</v>
      </c>
      <c r="B1964" s="114" t="s">
        <v>747</v>
      </c>
      <c r="C1964" s="114" t="s">
        <v>437</v>
      </c>
      <c r="D1964" s="114">
        <v>800000</v>
      </c>
      <c r="E1964" s="215">
        <v>2.8000000000000001E-2</v>
      </c>
      <c r="F1964" s="79">
        <v>0</v>
      </c>
      <c r="G1964" s="107">
        <f>(D1964*E1964)+((D1964*E1964)*F1964/100)</f>
        <v>22400</v>
      </c>
      <c r="H1964" s="108"/>
      <c r="I1964" s="71"/>
    </row>
    <row r="1965" spans="1:9" s="65" customFormat="1">
      <c r="A1965" s="94"/>
      <c r="B1965" s="95"/>
      <c r="C1965" s="95"/>
      <c r="D1965" s="95"/>
      <c r="E1965" s="95"/>
      <c r="F1965"/>
      <c r="G1965" s="93" t="s">
        <v>407</v>
      </c>
      <c r="H1965" s="107">
        <f>SUM(G1963:G1964)</f>
        <v>22400</v>
      </c>
      <c r="I1965" s="71"/>
    </row>
    <row r="1966" spans="1:9" s="65" customFormat="1">
      <c r="A1966" s="94"/>
      <c r="B1966" s="95"/>
      <c r="C1966" s="95"/>
      <c r="D1966" s="95"/>
      <c r="E1966" s="95"/>
      <c r="F1966"/>
      <c r="G1966" s="74"/>
      <c r="H1966" s="74"/>
      <c r="I1966" s="71"/>
    </row>
    <row r="1967" spans="1:9" s="65" customFormat="1">
      <c r="A1967" s="96"/>
      <c r="B1967" s="97"/>
      <c r="C1967" s="98"/>
      <c r="D1967" s="98"/>
      <c r="E1967" s="98"/>
      <c r="F1967"/>
      <c r="G1967" s="99" t="s">
        <v>412</v>
      </c>
      <c r="H1967" s="115">
        <f>SUM(H1953:H1965)</f>
        <v>521779.99999999988</v>
      </c>
      <c r="I1967" s="71"/>
    </row>
    <row r="1968" spans="1:9" s="65" customFormat="1">
      <c r="A1968" s="96"/>
      <c r="B1968" s="97"/>
      <c r="C1968" s="98"/>
      <c r="D1968" s="98"/>
      <c r="E1968" s="98"/>
      <c r="F1968" s="101"/>
      <c r="G1968" s="116"/>
      <c r="H1968" s="70"/>
      <c r="I1968" s="71"/>
    </row>
    <row r="1969" spans="1:10" s="65" customFormat="1" ht="15.75" thickBot="1">
      <c r="A1969" s="624" t="s">
        <v>502</v>
      </c>
      <c r="B1969" s="625"/>
      <c r="C1969" s="625"/>
      <c r="D1969" s="625"/>
      <c r="E1969" s="625"/>
      <c r="F1969" s="625"/>
      <c r="G1969" s="626"/>
      <c r="H1969" s="117">
        <f>+ROUND(H1967,0)</f>
        <v>521780</v>
      </c>
      <c r="I1969" s="103"/>
    </row>
    <row r="1970" spans="1:10" s="65" customFormat="1" ht="15.75" thickBot="1">
      <c r="H1970" s="156"/>
      <c r="I1970" s="151"/>
    </row>
    <row r="1971" spans="1:10" s="65" customFormat="1">
      <c r="A1971" s="627"/>
      <c r="B1971" s="634" t="s">
        <v>800</v>
      </c>
      <c r="C1971" s="635"/>
      <c r="D1971" s="635"/>
      <c r="E1971" s="635"/>
      <c r="F1971" s="635"/>
      <c r="G1971" s="635"/>
      <c r="H1971" s="636"/>
      <c r="I1971" s="66" t="s">
        <v>389</v>
      </c>
    </row>
    <row r="1972" spans="1:10" s="65" customFormat="1" ht="51" customHeight="1">
      <c r="A1972" s="628"/>
      <c r="B1972" s="637"/>
      <c r="C1972" s="638"/>
      <c r="D1972" s="638"/>
      <c r="E1972" s="638"/>
      <c r="F1972" s="638"/>
      <c r="G1972" s="638"/>
      <c r="H1972" s="639"/>
      <c r="I1972" s="67" t="s">
        <v>157</v>
      </c>
    </row>
    <row r="1973" spans="1:10" s="65" customFormat="1">
      <c r="A1973" s="68"/>
      <c r="B1973" s="69"/>
      <c r="C1973" s="69"/>
      <c r="D1973" s="69"/>
      <c r="E1973" s="69"/>
      <c r="F1973" s="70"/>
      <c r="G1973" s="70"/>
      <c r="H1973" s="70"/>
      <c r="I1973" s="71"/>
      <c r="J1973" s="169"/>
    </row>
    <row r="1974" spans="1:10" s="65" customFormat="1">
      <c r="A1974" s="72" t="s">
        <v>390</v>
      </c>
      <c r="B1974" s="73"/>
      <c r="C1974" s="73"/>
      <c r="D1974" s="73"/>
      <c r="E1974" s="73"/>
      <c r="F1974" s="74"/>
      <c r="G1974" s="74"/>
      <c r="H1974" s="70"/>
      <c r="I1974" s="71"/>
      <c r="J1974" s="169"/>
    </row>
    <row r="1975" spans="1:10" s="65" customFormat="1">
      <c r="A1975" s="75" t="s">
        <v>391</v>
      </c>
      <c r="B1975" s="76" t="s">
        <v>392</v>
      </c>
      <c r="C1975" s="76" t="s">
        <v>393</v>
      </c>
      <c r="D1975" s="76" t="s">
        <v>394</v>
      </c>
      <c r="E1975" s="76" t="s">
        <v>395</v>
      </c>
      <c r="F1975" s="76" t="s">
        <v>396</v>
      </c>
      <c r="G1975" s="76" t="s">
        <v>397</v>
      </c>
      <c r="H1975" s="74"/>
      <c r="I1975" s="71"/>
    </row>
    <row r="1976" spans="1:10" s="65" customFormat="1">
      <c r="A1976" s="77"/>
      <c r="B1976" s="79"/>
      <c r="C1976" s="79"/>
      <c r="D1976" s="107"/>
      <c r="E1976" s="79"/>
      <c r="F1976" s="79"/>
      <c r="G1976" s="107"/>
      <c r="H1976" s="74"/>
      <c r="I1976" s="71"/>
    </row>
    <row r="1977" spans="1:10" s="65" customFormat="1">
      <c r="A1977" s="82"/>
      <c r="B1977" s="83"/>
      <c r="C1977" s="84"/>
      <c r="D1977" s="84"/>
      <c r="E1977" s="84"/>
      <c r="F1977"/>
      <c r="G1977" s="93" t="s">
        <v>407</v>
      </c>
      <c r="H1977" s="107">
        <f>SUM(G1976:G1976)</f>
        <v>0</v>
      </c>
      <c r="I1977" s="71"/>
    </row>
    <row r="1978" spans="1:10" s="65" customFormat="1">
      <c r="A1978" s="72" t="s">
        <v>408</v>
      </c>
      <c r="B1978" s="73"/>
      <c r="C1978" s="73"/>
      <c r="D1978" s="73"/>
      <c r="E1978" s="73"/>
      <c r="F1978"/>
      <c r="G1978" s="74"/>
      <c r="H1978" s="108"/>
      <c r="I1978" s="71"/>
    </row>
    <row r="1979" spans="1:10" s="65" customFormat="1">
      <c r="A1979" s="75" t="s">
        <v>391</v>
      </c>
      <c r="B1979" s="76" t="s">
        <v>392</v>
      </c>
      <c r="C1979" s="76" t="s">
        <v>393</v>
      </c>
      <c r="D1979" s="76" t="s">
        <v>394</v>
      </c>
      <c r="E1979" s="76" t="s">
        <v>395</v>
      </c>
      <c r="F1979" s="76" t="s">
        <v>396</v>
      </c>
      <c r="G1979" s="76" t="s">
        <v>397</v>
      </c>
      <c r="H1979" s="108"/>
      <c r="I1979" s="71"/>
    </row>
    <row r="1980" spans="1:10" s="65" customFormat="1" ht="165.75">
      <c r="A1980" s="135"/>
      <c r="B1980" s="78" t="s">
        <v>800</v>
      </c>
      <c r="C1980" s="127" t="s">
        <v>157</v>
      </c>
      <c r="D1980" s="256">
        <f>25008000*1.16*1.2</f>
        <v>34811135.999999993</v>
      </c>
      <c r="E1980" s="79">
        <v>1</v>
      </c>
      <c r="F1980" s="79">
        <v>0</v>
      </c>
      <c r="G1980" s="107">
        <f>(D1980*E1980)+((D1980*E1980)*F1980/100)</f>
        <v>34811135.999999993</v>
      </c>
      <c r="H1980" s="108"/>
      <c r="I1980" s="71"/>
    </row>
    <row r="1981" spans="1:10" s="65" customFormat="1">
      <c r="A1981" s="90"/>
      <c r="B1981" s="91"/>
      <c r="C1981" s="91"/>
      <c r="D1981" s="91"/>
      <c r="E1981" s="91"/>
      <c r="F1981"/>
      <c r="G1981" s="85" t="s">
        <v>407</v>
      </c>
      <c r="H1981" s="107">
        <f>SUM(G1980:G1980)</f>
        <v>34811135.999999993</v>
      </c>
      <c r="I1981" s="71"/>
    </row>
    <row r="1982" spans="1:10" s="65" customFormat="1">
      <c r="A1982" s="72" t="s">
        <v>410</v>
      </c>
      <c r="B1982" s="73"/>
      <c r="C1982" s="73"/>
      <c r="D1982" s="73"/>
      <c r="E1982" s="73"/>
      <c r="F1982"/>
      <c r="G1982" s="74"/>
      <c r="H1982" s="108"/>
      <c r="I1982" s="71"/>
    </row>
    <row r="1983" spans="1:10" s="65" customFormat="1">
      <c r="A1983" s="75" t="s">
        <v>391</v>
      </c>
      <c r="B1983" s="76" t="s">
        <v>392</v>
      </c>
      <c r="C1983" s="76" t="s">
        <v>393</v>
      </c>
      <c r="D1983" s="76" t="s">
        <v>394</v>
      </c>
      <c r="E1983" s="76" t="s">
        <v>395</v>
      </c>
      <c r="F1983" s="76" t="s">
        <v>396</v>
      </c>
      <c r="G1983" s="76" t="s">
        <v>397</v>
      </c>
      <c r="H1983" s="108"/>
      <c r="I1983" s="71"/>
    </row>
    <row r="1984" spans="1:10" s="65" customFormat="1">
      <c r="A1984" s="77"/>
      <c r="B1984" s="78"/>
      <c r="C1984" s="79"/>
      <c r="D1984" s="107"/>
      <c r="E1984" s="79"/>
      <c r="F1984" s="79"/>
      <c r="G1984" s="107"/>
      <c r="H1984" s="108"/>
      <c r="I1984" s="71"/>
    </row>
    <row r="1985" spans="1:9" s="65" customFormat="1">
      <c r="A1985" s="90"/>
      <c r="B1985" s="91"/>
      <c r="C1985" s="91"/>
      <c r="D1985" s="91"/>
      <c r="E1985" s="91"/>
      <c r="F1985"/>
      <c r="G1985" s="93" t="s">
        <v>407</v>
      </c>
      <c r="H1985" s="107">
        <f>SUM(G1984:G1984)</f>
        <v>0</v>
      </c>
      <c r="I1985" s="71"/>
    </row>
    <row r="1986" spans="1:9" s="65" customFormat="1">
      <c r="A1986" s="72" t="s">
        <v>411</v>
      </c>
      <c r="B1986" s="73"/>
      <c r="C1986" s="73"/>
      <c r="D1986" s="73"/>
      <c r="E1986" s="73"/>
      <c r="F1986"/>
      <c r="G1986" s="74"/>
      <c r="H1986" s="108"/>
      <c r="I1986" s="71"/>
    </row>
    <row r="1987" spans="1:9" s="65" customFormat="1">
      <c r="A1987" s="75" t="s">
        <v>391</v>
      </c>
      <c r="B1987" s="76" t="s">
        <v>392</v>
      </c>
      <c r="C1987" s="76" t="s">
        <v>393</v>
      </c>
      <c r="D1987" s="76" t="s">
        <v>394</v>
      </c>
      <c r="E1987" s="76" t="s">
        <v>395</v>
      </c>
      <c r="F1987" s="76" t="s">
        <v>396</v>
      </c>
      <c r="G1987" s="76" t="s">
        <v>397</v>
      </c>
      <c r="H1987" s="108"/>
      <c r="I1987" s="71"/>
    </row>
    <row r="1988" spans="1:9" s="65" customFormat="1">
      <c r="A1988" s="87" t="s">
        <v>409</v>
      </c>
      <c r="B1988" s="114" t="s">
        <v>747</v>
      </c>
      <c r="C1988" s="114" t="s">
        <v>437</v>
      </c>
      <c r="D1988" s="114">
        <v>800000</v>
      </c>
      <c r="E1988" s="215">
        <v>1</v>
      </c>
      <c r="F1988" s="79">
        <v>0</v>
      </c>
      <c r="G1988" s="107">
        <f>(D1988*E1988)+((D1988*E1988)*F1988/100)</f>
        <v>800000</v>
      </c>
      <c r="H1988" s="108"/>
      <c r="I1988" s="71"/>
    </row>
    <row r="1989" spans="1:9" s="65" customFormat="1">
      <c r="A1989" s="94"/>
      <c r="B1989" s="95"/>
      <c r="C1989" s="95"/>
      <c r="D1989" s="95"/>
      <c r="E1989" s="95"/>
      <c r="F1989"/>
      <c r="G1989" s="93" t="s">
        <v>407</v>
      </c>
      <c r="H1989" s="107">
        <f>SUM(G1987:G1988)</f>
        <v>800000</v>
      </c>
      <c r="I1989" s="71"/>
    </row>
    <row r="1990" spans="1:9" s="65" customFormat="1">
      <c r="A1990" s="94"/>
      <c r="B1990" s="95"/>
      <c r="C1990" s="95"/>
      <c r="D1990" s="95"/>
      <c r="E1990" s="95"/>
      <c r="F1990"/>
      <c r="G1990" s="74"/>
      <c r="H1990" s="74"/>
      <c r="I1990" s="71"/>
    </row>
    <row r="1991" spans="1:9" s="65" customFormat="1">
      <c r="A1991" s="96"/>
      <c r="B1991" s="97"/>
      <c r="C1991" s="98"/>
      <c r="D1991" s="98"/>
      <c r="E1991" s="98"/>
      <c r="F1991"/>
      <c r="G1991" s="99" t="s">
        <v>412</v>
      </c>
      <c r="H1991" s="115">
        <f>SUM(H1977:H1989)</f>
        <v>35611135.999999993</v>
      </c>
      <c r="I1991" s="71"/>
    </row>
    <row r="1992" spans="1:9" s="65" customFormat="1">
      <c r="A1992" s="96"/>
      <c r="B1992" s="97"/>
      <c r="C1992" s="98"/>
      <c r="D1992" s="98"/>
      <c r="E1992" s="98"/>
      <c r="F1992" s="101"/>
      <c r="G1992" s="116"/>
      <c r="H1992" s="70"/>
      <c r="I1992" s="71"/>
    </row>
    <row r="1993" spans="1:9" s="65" customFormat="1" ht="15.75" thickBot="1">
      <c r="A1993" s="624" t="s">
        <v>761</v>
      </c>
      <c r="B1993" s="625"/>
      <c r="C1993" s="625"/>
      <c r="D1993" s="625"/>
      <c r="E1993" s="625"/>
      <c r="F1993" s="625"/>
      <c r="G1993" s="626"/>
      <c r="H1993" s="117">
        <f>+ROUND(H1991,0)</f>
        <v>35611136</v>
      </c>
      <c r="I1993" s="103"/>
    </row>
    <row r="1994" spans="1:9" s="65" customFormat="1" ht="15.75" thickBot="1">
      <c r="H1994" s="156"/>
      <c r="I1994" s="151"/>
    </row>
    <row r="1995" spans="1:9" s="65" customFormat="1">
      <c r="A1995" s="627"/>
      <c r="B1995" s="634" t="s">
        <v>63</v>
      </c>
      <c r="C1995" s="635"/>
      <c r="D1995" s="635"/>
      <c r="E1995" s="635"/>
      <c r="F1995" s="635"/>
      <c r="G1995" s="635"/>
      <c r="H1995" s="636"/>
      <c r="I1995" s="66" t="s">
        <v>389</v>
      </c>
    </row>
    <row r="1996" spans="1:9" s="65" customFormat="1" ht="137.25" customHeight="1">
      <c r="A1996" s="628"/>
      <c r="B1996" s="637"/>
      <c r="C1996" s="638"/>
      <c r="D1996" s="638"/>
      <c r="E1996" s="638"/>
      <c r="F1996" s="638"/>
      <c r="G1996" s="638"/>
      <c r="H1996" s="639"/>
      <c r="I1996" s="67" t="s">
        <v>157</v>
      </c>
    </row>
    <row r="1997" spans="1:9" s="65" customFormat="1">
      <c r="A1997" s="68"/>
      <c r="B1997" s="69"/>
      <c r="C1997" s="69"/>
      <c r="D1997" s="69"/>
      <c r="E1997" s="69"/>
      <c r="F1997" s="70"/>
      <c r="G1997" s="70"/>
      <c r="H1997" s="70"/>
      <c r="I1997" s="71"/>
    </row>
    <row r="1998" spans="1:9" s="65" customFormat="1">
      <c r="A1998" s="72" t="s">
        <v>390</v>
      </c>
      <c r="B1998" s="73"/>
      <c r="C1998" s="73"/>
      <c r="D1998" s="73"/>
      <c r="E1998" s="73"/>
      <c r="F1998" s="74"/>
      <c r="G1998" s="74"/>
      <c r="H1998" s="70"/>
      <c r="I1998" s="71"/>
    </row>
    <row r="1999" spans="1:9" s="65" customFormat="1">
      <c r="A1999" s="75" t="s">
        <v>391</v>
      </c>
      <c r="B1999" s="76" t="s">
        <v>392</v>
      </c>
      <c r="C1999" s="76" t="s">
        <v>393</v>
      </c>
      <c r="D1999" s="76" t="s">
        <v>394</v>
      </c>
      <c r="E1999" s="76" t="s">
        <v>395</v>
      </c>
      <c r="F1999" s="76" t="s">
        <v>396</v>
      </c>
      <c r="G1999" s="76" t="s">
        <v>397</v>
      </c>
      <c r="H1999" s="74"/>
      <c r="I1999" s="71"/>
    </row>
    <row r="2000" spans="1:9" s="65" customFormat="1">
      <c r="A2000" s="77"/>
      <c r="B2000" s="79"/>
      <c r="C2000" s="79"/>
      <c r="D2000" s="107"/>
      <c r="E2000" s="79"/>
      <c r="F2000" s="79"/>
      <c r="G2000" s="107"/>
      <c r="H2000" s="74"/>
      <c r="I2000" s="71"/>
    </row>
    <row r="2001" spans="1:9" s="65" customFormat="1">
      <c r="A2001" s="82"/>
      <c r="B2001" s="83"/>
      <c r="C2001" s="84"/>
      <c r="D2001" s="84"/>
      <c r="E2001" s="84"/>
      <c r="F2001"/>
      <c r="G2001" s="93" t="s">
        <v>407</v>
      </c>
      <c r="H2001" s="107">
        <f>SUM(G2000:G2000)</f>
        <v>0</v>
      </c>
      <c r="I2001" s="71"/>
    </row>
    <row r="2002" spans="1:9" s="65" customFormat="1">
      <c r="A2002" s="72" t="s">
        <v>408</v>
      </c>
      <c r="B2002" s="73"/>
      <c r="C2002" s="73"/>
      <c r="D2002" s="73"/>
      <c r="E2002" s="73"/>
      <c r="F2002"/>
      <c r="G2002" s="74"/>
      <c r="H2002" s="108"/>
      <c r="I2002" s="71"/>
    </row>
    <row r="2003" spans="1:9" s="65" customFormat="1">
      <c r="A2003" s="75" t="s">
        <v>391</v>
      </c>
      <c r="B2003" s="76" t="s">
        <v>392</v>
      </c>
      <c r="C2003" s="76" t="s">
        <v>393</v>
      </c>
      <c r="D2003" s="76" t="s">
        <v>394</v>
      </c>
      <c r="E2003" s="76" t="s">
        <v>395</v>
      </c>
      <c r="F2003" s="76" t="s">
        <v>396</v>
      </c>
      <c r="G2003" s="76" t="s">
        <v>397</v>
      </c>
      <c r="H2003" s="108"/>
      <c r="I2003" s="71"/>
    </row>
    <row r="2004" spans="1:9" s="65" customFormat="1" ht="351.75" customHeight="1">
      <c r="A2004" s="135"/>
      <c r="B2004" s="78" t="s">
        <v>63</v>
      </c>
      <c r="C2004" s="127" t="s">
        <v>157</v>
      </c>
      <c r="D2004" s="256">
        <f>150000000*1.2*1.16</f>
        <v>208800000</v>
      </c>
      <c r="E2004" s="79">
        <v>1</v>
      </c>
      <c r="F2004" s="79">
        <v>0</v>
      </c>
      <c r="G2004" s="107">
        <f>(D2004*E2004)+((D2004*E2004)*F2004/100)</f>
        <v>208800000</v>
      </c>
      <c r="H2004" s="108"/>
      <c r="I2004" s="71"/>
    </row>
    <row r="2005" spans="1:9" s="65" customFormat="1">
      <c r="A2005" s="90"/>
      <c r="B2005" s="91"/>
      <c r="C2005" s="91"/>
      <c r="D2005" s="91"/>
      <c r="E2005" s="91"/>
      <c r="F2005"/>
      <c r="G2005" s="85" t="s">
        <v>407</v>
      </c>
      <c r="H2005" s="107">
        <f>SUM(G2004:G2004)</f>
        <v>208800000</v>
      </c>
      <c r="I2005" s="71"/>
    </row>
    <row r="2006" spans="1:9" s="65" customFormat="1">
      <c r="A2006" s="72" t="s">
        <v>410</v>
      </c>
      <c r="B2006" s="73"/>
      <c r="C2006" s="73"/>
      <c r="D2006" s="73"/>
      <c r="E2006" s="73"/>
      <c r="F2006"/>
      <c r="G2006" s="74"/>
      <c r="H2006" s="108"/>
      <c r="I2006" s="71"/>
    </row>
    <row r="2007" spans="1:9" s="65" customFormat="1">
      <c r="A2007" s="75" t="s">
        <v>391</v>
      </c>
      <c r="B2007" s="76" t="s">
        <v>392</v>
      </c>
      <c r="C2007" s="76" t="s">
        <v>393</v>
      </c>
      <c r="D2007" s="76" t="s">
        <v>394</v>
      </c>
      <c r="E2007" s="76" t="s">
        <v>395</v>
      </c>
      <c r="F2007" s="76" t="s">
        <v>396</v>
      </c>
      <c r="G2007" s="76" t="s">
        <v>397</v>
      </c>
      <c r="H2007" s="108"/>
      <c r="I2007" s="71"/>
    </row>
    <row r="2008" spans="1:9" s="65" customFormat="1">
      <c r="A2008" s="77"/>
      <c r="B2008" s="78"/>
      <c r="C2008" s="79"/>
      <c r="D2008" s="107"/>
      <c r="E2008" s="79"/>
      <c r="F2008" s="79"/>
      <c r="G2008" s="107"/>
      <c r="H2008" s="108"/>
      <c r="I2008" s="71"/>
    </row>
    <row r="2009" spans="1:9" s="65" customFormat="1">
      <c r="A2009" s="90"/>
      <c r="B2009" s="91"/>
      <c r="C2009" s="91"/>
      <c r="D2009" s="91"/>
      <c r="E2009" s="91"/>
      <c r="F2009"/>
      <c r="G2009" s="93" t="s">
        <v>407</v>
      </c>
      <c r="H2009" s="107">
        <f>SUM(G2008:G2008)</f>
        <v>0</v>
      </c>
      <c r="I2009" s="71"/>
    </row>
    <row r="2010" spans="1:9" s="65" customFormat="1">
      <c r="A2010" s="72" t="s">
        <v>411</v>
      </c>
      <c r="B2010" s="73"/>
      <c r="C2010" s="73"/>
      <c r="D2010" s="73"/>
      <c r="E2010" s="73"/>
      <c r="F2010"/>
      <c r="G2010" s="74"/>
      <c r="H2010" s="108"/>
      <c r="I2010" s="71"/>
    </row>
    <row r="2011" spans="1:9" s="65" customFormat="1">
      <c r="A2011" s="75" t="s">
        <v>391</v>
      </c>
      <c r="B2011" s="76" t="s">
        <v>392</v>
      </c>
      <c r="C2011" s="76" t="s">
        <v>393</v>
      </c>
      <c r="D2011" s="76" t="s">
        <v>394</v>
      </c>
      <c r="E2011" s="76" t="s">
        <v>395</v>
      </c>
      <c r="F2011" s="76" t="s">
        <v>396</v>
      </c>
      <c r="G2011" s="76" t="s">
        <v>397</v>
      </c>
      <c r="H2011" s="108"/>
      <c r="I2011" s="71"/>
    </row>
    <row r="2012" spans="1:9" s="65" customFormat="1">
      <c r="A2012" s="87" t="s">
        <v>409</v>
      </c>
      <c r="B2012" s="114" t="s">
        <v>747</v>
      </c>
      <c r="C2012" s="114" t="s">
        <v>437</v>
      </c>
      <c r="D2012" s="114">
        <v>800000</v>
      </c>
      <c r="E2012" s="215">
        <v>1</v>
      </c>
      <c r="F2012" s="79">
        <v>0</v>
      </c>
      <c r="G2012" s="107">
        <f>(D2012*E2012)+((D2012*E2012)*F2012/100)</f>
        <v>800000</v>
      </c>
      <c r="H2012" s="108"/>
      <c r="I2012" s="71"/>
    </row>
    <row r="2013" spans="1:9" s="65" customFormat="1">
      <c r="A2013" s="94"/>
      <c r="B2013" s="95"/>
      <c r="C2013" s="95"/>
      <c r="D2013" s="95"/>
      <c r="E2013" s="95"/>
      <c r="F2013"/>
      <c r="G2013" s="93" t="s">
        <v>407</v>
      </c>
      <c r="H2013" s="107">
        <f>SUM(G2011:G2012)</f>
        <v>800000</v>
      </c>
      <c r="I2013" s="71"/>
    </row>
    <row r="2014" spans="1:9" s="65" customFormat="1">
      <c r="A2014" s="94"/>
      <c r="B2014" s="95"/>
      <c r="C2014" s="95"/>
      <c r="D2014" s="95"/>
      <c r="E2014" s="95"/>
      <c r="F2014"/>
      <c r="G2014" s="74"/>
      <c r="H2014" s="74"/>
      <c r="I2014" s="71"/>
    </row>
    <row r="2015" spans="1:9" s="65" customFormat="1">
      <c r="A2015" s="96"/>
      <c r="B2015" s="97"/>
      <c r="C2015" s="98"/>
      <c r="D2015" s="98"/>
      <c r="E2015" s="98"/>
      <c r="F2015"/>
      <c r="G2015" s="99" t="s">
        <v>412</v>
      </c>
      <c r="H2015" s="115">
        <f>SUM(H2001:H2013)</f>
        <v>209600000</v>
      </c>
      <c r="I2015" s="71"/>
    </row>
    <row r="2016" spans="1:9" s="65" customFormat="1">
      <c r="A2016" s="96"/>
      <c r="B2016" s="97"/>
      <c r="C2016" s="98"/>
      <c r="D2016" s="98"/>
      <c r="E2016" s="98"/>
      <c r="F2016" s="101"/>
      <c r="G2016" s="116"/>
      <c r="H2016" s="70"/>
      <c r="I2016" s="71"/>
    </row>
    <row r="2017" spans="1:9" s="65" customFormat="1" ht="15.75" thickBot="1">
      <c r="A2017" s="624" t="s">
        <v>761</v>
      </c>
      <c r="B2017" s="625"/>
      <c r="C2017" s="625"/>
      <c r="D2017" s="625"/>
      <c r="E2017" s="625"/>
      <c r="F2017" s="625"/>
      <c r="G2017" s="626"/>
      <c r="H2017" s="117">
        <f>+ROUND(H2015,0)</f>
        <v>209600000</v>
      </c>
      <c r="I2017" s="103"/>
    </row>
    <row r="2018" spans="1:9" s="65" customFormat="1" ht="15.75" thickBot="1">
      <c r="H2018" s="156"/>
      <c r="I2018" s="151"/>
    </row>
    <row r="2019" spans="1:9" s="65" customFormat="1">
      <c r="A2019" s="627"/>
      <c r="B2019" s="629" t="s">
        <v>932</v>
      </c>
      <c r="C2019" s="630"/>
      <c r="D2019" s="630"/>
      <c r="E2019" s="630"/>
      <c r="F2019" s="630"/>
      <c r="G2019" s="630"/>
      <c r="H2019" s="643"/>
      <c r="I2019" s="66" t="s">
        <v>389</v>
      </c>
    </row>
    <row r="2020" spans="1:9" s="65" customFormat="1">
      <c r="A2020" s="628"/>
      <c r="B2020" s="631"/>
      <c r="C2020" s="632"/>
      <c r="D2020" s="632"/>
      <c r="E2020" s="632"/>
      <c r="F2020" s="632"/>
      <c r="G2020" s="632"/>
      <c r="H2020" s="644"/>
      <c r="I2020" s="67" t="s">
        <v>7</v>
      </c>
    </row>
    <row r="2021" spans="1:9" s="65" customFormat="1">
      <c r="A2021" s="68"/>
      <c r="B2021" s="69"/>
      <c r="C2021" s="69"/>
      <c r="D2021" s="69"/>
      <c r="E2021" s="69"/>
      <c r="F2021" s="70"/>
      <c r="G2021" s="70"/>
      <c r="H2021" s="70"/>
      <c r="I2021" s="71"/>
    </row>
    <row r="2022" spans="1:9" s="65" customFormat="1">
      <c r="A2022" s="72" t="s">
        <v>390</v>
      </c>
      <c r="B2022" s="73"/>
      <c r="C2022" s="73"/>
      <c r="D2022" s="73"/>
      <c r="E2022" s="73"/>
      <c r="F2022" s="74"/>
      <c r="G2022" s="74"/>
      <c r="H2022" s="70"/>
      <c r="I2022" s="71"/>
    </row>
    <row r="2023" spans="1:9" s="65" customFormat="1">
      <c r="A2023" s="75" t="s">
        <v>391</v>
      </c>
      <c r="B2023" s="76" t="s">
        <v>392</v>
      </c>
      <c r="C2023" s="76" t="s">
        <v>393</v>
      </c>
      <c r="D2023" s="76" t="s">
        <v>394</v>
      </c>
      <c r="E2023" s="76" t="s">
        <v>395</v>
      </c>
      <c r="F2023" s="76" t="s">
        <v>396</v>
      </c>
      <c r="G2023" s="76" t="s">
        <v>397</v>
      </c>
      <c r="H2023" s="74"/>
      <c r="I2023" s="71"/>
    </row>
    <row r="2024" spans="1:9" s="65" customFormat="1">
      <c r="A2024" s="77"/>
      <c r="B2024" s="79"/>
      <c r="C2024" s="79"/>
      <c r="D2024" s="107"/>
      <c r="E2024" s="79"/>
      <c r="F2024" s="79"/>
      <c r="G2024" s="107"/>
      <c r="H2024" s="74"/>
      <c r="I2024" s="71"/>
    </row>
    <row r="2025" spans="1:9" s="65" customFormat="1">
      <c r="A2025" s="82"/>
      <c r="B2025" s="83"/>
      <c r="C2025" s="84"/>
      <c r="D2025" s="84"/>
      <c r="E2025" s="84"/>
      <c r="F2025"/>
      <c r="G2025" s="93" t="s">
        <v>407</v>
      </c>
      <c r="H2025" s="107">
        <f>SUM(G2024:G2024)</f>
        <v>0</v>
      </c>
      <c r="I2025" s="71"/>
    </row>
    <row r="2026" spans="1:9" s="65" customFormat="1">
      <c r="A2026" s="72" t="s">
        <v>408</v>
      </c>
      <c r="B2026" s="73"/>
      <c r="C2026" s="73"/>
      <c r="D2026" s="73"/>
      <c r="E2026" s="73"/>
      <c r="F2026"/>
      <c r="G2026" s="74"/>
      <c r="H2026" s="108"/>
      <c r="I2026" s="71"/>
    </row>
    <row r="2027" spans="1:9" s="65" customFormat="1">
      <c r="A2027" s="75" t="s">
        <v>391</v>
      </c>
      <c r="B2027" s="76" t="s">
        <v>392</v>
      </c>
      <c r="C2027" s="76" t="s">
        <v>393</v>
      </c>
      <c r="D2027" s="76" t="s">
        <v>394</v>
      </c>
      <c r="E2027" s="76" t="s">
        <v>395</v>
      </c>
      <c r="F2027" s="76" t="s">
        <v>396</v>
      </c>
      <c r="G2027" s="76" t="s">
        <v>397</v>
      </c>
      <c r="H2027" s="108"/>
      <c r="I2027" s="71"/>
    </row>
    <row r="2028" spans="1:9" s="65" customFormat="1">
      <c r="A2028" s="135"/>
      <c r="B2028" s="78" t="s">
        <v>932</v>
      </c>
      <c r="C2028" s="127" t="s">
        <v>493</v>
      </c>
      <c r="D2028" s="107">
        <f>35000*1.16*1.2*1</f>
        <v>48720</v>
      </c>
      <c r="E2028" s="79">
        <v>1</v>
      </c>
      <c r="F2028" s="79">
        <v>0</v>
      </c>
      <c r="G2028" s="107">
        <f>(D2028*E2028)+((D2028*E2028)*F2028/100)</f>
        <v>48720</v>
      </c>
      <c r="H2028" s="108"/>
      <c r="I2028" s="71"/>
    </row>
    <row r="2029" spans="1:9" s="65" customFormat="1">
      <c r="A2029" s="90"/>
      <c r="B2029" s="91"/>
      <c r="C2029" s="91"/>
      <c r="D2029" s="91"/>
      <c r="E2029" s="91"/>
      <c r="F2029"/>
      <c r="G2029" s="85" t="s">
        <v>407</v>
      </c>
      <c r="H2029" s="107">
        <f>SUM(G2028:G2028)</f>
        <v>48720</v>
      </c>
      <c r="I2029" s="71"/>
    </row>
    <row r="2030" spans="1:9" s="65" customFormat="1">
      <c r="A2030" s="72" t="s">
        <v>410</v>
      </c>
      <c r="B2030" s="73"/>
      <c r="C2030" s="73"/>
      <c r="D2030" s="73"/>
      <c r="E2030" s="73"/>
      <c r="F2030"/>
      <c r="G2030" s="74"/>
      <c r="H2030" s="108"/>
      <c r="I2030" s="71"/>
    </row>
    <row r="2031" spans="1:9" s="65" customFormat="1">
      <c r="A2031" s="75" t="s">
        <v>391</v>
      </c>
      <c r="B2031" s="76" t="s">
        <v>392</v>
      </c>
      <c r="C2031" s="76" t="s">
        <v>393</v>
      </c>
      <c r="D2031" s="76" t="s">
        <v>394</v>
      </c>
      <c r="E2031" s="76" t="s">
        <v>395</v>
      </c>
      <c r="F2031" s="76" t="s">
        <v>396</v>
      </c>
      <c r="G2031" s="76" t="s">
        <v>397</v>
      </c>
      <c r="H2031" s="108"/>
      <c r="I2031" s="71"/>
    </row>
    <row r="2032" spans="1:9" s="65" customFormat="1">
      <c r="A2032" s="77"/>
      <c r="B2032" s="78"/>
      <c r="C2032" s="79"/>
      <c r="D2032" s="107"/>
      <c r="E2032" s="79"/>
      <c r="F2032" s="79"/>
      <c r="G2032" s="107"/>
      <c r="H2032" s="108"/>
      <c r="I2032" s="71"/>
    </row>
    <row r="2033" spans="1:9" s="65" customFormat="1">
      <c r="A2033" s="90"/>
      <c r="B2033" s="91"/>
      <c r="C2033" s="91"/>
      <c r="D2033" s="91"/>
      <c r="E2033" s="91"/>
      <c r="F2033"/>
      <c r="G2033" s="93" t="s">
        <v>407</v>
      </c>
      <c r="H2033" s="107">
        <f>SUM(G2032:G2032)</f>
        <v>0</v>
      </c>
      <c r="I2033" s="71"/>
    </row>
    <row r="2034" spans="1:9" s="65" customFormat="1">
      <c r="A2034" s="72" t="s">
        <v>411</v>
      </c>
      <c r="B2034" s="73"/>
      <c r="C2034" s="73"/>
      <c r="D2034" s="73"/>
      <c r="E2034" s="73"/>
      <c r="F2034"/>
      <c r="G2034" s="74"/>
      <c r="H2034" s="108"/>
      <c r="I2034" s="71"/>
    </row>
    <row r="2035" spans="1:9" s="65" customFormat="1">
      <c r="A2035" s="75" t="s">
        <v>391</v>
      </c>
      <c r="B2035" s="76" t="s">
        <v>392</v>
      </c>
      <c r="C2035" s="76" t="s">
        <v>393</v>
      </c>
      <c r="D2035" s="76" t="s">
        <v>394</v>
      </c>
      <c r="E2035" s="76" t="s">
        <v>395</v>
      </c>
      <c r="F2035" s="76" t="s">
        <v>396</v>
      </c>
      <c r="G2035" s="76" t="s">
        <v>397</v>
      </c>
      <c r="H2035" s="108"/>
      <c r="I2035" s="71"/>
    </row>
    <row r="2036" spans="1:9" s="65" customFormat="1">
      <c r="A2036" s="87" t="s">
        <v>409</v>
      </c>
      <c r="B2036" s="114" t="s">
        <v>747</v>
      </c>
      <c r="C2036" s="114" t="s">
        <v>437</v>
      </c>
      <c r="D2036" s="114">
        <v>800000</v>
      </c>
      <c r="E2036" s="215">
        <v>4.1666666666666666E-3</v>
      </c>
      <c r="F2036" s="79">
        <v>0</v>
      </c>
      <c r="G2036" s="107">
        <f>(D2036*E2036)+((D2036*E2036)*F2036/100)</f>
        <v>3333.3333333333335</v>
      </c>
      <c r="H2036" s="108"/>
      <c r="I2036" s="71"/>
    </row>
    <row r="2037" spans="1:9" s="65" customFormat="1">
      <c r="A2037" s="94"/>
      <c r="B2037" s="95"/>
      <c r="C2037" s="95"/>
      <c r="D2037" s="95"/>
      <c r="E2037" s="95"/>
      <c r="F2037"/>
      <c r="G2037" s="93" t="s">
        <v>407</v>
      </c>
      <c r="H2037" s="107">
        <f>SUM(G2035:G2036)</f>
        <v>3333.3333333333335</v>
      </c>
      <c r="I2037" s="71"/>
    </row>
    <row r="2038" spans="1:9" s="65" customFormat="1">
      <c r="A2038" s="94"/>
      <c r="B2038" s="95"/>
      <c r="C2038" s="95"/>
      <c r="D2038" s="95"/>
      <c r="E2038" s="95"/>
      <c r="F2038"/>
      <c r="G2038" s="74"/>
      <c r="H2038" s="74"/>
      <c r="I2038" s="71"/>
    </row>
    <row r="2039" spans="1:9" s="65" customFormat="1">
      <c r="A2039" s="96"/>
      <c r="B2039" s="97"/>
      <c r="C2039" s="98"/>
      <c r="D2039" s="98"/>
      <c r="E2039" s="98"/>
      <c r="F2039"/>
      <c r="G2039" s="99" t="s">
        <v>412</v>
      </c>
      <c r="H2039" s="115">
        <f>SUM(H2025:H2037)</f>
        <v>52053.333333333336</v>
      </c>
      <c r="I2039" s="71"/>
    </row>
    <row r="2040" spans="1:9" s="65" customFormat="1">
      <c r="A2040" s="96"/>
      <c r="B2040" s="97"/>
      <c r="C2040" s="98"/>
      <c r="D2040" s="98"/>
      <c r="E2040" s="98"/>
      <c r="F2040" s="101"/>
      <c r="G2040" s="116"/>
      <c r="H2040" s="70"/>
      <c r="I2040" s="71"/>
    </row>
    <row r="2041" spans="1:9" s="65" customFormat="1" ht="15.75" thickBot="1">
      <c r="A2041" s="624" t="s">
        <v>502</v>
      </c>
      <c r="B2041" s="625"/>
      <c r="C2041" s="625"/>
      <c r="D2041" s="625"/>
      <c r="E2041" s="625"/>
      <c r="F2041" s="625"/>
      <c r="G2041" s="626"/>
      <c r="H2041" s="117">
        <f>+ROUND(H2039,0)</f>
        <v>52053</v>
      </c>
      <c r="I2041" s="103"/>
    </row>
    <row r="2042" spans="1:9" s="65" customFormat="1" ht="15.75" thickBot="1">
      <c r="H2042" s="156"/>
      <c r="I2042" s="151"/>
    </row>
    <row r="2043" spans="1:9" s="65" customFormat="1">
      <c r="A2043" s="627"/>
      <c r="B2043" s="629" t="s">
        <v>932</v>
      </c>
      <c r="C2043" s="630"/>
      <c r="D2043" s="630"/>
      <c r="E2043" s="630"/>
      <c r="F2043" s="630"/>
      <c r="G2043" s="630"/>
      <c r="H2043" s="643"/>
      <c r="I2043" s="66" t="s">
        <v>389</v>
      </c>
    </row>
    <row r="2044" spans="1:9" s="65" customFormat="1">
      <c r="A2044" s="628"/>
      <c r="B2044" s="631"/>
      <c r="C2044" s="632"/>
      <c r="D2044" s="632"/>
      <c r="E2044" s="632"/>
      <c r="F2044" s="632"/>
      <c r="G2044" s="632"/>
      <c r="H2044" s="644"/>
      <c r="I2044" s="67" t="s">
        <v>7</v>
      </c>
    </row>
    <row r="2045" spans="1:9" s="65" customFormat="1">
      <c r="A2045" s="68"/>
      <c r="B2045" s="69"/>
      <c r="C2045" s="69"/>
      <c r="D2045" s="69"/>
      <c r="E2045" s="69"/>
      <c r="F2045" s="70"/>
      <c r="G2045" s="70"/>
      <c r="H2045" s="70"/>
      <c r="I2045" s="71"/>
    </row>
    <row r="2046" spans="1:9" s="65" customFormat="1">
      <c r="A2046" s="72" t="s">
        <v>390</v>
      </c>
      <c r="B2046" s="73"/>
      <c r="C2046" s="73"/>
      <c r="D2046" s="73"/>
      <c r="E2046" s="73"/>
      <c r="F2046" s="74"/>
      <c r="G2046" s="74"/>
      <c r="H2046" s="70"/>
      <c r="I2046" s="71"/>
    </row>
    <row r="2047" spans="1:9" s="65" customFormat="1">
      <c r="A2047" s="75" t="s">
        <v>391</v>
      </c>
      <c r="B2047" s="76" t="s">
        <v>392</v>
      </c>
      <c r="C2047" s="76" t="s">
        <v>393</v>
      </c>
      <c r="D2047" s="76" t="s">
        <v>394</v>
      </c>
      <c r="E2047" s="76" t="s">
        <v>395</v>
      </c>
      <c r="F2047" s="76" t="s">
        <v>396</v>
      </c>
      <c r="G2047" s="76" t="s">
        <v>397</v>
      </c>
      <c r="H2047" s="74"/>
      <c r="I2047" s="71"/>
    </row>
    <row r="2048" spans="1:9" s="65" customFormat="1">
      <c r="A2048" s="77"/>
      <c r="B2048" s="79"/>
      <c r="C2048" s="79"/>
      <c r="D2048" s="107"/>
      <c r="E2048" s="79"/>
      <c r="F2048" s="79"/>
      <c r="G2048" s="107"/>
      <c r="H2048" s="74"/>
      <c r="I2048" s="71"/>
    </row>
    <row r="2049" spans="1:9" s="65" customFormat="1">
      <c r="A2049" s="82"/>
      <c r="B2049" s="83"/>
      <c r="C2049" s="84"/>
      <c r="D2049" s="84"/>
      <c r="E2049" s="84"/>
      <c r="F2049"/>
      <c r="G2049" s="93" t="s">
        <v>407</v>
      </c>
      <c r="H2049" s="107">
        <f>SUM(G2048:G2048)</f>
        <v>0</v>
      </c>
      <c r="I2049" s="71"/>
    </row>
    <row r="2050" spans="1:9" s="65" customFormat="1">
      <c r="A2050" s="72" t="s">
        <v>408</v>
      </c>
      <c r="B2050" s="73"/>
      <c r="C2050" s="73"/>
      <c r="D2050" s="73"/>
      <c r="E2050" s="73"/>
      <c r="F2050"/>
      <c r="G2050" s="74"/>
      <c r="H2050" s="108"/>
      <c r="I2050" s="71"/>
    </row>
    <row r="2051" spans="1:9" s="65" customFormat="1">
      <c r="A2051" s="75" t="s">
        <v>391</v>
      </c>
      <c r="B2051" s="76" t="s">
        <v>392</v>
      </c>
      <c r="C2051" s="76" t="s">
        <v>393</v>
      </c>
      <c r="D2051" s="76" t="s">
        <v>394</v>
      </c>
      <c r="E2051" s="76" t="s">
        <v>395</v>
      </c>
      <c r="F2051" s="76" t="s">
        <v>396</v>
      </c>
      <c r="G2051" s="76" t="s">
        <v>397</v>
      </c>
      <c r="H2051" s="108"/>
      <c r="I2051" s="71"/>
    </row>
    <row r="2052" spans="1:9" s="65" customFormat="1">
      <c r="A2052" s="135"/>
      <c r="B2052" s="78" t="s">
        <v>932</v>
      </c>
      <c r="C2052" s="127" t="s">
        <v>493</v>
      </c>
      <c r="D2052" s="107">
        <f>35000*1.16*1.2*1</f>
        <v>48720</v>
      </c>
      <c r="E2052" s="79">
        <v>1</v>
      </c>
      <c r="F2052" s="79">
        <v>0</v>
      </c>
      <c r="G2052" s="107">
        <f>(D2052*E2052)+((D2052*E2052)*F2052/100)</f>
        <v>48720</v>
      </c>
      <c r="H2052" s="108"/>
      <c r="I2052" s="71"/>
    </row>
    <row r="2053" spans="1:9" s="65" customFormat="1">
      <c r="A2053" s="90"/>
      <c r="B2053" s="91"/>
      <c r="C2053" s="91"/>
      <c r="D2053" s="91"/>
      <c r="E2053" s="91"/>
      <c r="F2053"/>
      <c r="G2053" s="85" t="s">
        <v>407</v>
      </c>
      <c r="H2053" s="107">
        <f>SUM(G2052:G2052)</f>
        <v>48720</v>
      </c>
      <c r="I2053" s="71"/>
    </row>
    <row r="2054" spans="1:9" s="65" customFormat="1">
      <c r="A2054" s="72" t="s">
        <v>410</v>
      </c>
      <c r="B2054" s="73"/>
      <c r="C2054" s="73"/>
      <c r="D2054" s="73"/>
      <c r="E2054" s="73"/>
      <c r="F2054"/>
      <c r="G2054" s="74"/>
      <c r="H2054" s="108"/>
      <c r="I2054" s="71"/>
    </row>
    <row r="2055" spans="1:9" s="65" customFormat="1" ht="21" customHeight="1">
      <c r="A2055" s="75" t="s">
        <v>391</v>
      </c>
      <c r="B2055" s="76" t="s">
        <v>392</v>
      </c>
      <c r="C2055" s="76" t="s">
        <v>393</v>
      </c>
      <c r="D2055" s="76" t="s">
        <v>394</v>
      </c>
      <c r="E2055" s="76" t="s">
        <v>395</v>
      </c>
      <c r="F2055" s="76" t="s">
        <v>396</v>
      </c>
      <c r="G2055" s="76" t="s">
        <v>397</v>
      </c>
      <c r="H2055" s="108"/>
      <c r="I2055" s="71"/>
    </row>
    <row r="2056" spans="1:9" s="65" customFormat="1">
      <c r="A2056" s="77"/>
      <c r="B2056" s="78"/>
      <c r="C2056" s="79"/>
      <c r="D2056" s="107"/>
      <c r="E2056" s="79"/>
      <c r="F2056" s="79"/>
      <c r="G2056" s="107"/>
      <c r="H2056" s="108"/>
      <c r="I2056" s="71"/>
    </row>
    <row r="2057" spans="1:9" s="65" customFormat="1">
      <c r="A2057" s="90"/>
      <c r="B2057" s="91"/>
      <c r="C2057" s="91"/>
      <c r="D2057" s="91"/>
      <c r="E2057" s="91"/>
      <c r="F2057"/>
      <c r="G2057" s="93" t="s">
        <v>407</v>
      </c>
      <c r="H2057" s="107">
        <f>SUM(G2056:G2056)</f>
        <v>0</v>
      </c>
      <c r="I2057" s="71"/>
    </row>
    <row r="2058" spans="1:9" s="65" customFormat="1">
      <c r="A2058" s="72" t="s">
        <v>411</v>
      </c>
      <c r="B2058" s="73"/>
      <c r="C2058" s="73"/>
      <c r="D2058" s="73"/>
      <c r="E2058" s="73"/>
      <c r="F2058"/>
      <c r="G2058" s="74"/>
      <c r="H2058" s="108"/>
      <c r="I2058" s="71"/>
    </row>
    <row r="2059" spans="1:9" s="65" customFormat="1">
      <c r="A2059" s="75" t="s">
        <v>391</v>
      </c>
      <c r="B2059" s="76" t="s">
        <v>392</v>
      </c>
      <c r="C2059" s="76" t="s">
        <v>393</v>
      </c>
      <c r="D2059" s="76" t="s">
        <v>394</v>
      </c>
      <c r="E2059" s="76" t="s">
        <v>395</v>
      </c>
      <c r="F2059" s="76" t="s">
        <v>396</v>
      </c>
      <c r="G2059" s="76" t="s">
        <v>397</v>
      </c>
      <c r="H2059" s="108"/>
      <c r="I2059" s="71"/>
    </row>
    <row r="2060" spans="1:9" s="65" customFormat="1">
      <c r="A2060" s="87" t="s">
        <v>409</v>
      </c>
      <c r="B2060" s="114" t="s">
        <v>747</v>
      </c>
      <c r="C2060" s="114" t="s">
        <v>437</v>
      </c>
      <c r="D2060" s="114">
        <v>800000</v>
      </c>
      <c r="E2060" s="215">
        <v>4.1666666666666666E-3</v>
      </c>
      <c r="F2060" s="79">
        <v>0</v>
      </c>
      <c r="G2060" s="107">
        <f>(D2060*E2060)+((D2060*E2060)*F2060/100)</f>
        <v>3333.3333333333335</v>
      </c>
      <c r="H2060" s="108"/>
      <c r="I2060" s="71"/>
    </row>
    <row r="2061" spans="1:9" s="65" customFormat="1">
      <c r="A2061" s="94"/>
      <c r="B2061" s="95"/>
      <c r="C2061" s="95"/>
      <c r="D2061" s="95"/>
      <c r="E2061" s="95"/>
      <c r="F2061"/>
      <c r="G2061" s="93" t="s">
        <v>407</v>
      </c>
      <c r="H2061" s="107">
        <f>SUM(G2059:G2060)</f>
        <v>3333.3333333333335</v>
      </c>
      <c r="I2061" s="71"/>
    </row>
    <row r="2062" spans="1:9" s="65" customFormat="1">
      <c r="A2062" s="94"/>
      <c r="B2062" s="95"/>
      <c r="C2062" s="95"/>
      <c r="D2062" s="95"/>
      <c r="E2062" s="95"/>
      <c r="F2062"/>
      <c r="G2062" s="74"/>
      <c r="H2062" s="74"/>
      <c r="I2062" s="71"/>
    </row>
    <row r="2063" spans="1:9" s="65" customFormat="1">
      <c r="A2063" s="96"/>
      <c r="B2063" s="97"/>
      <c r="C2063" s="98"/>
      <c r="D2063" s="98"/>
      <c r="E2063" s="98"/>
      <c r="F2063"/>
      <c r="G2063" s="99" t="s">
        <v>412</v>
      </c>
      <c r="H2063" s="115">
        <f>SUM(H2049:H2061)</f>
        <v>52053.333333333336</v>
      </c>
      <c r="I2063" s="71"/>
    </row>
    <row r="2064" spans="1:9" s="65" customFormat="1">
      <c r="A2064" s="96"/>
      <c r="B2064" s="97"/>
      <c r="C2064" s="98"/>
      <c r="D2064" s="98"/>
      <c r="E2064" s="98"/>
      <c r="F2064" s="101"/>
      <c r="G2064" s="116"/>
      <c r="H2064" s="70"/>
      <c r="I2064" s="71"/>
    </row>
    <row r="2065" spans="1:9" s="65" customFormat="1" ht="15.75" thickBot="1">
      <c r="A2065" s="624" t="s">
        <v>502</v>
      </c>
      <c r="B2065" s="625"/>
      <c r="C2065" s="625"/>
      <c r="D2065" s="625"/>
      <c r="E2065" s="625"/>
      <c r="F2065" s="625"/>
      <c r="G2065" s="626"/>
      <c r="H2065" s="117">
        <f>+ROUND(H2063,0)</f>
        <v>52053</v>
      </c>
      <c r="I2065" s="103"/>
    </row>
    <row r="2066" spans="1:9" s="65" customFormat="1" ht="15.75" thickBot="1">
      <c r="H2066" s="156"/>
      <c r="I2066" s="151"/>
    </row>
    <row r="2067" spans="1:9" s="65" customFormat="1">
      <c r="A2067" s="627"/>
      <c r="B2067" s="629" t="s">
        <v>933</v>
      </c>
      <c r="C2067" s="630"/>
      <c r="D2067" s="630"/>
      <c r="E2067" s="630"/>
      <c r="F2067" s="630"/>
      <c r="G2067" s="630"/>
      <c r="H2067" s="643"/>
      <c r="I2067" s="66" t="s">
        <v>389</v>
      </c>
    </row>
    <row r="2068" spans="1:9" s="65" customFormat="1">
      <c r="A2068" s="628"/>
      <c r="B2068" s="631"/>
      <c r="C2068" s="632"/>
      <c r="D2068" s="632"/>
      <c r="E2068" s="632"/>
      <c r="F2068" s="632"/>
      <c r="G2068" s="632"/>
      <c r="H2068" s="644"/>
      <c r="I2068" s="67" t="s">
        <v>7</v>
      </c>
    </row>
    <row r="2069" spans="1:9" s="65" customFormat="1">
      <c r="A2069" s="68"/>
      <c r="B2069" s="69"/>
      <c r="C2069" s="69"/>
      <c r="D2069" s="69"/>
      <c r="E2069" s="69"/>
      <c r="F2069" s="70"/>
      <c r="G2069" s="70"/>
      <c r="H2069" s="70"/>
      <c r="I2069" s="71"/>
    </row>
    <row r="2070" spans="1:9" s="65" customFormat="1">
      <c r="A2070" s="72" t="s">
        <v>390</v>
      </c>
      <c r="B2070" s="73"/>
      <c r="C2070" s="73"/>
      <c r="D2070" s="73"/>
      <c r="E2070" s="73"/>
      <c r="F2070" s="74"/>
      <c r="G2070" s="74"/>
      <c r="H2070" s="70"/>
      <c r="I2070" s="71"/>
    </row>
    <row r="2071" spans="1:9" s="65" customFormat="1">
      <c r="A2071" s="75" t="s">
        <v>391</v>
      </c>
      <c r="B2071" s="76" t="s">
        <v>392</v>
      </c>
      <c r="C2071" s="76" t="s">
        <v>393</v>
      </c>
      <c r="D2071" s="76" t="s">
        <v>394</v>
      </c>
      <c r="E2071" s="76" t="s">
        <v>395</v>
      </c>
      <c r="F2071" s="76" t="s">
        <v>396</v>
      </c>
      <c r="G2071" s="76" t="s">
        <v>397</v>
      </c>
      <c r="H2071" s="74"/>
      <c r="I2071" s="71"/>
    </row>
    <row r="2072" spans="1:9" s="65" customFormat="1">
      <c r="A2072" s="77"/>
      <c r="B2072" s="79"/>
      <c r="C2072" s="79"/>
      <c r="D2072" s="107"/>
      <c r="E2072" s="79"/>
      <c r="F2072" s="79"/>
      <c r="G2072" s="107"/>
      <c r="H2072" s="74"/>
      <c r="I2072" s="71"/>
    </row>
    <row r="2073" spans="1:9" s="65" customFormat="1">
      <c r="A2073" s="82"/>
      <c r="B2073" s="83"/>
      <c r="C2073" s="84"/>
      <c r="D2073" s="84"/>
      <c r="E2073" s="84"/>
      <c r="F2073"/>
      <c r="G2073" s="93" t="s">
        <v>407</v>
      </c>
      <c r="H2073" s="107">
        <f>SUM(G2072:G2072)</f>
        <v>0</v>
      </c>
      <c r="I2073" s="71"/>
    </row>
    <row r="2074" spans="1:9" s="65" customFormat="1">
      <c r="A2074" s="72" t="s">
        <v>408</v>
      </c>
      <c r="B2074" s="73"/>
      <c r="C2074" s="73"/>
      <c r="D2074" s="73"/>
      <c r="E2074" s="73"/>
      <c r="F2074"/>
      <c r="G2074" s="74"/>
      <c r="H2074" s="108"/>
      <c r="I2074" s="71"/>
    </row>
    <row r="2075" spans="1:9" s="65" customFormat="1">
      <c r="A2075" s="75" t="s">
        <v>391</v>
      </c>
      <c r="B2075" s="76" t="s">
        <v>392</v>
      </c>
      <c r="C2075" s="76" t="s">
        <v>393</v>
      </c>
      <c r="D2075" s="76" t="s">
        <v>394</v>
      </c>
      <c r="E2075" s="76" t="s">
        <v>395</v>
      </c>
      <c r="F2075" s="76" t="s">
        <v>396</v>
      </c>
      <c r="G2075" s="76" t="s">
        <v>397</v>
      </c>
      <c r="H2075" s="108"/>
      <c r="I2075" s="71"/>
    </row>
    <row r="2076" spans="1:9" s="65" customFormat="1">
      <c r="A2076" s="135"/>
      <c r="B2076" s="78" t="s">
        <v>932</v>
      </c>
      <c r="C2076" s="127" t="s">
        <v>493</v>
      </c>
      <c r="D2076" s="107">
        <f>35000*1.16*1.2*0.4</f>
        <v>19488</v>
      </c>
      <c r="E2076" s="79">
        <v>1</v>
      </c>
      <c r="F2076" s="79">
        <v>0</v>
      </c>
      <c r="G2076" s="107">
        <f>(D2076*E2076)+((D2076*E2076)*F2076/100)</f>
        <v>19488</v>
      </c>
      <c r="H2076" s="108"/>
      <c r="I2076" s="71"/>
    </row>
    <row r="2077" spans="1:9" s="65" customFormat="1">
      <c r="A2077" s="90"/>
      <c r="B2077" s="91"/>
      <c r="C2077" s="91"/>
      <c r="D2077" s="91"/>
      <c r="E2077" s="91"/>
      <c r="F2077"/>
      <c r="G2077" s="85" t="s">
        <v>407</v>
      </c>
      <c r="H2077" s="107">
        <f>SUM(G2076:G2076)</f>
        <v>19488</v>
      </c>
      <c r="I2077" s="71"/>
    </row>
    <row r="2078" spans="1:9" s="65" customFormat="1">
      <c r="A2078" s="72" t="s">
        <v>410</v>
      </c>
      <c r="B2078" s="73"/>
      <c r="C2078" s="73"/>
      <c r="D2078" s="73"/>
      <c r="E2078" s="73"/>
      <c r="F2078"/>
      <c r="G2078" s="74"/>
      <c r="H2078" s="108"/>
      <c r="I2078" s="71"/>
    </row>
    <row r="2079" spans="1:9" s="65" customFormat="1">
      <c r="A2079" s="75" t="s">
        <v>391</v>
      </c>
      <c r="B2079" s="76" t="s">
        <v>392</v>
      </c>
      <c r="C2079" s="76" t="s">
        <v>393</v>
      </c>
      <c r="D2079" s="76" t="s">
        <v>394</v>
      </c>
      <c r="E2079" s="76" t="s">
        <v>395</v>
      </c>
      <c r="F2079" s="76" t="s">
        <v>396</v>
      </c>
      <c r="G2079" s="76" t="s">
        <v>397</v>
      </c>
      <c r="H2079" s="108"/>
      <c r="I2079" s="71"/>
    </row>
    <row r="2080" spans="1:9" s="65" customFormat="1">
      <c r="A2080" s="77"/>
      <c r="B2080" s="78"/>
      <c r="C2080" s="79"/>
      <c r="D2080" s="107"/>
      <c r="E2080" s="79"/>
      <c r="F2080" s="79"/>
      <c r="G2080" s="107"/>
      <c r="H2080" s="108"/>
      <c r="I2080" s="71"/>
    </row>
    <row r="2081" spans="1:9" s="65" customFormat="1">
      <c r="A2081" s="90"/>
      <c r="B2081" s="91"/>
      <c r="C2081" s="91"/>
      <c r="D2081" s="91"/>
      <c r="E2081" s="91"/>
      <c r="F2081"/>
      <c r="G2081" s="93" t="s">
        <v>407</v>
      </c>
      <c r="H2081" s="107">
        <f>SUM(G2080:G2080)</f>
        <v>0</v>
      </c>
      <c r="I2081" s="71"/>
    </row>
    <row r="2082" spans="1:9" s="65" customFormat="1">
      <c r="A2082" s="72" t="s">
        <v>411</v>
      </c>
      <c r="B2082" s="73"/>
      <c r="C2082" s="73"/>
      <c r="D2082" s="73"/>
      <c r="E2082" s="73"/>
      <c r="F2082"/>
      <c r="G2082" s="74"/>
      <c r="H2082" s="108"/>
      <c r="I2082" s="71"/>
    </row>
    <row r="2083" spans="1:9" s="65" customFormat="1">
      <c r="A2083" s="75" t="s">
        <v>391</v>
      </c>
      <c r="B2083" s="76" t="s">
        <v>392</v>
      </c>
      <c r="C2083" s="76" t="s">
        <v>393</v>
      </c>
      <c r="D2083" s="76" t="s">
        <v>394</v>
      </c>
      <c r="E2083" s="76" t="s">
        <v>395</v>
      </c>
      <c r="F2083" s="76" t="s">
        <v>396</v>
      </c>
      <c r="G2083" s="76" t="s">
        <v>397</v>
      </c>
      <c r="H2083" s="108"/>
      <c r="I2083" s="71"/>
    </row>
    <row r="2084" spans="1:9" s="65" customFormat="1">
      <c r="A2084" s="87" t="s">
        <v>409</v>
      </c>
      <c r="B2084" s="114" t="s">
        <v>747</v>
      </c>
      <c r="C2084" s="114" t="s">
        <v>437</v>
      </c>
      <c r="D2084" s="114">
        <v>800000</v>
      </c>
      <c r="E2084" s="215">
        <v>4.1666666666666666E-3</v>
      </c>
      <c r="F2084" s="79">
        <v>0</v>
      </c>
      <c r="G2084" s="107">
        <f>(D2084*E2084)+((D2084*E2084)*F2084/100)</f>
        <v>3333.3333333333335</v>
      </c>
      <c r="H2084" s="108"/>
      <c r="I2084" s="71"/>
    </row>
    <row r="2085" spans="1:9" s="65" customFormat="1">
      <c r="A2085" s="94"/>
      <c r="B2085" s="95"/>
      <c r="C2085" s="95"/>
      <c r="D2085" s="95"/>
      <c r="E2085" s="95"/>
      <c r="F2085"/>
      <c r="G2085" s="93" t="s">
        <v>407</v>
      </c>
      <c r="H2085" s="107">
        <f>SUM(G2083:G2084)</f>
        <v>3333.3333333333335</v>
      </c>
      <c r="I2085" s="71"/>
    </row>
    <row r="2086" spans="1:9" s="65" customFormat="1">
      <c r="A2086" s="94"/>
      <c r="B2086" s="95"/>
      <c r="C2086" s="95"/>
      <c r="D2086" s="95"/>
      <c r="E2086" s="95"/>
      <c r="F2086"/>
      <c r="G2086" s="74"/>
      <c r="H2086" s="74"/>
      <c r="I2086" s="71"/>
    </row>
    <row r="2087" spans="1:9" s="65" customFormat="1">
      <c r="A2087" s="96"/>
      <c r="B2087" s="97"/>
      <c r="C2087" s="98"/>
      <c r="D2087" s="98"/>
      <c r="E2087" s="98"/>
      <c r="F2087"/>
      <c r="G2087" s="99" t="s">
        <v>412</v>
      </c>
      <c r="H2087" s="115">
        <f>SUM(H2073:H2085)</f>
        <v>22821.333333333332</v>
      </c>
      <c r="I2087" s="71"/>
    </row>
    <row r="2088" spans="1:9" s="65" customFormat="1" ht="21" customHeight="1">
      <c r="A2088" s="96"/>
      <c r="B2088" s="97"/>
      <c r="C2088" s="98"/>
      <c r="D2088" s="98"/>
      <c r="E2088" s="98"/>
      <c r="F2088" s="101"/>
      <c r="G2088" s="116"/>
      <c r="H2088" s="70"/>
      <c r="I2088" s="71"/>
    </row>
    <row r="2089" spans="1:9" s="65" customFormat="1" ht="15.75" thickBot="1">
      <c r="A2089" s="624" t="s">
        <v>502</v>
      </c>
      <c r="B2089" s="625"/>
      <c r="C2089" s="625"/>
      <c r="D2089" s="625"/>
      <c r="E2089" s="625"/>
      <c r="F2089" s="625"/>
      <c r="G2089" s="626"/>
      <c r="H2089" s="117">
        <f>+ROUND(H2087,0)</f>
        <v>22821</v>
      </c>
      <c r="I2089" s="103"/>
    </row>
    <row r="2090" spans="1:9" s="65" customFormat="1" ht="15.75" thickBot="1">
      <c r="H2090" s="156"/>
      <c r="I2090" s="151"/>
    </row>
    <row r="2091" spans="1:9" s="65" customFormat="1">
      <c r="A2091" s="627"/>
      <c r="B2091" s="629" t="s">
        <v>934</v>
      </c>
      <c r="C2091" s="630"/>
      <c r="D2091" s="630"/>
      <c r="E2091" s="630"/>
      <c r="F2091" s="630"/>
      <c r="G2091" s="630"/>
      <c r="H2091" s="643"/>
      <c r="I2091" s="66" t="s">
        <v>389</v>
      </c>
    </row>
    <row r="2092" spans="1:9" s="65" customFormat="1">
      <c r="A2092" s="628"/>
      <c r="B2092" s="631"/>
      <c r="C2092" s="632"/>
      <c r="D2092" s="632"/>
      <c r="E2092" s="632"/>
      <c r="F2092" s="632"/>
      <c r="G2092" s="632"/>
      <c r="H2092" s="644"/>
      <c r="I2092" s="67" t="s">
        <v>7</v>
      </c>
    </row>
    <row r="2093" spans="1:9" s="65" customFormat="1">
      <c r="A2093" s="68"/>
      <c r="B2093" s="69"/>
      <c r="C2093" s="69"/>
      <c r="D2093" s="69"/>
      <c r="E2093" s="69"/>
      <c r="F2093" s="70"/>
      <c r="G2093" s="70"/>
      <c r="H2093" s="70"/>
      <c r="I2093" s="71"/>
    </row>
    <row r="2094" spans="1:9" s="65" customFormat="1">
      <c r="A2094" s="72" t="s">
        <v>390</v>
      </c>
      <c r="B2094" s="73"/>
      <c r="C2094" s="73"/>
      <c r="D2094" s="73"/>
      <c r="E2094" s="73"/>
      <c r="F2094" s="74"/>
      <c r="G2094" s="74"/>
      <c r="H2094" s="70"/>
      <c r="I2094" s="71"/>
    </row>
    <row r="2095" spans="1:9" s="65" customFormat="1">
      <c r="A2095" s="75" t="s">
        <v>391</v>
      </c>
      <c r="B2095" s="76" t="s">
        <v>392</v>
      </c>
      <c r="C2095" s="76" t="s">
        <v>393</v>
      </c>
      <c r="D2095" s="76" t="s">
        <v>394</v>
      </c>
      <c r="E2095" s="76" t="s">
        <v>395</v>
      </c>
      <c r="F2095" s="76" t="s">
        <v>396</v>
      </c>
      <c r="G2095" s="76" t="s">
        <v>397</v>
      </c>
      <c r="H2095" s="74"/>
      <c r="I2095" s="71"/>
    </row>
    <row r="2096" spans="1:9" s="65" customFormat="1">
      <c r="A2096" s="77"/>
      <c r="B2096" s="79"/>
      <c r="C2096" s="79"/>
      <c r="D2096" s="107"/>
      <c r="E2096" s="79"/>
      <c r="F2096" s="79"/>
      <c r="G2096" s="107"/>
      <c r="H2096" s="74"/>
      <c r="I2096" s="71"/>
    </row>
    <row r="2097" spans="1:9" s="65" customFormat="1">
      <c r="A2097" s="82"/>
      <c r="B2097" s="83"/>
      <c r="C2097" s="84"/>
      <c r="D2097" s="84"/>
      <c r="E2097" s="84"/>
      <c r="F2097"/>
      <c r="G2097" s="93" t="s">
        <v>407</v>
      </c>
      <c r="H2097" s="107">
        <f>SUM(G2096:G2096)</f>
        <v>0</v>
      </c>
      <c r="I2097" s="71"/>
    </row>
    <row r="2098" spans="1:9" s="65" customFormat="1">
      <c r="A2098" s="72" t="s">
        <v>408</v>
      </c>
      <c r="B2098" s="73"/>
      <c r="C2098" s="73"/>
      <c r="D2098" s="73"/>
      <c r="E2098" s="73"/>
      <c r="F2098"/>
      <c r="G2098" s="74"/>
      <c r="H2098" s="108"/>
      <c r="I2098" s="71"/>
    </row>
    <row r="2099" spans="1:9" s="65" customFormat="1">
      <c r="A2099" s="75" t="s">
        <v>391</v>
      </c>
      <c r="B2099" s="76" t="s">
        <v>392</v>
      </c>
      <c r="C2099" s="76" t="s">
        <v>393</v>
      </c>
      <c r="D2099" s="76" t="s">
        <v>394</v>
      </c>
      <c r="E2099" s="76" t="s">
        <v>395</v>
      </c>
      <c r="F2099" s="76" t="s">
        <v>396</v>
      </c>
      <c r="G2099" s="76" t="s">
        <v>397</v>
      </c>
      <c r="H2099" s="108"/>
      <c r="I2099" s="71"/>
    </row>
    <row r="2100" spans="1:9" s="65" customFormat="1" ht="25.5">
      <c r="A2100" s="135"/>
      <c r="B2100" s="78" t="s">
        <v>322</v>
      </c>
      <c r="C2100" s="127" t="s">
        <v>493</v>
      </c>
      <c r="D2100" s="107">
        <f>99000*1.16*1.2*0.9</f>
        <v>124027.19999999998</v>
      </c>
      <c r="E2100" s="79">
        <v>1</v>
      </c>
      <c r="F2100" s="79">
        <v>0</v>
      </c>
      <c r="G2100" s="107">
        <f>(D2100*E2100)+((D2100*E2100)*F2100/100)</f>
        <v>124027.19999999998</v>
      </c>
      <c r="H2100" s="108"/>
      <c r="I2100" s="71"/>
    </row>
    <row r="2101" spans="1:9" s="65" customFormat="1">
      <c r="A2101" s="90"/>
      <c r="B2101" s="91"/>
      <c r="C2101" s="91"/>
      <c r="D2101" s="91"/>
      <c r="E2101" s="91"/>
      <c r="F2101"/>
      <c r="G2101" s="85" t="s">
        <v>407</v>
      </c>
      <c r="H2101" s="107">
        <f>SUM(G2100:G2100)</f>
        <v>124027.19999999998</v>
      </c>
      <c r="I2101" s="71"/>
    </row>
    <row r="2102" spans="1:9" s="65" customFormat="1">
      <c r="A2102" s="72" t="s">
        <v>410</v>
      </c>
      <c r="B2102" s="73"/>
      <c r="C2102" s="73"/>
      <c r="D2102" s="73"/>
      <c r="E2102" s="73"/>
      <c r="F2102"/>
      <c r="G2102" s="74"/>
      <c r="H2102" s="108"/>
      <c r="I2102" s="71"/>
    </row>
    <row r="2103" spans="1:9" s="65" customFormat="1">
      <c r="A2103" s="75" t="s">
        <v>391</v>
      </c>
      <c r="B2103" s="76" t="s">
        <v>392</v>
      </c>
      <c r="C2103" s="76" t="s">
        <v>393</v>
      </c>
      <c r="D2103" s="76" t="s">
        <v>394</v>
      </c>
      <c r="E2103" s="76" t="s">
        <v>395</v>
      </c>
      <c r="F2103" s="76" t="s">
        <v>396</v>
      </c>
      <c r="G2103" s="76" t="s">
        <v>397</v>
      </c>
      <c r="H2103" s="108"/>
      <c r="I2103" s="71"/>
    </row>
    <row r="2104" spans="1:9" s="65" customFormat="1">
      <c r="A2104" s="77"/>
      <c r="B2104" s="78"/>
      <c r="C2104" s="79"/>
      <c r="D2104" s="107"/>
      <c r="E2104" s="79"/>
      <c r="F2104" s="79"/>
      <c r="G2104" s="107"/>
      <c r="H2104" s="108"/>
      <c r="I2104" s="71"/>
    </row>
    <row r="2105" spans="1:9" s="65" customFormat="1">
      <c r="A2105" s="90"/>
      <c r="B2105" s="91"/>
      <c r="C2105" s="91"/>
      <c r="D2105" s="91"/>
      <c r="E2105" s="91"/>
      <c r="F2105"/>
      <c r="G2105" s="93" t="s">
        <v>407</v>
      </c>
      <c r="H2105" s="107">
        <f>SUM(G2104:G2104)</f>
        <v>0</v>
      </c>
      <c r="I2105" s="71"/>
    </row>
    <row r="2106" spans="1:9" s="65" customFormat="1">
      <c r="A2106" s="72" t="s">
        <v>411</v>
      </c>
      <c r="B2106" s="73"/>
      <c r="C2106" s="73"/>
      <c r="D2106" s="73"/>
      <c r="E2106" s="73"/>
      <c r="F2106"/>
      <c r="G2106" s="74"/>
      <c r="H2106" s="108"/>
      <c r="I2106" s="71"/>
    </row>
    <row r="2107" spans="1:9" s="65" customFormat="1">
      <c r="A2107" s="75" t="s">
        <v>391</v>
      </c>
      <c r="B2107" s="76" t="s">
        <v>392</v>
      </c>
      <c r="C2107" s="76" t="s">
        <v>393</v>
      </c>
      <c r="D2107" s="76" t="s">
        <v>394</v>
      </c>
      <c r="E2107" s="76" t="s">
        <v>395</v>
      </c>
      <c r="F2107" s="76" t="s">
        <v>396</v>
      </c>
      <c r="G2107" s="76" t="s">
        <v>397</v>
      </c>
      <c r="H2107" s="108"/>
      <c r="I2107" s="71"/>
    </row>
    <row r="2108" spans="1:9" s="65" customFormat="1">
      <c r="A2108" s="87" t="s">
        <v>409</v>
      </c>
      <c r="B2108" s="114" t="s">
        <v>747</v>
      </c>
      <c r="C2108" s="114" t="s">
        <v>437</v>
      </c>
      <c r="D2108" s="114">
        <v>800000</v>
      </c>
      <c r="E2108" s="215">
        <v>4.1666666666666666E-3</v>
      </c>
      <c r="F2108" s="79">
        <v>0</v>
      </c>
      <c r="G2108" s="107">
        <f>(D2108*E2108)+((D2108*E2108)*F2108/100)</f>
        <v>3333.3333333333335</v>
      </c>
      <c r="H2108" s="108"/>
      <c r="I2108" s="71"/>
    </row>
    <row r="2109" spans="1:9" s="65" customFormat="1">
      <c r="A2109" s="94"/>
      <c r="B2109" s="95"/>
      <c r="C2109" s="95"/>
      <c r="D2109" s="95"/>
      <c r="E2109" s="95"/>
      <c r="F2109"/>
      <c r="G2109" s="93" t="s">
        <v>407</v>
      </c>
      <c r="H2109" s="107">
        <f>SUM(G2107:G2108)</f>
        <v>3333.3333333333335</v>
      </c>
      <c r="I2109" s="71"/>
    </row>
    <row r="2110" spans="1:9" s="65" customFormat="1">
      <c r="A2110" s="94"/>
      <c r="B2110" s="95"/>
      <c r="C2110" s="95"/>
      <c r="D2110" s="95"/>
      <c r="E2110" s="95"/>
      <c r="F2110"/>
      <c r="G2110" s="74"/>
      <c r="H2110" s="74"/>
      <c r="I2110" s="71"/>
    </row>
    <row r="2111" spans="1:9" s="65" customFormat="1">
      <c r="A2111" s="96"/>
      <c r="B2111" s="97"/>
      <c r="C2111" s="98"/>
      <c r="D2111" s="98"/>
      <c r="E2111" s="98"/>
      <c r="F2111"/>
      <c r="G2111" s="99" t="s">
        <v>412</v>
      </c>
      <c r="H2111" s="115">
        <f>SUM(H2097:H2109)</f>
        <v>127360.53333333331</v>
      </c>
      <c r="I2111" s="71"/>
    </row>
    <row r="2112" spans="1:9" s="65" customFormat="1">
      <c r="A2112" s="96"/>
      <c r="B2112" s="97"/>
      <c r="C2112" s="98"/>
      <c r="D2112" s="98"/>
      <c r="E2112" s="98"/>
      <c r="F2112" s="101"/>
      <c r="G2112" s="116"/>
      <c r="H2112" s="70"/>
      <c r="I2112" s="71"/>
    </row>
    <row r="2113" spans="1:9" s="65" customFormat="1" ht="15.75" thickBot="1">
      <c r="A2113" s="624" t="s">
        <v>502</v>
      </c>
      <c r="B2113" s="625"/>
      <c r="C2113" s="625"/>
      <c r="D2113" s="625"/>
      <c r="E2113" s="625"/>
      <c r="F2113" s="625"/>
      <c r="G2113" s="626"/>
      <c r="H2113" s="117">
        <f>+ROUND(H2111,0)</f>
        <v>127361</v>
      </c>
      <c r="I2113" s="103"/>
    </row>
    <row r="2114" spans="1:9" s="65" customFormat="1" ht="15.75" thickBot="1">
      <c r="H2114" s="156"/>
      <c r="I2114" s="151"/>
    </row>
    <row r="2115" spans="1:9" s="65" customFormat="1">
      <c r="A2115" s="627"/>
      <c r="B2115" s="629" t="s">
        <v>935</v>
      </c>
      <c r="C2115" s="630"/>
      <c r="D2115" s="630"/>
      <c r="E2115" s="630"/>
      <c r="F2115" s="630"/>
      <c r="G2115" s="630"/>
      <c r="H2115" s="643"/>
      <c r="I2115" s="66" t="s">
        <v>389</v>
      </c>
    </row>
    <row r="2116" spans="1:9" s="65" customFormat="1">
      <c r="A2116" s="628"/>
      <c r="B2116" s="631"/>
      <c r="C2116" s="632"/>
      <c r="D2116" s="632"/>
      <c r="E2116" s="632"/>
      <c r="F2116" s="632"/>
      <c r="G2116" s="632"/>
      <c r="H2116" s="644"/>
      <c r="I2116" s="67" t="s">
        <v>7</v>
      </c>
    </row>
    <row r="2117" spans="1:9" s="65" customFormat="1">
      <c r="A2117" s="68"/>
      <c r="B2117" s="69"/>
      <c r="C2117" s="69"/>
      <c r="D2117" s="69"/>
      <c r="E2117" s="69"/>
      <c r="F2117" s="70"/>
      <c r="G2117" s="70"/>
      <c r="H2117" s="70"/>
      <c r="I2117" s="71"/>
    </row>
    <row r="2118" spans="1:9" s="65" customFormat="1">
      <c r="A2118" s="72" t="s">
        <v>390</v>
      </c>
      <c r="B2118" s="73"/>
      <c r="C2118" s="73"/>
      <c r="D2118" s="73"/>
      <c r="E2118" s="73"/>
      <c r="F2118" s="74"/>
      <c r="G2118" s="74"/>
      <c r="H2118" s="70"/>
      <c r="I2118" s="71"/>
    </row>
    <row r="2119" spans="1:9" s="65" customFormat="1">
      <c r="A2119" s="75" t="s">
        <v>391</v>
      </c>
      <c r="B2119" s="76" t="s">
        <v>392</v>
      </c>
      <c r="C2119" s="76" t="s">
        <v>393</v>
      </c>
      <c r="D2119" s="76" t="s">
        <v>394</v>
      </c>
      <c r="E2119" s="76" t="s">
        <v>395</v>
      </c>
      <c r="F2119" s="76" t="s">
        <v>396</v>
      </c>
      <c r="G2119" s="76" t="s">
        <v>397</v>
      </c>
      <c r="H2119" s="74"/>
      <c r="I2119" s="71"/>
    </row>
    <row r="2120" spans="1:9" s="65" customFormat="1">
      <c r="A2120" s="77"/>
      <c r="B2120" s="79"/>
      <c r="C2120" s="79"/>
      <c r="D2120" s="107"/>
      <c r="E2120" s="79"/>
      <c r="F2120" s="79"/>
      <c r="G2120" s="107"/>
      <c r="H2120" s="74"/>
      <c r="I2120" s="71"/>
    </row>
    <row r="2121" spans="1:9" s="65" customFormat="1">
      <c r="A2121" s="82"/>
      <c r="B2121" s="83"/>
      <c r="C2121" s="84"/>
      <c r="D2121" s="84"/>
      <c r="E2121" s="84"/>
      <c r="F2121"/>
      <c r="G2121" s="93" t="s">
        <v>407</v>
      </c>
      <c r="H2121" s="107">
        <f>SUM(G2120:G2120)</f>
        <v>0</v>
      </c>
      <c r="I2121" s="71"/>
    </row>
    <row r="2122" spans="1:9" s="65" customFormat="1">
      <c r="A2122" s="72" t="s">
        <v>408</v>
      </c>
      <c r="B2122" s="73"/>
      <c r="C2122" s="73"/>
      <c r="D2122" s="73"/>
      <c r="E2122" s="73"/>
      <c r="F2122"/>
      <c r="G2122" s="74"/>
      <c r="H2122" s="108"/>
      <c r="I2122" s="71"/>
    </row>
    <row r="2123" spans="1:9" s="65" customFormat="1">
      <c r="A2123" s="75" t="s">
        <v>391</v>
      </c>
      <c r="B2123" s="76" t="s">
        <v>392</v>
      </c>
      <c r="C2123" s="76" t="s">
        <v>393</v>
      </c>
      <c r="D2123" s="76" t="s">
        <v>394</v>
      </c>
      <c r="E2123" s="76" t="s">
        <v>395</v>
      </c>
      <c r="F2123" s="76" t="s">
        <v>396</v>
      </c>
      <c r="G2123" s="76" t="s">
        <v>397</v>
      </c>
      <c r="H2123" s="108"/>
      <c r="I2123" s="71"/>
    </row>
    <row r="2124" spans="1:9" s="65" customFormat="1" ht="25.5">
      <c r="A2124" s="135"/>
      <c r="B2124" s="78" t="s">
        <v>936</v>
      </c>
      <c r="C2124" s="127" t="s">
        <v>493</v>
      </c>
      <c r="D2124" s="107">
        <f>99000*1.16*1.2*1.91</f>
        <v>263213.27999999991</v>
      </c>
      <c r="E2124" s="79">
        <v>1</v>
      </c>
      <c r="F2124" s="79">
        <v>0</v>
      </c>
      <c r="G2124" s="107">
        <f>(D2124*E2124)+((D2124*E2124)*F2124/100)</f>
        <v>263213.27999999991</v>
      </c>
      <c r="H2124" s="108"/>
      <c r="I2124" s="71"/>
    </row>
    <row r="2125" spans="1:9" s="65" customFormat="1">
      <c r="A2125" s="90"/>
      <c r="B2125" s="91"/>
      <c r="C2125" s="91"/>
      <c r="D2125" s="91"/>
      <c r="E2125" s="91"/>
      <c r="F2125"/>
      <c r="G2125" s="85" t="s">
        <v>407</v>
      </c>
      <c r="H2125" s="107">
        <f>SUM(G2124:G2124)</f>
        <v>263213.27999999991</v>
      </c>
      <c r="I2125" s="71"/>
    </row>
    <row r="2126" spans="1:9" s="65" customFormat="1">
      <c r="A2126" s="72" t="s">
        <v>410</v>
      </c>
      <c r="B2126" s="73"/>
      <c r="C2126" s="73"/>
      <c r="D2126" s="73"/>
      <c r="E2126" s="73"/>
      <c r="F2126"/>
      <c r="G2126" s="74"/>
      <c r="H2126" s="108"/>
      <c r="I2126" s="71"/>
    </row>
    <row r="2127" spans="1:9" s="65" customFormat="1">
      <c r="A2127" s="75" t="s">
        <v>391</v>
      </c>
      <c r="B2127" s="76" t="s">
        <v>392</v>
      </c>
      <c r="C2127" s="76" t="s">
        <v>393</v>
      </c>
      <c r="D2127" s="76" t="s">
        <v>394</v>
      </c>
      <c r="E2127" s="76" t="s">
        <v>395</v>
      </c>
      <c r="F2127" s="76" t="s">
        <v>396</v>
      </c>
      <c r="G2127" s="76" t="s">
        <v>397</v>
      </c>
      <c r="H2127" s="108"/>
      <c r="I2127" s="71"/>
    </row>
    <row r="2128" spans="1:9" s="65" customFormat="1">
      <c r="A2128" s="77"/>
      <c r="B2128" s="78"/>
      <c r="C2128" s="79"/>
      <c r="D2128" s="107"/>
      <c r="E2128" s="79"/>
      <c r="F2128" s="79"/>
      <c r="G2128" s="107"/>
      <c r="H2128" s="108"/>
      <c r="I2128" s="71"/>
    </row>
    <row r="2129" spans="1:9" s="65" customFormat="1">
      <c r="A2129" s="90"/>
      <c r="B2129" s="91"/>
      <c r="C2129" s="91"/>
      <c r="D2129" s="91"/>
      <c r="E2129" s="91"/>
      <c r="F2129"/>
      <c r="G2129" s="93" t="s">
        <v>407</v>
      </c>
      <c r="H2129" s="107">
        <f>SUM(G2128:G2128)</f>
        <v>0</v>
      </c>
      <c r="I2129" s="71"/>
    </row>
    <row r="2130" spans="1:9" s="65" customFormat="1">
      <c r="A2130" s="72" t="s">
        <v>411</v>
      </c>
      <c r="B2130" s="73"/>
      <c r="C2130" s="73"/>
      <c r="D2130" s="73"/>
      <c r="E2130" s="73"/>
      <c r="F2130"/>
      <c r="G2130" s="74"/>
      <c r="H2130" s="108"/>
      <c r="I2130" s="71"/>
    </row>
    <row r="2131" spans="1:9" s="65" customFormat="1">
      <c r="A2131" s="75" t="s">
        <v>391</v>
      </c>
      <c r="B2131" s="76" t="s">
        <v>392</v>
      </c>
      <c r="C2131" s="76" t="s">
        <v>393</v>
      </c>
      <c r="D2131" s="76" t="s">
        <v>394</v>
      </c>
      <c r="E2131" s="76" t="s">
        <v>395</v>
      </c>
      <c r="F2131" s="76" t="s">
        <v>396</v>
      </c>
      <c r="G2131" s="76" t="s">
        <v>397</v>
      </c>
      <c r="H2131" s="108"/>
      <c r="I2131" s="71"/>
    </row>
    <row r="2132" spans="1:9" s="65" customFormat="1">
      <c r="A2132" s="87" t="s">
        <v>409</v>
      </c>
      <c r="B2132" s="114" t="s">
        <v>747</v>
      </c>
      <c r="C2132" s="114" t="s">
        <v>437</v>
      </c>
      <c r="D2132" s="114">
        <v>800000</v>
      </c>
      <c r="E2132" s="215">
        <v>4.1666666666666666E-3</v>
      </c>
      <c r="F2132" s="79">
        <v>0</v>
      </c>
      <c r="G2132" s="107">
        <f>(D2132*E2132)+((D2132*E2132)*F2132/100)</f>
        <v>3333.3333333333335</v>
      </c>
      <c r="H2132" s="108"/>
      <c r="I2132" s="71"/>
    </row>
    <row r="2133" spans="1:9" s="65" customFormat="1">
      <c r="A2133" s="94"/>
      <c r="B2133" s="95"/>
      <c r="C2133" s="95"/>
      <c r="D2133" s="95"/>
      <c r="E2133" s="95"/>
      <c r="F2133"/>
      <c r="G2133" s="93" t="s">
        <v>407</v>
      </c>
      <c r="H2133" s="107">
        <f>SUM(G2131:G2132)</f>
        <v>3333.3333333333335</v>
      </c>
      <c r="I2133" s="71"/>
    </row>
    <row r="2134" spans="1:9" s="65" customFormat="1">
      <c r="A2134" s="94"/>
      <c r="B2134" s="95"/>
      <c r="C2134" s="95"/>
      <c r="D2134" s="95"/>
      <c r="E2134" s="95"/>
      <c r="F2134"/>
      <c r="G2134" s="74"/>
      <c r="H2134" s="74"/>
      <c r="I2134" s="71"/>
    </row>
    <row r="2135" spans="1:9" s="65" customFormat="1">
      <c r="A2135" s="96"/>
      <c r="B2135" s="97"/>
      <c r="C2135" s="98"/>
      <c r="D2135" s="98"/>
      <c r="E2135" s="98"/>
      <c r="F2135"/>
      <c r="G2135" s="99" t="s">
        <v>412</v>
      </c>
      <c r="H2135" s="115">
        <f>SUM(H2121:H2133)</f>
        <v>266546.61333333323</v>
      </c>
      <c r="I2135" s="71"/>
    </row>
    <row r="2136" spans="1:9" s="65" customFormat="1">
      <c r="A2136" s="96"/>
      <c r="B2136" s="97"/>
      <c r="C2136" s="98"/>
      <c r="D2136" s="98"/>
      <c r="E2136" s="98"/>
      <c r="F2136" s="101"/>
      <c r="G2136" s="116"/>
      <c r="H2136" s="70"/>
      <c r="I2136" s="71"/>
    </row>
    <row r="2137" spans="1:9" s="65" customFormat="1" ht="15.75" thickBot="1">
      <c r="A2137" s="624" t="s">
        <v>502</v>
      </c>
      <c r="B2137" s="625"/>
      <c r="C2137" s="625"/>
      <c r="D2137" s="625"/>
      <c r="E2137" s="625"/>
      <c r="F2137" s="625"/>
      <c r="G2137" s="626"/>
      <c r="H2137" s="117">
        <f>+ROUND(H2135,0)</f>
        <v>266547</v>
      </c>
      <c r="I2137" s="103"/>
    </row>
    <row r="2138" spans="1:9" s="65" customFormat="1" ht="15.75" thickBot="1">
      <c r="H2138" s="156"/>
      <c r="I2138" s="151"/>
    </row>
    <row r="2139" spans="1:9" s="65" customFormat="1">
      <c r="A2139" s="627"/>
      <c r="B2139" s="629" t="s">
        <v>937</v>
      </c>
      <c r="C2139" s="630"/>
      <c r="D2139" s="630"/>
      <c r="E2139" s="630"/>
      <c r="F2139" s="630"/>
      <c r="G2139" s="630"/>
      <c r="H2139" s="643"/>
      <c r="I2139" s="66" t="s">
        <v>389</v>
      </c>
    </row>
    <row r="2140" spans="1:9" s="65" customFormat="1">
      <c r="A2140" s="628"/>
      <c r="B2140" s="631"/>
      <c r="C2140" s="632"/>
      <c r="D2140" s="632"/>
      <c r="E2140" s="632"/>
      <c r="F2140" s="632"/>
      <c r="G2140" s="632"/>
      <c r="H2140" s="644"/>
      <c r="I2140" s="67" t="s">
        <v>157</v>
      </c>
    </row>
    <row r="2141" spans="1:9" s="65" customFormat="1">
      <c r="A2141" s="68"/>
      <c r="B2141" s="69"/>
      <c r="C2141" s="69"/>
      <c r="D2141" s="69"/>
      <c r="E2141" s="69"/>
      <c r="F2141" s="70"/>
      <c r="G2141" s="70"/>
      <c r="H2141" s="70"/>
      <c r="I2141" s="71"/>
    </row>
    <row r="2142" spans="1:9" s="65" customFormat="1">
      <c r="A2142" s="72" t="s">
        <v>390</v>
      </c>
      <c r="B2142" s="73"/>
      <c r="C2142" s="73"/>
      <c r="D2142" s="73"/>
      <c r="E2142" s="73"/>
      <c r="F2142" s="74"/>
      <c r="G2142" s="74"/>
      <c r="H2142" s="70"/>
      <c r="I2142" s="71"/>
    </row>
    <row r="2143" spans="1:9" s="65" customFormat="1">
      <c r="A2143" s="75" t="s">
        <v>391</v>
      </c>
      <c r="B2143" s="76" t="s">
        <v>392</v>
      </c>
      <c r="C2143" s="76" t="s">
        <v>393</v>
      </c>
      <c r="D2143" s="76" t="s">
        <v>394</v>
      </c>
      <c r="E2143" s="76" t="s">
        <v>395</v>
      </c>
      <c r="F2143" s="76" t="s">
        <v>396</v>
      </c>
      <c r="G2143" s="76" t="s">
        <v>397</v>
      </c>
      <c r="H2143" s="74"/>
      <c r="I2143" s="71"/>
    </row>
    <row r="2144" spans="1:9" s="65" customFormat="1">
      <c r="A2144" s="77"/>
      <c r="B2144" s="79"/>
      <c r="C2144" s="79"/>
      <c r="D2144" s="107"/>
      <c r="E2144" s="79"/>
      <c r="F2144" s="79"/>
      <c r="G2144" s="107"/>
      <c r="H2144" s="74"/>
      <c r="I2144" s="71"/>
    </row>
    <row r="2145" spans="1:9" s="65" customFormat="1">
      <c r="A2145" s="82"/>
      <c r="B2145" s="83"/>
      <c r="C2145" s="84"/>
      <c r="D2145" s="84"/>
      <c r="E2145" s="84"/>
      <c r="F2145"/>
      <c r="G2145" s="93" t="s">
        <v>407</v>
      </c>
      <c r="H2145" s="107">
        <f>SUM(G2144:G2144)</f>
        <v>0</v>
      </c>
      <c r="I2145" s="71"/>
    </row>
    <row r="2146" spans="1:9" s="65" customFormat="1" ht="18" customHeight="1">
      <c r="A2146" s="72" t="s">
        <v>408</v>
      </c>
      <c r="B2146" s="73"/>
      <c r="C2146" s="73"/>
      <c r="D2146" s="73"/>
      <c r="E2146" s="73"/>
      <c r="F2146"/>
      <c r="G2146" s="74"/>
      <c r="H2146" s="108"/>
      <c r="I2146" s="71"/>
    </row>
    <row r="2147" spans="1:9" s="65" customFormat="1">
      <c r="A2147" s="75" t="s">
        <v>391</v>
      </c>
      <c r="B2147" s="76" t="s">
        <v>392</v>
      </c>
      <c r="C2147" s="76" t="s">
        <v>393</v>
      </c>
      <c r="D2147" s="76" t="s">
        <v>394</v>
      </c>
      <c r="E2147" s="76" t="s">
        <v>395</v>
      </c>
      <c r="F2147" s="76" t="s">
        <v>396</v>
      </c>
      <c r="G2147" s="76" t="s">
        <v>397</v>
      </c>
      <c r="H2147" s="108"/>
      <c r="I2147" s="71"/>
    </row>
    <row r="2148" spans="1:9" s="65" customFormat="1" ht="25.5">
      <c r="A2148" s="135"/>
      <c r="B2148" s="78" t="s">
        <v>937</v>
      </c>
      <c r="C2148" s="127" t="s">
        <v>157</v>
      </c>
      <c r="D2148" s="107">
        <f>190000*1.16*1.2*0.8</f>
        <v>211583.99999999997</v>
      </c>
      <c r="E2148" s="79">
        <v>1</v>
      </c>
      <c r="F2148" s="79">
        <v>0</v>
      </c>
      <c r="G2148" s="107">
        <f>(D2148*E2148)+((D2148*E2148)*F2148/100)</f>
        <v>211583.99999999997</v>
      </c>
      <c r="H2148" s="108"/>
      <c r="I2148" s="71"/>
    </row>
    <row r="2149" spans="1:9" s="65" customFormat="1">
      <c r="A2149" s="90"/>
      <c r="B2149" s="91"/>
      <c r="C2149" s="91"/>
      <c r="D2149" s="91"/>
      <c r="E2149" s="91"/>
      <c r="F2149"/>
      <c r="G2149" s="85" t="s">
        <v>407</v>
      </c>
      <c r="H2149" s="107">
        <f>SUM(G2148:G2148)</f>
        <v>211583.99999999997</v>
      </c>
      <c r="I2149" s="71"/>
    </row>
    <row r="2150" spans="1:9" s="65" customFormat="1">
      <c r="A2150" s="72" t="s">
        <v>410</v>
      </c>
      <c r="B2150" s="73"/>
      <c r="C2150" s="73"/>
      <c r="D2150" s="73"/>
      <c r="E2150" s="73"/>
      <c r="F2150"/>
      <c r="G2150" s="74"/>
      <c r="H2150" s="108"/>
      <c r="I2150" s="71"/>
    </row>
    <row r="2151" spans="1:9" s="65" customFormat="1">
      <c r="A2151" s="75" t="s">
        <v>391</v>
      </c>
      <c r="B2151" s="76" t="s">
        <v>392</v>
      </c>
      <c r="C2151" s="76" t="s">
        <v>393</v>
      </c>
      <c r="D2151" s="76" t="s">
        <v>394</v>
      </c>
      <c r="E2151" s="76" t="s">
        <v>395</v>
      </c>
      <c r="F2151" s="76" t="s">
        <v>396</v>
      </c>
      <c r="G2151" s="76" t="s">
        <v>397</v>
      </c>
      <c r="H2151" s="108"/>
      <c r="I2151" s="71"/>
    </row>
    <row r="2152" spans="1:9" s="65" customFormat="1">
      <c r="A2152" s="77"/>
      <c r="B2152" s="78"/>
      <c r="C2152" s="79"/>
      <c r="D2152" s="107"/>
      <c r="E2152" s="79"/>
      <c r="F2152" s="79"/>
      <c r="G2152" s="107"/>
      <c r="H2152" s="108"/>
      <c r="I2152" s="71"/>
    </row>
    <row r="2153" spans="1:9" s="65" customFormat="1">
      <c r="A2153" s="90"/>
      <c r="B2153" s="91"/>
      <c r="C2153" s="91"/>
      <c r="D2153" s="91"/>
      <c r="E2153" s="91"/>
      <c r="F2153"/>
      <c r="G2153" s="93" t="s">
        <v>407</v>
      </c>
      <c r="H2153" s="107">
        <f>SUM(G2152:G2152)</f>
        <v>0</v>
      </c>
      <c r="I2153" s="71"/>
    </row>
    <row r="2154" spans="1:9" s="65" customFormat="1">
      <c r="A2154" s="72" t="s">
        <v>411</v>
      </c>
      <c r="B2154" s="73"/>
      <c r="C2154" s="73"/>
      <c r="D2154" s="73"/>
      <c r="E2154" s="73"/>
      <c r="F2154"/>
      <c r="G2154" s="74"/>
      <c r="H2154" s="108"/>
      <c r="I2154" s="71"/>
    </row>
    <row r="2155" spans="1:9" s="65" customFormat="1">
      <c r="A2155" s="75" t="s">
        <v>391</v>
      </c>
      <c r="B2155" s="76" t="s">
        <v>392</v>
      </c>
      <c r="C2155" s="76" t="s">
        <v>393</v>
      </c>
      <c r="D2155" s="76" t="s">
        <v>394</v>
      </c>
      <c r="E2155" s="76" t="s">
        <v>395</v>
      </c>
      <c r="F2155" s="76" t="s">
        <v>396</v>
      </c>
      <c r="G2155" s="76" t="s">
        <v>397</v>
      </c>
      <c r="H2155" s="108"/>
      <c r="I2155" s="71"/>
    </row>
    <row r="2156" spans="1:9" s="65" customFormat="1">
      <c r="A2156" s="87" t="s">
        <v>409</v>
      </c>
      <c r="B2156" s="114" t="s">
        <v>747</v>
      </c>
      <c r="C2156" s="114" t="s">
        <v>437</v>
      </c>
      <c r="D2156" s="114">
        <v>800000</v>
      </c>
      <c r="E2156" s="215">
        <v>3.0000000000000001E-3</v>
      </c>
      <c r="F2156" s="79">
        <v>0</v>
      </c>
      <c r="G2156" s="107">
        <f>(D2156*E2156)+((D2156*E2156)*F2156/100)</f>
        <v>2400</v>
      </c>
      <c r="H2156" s="108"/>
      <c r="I2156" s="71"/>
    </row>
    <row r="2157" spans="1:9" s="65" customFormat="1">
      <c r="A2157" s="94"/>
      <c r="B2157" s="95"/>
      <c r="C2157" s="95"/>
      <c r="D2157" s="95"/>
      <c r="E2157" s="95"/>
      <c r="F2157"/>
      <c r="G2157" s="93" t="s">
        <v>407</v>
      </c>
      <c r="H2157" s="107">
        <f>SUM(G2155:G2156)</f>
        <v>2400</v>
      </c>
      <c r="I2157" s="71"/>
    </row>
    <row r="2158" spans="1:9" s="65" customFormat="1">
      <c r="A2158" s="94"/>
      <c r="B2158" s="95"/>
      <c r="C2158" s="95"/>
      <c r="D2158" s="95"/>
      <c r="E2158" s="95"/>
      <c r="F2158"/>
      <c r="G2158" s="74"/>
      <c r="H2158" s="74"/>
      <c r="I2158" s="71"/>
    </row>
    <row r="2159" spans="1:9" s="65" customFormat="1">
      <c r="A2159" s="96"/>
      <c r="B2159" s="97"/>
      <c r="C2159" s="98"/>
      <c r="D2159" s="98"/>
      <c r="E2159" s="98"/>
      <c r="F2159"/>
      <c r="G2159" s="99" t="s">
        <v>412</v>
      </c>
      <c r="H2159" s="115">
        <f>SUM(H2145:H2157)</f>
        <v>213983.99999999997</v>
      </c>
      <c r="I2159" s="71"/>
    </row>
    <row r="2160" spans="1:9" s="65" customFormat="1">
      <c r="A2160" s="96"/>
      <c r="B2160" s="97"/>
      <c r="C2160" s="98"/>
      <c r="D2160" s="98"/>
      <c r="E2160" s="98"/>
      <c r="F2160" s="101"/>
      <c r="G2160" s="116"/>
      <c r="H2160" s="70"/>
      <c r="I2160" s="71"/>
    </row>
    <row r="2161" spans="1:9" s="65" customFormat="1" ht="15.75" thickBot="1">
      <c r="A2161" s="624" t="s">
        <v>761</v>
      </c>
      <c r="B2161" s="625"/>
      <c r="C2161" s="625"/>
      <c r="D2161" s="625"/>
      <c r="E2161" s="625"/>
      <c r="F2161" s="625"/>
      <c r="G2161" s="626"/>
      <c r="H2161" s="117">
        <f>+ROUND(H2159,0)</f>
        <v>213984</v>
      </c>
      <c r="I2161" s="103"/>
    </row>
    <row r="2162" spans="1:9" s="65" customFormat="1" ht="15.75" thickBot="1">
      <c r="H2162" s="156"/>
      <c r="I2162" s="151"/>
    </row>
    <row r="2163" spans="1:9" s="65" customFormat="1">
      <c r="A2163" s="627"/>
      <c r="B2163" s="629" t="s">
        <v>938</v>
      </c>
      <c r="C2163" s="630"/>
      <c r="D2163" s="630"/>
      <c r="E2163" s="630"/>
      <c r="F2163" s="630"/>
      <c r="G2163" s="630"/>
      <c r="H2163" s="643"/>
      <c r="I2163" s="66" t="s">
        <v>389</v>
      </c>
    </row>
    <row r="2164" spans="1:9" s="65" customFormat="1">
      <c r="A2164" s="628"/>
      <c r="B2164" s="631"/>
      <c r="C2164" s="632"/>
      <c r="D2164" s="632"/>
      <c r="E2164" s="632"/>
      <c r="F2164" s="632"/>
      <c r="G2164" s="632"/>
      <c r="H2164" s="644"/>
      <c r="I2164" s="67" t="s">
        <v>157</v>
      </c>
    </row>
    <row r="2165" spans="1:9" s="65" customFormat="1">
      <c r="A2165" s="68"/>
      <c r="B2165" s="69"/>
      <c r="C2165" s="69"/>
      <c r="D2165" s="69"/>
      <c r="E2165" s="69"/>
      <c r="F2165" s="70"/>
      <c r="G2165" s="70"/>
      <c r="H2165" s="70"/>
      <c r="I2165" s="71"/>
    </row>
    <row r="2166" spans="1:9" s="65" customFormat="1">
      <c r="A2166" s="72" t="s">
        <v>390</v>
      </c>
      <c r="B2166" s="73"/>
      <c r="C2166" s="73"/>
      <c r="D2166" s="73"/>
      <c r="E2166" s="73"/>
      <c r="F2166" s="74"/>
      <c r="G2166" s="74"/>
      <c r="H2166" s="70"/>
      <c r="I2166" s="71"/>
    </row>
    <row r="2167" spans="1:9" s="65" customFormat="1">
      <c r="A2167" s="75" t="s">
        <v>391</v>
      </c>
      <c r="B2167" s="76" t="s">
        <v>392</v>
      </c>
      <c r="C2167" s="76" t="s">
        <v>393</v>
      </c>
      <c r="D2167" s="76" t="s">
        <v>394</v>
      </c>
      <c r="E2167" s="76" t="s">
        <v>395</v>
      </c>
      <c r="F2167" s="76" t="s">
        <v>396</v>
      </c>
      <c r="G2167" s="76" t="s">
        <v>397</v>
      </c>
      <c r="H2167" s="74"/>
      <c r="I2167" s="71"/>
    </row>
    <row r="2168" spans="1:9" s="65" customFormat="1">
      <c r="A2168" s="77"/>
      <c r="B2168" s="79"/>
      <c r="C2168" s="79"/>
      <c r="D2168" s="107"/>
      <c r="E2168" s="79"/>
      <c r="F2168" s="79"/>
      <c r="G2168" s="107"/>
      <c r="H2168" s="74"/>
      <c r="I2168" s="71"/>
    </row>
    <row r="2169" spans="1:9" s="65" customFormat="1">
      <c r="A2169" s="82"/>
      <c r="B2169" s="83"/>
      <c r="C2169" s="84"/>
      <c r="D2169" s="84"/>
      <c r="E2169" s="84"/>
      <c r="F2169"/>
      <c r="G2169" s="93" t="s">
        <v>407</v>
      </c>
      <c r="H2169" s="107">
        <f>SUM(G2168:G2168)</f>
        <v>0</v>
      </c>
      <c r="I2169" s="71"/>
    </row>
    <row r="2170" spans="1:9" s="65" customFormat="1">
      <c r="A2170" s="72" t="s">
        <v>408</v>
      </c>
      <c r="B2170" s="73"/>
      <c r="C2170" s="73"/>
      <c r="D2170" s="73"/>
      <c r="E2170" s="73"/>
      <c r="F2170"/>
      <c r="G2170" s="74"/>
      <c r="H2170" s="108"/>
      <c r="I2170" s="71"/>
    </row>
    <row r="2171" spans="1:9" s="65" customFormat="1">
      <c r="A2171" s="75" t="s">
        <v>391</v>
      </c>
      <c r="B2171" s="76" t="s">
        <v>392</v>
      </c>
      <c r="C2171" s="76" t="s">
        <v>393</v>
      </c>
      <c r="D2171" s="76" t="s">
        <v>394</v>
      </c>
      <c r="E2171" s="76" t="s">
        <v>395</v>
      </c>
      <c r="F2171" s="76" t="s">
        <v>396</v>
      </c>
      <c r="G2171" s="76" t="s">
        <v>397</v>
      </c>
      <c r="H2171" s="108"/>
      <c r="I2171" s="71"/>
    </row>
    <row r="2172" spans="1:9" s="65" customFormat="1" ht="25.5">
      <c r="A2172" s="135"/>
      <c r="B2172" s="78" t="s">
        <v>938</v>
      </c>
      <c r="C2172" s="127" t="s">
        <v>157</v>
      </c>
      <c r="D2172" s="107">
        <f>190000*1.16*1.2*0.6</f>
        <v>158687.99999999997</v>
      </c>
      <c r="E2172" s="79">
        <v>1</v>
      </c>
      <c r="F2172" s="79">
        <v>0</v>
      </c>
      <c r="G2172" s="107">
        <f>(D2172*E2172)+((D2172*E2172)*F2172/100)</f>
        <v>158687.99999999997</v>
      </c>
      <c r="H2172" s="108"/>
      <c r="I2172" s="71"/>
    </row>
    <row r="2173" spans="1:9" s="65" customFormat="1">
      <c r="A2173" s="90"/>
      <c r="B2173" s="91"/>
      <c r="C2173" s="91"/>
      <c r="D2173" s="91"/>
      <c r="E2173" s="91"/>
      <c r="F2173"/>
      <c r="G2173" s="85" t="s">
        <v>407</v>
      </c>
      <c r="H2173" s="107">
        <f>SUM(G2172:G2172)</f>
        <v>158687.99999999997</v>
      </c>
      <c r="I2173" s="71"/>
    </row>
    <row r="2174" spans="1:9" s="65" customFormat="1">
      <c r="A2174" s="72" t="s">
        <v>410</v>
      </c>
      <c r="B2174" s="73"/>
      <c r="C2174" s="73"/>
      <c r="D2174" s="73"/>
      <c r="E2174" s="73"/>
      <c r="F2174"/>
      <c r="G2174" s="74"/>
      <c r="H2174" s="108"/>
      <c r="I2174" s="71"/>
    </row>
    <row r="2175" spans="1:9" s="65" customFormat="1">
      <c r="A2175" s="75" t="s">
        <v>391</v>
      </c>
      <c r="B2175" s="76" t="s">
        <v>392</v>
      </c>
      <c r="C2175" s="76" t="s">
        <v>393</v>
      </c>
      <c r="D2175" s="76" t="s">
        <v>394</v>
      </c>
      <c r="E2175" s="76" t="s">
        <v>395</v>
      </c>
      <c r="F2175" s="76" t="s">
        <v>396</v>
      </c>
      <c r="G2175" s="76" t="s">
        <v>397</v>
      </c>
      <c r="H2175" s="108"/>
      <c r="I2175" s="71"/>
    </row>
    <row r="2176" spans="1:9" s="65" customFormat="1" ht="15.75" customHeight="1">
      <c r="A2176" s="77"/>
      <c r="B2176" s="78"/>
      <c r="C2176" s="79"/>
      <c r="D2176" s="107"/>
      <c r="E2176" s="79"/>
      <c r="F2176" s="79"/>
      <c r="G2176" s="107"/>
      <c r="H2176" s="108"/>
      <c r="I2176" s="71"/>
    </row>
    <row r="2177" spans="1:9" s="65" customFormat="1">
      <c r="A2177" s="90"/>
      <c r="B2177" s="91"/>
      <c r="C2177" s="91"/>
      <c r="D2177" s="91"/>
      <c r="E2177" s="91"/>
      <c r="F2177"/>
      <c r="G2177" s="93" t="s">
        <v>407</v>
      </c>
      <c r="H2177" s="107">
        <f>SUM(G2176:G2176)</f>
        <v>0</v>
      </c>
      <c r="I2177" s="71"/>
    </row>
    <row r="2178" spans="1:9" s="65" customFormat="1">
      <c r="A2178" s="72" t="s">
        <v>411</v>
      </c>
      <c r="B2178" s="73"/>
      <c r="C2178" s="73"/>
      <c r="D2178" s="73"/>
      <c r="E2178" s="73"/>
      <c r="F2178"/>
      <c r="G2178" s="74"/>
      <c r="H2178" s="108"/>
      <c r="I2178" s="71"/>
    </row>
    <row r="2179" spans="1:9" s="65" customFormat="1">
      <c r="A2179" s="75" t="s">
        <v>391</v>
      </c>
      <c r="B2179" s="76" t="s">
        <v>392</v>
      </c>
      <c r="C2179" s="76" t="s">
        <v>393</v>
      </c>
      <c r="D2179" s="76" t="s">
        <v>394</v>
      </c>
      <c r="E2179" s="76" t="s">
        <v>395</v>
      </c>
      <c r="F2179" s="76" t="s">
        <v>396</v>
      </c>
      <c r="G2179" s="76" t="s">
        <v>397</v>
      </c>
      <c r="H2179" s="108"/>
      <c r="I2179" s="71"/>
    </row>
    <row r="2180" spans="1:9" s="65" customFormat="1">
      <c r="A2180" s="87" t="s">
        <v>409</v>
      </c>
      <c r="B2180" s="114" t="s">
        <v>747</v>
      </c>
      <c r="C2180" s="114" t="s">
        <v>437</v>
      </c>
      <c r="D2180" s="114">
        <v>800000</v>
      </c>
      <c r="E2180" s="215">
        <v>3.0000000000000001E-3</v>
      </c>
      <c r="F2180" s="79">
        <v>0</v>
      </c>
      <c r="G2180" s="107">
        <f>(D2180*E2180)+((D2180*E2180)*F2180/100)</f>
        <v>2400</v>
      </c>
      <c r="H2180" s="108"/>
      <c r="I2180" s="71"/>
    </row>
    <row r="2181" spans="1:9" s="65" customFormat="1">
      <c r="A2181" s="94"/>
      <c r="B2181" s="95"/>
      <c r="C2181" s="95"/>
      <c r="D2181" s="95"/>
      <c r="E2181" s="95"/>
      <c r="F2181"/>
      <c r="G2181" s="93" t="s">
        <v>407</v>
      </c>
      <c r="H2181" s="107">
        <f>SUM(G2179:G2180)</f>
        <v>2400</v>
      </c>
      <c r="I2181" s="71"/>
    </row>
    <row r="2182" spans="1:9" s="65" customFormat="1">
      <c r="A2182" s="94"/>
      <c r="B2182" s="95"/>
      <c r="C2182" s="95"/>
      <c r="D2182" s="95"/>
      <c r="E2182" s="95"/>
      <c r="F2182"/>
      <c r="G2182" s="74"/>
      <c r="H2182" s="74"/>
      <c r="I2182" s="71"/>
    </row>
    <row r="2183" spans="1:9" s="65" customFormat="1">
      <c r="A2183" s="96"/>
      <c r="B2183" s="97"/>
      <c r="C2183" s="98"/>
      <c r="D2183" s="98"/>
      <c r="E2183" s="98"/>
      <c r="F2183"/>
      <c r="G2183" s="99" t="s">
        <v>412</v>
      </c>
      <c r="H2183" s="115">
        <f>SUM(H2169:H2181)</f>
        <v>161087.99999999997</v>
      </c>
      <c r="I2183" s="71"/>
    </row>
    <row r="2184" spans="1:9" s="65" customFormat="1">
      <c r="A2184" s="96"/>
      <c r="B2184" s="97"/>
      <c r="C2184" s="98"/>
      <c r="D2184" s="98"/>
      <c r="E2184" s="98"/>
      <c r="F2184" s="101"/>
      <c r="G2184" s="116"/>
      <c r="H2184" s="70"/>
      <c r="I2184" s="71"/>
    </row>
    <row r="2185" spans="1:9" s="65" customFormat="1" ht="15.75" thickBot="1">
      <c r="A2185" s="624" t="s">
        <v>761</v>
      </c>
      <c r="B2185" s="625"/>
      <c r="C2185" s="625"/>
      <c r="D2185" s="625"/>
      <c r="E2185" s="625"/>
      <c r="F2185" s="625"/>
      <c r="G2185" s="626"/>
      <c r="H2185" s="117">
        <f>+ROUND(H2183,0)</f>
        <v>161088</v>
      </c>
      <c r="I2185" s="103"/>
    </row>
    <row r="2186" spans="1:9" s="65" customFormat="1" ht="15.75" thickBot="1">
      <c r="H2186" s="156"/>
      <c r="I2186" s="151"/>
    </row>
    <row r="2187" spans="1:9" s="65" customFormat="1">
      <c r="A2187" s="627"/>
      <c r="B2187" s="629" t="s">
        <v>939</v>
      </c>
      <c r="C2187" s="630"/>
      <c r="D2187" s="630"/>
      <c r="E2187" s="630"/>
      <c r="F2187" s="630"/>
      <c r="G2187" s="630"/>
      <c r="H2187" s="643"/>
      <c r="I2187" s="66" t="s">
        <v>389</v>
      </c>
    </row>
    <row r="2188" spans="1:9" s="65" customFormat="1">
      <c r="A2188" s="628"/>
      <c r="B2188" s="631"/>
      <c r="C2188" s="632"/>
      <c r="D2188" s="632"/>
      <c r="E2188" s="632"/>
      <c r="F2188" s="632"/>
      <c r="G2188" s="632"/>
      <c r="H2188" s="644"/>
      <c r="I2188" s="67" t="s">
        <v>7</v>
      </c>
    </row>
    <row r="2189" spans="1:9" s="65" customFormat="1">
      <c r="A2189" s="68"/>
      <c r="B2189" s="69"/>
      <c r="C2189" s="69"/>
      <c r="D2189" s="69"/>
      <c r="E2189" s="69"/>
      <c r="F2189" s="70"/>
      <c r="G2189" s="70"/>
      <c r="H2189" s="70"/>
      <c r="I2189" s="71"/>
    </row>
    <row r="2190" spans="1:9" s="65" customFormat="1">
      <c r="A2190" s="72" t="s">
        <v>390</v>
      </c>
      <c r="B2190" s="73"/>
      <c r="C2190" s="73"/>
      <c r="D2190" s="73"/>
      <c r="E2190" s="73"/>
      <c r="F2190" s="74"/>
      <c r="G2190" s="74"/>
      <c r="H2190" s="70"/>
      <c r="I2190" s="71"/>
    </row>
    <row r="2191" spans="1:9" s="65" customFormat="1">
      <c r="A2191" s="75" t="s">
        <v>391</v>
      </c>
      <c r="B2191" s="76" t="s">
        <v>392</v>
      </c>
      <c r="C2191" s="76" t="s">
        <v>393</v>
      </c>
      <c r="D2191" s="76" t="s">
        <v>394</v>
      </c>
      <c r="E2191" s="76" t="s">
        <v>395</v>
      </c>
      <c r="F2191" s="76" t="s">
        <v>396</v>
      </c>
      <c r="G2191" s="76" t="s">
        <v>397</v>
      </c>
      <c r="H2191" s="74"/>
      <c r="I2191" s="71"/>
    </row>
    <row r="2192" spans="1:9" s="65" customFormat="1">
      <c r="A2192" s="77"/>
      <c r="B2192" s="79"/>
      <c r="C2192" s="79"/>
      <c r="D2192" s="107"/>
      <c r="E2192" s="79"/>
      <c r="F2192" s="79"/>
      <c r="G2192" s="107"/>
      <c r="H2192" s="74"/>
      <c r="I2192" s="71"/>
    </row>
    <row r="2193" spans="1:9" s="65" customFormat="1">
      <c r="A2193" s="82"/>
      <c r="B2193" s="83"/>
      <c r="C2193" s="84"/>
      <c r="D2193" s="84"/>
      <c r="E2193" s="84"/>
      <c r="F2193"/>
      <c r="G2193" s="93" t="s">
        <v>407</v>
      </c>
      <c r="H2193" s="107">
        <f>SUM(G2192:G2192)</f>
        <v>0</v>
      </c>
      <c r="I2193" s="71"/>
    </row>
    <row r="2194" spans="1:9" s="65" customFormat="1">
      <c r="A2194" s="72" t="s">
        <v>408</v>
      </c>
      <c r="B2194" s="73"/>
      <c r="C2194" s="73"/>
      <c r="D2194" s="73"/>
      <c r="E2194" s="73"/>
      <c r="F2194"/>
      <c r="G2194" s="74"/>
      <c r="H2194" s="108"/>
      <c r="I2194" s="71"/>
    </row>
    <row r="2195" spans="1:9" s="65" customFormat="1">
      <c r="A2195" s="75" t="s">
        <v>391</v>
      </c>
      <c r="B2195" s="76" t="s">
        <v>392</v>
      </c>
      <c r="C2195" s="76" t="s">
        <v>393</v>
      </c>
      <c r="D2195" s="76" t="s">
        <v>394</v>
      </c>
      <c r="E2195" s="76" t="s">
        <v>395</v>
      </c>
      <c r="F2195" s="76" t="s">
        <v>396</v>
      </c>
      <c r="G2195" s="76" t="s">
        <v>397</v>
      </c>
      <c r="H2195" s="108"/>
      <c r="I2195" s="71"/>
    </row>
    <row r="2196" spans="1:9" s="65" customFormat="1">
      <c r="A2196" s="135"/>
      <c r="B2196" s="78" t="s">
        <v>939</v>
      </c>
      <c r="C2196" s="127" t="s">
        <v>493</v>
      </c>
      <c r="D2196" s="107">
        <f>156000*1.16*1.2</f>
        <v>217152</v>
      </c>
      <c r="E2196" s="79">
        <v>1</v>
      </c>
      <c r="F2196" s="79">
        <v>0</v>
      </c>
      <c r="G2196" s="107">
        <f>(D2196*E2196)+((D2196*E2196)*F2196/100)</f>
        <v>217152</v>
      </c>
      <c r="H2196" s="108"/>
      <c r="I2196" s="71"/>
    </row>
    <row r="2197" spans="1:9" s="65" customFormat="1">
      <c r="A2197" s="90"/>
      <c r="B2197" s="91"/>
      <c r="C2197" s="91"/>
      <c r="D2197" s="91"/>
      <c r="E2197" s="91"/>
      <c r="F2197"/>
      <c r="G2197" s="85" t="s">
        <v>407</v>
      </c>
      <c r="H2197" s="107">
        <f>SUM(G2196:G2196)</f>
        <v>217152</v>
      </c>
      <c r="I2197" s="71"/>
    </row>
    <row r="2198" spans="1:9" s="65" customFormat="1">
      <c r="A2198" s="72" t="s">
        <v>410</v>
      </c>
      <c r="B2198" s="73"/>
      <c r="C2198" s="73"/>
      <c r="D2198" s="73"/>
      <c r="E2198" s="73"/>
      <c r="F2198"/>
      <c r="G2198" s="74"/>
      <c r="H2198" s="108"/>
      <c r="I2198" s="71"/>
    </row>
    <row r="2199" spans="1:9" s="65" customFormat="1">
      <c r="A2199" s="75" t="s">
        <v>391</v>
      </c>
      <c r="B2199" s="76" t="s">
        <v>392</v>
      </c>
      <c r="C2199" s="76" t="s">
        <v>393</v>
      </c>
      <c r="D2199" s="76" t="s">
        <v>394</v>
      </c>
      <c r="E2199" s="76" t="s">
        <v>395</v>
      </c>
      <c r="F2199" s="76" t="s">
        <v>396</v>
      </c>
      <c r="G2199" s="76" t="s">
        <v>397</v>
      </c>
      <c r="H2199" s="108"/>
      <c r="I2199" s="71"/>
    </row>
    <row r="2200" spans="1:9" s="65" customFormat="1">
      <c r="A2200" s="77"/>
      <c r="B2200" s="78"/>
      <c r="C2200" s="79"/>
      <c r="D2200" s="107"/>
      <c r="E2200" s="79"/>
      <c r="F2200" s="79"/>
      <c r="G2200" s="107"/>
      <c r="H2200" s="108"/>
      <c r="I2200" s="71"/>
    </row>
    <row r="2201" spans="1:9" s="65" customFormat="1">
      <c r="A2201" s="90"/>
      <c r="B2201" s="91"/>
      <c r="C2201" s="91"/>
      <c r="D2201" s="91"/>
      <c r="E2201" s="91"/>
      <c r="F2201"/>
      <c r="G2201" s="93" t="s">
        <v>407</v>
      </c>
      <c r="H2201" s="107">
        <f>SUM(G2200:G2200)</f>
        <v>0</v>
      </c>
      <c r="I2201" s="71"/>
    </row>
    <row r="2202" spans="1:9" s="65" customFormat="1">
      <c r="A2202" s="72" t="s">
        <v>411</v>
      </c>
      <c r="B2202" s="73"/>
      <c r="C2202" s="73"/>
      <c r="D2202" s="73"/>
      <c r="E2202" s="73"/>
      <c r="F2202"/>
      <c r="G2202" s="74"/>
      <c r="H2202" s="108"/>
      <c r="I2202" s="71"/>
    </row>
    <row r="2203" spans="1:9" s="65" customFormat="1">
      <c r="A2203" s="75" t="s">
        <v>391</v>
      </c>
      <c r="B2203" s="76" t="s">
        <v>392</v>
      </c>
      <c r="C2203" s="76" t="s">
        <v>393</v>
      </c>
      <c r="D2203" s="76" t="s">
        <v>394</v>
      </c>
      <c r="E2203" s="76" t="s">
        <v>395</v>
      </c>
      <c r="F2203" s="76" t="s">
        <v>396</v>
      </c>
      <c r="G2203" s="76" t="s">
        <v>397</v>
      </c>
      <c r="H2203" s="108"/>
      <c r="I2203" s="71"/>
    </row>
    <row r="2204" spans="1:9" s="65" customFormat="1">
      <c r="A2204" s="87" t="s">
        <v>409</v>
      </c>
      <c r="B2204" s="114" t="s">
        <v>747</v>
      </c>
      <c r="C2204" s="114" t="s">
        <v>437</v>
      </c>
      <c r="D2204" s="114">
        <v>800000</v>
      </c>
      <c r="E2204" s="215">
        <v>4.1666666666666666E-3</v>
      </c>
      <c r="F2204" s="79">
        <v>0</v>
      </c>
      <c r="G2204" s="107">
        <f>(D2204*E2204)+((D2204*E2204)*F2204/100)</f>
        <v>3333.3333333333335</v>
      </c>
      <c r="H2204" s="108"/>
      <c r="I2204" s="71"/>
    </row>
    <row r="2205" spans="1:9" s="65" customFormat="1" ht="15.75" customHeight="1">
      <c r="A2205" s="94"/>
      <c r="B2205" s="95"/>
      <c r="C2205" s="95"/>
      <c r="D2205" s="95"/>
      <c r="E2205" s="95"/>
      <c r="F2205"/>
      <c r="G2205" s="93" t="s">
        <v>407</v>
      </c>
      <c r="H2205" s="107">
        <f>SUM(G2203:G2204)</f>
        <v>3333.3333333333335</v>
      </c>
      <c r="I2205" s="71"/>
    </row>
    <row r="2206" spans="1:9" s="65" customFormat="1">
      <c r="A2206" s="94"/>
      <c r="B2206" s="95"/>
      <c r="C2206" s="95"/>
      <c r="D2206" s="95"/>
      <c r="E2206" s="95"/>
      <c r="F2206"/>
      <c r="G2206" s="74"/>
      <c r="H2206" s="74"/>
      <c r="I2206" s="71"/>
    </row>
    <row r="2207" spans="1:9" s="65" customFormat="1">
      <c r="A2207" s="96"/>
      <c r="B2207" s="97"/>
      <c r="C2207" s="98"/>
      <c r="D2207" s="98"/>
      <c r="E2207" s="98"/>
      <c r="F2207"/>
      <c r="G2207" s="99" t="s">
        <v>412</v>
      </c>
      <c r="H2207" s="115">
        <f>SUM(H2193:H2205)</f>
        <v>220485.33333333334</v>
      </c>
      <c r="I2207" s="71"/>
    </row>
    <row r="2208" spans="1:9" s="65" customFormat="1">
      <c r="A2208" s="96"/>
      <c r="B2208" s="97"/>
      <c r="C2208" s="98"/>
      <c r="D2208" s="98"/>
      <c r="E2208" s="98"/>
      <c r="F2208" s="101"/>
      <c r="G2208" s="116"/>
      <c r="H2208" s="70"/>
      <c r="I2208" s="71"/>
    </row>
    <row r="2209" spans="1:9" s="65" customFormat="1" ht="15.75" thickBot="1">
      <c r="A2209" s="624" t="s">
        <v>502</v>
      </c>
      <c r="B2209" s="625"/>
      <c r="C2209" s="625"/>
      <c r="D2209" s="625"/>
      <c r="E2209" s="625"/>
      <c r="F2209" s="625"/>
      <c r="G2209" s="626"/>
      <c r="H2209" s="117">
        <f>+ROUND(H2207,0)</f>
        <v>220485</v>
      </c>
      <c r="I2209" s="103"/>
    </row>
    <row r="2210" spans="1:9" s="65" customFormat="1" ht="15.75" thickBot="1">
      <c r="A2210" s="123"/>
      <c r="B2210" s="95"/>
      <c r="C2210" s="95"/>
      <c r="D2210" s="95"/>
      <c r="E2210" s="95"/>
      <c r="G2210" s="121"/>
      <c r="H2210" s="133"/>
    </row>
    <row r="2211" spans="1:9" s="65" customFormat="1">
      <c r="A2211" s="627"/>
      <c r="B2211" s="629" t="s">
        <v>215</v>
      </c>
      <c r="C2211" s="630"/>
      <c r="D2211" s="630"/>
      <c r="E2211" s="630"/>
      <c r="F2211" s="630"/>
      <c r="G2211" s="630"/>
      <c r="H2211" s="643"/>
      <c r="I2211" s="66" t="s">
        <v>389</v>
      </c>
    </row>
    <row r="2212" spans="1:9" s="65" customFormat="1">
      <c r="A2212" s="628"/>
      <c r="B2212" s="631"/>
      <c r="C2212" s="632"/>
      <c r="D2212" s="632"/>
      <c r="E2212" s="632"/>
      <c r="F2212" s="632"/>
      <c r="G2212" s="632"/>
      <c r="H2212" s="644"/>
      <c r="I2212" s="67" t="s">
        <v>7</v>
      </c>
    </row>
    <row r="2213" spans="1:9" s="65" customFormat="1">
      <c r="A2213" s="68"/>
      <c r="B2213" s="69"/>
      <c r="C2213" s="69"/>
      <c r="D2213" s="69"/>
      <c r="E2213" s="69"/>
      <c r="F2213" s="70"/>
      <c r="G2213" s="70"/>
      <c r="H2213" s="70"/>
      <c r="I2213" s="71"/>
    </row>
    <row r="2214" spans="1:9" s="65" customFormat="1">
      <c r="A2214" s="72" t="s">
        <v>390</v>
      </c>
      <c r="B2214" s="73"/>
      <c r="C2214" s="73"/>
      <c r="D2214" s="73"/>
      <c r="E2214" s="73"/>
      <c r="F2214" s="74"/>
      <c r="G2214" s="74"/>
      <c r="H2214" s="70"/>
      <c r="I2214" s="71"/>
    </row>
    <row r="2215" spans="1:9" s="65" customFormat="1">
      <c r="A2215" s="75" t="s">
        <v>391</v>
      </c>
      <c r="B2215" s="76" t="s">
        <v>392</v>
      </c>
      <c r="C2215" s="76" t="s">
        <v>393</v>
      </c>
      <c r="D2215" s="76" t="s">
        <v>394</v>
      </c>
      <c r="E2215" s="76" t="s">
        <v>395</v>
      </c>
      <c r="F2215" s="76" t="s">
        <v>396</v>
      </c>
      <c r="G2215" s="76" t="s">
        <v>397</v>
      </c>
      <c r="H2215" s="74"/>
      <c r="I2215" s="71"/>
    </row>
    <row r="2216" spans="1:9" s="65" customFormat="1">
      <c r="A2216" s="77"/>
      <c r="B2216" s="79"/>
      <c r="C2216" s="79"/>
      <c r="D2216" s="107"/>
      <c r="E2216" s="79"/>
      <c r="F2216" s="79"/>
      <c r="G2216" s="107"/>
      <c r="H2216" s="74"/>
      <c r="I2216" s="71"/>
    </row>
    <row r="2217" spans="1:9" s="65" customFormat="1">
      <c r="A2217" s="82"/>
      <c r="B2217" s="83"/>
      <c r="C2217" s="84"/>
      <c r="D2217" s="84"/>
      <c r="E2217" s="84"/>
      <c r="F2217"/>
      <c r="G2217" s="93" t="s">
        <v>407</v>
      </c>
      <c r="H2217" s="107">
        <f>SUM(G2216:G2216)</f>
        <v>0</v>
      </c>
      <c r="I2217" s="71"/>
    </row>
    <row r="2218" spans="1:9" s="65" customFormat="1">
      <c r="A2218" s="72" t="s">
        <v>408</v>
      </c>
      <c r="B2218" s="73"/>
      <c r="C2218" s="73"/>
      <c r="D2218" s="73"/>
      <c r="E2218" s="73"/>
      <c r="F2218"/>
      <c r="G2218" s="74"/>
      <c r="H2218" s="108"/>
      <c r="I2218" s="71"/>
    </row>
    <row r="2219" spans="1:9" s="65" customFormat="1">
      <c r="A2219" s="75" t="s">
        <v>391</v>
      </c>
      <c r="B2219" s="76" t="s">
        <v>392</v>
      </c>
      <c r="C2219" s="76" t="s">
        <v>393</v>
      </c>
      <c r="D2219" s="76" t="s">
        <v>394</v>
      </c>
      <c r="E2219" s="76" t="s">
        <v>395</v>
      </c>
      <c r="F2219" s="76" t="s">
        <v>396</v>
      </c>
      <c r="G2219" s="76" t="s">
        <v>397</v>
      </c>
      <c r="H2219" s="108"/>
      <c r="I2219" s="71"/>
    </row>
    <row r="2220" spans="1:9" s="65" customFormat="1">
      <c r="A2220" s="135"/>
      <c r="B2220" s="78" t="s">
        <v>215</v>
      </c>
      <c r="C2220" s="127" t="s">
        <v>493</v>
      </c>
      <c r="D2220" s="107">
        <f>126000*1.16*1.2</f>
        <v>175392</v>
      </c>
      <c r="E2220" s="79">
        <v>1</v>
      </c>
      <c r="F2220" s="79">
        <v>0</v>
      </c>
      <c r="G2220" s="107">
        <f>(D2220*E2220)+((D2220*E2220)*F2220/100)</f>
        <v>175392</v>
      </c>
      <c r="H2220" s="108"/>
      <c r="I2220" s="71"/>
    </row>
    <row r="2221" spans="1:9" s="65" customFormat="1">
      <c r="A2221" s="90"/>
      <c r="B2221" s="91"/>
      <c r="C2221" s="91"/>
      <c r="D2221" s="91"/>
      <c r="E2221" s="91"/>
      <c r="F2221"/>
      <c r="G2221" s="85" t="s">
        <v>407</v>
      </c>
      <c r="H2221" s="107">
        <f>SUM(G2220:G2220)</f>
        <v>175392</v>
      </c>
      <c r="I2221" s="71"/>
    </row>
    <row r="2222" spans="1:9" s="65" customFormat="1">
      <c r="A2222" s="72" t="s">
        <v>410</v>
      </c>
      <c r="B2222" s="73"/>
      <c r="C2222" s="73"/>
      <c r="D2222" s="73"/>
      <c r="E2222" s="73"/>
      <c r="F2222"/>
      <c r="G2222" s="74"/>
      <c r="H2222" s="108"/>
      <c r="I2222" s="71"/>
    </row>
    <row r="2223" spans="1:9" s="65" customFormat="1">
      <c r="A2223" s="75" t="s">
        <v>391</v>
      </c>
      <c r="B2223" s="76" t="s">
        <v>392</v>
      </c>
      <c r="C2223" s="76" t="s">
        <v>393</v>
      </c>
      <c r="D2223" s="76" t="s">
        <v>394</v>
      </c>
      <c r="E2223" s="76" t="s">
        <v>395</v>
      </c>
      <c r="F2223" s="76" t="s">
        <v>396</v>
      </c>
      <c r="G2223" s="76" t="s">
        <v>397</v>
      </c>
      <c r="H2223" s="108"/>
      <c r="I2223" s="71"/>
    </row>
    <row r="2224" spans="1:9" s="65" customFormat="1">
      <c r="A2224" s="77"/>
      <c r="B2224" s="78"/>
      <c r="C2224" s="79"/>
      <c r="D2224" s="107"/>
      <c r="E2224" s="79"/>
      <c r="F2224" s="79"/>
      <c r="G2224" s="107"/>
      <c r="H2224" s="108"/>
      <c r="I2224" s="71"/>
    </row>
    <row r="2225" spans="1:9" s="65" customFormat="1">
      <c r="A2225" s="90"/>
      <c r="B2225" s="91"/>
      <c r="C2225" s="91"/>
      <c r="D2225" s="91"/>
      <c r="E2225" s="91"/>
      <c r="F2225"/>
      <c r="G2225" s="93" t="s">
        <v>407</v>
      </c>
      <c r="H2225" s="107">
        <f>SUM(G2224:G2224)</f>
        <v>0</v>
      </c>
      <c r="I2225" s="71"/>
    </row>
    <row r="2226" spans="1:9" s="65" customFormat="1">
      <c r="A2226" s="72" t="s">
        <v>411</v>
      </c>
      <c r="B2226" s="73"/>
      <c r="C2226" s="73"/>
      <c r="D2226" s="73"/>
      <c r="E2226" s="73"/>
      <c r="F2226"/>
      <c r="G2226" s="74"/>
      <c r="H2226" s="108"/>
      <c r="I2226" s="71"/>
    </row>
    <row r="2227" spans="1:9" s="65" customFormat="1">
      <c r="A2227" s="75" t="s">
        <v>391</v>
      </c>
      <c r="B2227" s="76" t="s">
        <v>392</v>
      </c>
      <c r="C2227" s="76" t="s">
        <v>393</v>
      </c>
      <c r="D2227" s="76" t="s">
        <v>394</v>
      </c>
      <c r="E2227" s="76" t="s">
        <v>395</v>
      </c>
      <c r="F2227" s="76" t="s">
        <v>396</v>
      </c>
      <c r="G2227" s="76" t="s">
        <v>397</v>
      </c>
      <c r="H2227" s="108"/>
      <c r="I2227" s="71"/>
    </row>
    <row r="2228" spans="1:9" s="65" customFormat="1">
      <c r="A2228" s="87" t="s">
        <v>409</v>
      </c>
      <c r="B2228" s="114" t="s">
        <v>747</v>
      </c>
      <c r="C2228" s="114" t="s">
        <v>437</v>
      </c>
      <c r="D2228" s="114">
        <v>800000</v>
      </c>
      <c r="E2228" s="215">
        <v>4.1666666666666666E-3</v>
      </c>
      <c r="F2228" s="79">
        <v>0</v>
      </c>
      <c r="G2228" s="107">
        <f>(D2228*E2228)+((D2228*E2228)*F2228/100)</f>
        <v>3333.3333333333335</v>
      </c>
      <c r="H2228" s="108"/>
      <c r="I2228" s="71"/>
    </row>
    <row r="2229" spans="1:9" s="65" customFormat="1">
      <c r="A2229" s="94"/>
      <c r="B2229" s="95"/>
      <c r="C2229" s="95"/>
      <c r="D2229" s="95"/>
      <c r="E2229" s="95"/>
      <c r="F2229"/>
      <c r="G2229" s="93" t="s">
        <v>407</v>
      </c>
      <c r="H2229" s="107">
        <f>SUM(G2227:G2228)</f>
        <v>3333.3333333333335</v>
      </c>
      <c r="I2229" s="71"/>
    </row>
    <row r="2230" spans="1:9" s="65" customFormat="1">
      <c r="A2230" s="94"/>
      <c r="B2230" s="95"/>
      <c r="C2230" s="95"/>
      <c r="D2230" s="95"/>
      <c r="E2230" s="95"/>
      <c r="F2230"/>
      <c r="G2230" s="74"/>
      <c r="H2230" s="74"/>
      <c r="I2230" s="71"/>
    </row>
    <row r="2231" spans="1:9" s="65" customFormat="1">
      <c r="A2231" s="96"/>
      <c r="B2231" s="97"/>
      <c r="C2231" s="98"/>
      <c r="D2231" s="98"/>
      <c r="E2231" s="98"/>
      <c r="F2231"/>
      <c r="G2231" s="99" t="s">
        <v>412</v>
      </c>
      <c r="H2231" s="115">
        <f>SUM(H2217:H2229)</f>
        <v>178725.33333333334</v>
      </c>
      <c r="I2231" s="71"/>
    </row>
    <row r="2232" spans="1:9" s="65" customFormat="1">
      <c r="A2232" s="96"/>
      <c r="B2232" s="97"/>
      <c r="C2232" s="98"/>
      <c r="D2232" s="98"/>
      <c r="E2232" s="98"/>
      <c r="F2232" s="101"/>
      <c r="G2232" s="116"/>
      <c r="H2232" s="70"/>
      <c r="I2232" s="71"/>
    </row>
    <row r="2233" spans="1:9" s="65" customFormat="1" ht="15.75" thickBot="1">
      <c r="A2233" s="624" t="s">
        <v>502</v>
      </c>
      <c r="B2233" s="625"/>
      <c r="C2233" s="625"/>
      <c r="D2233" s="625"/>
      <c r="E2233" s="625"/>
      <c r="F2233" s="625"/>
      <c r="G2233" s="626"/>
      <c r="H2233" s="117">
        <f>+ROUND(H2231,0)</f>
        <v>178725</v>
      </c>
      <c r="I2233" s="103"/>
    </row>
    <row r="2234" spans="1:9" s="65" customFormat="1">
      <c r="A2234" s="123"/>
      <c r="B2234" s="95"/>
      <c r="C2234" s="95"/>
      <c r="D2234" s="95"/>
      <c r="E2234" s="95"/>
      <c r="G2234" s="104"/>
      <c r="H2234" s="121"/>
    </row>
    <row r="2235" spans="1:9" s="65" customFormat="1" ht="15.75" thickBot="1">
      <c r="A2235" s="123"/>
      <c r="B2235" s="95"/>
      <c r="C2235" s="95"/>
      <c r="D2235" s="95"/>
      <c r="E2235" s="95"/>
      <c r="G2235" s="121"/>
      <c r="H2235" s="133"/>
    </row>
    <row r="2236" spans="1:9" s="65" customFormat="1">
      <c r="A2236" s="627"/>
      <c r="B2236" s="629" t="s">
        <v>940</v>
      </c>
      <c r="C2236" s="630"/>
      <c r="D2236" s="630"/>
      <c r="E2236" s="630"/>
      <c r="F2236" s="630"/>
      <c r="G2236" s="630"/>
      <c r="H2236" s="643"/>
      <c r="I2236" s="66" t="s">
        <v>389</v>
      </c>
    </row>
    <row r="2237" spans="1:9" s="65" customFormat="1">
      <c r="A2237" s="628"/>
      <c r="B2237" s="631"/>
      <c r="C2237" s="632"/>
      <c r="D2237" s="632"/>
      <c r="E2237" s="632"/>
      <c r="F2237" s="632"/>
      <c r="G2237" s="632"/>
      <c r="H2237" s="644"/>
      <c r="I2237" s="67" t="s">
        <v>157</v>
      </c>
    </row>
    <row r="2238" spans="1:9" s="65" customFormat="1">
      <c r="A2238" s="68"/>
      <c r="B2238" s="69"/>
      <c r="C2238" s="69"/>
      <c r="D2238" s="69"/>
      <c r="E2238" s="69"/>
      <c r="F2238" s="70"/>
      <c r="G2238" s="70"/>
      <c r="H2238" s="70"/>
      <c r="I2238" s="71"/>
    </row>
    <row r="2239" spans="1:9" s="65" customFormat="1">
      <c r="A2239" s="72" t="s">
        <v>390</v>
      </c>
      <c r="B2239" s="73"/>
      <c r="C2239" s="73"/>
      <c r="D2239" s="73"/>
      <c r="E2239" s="73"/>
      <c r="F2239" s="74"/>
      <c r="G2239" s="74"/>
      <c r="H2239" s="70"/>
      <c r="I2239" s="71"/>
    </row>
    <row r="2240" spans="1:9" s="65" customFormat="1">
      <c r="A2240" s="75" t="s">
        <v>391</v>
      </c>
      <c r="B2240" s="76" t="s">
        <v>392</v>
      </c>
      <c r="C2240" s="76" t="s">
        <v>393</v>
      </c>
      <c r="D2240" s="76" t="s">
        <v>394</v>
      </c>
      <c r="E2240" s="76" t="s">
        <v>395</v>
      </c>
      <c r="F2240" s="76" t="s">
        <v>396</v>
      </c>
      <c r="G2240" s="76" t="s">
        <v>397</v>
      </c>
      <c r="H2240" s="74"/>
      <c r="I2240" s="71"/>
    </row>
    <row r="2241" spans="1:9" s="65" customFormat="1">
      <c r="A2241" s="77"/>
      <c r="B2241" s="79"/>
      <c r="C2241" s="79"/>
      <c r="D2241" s="107"/>
      <c r="E2241" s="79"/>
      <c r="F2241" s="79"/>
      <c r="G2241" s="107"/>
      <c r="H2241" s="74"/>
      <c r="I2241" s="71"/>
    </row>
    <row r="2242" spans="1:9" s="65" customFormat="1">
      <c r="A2242" s="82"/>
      <c r="B2242" s="83"/>
      <c r="C2242" s="84"/>
      <c r="D2242" s="84"/>
      <c r="E2242" s="84"/>
      <c r="F2242"/>
      <c r="G2242" s="93" t="s">
        <v>407</v>
      </c>
      <c r="H2242" s="107">
        <f>SUM(G2241:G2241)</f>
        <v>0</v>
      </c>
      <c r="I2242" s="71"/>
    </row>
    <row r="2243" spans="1:9" s="65" customFormat="1">
      <c r="A2243" s="72" t="s">
        <v>408</v>
      </c>
      <c r="B2243" s="73"/>
      <c r="C2243" s="73"/>
      <c r="D2243" s="73"/>
      <c r="E2243" s="73"/>
      <c r="F2243"/>
      <c r="G2243" s="74"/>
      <c r="H2243" s="108"/>
      <c r="I2243" s="71"/>
    </row>
    <row r="2244" spans="1:9" s="65" customFormat="1">
      <c r="A2244" s="75" t="s">
        <v>391</v>
      </c>
      <c r="B2244" s="76" t="s">
        <v>392</v>
      </c>
      <c r="C2244" s="76" t="s">
        <v>393</v>
      </c>
      <c r="D2244" s="76" t="s">
        <v>394</v>
      </c>
      <c r="E2244" s="76" t="s">
        <v>395</v>
      </c>
      <c r="F2244" s="76" t="s">
        <v>396</v>
      </c>
      <c r="G2244" s="76" t="s">
        <v>397</v>
      </c>
      <c r="H2244" s="108"/>
      <c r="I2244" s="71"/>
    </row>
    <row r="2245" spans="1:9" s="65" customFormat="1">
      <c r="A2245" s="135"/>
      <c r="B2245" s="78" t="s">
        <v>941</v>
      </c>
      <c r="C2245" s="127" t="s">
        <v>157</v>
      </c>
      <c r="D2245" s="107">
        <f>1720000*1.16*1.2*0.8</f>
        <v>1915391.9999999998</v>
      </c>
      <c r="E2245" s="79">
        <v>1</v>
      </c>
      <c r="F2245" s="79">
        <v>0</v>
      </c>
      <c r="G2245" s="107">
        <f>(D2245*E2245)+((D2245*E2245)*F2245/100)</f>
        <v>1915391.9999999998</v>
      </c>
      <c r="H2245" s="108"/>
      <c r="I2245" s="71"/>
    </row>
    <row r="2246" spans="1:9" s="65" customFormat="1">
      <c r="A2246" s="90"/>
      <c r="B2246" s="91"/>
      <c r="C2246" s="91"/>
      <c r="D2246" s="91"/>
      <c r="E2246" s="91"/>
      <c r="F2246"/>
      <c r="G2246" s="85" t="s">
        <v>407</v>
      </c>
      <c r="H2246" s="107">
        <f>SUM(G2245:G2245)</f>
        <v>1915391.9999999998</v>
      </c>
      <c r="I2246" s="71"/>
    </row>
    <row r="2247" spans="1:9" s="65" customFormat="1">
      <c r="A2247" s="72" t="s">
        <v>410</v>
      </c>
      <c r="B2247" s="73"/>
      <c r="C2247" s="73"/>
      <c r="D2247" s="73"/>
      <c r="E2247" s="73"/>
      <c r="F2247"/>
      <c r="G2247" s="74"/>
      <c r="H2247" s="108"/>
      <c r="I2247" s="71"/>
    </row>
    <row r="2248" spans="1:9" s="65" customFormat="1">
      <c r="A2248" s="75" t="s">
        <v>391</v>
      </c>
      <c r="B2248" s="76" t="s">
        <v>392</v>
      </c>
      <c r="C2248" s="76" t="s">
        <v>393</v>
      </c>
      <c r="D2248" s="76" t="s">
        <v>394</v>
      </c>
      <c r="E2248" s="76" t="s">
        <v>395</v>
      </c>
      <c r="F2248" s="76" t="s">
        <v>396</v>
      </c>
      <c r="G2248" s="76" t="s">
        <v>397</v>
      </c>
      <c r="H2248" s="108"/>
      <c r="I2248" s="71"/>
    </row>
    <row r="2249" spans="1:9" s="65" customFormat="1">
      <c r="A2249" s="77"/>
      <c r="B2249" s="78"/>
      <c r="C2249" s="79"/>
      <c r="D2249" s="107"/>
      <c r="E2249" s="79"/>
      <c r="F2249" s="79"/>
      <c r="G2249" s="107"/>
      <c r="H2249" s="108"/>
      <c r="I2249" s="71"/>
    </row>
    <row r="2250" spans="1:9" s="65" customFormat="1">
      <c r="A2250" s="90"/>
      <c r="B2250" s="91"/>
      <c r="C2250" s="91"/>
      <c r="D2250" s="91"/>
      <c r="E2250" s="91"/>
      <c r="F2250"/>
      <c r="G2250" s="93" t="s">
        <v>407</v>
      </c>
      <c r="H2250" s="107">
        <f>SUM(G2249:G2249)</f>
        <v>0</v>
      </c>
      <c r="I2250" s="71"/>
    </row>
    <row r="2251" spans="1:9" s="65" customFormat="1">
      <c r="A2251" s="72" t="s">
        <v>411</v>
      </c>
      <c r="B2251" s="73"/>
      <c r="C2251" s="73"/>
      <c r="D2251" s="73"/>
      <c r="E2251" s="73"/>
      <c r="F2251"/>
      <c r="G2251" s="74"/>
      <c r="H2251" s="108"/>
      <c r="I2251" s="71"/>
    </row>
    <row r="2252" spans="1:9" s="65" customFormat="1">
      <c r="A2252" s="75" t="s">
        <v>391</v>
      </c>
      <c r="B2252" s="76" t="s">
        <v>392</v>
      </c>
      <c r="C2252" s="76" t="s">
        <v>393</v>
      </c>
      <c r="D2252" s="76" t="s">
        <v>394</v>
      </c>
      <c r="E2252" s="76" t="s">
        <v>395</v>
      </c>
      <c r="F2252" s="76" t="s">
        <v>396</v>
      </c>
      <c r="G2252" s="76" t="s">
        <v>397</v>
      </c>
      <c r="H2252" s="108"/>
      <c r="I2252" s="71"/>
    </row>
    <row r="2253" spans="1:9" s="65" customFormat="1">
      <c r="A2253" s="87" t="s">
        <v>409</v>
      </c>
      <c r="B2253" s="114" t="s">
        <v>747</v>
      </c>
      <c r="C2253" s="114" t="s">
        <v>437</v>
      </c>
      <c r="D2253" s="114">
        <v>800000</v>
      </c>
      <c r="E2253" s="215">
        <v>1.7857142857142856E-2</v>
      </c>
      <c r="F2253" s="79">
        <v>0</v>
      </c>
      <c r="G2253" s="107">
        <f>(D2253*E2253)+((D2253*E2253)*F2253/100)</f>
        <v>14285.714285714284</v>
      </c>
      <c r="H2253" s="108"/>
      <c r="I2253" s="71"/>
    </row>
    <row r="2254" spans="1:9" s="65" customFormat="1">
      <c r="A2254" s="94"/>
      <c r="B2254" s="95"/>
      <c r="C2254" s="95"/>
      <c r="D2254" s="95"/>
      <c r="E2254" s="95"/>
      <c r="F2254"/>
      <c r="G2254" s="93" t="s">
        <v>407</v>
      </c>
      <c r="H2254" s="107">
        <f>SUM(G2252:G2253)</f>
        <v>14285.714285714284</v>
      </c>
      <c r="I2254" s="71"/>
    </row>
    <row r="2255" spans="1:9" s="65" customFormat="1">
      <c r="A2255" s="94"/>
      <c r="B2255" s="95"/>
      <c r="C2255" s="95"/>
      <c r="D2255" s="95"/>
      <c r="E2255" s="95"/>
      <c r="F2255"/>
      <c r="G2255" s="74"/>
      <c r="H2255" s="74"/>
      <c r="I2255" s="71"/>
    </row>
    <row r="2256" spans="1:9" s="65" customFormat="1">
      <c r="A2256" s="96"/>
      <c r="B2256" s="97"/>
      <c r="C2256" s="98"/>
      <c r="D2256" s="98"/>
      <c r="E2256" s="98"/>
      <c r="F2256"/>
      <c r="G2256" s="99" t="s">
        <v>412</v>
      </c>
      <c r="H2256" s="115">
        <f>SUM(H2242:H2254)</f>
        <v>1929677.7142857141</v>
      </c>
      <c r="I2256" s="71"/>
    </row>
    <row r="2257" spans="1:9" s="65" customFormat="1">
      <c r="A2257" s="96"/>
      <c r="B2257" s="97"/>
      <c r="C2257" s="98"/>
      <c r="D2257" s="98"/>
      <c r="E2257" s="98"/>
      <c r="F2257" s="101"/>
      <c r="G2257" s="116"/>
      <c r="H2257" s="70"/>
      <c r="I2257" s="71"/>
    </row>
    <row r="2258" spans="1:9" s="65" customFormat="1" ht="15.75" thickBot="1">
      <c r="A2258" s="624" t="s">
        <v>761</v>
      </c>
      <c r="B2258" s="625"/>
      <c r="C2258" s="625"/>
      <c r="D2258" s="625"/>
      <c r="E2258" s="625"/>
      <c r="F2258" s="625"/>
      <c r="G2258" s="626"/>
      <c r="H2258" s="117">
        <f>+ROUND(H2256,0)</f>
        <v>1929678</v>
      </c>
      <c r="I2258" s="103"/>
    </row>
    <row r="2259" spans="1:9" s="65" customFormat="1">
      <c r="A2259" s="91"/>
      <c r="B2259" s="91"/>
      <c r="C2259" s="91"/>
      <c r="D2259" s="91"/>
      <c r="E2259" s="91"/>
      <c r="G2259" s="104"/>
      <c r="H2259" s="140"/>
    </row>
    <row r="2260" spans="1:9" s="65" customFormat="1" ht="15.75" thickBot="1">
      <c r="A2260" s="120"/>
      <c r="B2260" s="73"/>
      <c r="C2260" s="73"/>
      <c r="D2260" s="73"/>
      <c r="E2260" s="73"/>
      <c r="G2260" s="121"/>
      <c r="H2260" s="140"/>
    </row>
    <row r="2261" spans="1:9" s="65" customFormat="1">
      <c r="A2261" s="627"/>
      <c r="B2261" s="629" t="s">
        <v>942</v>
      </c>
      <c r="C2261" s="630"/>
      <c r="D2261" s="630"/>
      <c r="E2261" s="630"/>
      <c r="F2261" s="630"/>
      <c r="G2261" s="630"/>
      <c r="H2261" s="643"/>
      <c r="I2261" s="66" t="s">
        <v>389</v>
      </c>
    </row>
    <row r="2262" spans="1:9" s="65" customFormat="1">
      <c r="A2262" s="628"/>
      <c r="B2262" s="631"/>
      <c r="C2262" s="632"/>
      <c r="D2262" s="632"/>
      <c r="E2262" s="632"/>
      <c r="F2262" s="632"/>
      <c r="G2262" s="632"/>
      <c r="H2262" s="644"/>
      <c r="I2262" s="67" t="s">
        <v>157</v>
      </c>
    </row>
    <row r="2263" spans="1:9" s="65" customFormat="1">
      <c r="A2263" s="68"/>
      <c r="B2263" s="69"/>
      <c r="C2263" s="69"/>
      <c r="D2263" s="69"/>
      <c r="E2263" s="69"/>
      <c r="F2263" s="70"/>
      <c r="G2263" s="70"/>
      <c r="H2263" s="70"/>
      <c r="I2263" s="71"/>
    </row>
    <row r="2264" spans="1:9" s="65" customFormat="1">
      <c r="A2264" s="72" t="s">
        <v>390</v>
      </c>
      <c r="B2264" s="73"/>
      <c r="C2264" s="73"/>
      <c r="D2264" s="73"/>
      <c r="E2264" s="73"/>
      <c r="F2264" s="74"/>
      <c r="G2264" s="74"/>
      <c r="H2264" s="70"/>
      <c r="I2264" s="71"/>
    </row>
    <row r="2265" spans="1:9" s="65" customFormat="1">
      <c r="A2265" s="75" t="s">
        <v>391</v>
      </c>
      <c r="B2265" s="76" t="s">
        <v>392</v>
      </c>
      <c r="C2265" s="76" t="s">
        <v>393</v>
      </c>
      <c r="D2265" s="76" t="s">
        <v>394</v>
      </c>
      <c r="E2265" s="76" t="s">
        <v>395</v>
      </c>
      <c r="F2265" s="76" t="s">
        <v>396</v>
      </c>
      <c r="G2265" s="76" t="s">
        <v>397</v>
      </c>
      <c r="H2265" s="74"/>
      <c r="I2265" s="71"/>
    </row>
    <row r="2266" spans="1:9" s="65" customFormat="1">
      <c r="A2266" s="77"/>
      <c r="B2266" s="79"/>
      <c r="C2266" s="79"/>
      <c r="D2266" s="107"/>
      <c r="E2266" s="79"/>
      <c r="F2266" s="79"/>
      <c r="G2266" s="107"/>
      <c r="H2266" s="74"/>
      <c r="I2266" s="71"/>
    </row>
    <row r="2267" spans="1:9" s="65" customFormat="1">
      <c r="A2267" s="82"/>
      <c r="B2267" s="83"/>
      <c r="C2267" s="84"/>
      <c r="D2267" s="84"/>
      <c r="E2267" s="84"/>
      <c r="F2267"/>
      <c r="G2267" s="93" t="s">
        <v>407</v>
      </c>
      <c r="H2267" s="107">
        <f>SUM(G2266:G2266)</f>
        <v>0</v>
      </c>
      <c r="I2267" s="71"/>
    </row>
    <row r="2268" spans="1:9" s="65" customFormat="1">
      <c r="A2268" s="72" t="s">
        <v>408</v>
      </c>
      <c r="B2268" s="73"/>
      <c r="C2268" s="73"/>
      <c r="D2268" s="73"/>
      <c r="E2268" s="73"/>
      <c r="F2268"/>
      <c r="G2268" s="74"/>
      <c r="H2268" s="108"/>
      <c r="I2268" s="71"/>
    </row>
    <row r="2269" spans="1:9" s="65" customFormat="1">
      <c r="A2269" s="75" t="s">
        <v>391</v>
      </c>
      <c r="B2269" s="76" t="s">
        <v>392</v>
      </c>
      <c r="C2269" s="76" t="s">
        <v>393</v>
      </c>
      <c r="D2269" s="76" t="s">
        <v>394</v>
      </c>
      <c r="E2269" s="76" t="s">
        <v>395</v>
      </c>
      <c r="F2269" s="76" t="s">
        <v>396</v>
      </c>
      <c r="G2269" s="76" t="s">
        <v>397</v>
      </c>
      <c r="H2269" s="108"/>
      <c r="I2269" s="71"/>
    </row>
    <row r="2270" spans="1:9" s="65" customFormat="1" ht="25.5">
      <c r="A2270" s="135"/>
      <c r="B2270" s="78" t="s">
        <v>942</v>
      </c>
      <c r="C2270" s="127" t="s">
        <v>157</v>
      </c>
      <c r="D2270" s="107">
        <f>340000*1.16*1.2</f>
        <v>473280</v>
      </c>
      <c r="E2270" s="79">
        <v>1</v>
      </c>
      <c r="F2270" s="79">
        <v>0</v>
      </c>
      <c r="G2270" s="107">
        <f>(D2270*E2270)+((D2270*E2270)*F2270/100)</f>
        <v>473280</v>
      </c>
      <c r="H2270" s="108"/>
      <c r="I2270" s="71"/>
    </row>
    <row r="2271" spans="1:9" s="65" customFormat="1">
      <c r="A2271" s="90"/>
      <c r="B2271" s="91"/>
      <c r="C2271" s="91"/>
      <c r="D2271" s="91"/>
      <c r="E2271" s="91"/>
      <c r="F2271"/>
      <c r="G2271" s="85" t="s">
        <v>407</v>
      </c>
      <c r="H2271" s="107">
        <f>SUM(G2270:G2270)</f>
        <v>473280</v>
      </c>
      <c r="I2271" s="71"/>
    </row>
    <row r="2272" spans="1:9" s="65" customFormat="1">
      <c r="A2272" s="72" t="s">
        <v>410</v>
      </c>
      <c r="B2272" s="73"/>
      <c r="C2272" s="73"/>
      <c r="D2272" s="73"/>
      <c r="E2272" s="73"/>
      <c r="F2272"/>
      <c r="G2272" s="74"/>
      <c r="H2272" s="108"/>
      <c r="I2272" s="71"/>
    </row>
    <row r="2273" spans="1:9" s="65" customFormat="1">
      <c r="A2273" s="75" t="s">
        <v>391</v>
      </c>
      <c r="B2273" s="76" t="s">
        <v>392</v>
      </c>
      <c r="C2273" s="76" t="s">
        <v>393</v>
      </c>
      <c r="D2273" s="76" t="s">
        <v>394</v>
      </c>
      <c r="E2273" s="76" t="s">
        <v>395</v>
      </c>
      <c r="F2273" s="76" t="s">
        <v>396</v>
      </c>
      <c r="G2273" s="76" t="s">
        <v>397</v>
      </c>
      <c r="H2273" s="108"/>
      <c r="I2273" s="71"/>
    </row>
    <row r="2274" spans="1:9" s="65" customFormat="1">
      <c r="A2274" s="77"/>
      <c r="B2274" s="78"/>
      <c r="C2274" s="79"/>
      <c r="D2274" s="107"/>
      <c r="E2274" s="79"/>
      <c r="F2274" s="79"/>
      <c r="G2274" s="107"/>
      <c r="H2274" s="108"/>
      <c r="I2274" s="71"/>
    </row>
    <row r="2275" spans="1:9" s="65" customFormat="1">
      <c r="A2275" s="90"/>
      <c r="B2275" s="91"/>
      <c r="C2275" s="91"/>
      <c r="D2275" s="91"/>
      <c r="E2275" s="91"/>
      <c r="F2275"/>
      <c r="G2275" s="93" t="s">
        <v>407</v>
      </c>
      <c r="H2275" s="107">
        <f>SUM(G2274:G2274)</f>
        <v>0</v>
      </c>
      <c r="I2275" s="71"/>
    </row>
    <row r="2276" spans="1:9" s="65" customFormat="1">
      <c r="A2276" s="72" t="s">
        <v>411</v>
      </c>
      <c r="B2276" s="73"/>
      <c r="C2276" s="73"/>
      <c r="D2276" s="73"/>
      <c r="E2276" s="73"/>
      <c r="F2276"/>
      <c r="G2276" s="74"/>
      <c r="H2276" s="108"/>
      <c r="I2276" s="71"/>
    </row>
    <row r="2277" spans="1:9" s="65" customFormat="1">
      <c r="A2277" s="75" t="s">
        <v>391</v>
      </c>
      <c r="B2277" s="76" t="s">
        <v>392</v>
      </c>
      <c r="C2277" s="76" t="s">
        <v>393</v>
      </c>
      <c r="D2277" s="76" t="s">
        <v>394</v>
      </c>
      <c r="E2277" s="76" t="s">
        <v>395</v>
      </c>
      <c r="F2277" s="76" t="s">
        <v>396</v>
      </c>
      <c r="G2277" s="76" t="s">
        <v>397</v>
      </c>
      <c r="H2277" s="108"/>
      <c r="I2277" s="71"/>
    </row>
    <row r="2278" spans="1:9" s="65" customFormat="1">
      <c r="A2278" s="87" t="s">
        <v>409</v>
      </c>
      <c r="B2278" s="114" t="s">
        <v>747</v>
      </c>
      <c r="C2278" s="114" t="s">
        <v>437</v>
      </c>
      <c r="D2278" s="114">
        <v>800000</v>
      </c>
      <c r="E2278" s="215">
        <v>1.7857142857142856E-2</v>
      </c>
      <c r="F2278" s="79">
        <v>0</v>
      </c>
      <c r="G2278" s="107">
        <f>(D2278*E2278)+((D2278*E2278)*F2278/100)</f>
        <v>14285.714285714284</v>
      </c>
      <c r="H2278" s="108"/>
      <c r="I2278" s="71"/>
    </row>
    <row r="2279" spans="1:9" s="65" customFormat="1">
      <c r="A2279" s="94"/>
      <c r="B2279" s="95"/>
      <c r="C2279" s="95"/>
      <c r="D2279" s="95"/>
      <c r="E2279" s="95"/>
      <c r="F2279"/>
      <c r="G2279" s="93" t="s">
        <v>407</v>
      </c>
      <c r="H2279" s="107">
        <f>SUM(G2277:G2278)</f>
        <v>14285.714285714284</v>
      </c>
      <c r="I2279" s="71"/>
    </row>
    <row r="2280" spans="1:9" s="65" customFormat="1">
      <c r="A2280" s="94"/>
      <c r="B2280" s="95"/>
      <c r="C2280" s="95"/>
      <c r="D2280" s="95"/>
      <c r="E2280" s="95"/>
      <c r="F2280"/>
      <c r="G2280" s="74"/>
      <c r="H2280" s="74"/>
      <c r="I2280" s="71"/>
    </row>
    <row r="2281" spans="1:9" s="65" customFormat="1">
      <c r="A2281" s="96"/>
      <c r="B2281" s="97"/>
      <c r="C2281" s="98"/>
      <c r="D2281" s="98"/>
      <c r="E2281" s="98"/>
      <c r="F2281"/>
      <c r="G2281" s="99" t="s">
        <v>412</v>
      </c>
      <c r="H2281" s="115">
        <f>SUM(H2267:H2279)</f>
        <v>487565.71428571426</v>
      </c>
      <c r="I2281" s="71"/>
    </row>
    <row r="2282" spans="1:9" s="65" customFormat="1">
      <c r="A2282" s="96"/>
      <c r="B2282" s="97"/>
      <c r="C2282" s="98"/>
      <c r="D2282" s="98"/>
      <c r="E2282" s="98"/>
      <c r="F2282" s="101"/>
      <c r="G2282" s="116"/>
      <c r="H2282" s="70"/>
      <c r="I2282" s="71"/>
    </row>
    <row r="2283" spans="1:9" s="65" customFormat="1" ht="15.75" thickBot="1">
      <c r="A2283" s="624" t="s">
        <v>761</v>
      </c>
      <c r="B2283" s="625"/>
      <c r="C2283" s="625"/>
      <c r="D2283" s="625"/>
      <c r="E2283" s="625"/>
      <c r="F2283" s="625"/>
      <c r="G2283" s="626"/>
      <c r="H2283" s="117">
        <f>+ROUND(H2281,0)</f>
        <v>487566</v>
      </c>
      <c r="I2283" s="103"/>
    </row>
    <row r="2284" spans="1:9" s="65" customFormat="1">
      <c r="A2284" s="120"/>
      <c r="B2284" s="73"/>
      <c r="C2284" s="73"/>
      <c r="D2284" s="73"/>
      <c r="E2284" s="73"/>
      <c r="G2284" s="121"/>
      <c r="H2284" s="140"/>
    </row>
    <row r="2285" spans="1:9" s="65" customFormat="1" ht="15.75" thickBot="1">
      <c r="A2285" s="128"/>
      <c r="B2285" s="141"/>
      <c r="C2285" s="141"/>
      <c r="D2285" s="141"/>
      <c r="E2285" s="141"/>
      <c r="F2285" s="141"/>
      <c r="G2285" s="141"/>
      <c r="H2285" s="140"/>
    </row>
    <row r="2286" spans="1:9" s="65" customFormat="1">
      <c r="A2286" s="627"/>
      <c r="B2286" s="629" t="s">
        <v>943</v>
      </c>
      <c r="C2286" s="630"/>
      <c r="D2286" s="630"/>
      <c r="E2286" s="630"/>
      <c r="F2286" s="630"/>
      <c r="G2286" s="630"/>
      <c r="H2286" s="643"/>
      <c r="I2286" s="66" t="s">
        <v>389</v>
      </c>
    </row>
    <row r="2287" spans="1:9" s="65" customFormat="1">
      <c r="A2287" s="628"/>
      <c r="B2287" s="631"/>
      <c r="C2287" s="632"/>
      <c r="D2287" s="632"/>
      <c r="E2287" s="632"/>
      <c r="F2287" s="632"/>
      <c r="G2287" s="632"/>
      <c r="H2287" s="644"/>
      <c r="I2287" s="67" t="s">
        <v>157</v>
      </c>
    </row>
    <row r="2288" spans="1:9" s="65" customFormat="1">
      <c r="A2288" s="68"/>
      <c r="B2288" s="69"/>
      <c r="C2288" s="69"/>
      <c r="D2288" s="69"/>
      <c r="E2288" s="69"/>
      <c r="F2288" s="70"/>
      <c r="G2288" s="70"/>
      <c r="H2288" s="70"/>
      <c r="I2288" s="71"/>
    </row>
    <row r="2289" spans="1:9" s="65" customFormat="1">
      <c r="A2289" s="72" t="s">
        <v>390</v>
      </c>
      <c r="B2289" s="73"/>
      <c r="C2289" s="73"/>
      <c r="D2289" s="73"/>
      <c r="E2289" s="73"/>
      <c r="F2289" s="74"/>
      <c r="G2289" s="74"/>
      <c r="H2289" s="70"/>
      <c r="I2289" s="71"/>
    </row>
    <row r="2290" spans="1:9" s="65" customFormat="1">
      <c r="A2290" s="75" t="s">
        <v>391</v>
      </c>
      <c r="B2290" s="76" t="s">
        <v>392</v>
      </c>
      <c r="C2290" s="76" t="s">
        <v>393</v>
      </c>
      <c r="D2290" s="76" t="s">
        <v>394</v>
      </c>
      <c r="E2290" s="76" t="s">
        <v>395</v>
      </c>
      <c r="F2290" s="76" t="s">
        <v>396</v>
      </c>
      <c r="G2290" s="76" t="s">
        <v>397</v>
      </c>
      <c r="H2290" s="74"/>
      <c r="I2290" s="71"/>
    </row>
    <row r="2291" spans="1:9" s="65" customFormat="1">
      <c r="A2291" s="77"/>
      <c r="B2291" s="79"/>
      <c r="C2291" s="79"/>
      <c r="D2291" s="107"/>
      <c r="E2291" s="79"/>
      <c r="F2291" s="79"/>
      <c r="G2291" s="107"/>
      <c r="H2291" s="74"/>
      <c r="I2291" s="71"/>
    </row>
    <row r="2292" spans="1:9" s="65" customFormat="1">
      <c r="A2292" s="82"/>
      <c r="B2292" s="83"/>
      <c r="C2292" s="84"/>
      <c r="D2292" s="84"/>
      <c r="E2292" s="84"/>
      <c r="F2292"/>
      <c r="G2292" s="93" t="s">
        <v>407</v>
      </c>
      <c r="H2292" s="107">
        <f>SUM(G2291:G2291)</f>
        <v>0</v>
      </c>
      <c r="I2292" s="71"/>
    </row>
    <row r="2293" spans="1:9" s="65" customFormat="1">
      <c r="A2293" s="72" t="s">
        <v>408</v>
      </c>
      <c r="B2293" s="73"/>
      <c r="C2293" s="73"/>
      <c r="D2293" s="73"/>
      <c r="E2293" s="73"/>
      <c r="F2293"/>
      <c r="G2293" s="74"/>
      <c r="H2293" s="108"/>
      <c r="I2293" s="71"/>
    </row>
    <row r="2294" spans="1:9" s="65" customFormat="1">
      <c r="A2294" s="75" t="s">
        <v>391</v>
      </c>
      <c r="B2294" s="76" t="s">
        <v>392</v>
      </c>
      <c r="C2294" s="76" t="s">
        <v>393</v>
      </c>
      <c r="D2294" s="76" t="s">
        <v>394</v>
      </c>
      <c r="E2294" s="76" t="s">
        <v>395</v>
      </c>
      <c r="F2294" s="76" t="s">
        <v>396</v>
      </c>
      <c r="G2294" s="76" t="s">
        <v>397</v>
      </c>
      <c r="H2294" s="108"/>
      <c r="I2294" s="71"/>
    </row>
    <row r="2295" spans="1:9" s="65" customFormat="1" ht="25.5">
      <c r="A2295" s="135"/>
      <c r="B2295" s="78" t="s">
        <v>943</v>
      </c>
      <c r="C2295" s="127" t="s">
        <v>157</v>
      </c>
      <c r="D2295" s="107">
        <f>420000*1.16*1.2*0.8</f>
        <v>467711.99999999994</v>
      </c>
      <c r="E2295" s="79">
        <v>1</v>
      </c>
      <c r="F2295" s="79">
        <v>0</v>
      </c>
      <c r="G2295" s="107">
        <f>(D2295*E2295)+((D2295*E2295)*F2295/100)</f>
        <v>467711.99999999994</v>
      </c>
      <c r="H2295" s="108"/>
      <c r="I2295" s="71"/>
    </row>
    <row r="2296" spans="1:9" s="65" customFormat="1">
      <c r="A2296" s="90"/>
      <c r="B2296" s="91"/>
      <c r="C2296" s="91"/>
      <c r="D2296" s="91"/>
      <c r="E2296" s="91"/>
      <c r="F2296"/>
      <c r="G2296" s="85" t="s">
        <v>407</v>
      </c>
      <c r="H2296" s="107">
        <f>SUM(G2295:G2295)</f>
        <v>467711.99999999994</v>
      </c>
      <c r="I2296" s="71"/>
    </row>
    <row r="2297" spans="1:9" s="65" customFormat="1">
      <c r="A2297" s="72" t="s">
        <v>410</v>
      </c>
      <c r="B2297" s="73"/>
      <c r="C2297" s="73"/>
      <c r="D2297" s="73"/>
      <c r="E2297" s="73"/>
      <c r="F2297"/>
      <c r="G2297" s="74"/>
      <c r="H2297" s="108"/>
      <c r="I2297" s="71"/>
    </row>
    <row r="2298" spans="1:9" s="65" customFormat="1">
      <c r="A2298" s="75" t="s">
        <v>391</v>
      </c>
      <c r="B2298" s="76" t="s">
        <v>392</v>
      </c>
      <c r="C2298" s="76" t="s">
        <v>393</v>
      </c>
      <c r="D2298" s="76" t="s">
        <v>394</v>
      </c>
      <c r="E2298" s="76" t="s">
        <v>395</v>
      </c>
      <c r="F2298" s="76" t="s">
        <v>396</v>
      </c>
      <c r="G2298" s="76" t="s">
        <v>397</v>
      </c>
      <c r="H2298" s="108"/>
      <c r="I2298" s="71"/>
    </row>
    <row r="2299" spans="1:9" s="65" customFormat="1">
      <c r="A2299" s="77"/>
      <c r="B2299" s="78"/>
      <c r="C2299" s="79"/>
      <c r="D2299" s="107"/>
      <c r="E2299" s="79"/>
      <c r="F2299" s="79"/>
      <c r="G2299" s="107"/>
      <c r="H2299" s="108"/>
      <c r="I2299" s="71"/>
    </row>
    <row r="2300" spans="1:9" s="65" customFormat="1">
      <c r="A2300" s="90"/>
      <c r="B2300" s="91"/>
      <c r="C2300" s="91"/>
      <c r="D2300" s="91"/>
      <c r="E2300" s="91"/>
      <c r="F2300"/>
      <c r="G2300" s="93" t="s">
        <v>407</v>
      </c>
      <c r="H2300" s="107">
        <f>SUM(G2299:G2299)</f>
        <v>0</v>
      </c>
      <c r="I2300" s="71"/>
    </row>
    <row r="2301" spans="1:9" s="65" customFormat="1">
      <c r="A2301" s="72" t="s">
        <v>411</v>
      </c>
      <c r="B2301" s="73"/>
      <c r="C2301" s="73"/>
      <c r="D2301" s="73"/>
      <c r="E2301" s="73"/>
      <c r="F2301"/>
      <c r="G2301" s="74"/>
      <c r="H2301" s="108"/>
      <c r="I2301" s="71"/>
    </row>
    <row r="2302" spans="1:9" s="65" customFormat="1">
      <c r="A2302" s="75" t="s">
        <v>391</v>
      </c>
      <c r="B2302" s="76" t="s">
        <v>392</v>
      </c>
      <c r="C2302" s="76" t="s">
        <v>393</v>
      </c>
      <c r="D2302" s="76" t="s">
        <v>394</v>
      </c>
      <c r="E2302" s="76" t="s">
        <v>395</v>
      </c>
      <c r="F2302" s="76" t="s">
        <v>396</v>
      </c>
      <c r="G2302" s="76" t="s">
        <v>397</v>
      </c>
      <c r="H2302" s="108"/>
      <c r="I2302" s="71"/>
    </row>
    <row r="2303" spans="1:9" s="65" customFormat="1">
      <c r="A2303" s="87" t="s">
        <v>409</v>
      </c>
      <c r="B2303" s="114" t="s">
        <v>747</v>
      </c>
      <c r="C2303" s="114" t="s">
        <v>437</v>
      </c>
      <c r="D2303" s="114">
        <v>800000</v>
      </c>
      <c r="E2303" s="215">
        <v>1.7857142857142856E-2</v>
      </c>
      <c r="F2303" s="79">
        <v>0</v>
      </c>
      <c r="G2303" s="107">
        <f>(D2303*E2303)+((D2303*E2303)*F2303/100)</f>
        <v>14285.714285714284</v>
      </c>
      <c r="H2303" s="108"/>
      <c r="I2303" s="71"/>
    </row>
    <row r="2304" spans="1:9" s="65" customFormat="1">
      <c r="A2304" s="94"/>
      <c r="B2304" s="95"/>
      <c r="C2304" s="95"/>
      <c r="D2304" s="95"/>
      <c r="E2304" s="95"/>
      <c r="F2304"/>
      <c r="G2304" s="93" t="s">
        <v>407</v>
      </c>
      <c r="H2304" s="107">
        <f>SUM(G2302:G2303)</f>
        <v>14285.714285714284</v>
      </c>
      <c r="I2304" s="71"/>
    </row>
    <row r="2305" spans="1:9" s="65" customFormat="1">
      <c r="A2305" s="94"/>
      <c r="B2305" s="95"/>
      <c r="C2305" s="95"/>
      <c r="D2305" s="95"/>
      <c r="E2305" s="95"/>
      <c r="F2305"/>
      <c r="G2305" s="74"/>
      <c r="H2305" s="74"/>
      <c r="I2305" s="71"/>
    </row>
    <row r="2306" spans="1:9" s="65" customFormat="1">
      <c r="A2306" s="96"/>
      <c r="B2306" s="97"/>
      <c r="C2306" s="98"/>
      <c r="D2306" s="98"/>
      <c r="E2306" s="98"/>
      <c r="F2306"/>
      <c r="G2306" s="99" t="s">
        <v>412</v>
      </c>
      <c r="H2306" s="115">
        <f>SUM(H2292:H2304)</f>
        <v>481997.7142857142</v>
      </c>
      <c r="I2306" s="71"/>
    </row>
    <row r="2307" spans="1:9" s="65" customFormat="1">
      <c r="A2307" s="96"/>
      <c r="B2307" s="97"/>
      <c r="C2307" s="98"/>
      <c r="D2307" s="98"/>
      <c r="E2307" s="98"/>
      <c r="F2307" s="101"/>
      <c r="G2307" s="116"/>
      <c r="H2307" s="70"/>
      <c r="I2307" s="71"/>
    </row>
    <row r="2308" spans="1:9" s="65" customFormat="1" ht="15.75" thickBot="1">
      <c r="A2308" s="624" t="s">
        <v>761</v>
      </c>
      <c r="B2308" s="625"/>
      <c r="C2308" s="625"/>
      <c r="D2308" s="625"/>
      <c r="E2308" s="625"/>
      <c r="F2308" s="625"/>
      <c r="G2308" s="626"/>
      <c r="H2308" s="117">
        <f>+ROUND(H2306,0)</f>
        <v>481998</v>
      </c>
      <c r="I2308" s="103"/>
    </row>
    <row r="2309" spans="1:9" s="65" customFormat="1">
      <c r="A2309" s="150"/>
      <c r="B2309" s="166"/>
      <c r="C2309" s="148"/>
      <c r="D2309" s="165"/>
      <c r="E2309" s="84"/>
      <c r="F2309" s="84"/>
      <c r="G2309" s="144"/>
      <c r="H2309" s="140"/>
    </row>
    <row r="2310" spans="1:9" s="65" customFormat="1" ht="15.75" thickBot="1">
      <c r="A2310" s="150"/>
      <c r="B2310" s="166"/>
      <c r="C2310" s="148"/>
      <c r="D2310" s="165"/>
      <c r="E2310" s="84"/>
      <c r="F2310" s="84"/>
      <c r="G2310" s="144"/>
      <c r="H2310" s="145"/>
    </row>
    <row r="2311" spans="1:9" s="65" customFormat="1">
      <c r="A2311" s="627"/>
      <c r="B2311" s="629" t="s">
        <v>944</v>
      </c>
      <c r="C2311" s="630"/>
      <c r="D2311" s="630"/>
      <c r="E2311" s="630"/>
      <c r="F2311" s="630"/>
      <c r="G2311" s="630"/>
      <c r="H2311" s="643"/>
      <c r="I2311" s="66" t="s">
        <v>389</v>
      </c>
    </row>
    <row r="2312" spans="1:9" s="65" customFormat="1">
      <c r="A2312" s="628"/>
      <c r="B2312" s="631"/>
      <c r="C2312" s="632"/>
      <c r="D2312" s="632"/>
      <c r="E2312" s="632"/>
      <c r="F2312" s="632"/>
      <c r="G2312" s="632"/>
      <c r="H2312" s="644"/>
      <c r="I2312" s="67" t="s">
        <v>157</v>
      </c>
    </row>
    <row r="2313" spans="1:9" s="65" customFormat="1">
      <c r="A2313" s="68"/>
      <c r="B2313" s="69"/>
      <c r="C2313" s="69"/>
      <c r="D2313" s="69"/>
      <c r="E2313" s="69"/>
      <c r="F2313" s="70"/>
      <c r="G2313" s="70"/>
      <c r="H2313" s="70"/>
      <c r="I2313" s="71"/>
    </row>
    <row r="2314" spans="1:9" s="65" customFormat="1">
      <c r="A2314" s="72" t="s">
        <v>390</v>
      </c>
      <c r="B2314" s="73"/>
      <c r="C2314" s="73"/>
      <c r="D2314" s="73"/>
      <c r="E2314" s="73"/>
      <c r="F2314" s="74"/>
      <c r="G2314" s="74"/>
      <c r="H2314" s="70"/>
      <c r="I2314" s="71"/>
    </row>
    <row r="2315" spans="1:9" s="65" customFormat="1">
      <c r="A2315" s="75" t="s">
        <v>391</v>
      </c>
      <c r="B2315" s="76" t="s">
        <v>392</v>
      </c>
      <c r="C2315" s="76" t="s">
        <v>393</v>
      </c>
      <c r="D2315" s="76" t="s">
        <v>394</v>
      </c>
      <c r="E2315" s="76" t="s">
        <v>395</v>
      </c>
      <c r="F2315" s="76" t="s">
        <v>396</v>
      </c>
      <c r="G2315" s="76" t="s">
        <v>397</v>
      </c>
      <c r="H2315" s="74"/>
      <c r="I2315" s="71"/>
    </row>
    <row r="2316" spans="1:9" s="65" customFormat="1">
      <c r="A2316" s="77"/>
      <c r="B2316" s="79"/>
      <c r="C2316" s="79"/>
      <c r="D2316" s="107"/>
      <c r="E2316" s="79"/>
      <c r="F2316" s="79"/>
      <c r="G2316" s="107"/>
      <c r="H2316" s="74"/>
      <c r="I2316" s="71"/>
    </row>
    <row r="2317" spans="1:9" s="65" customFormat="1">
      <c r="A2317" s="82"/>
      <c r="B2317" s="83"/>
      <c r="C2317" s="84"/>
      <c r="D2317" s="84"/>
      <c r="E2317" s="84"/>
      <c r="F2317"/>
      <c r="G2317" s="93" t="s">
        <v>407</v>
      </c>
      <c r="H2317" s="107">
        <f>SUM(G2316:G2316)</f>
        <v>0</v>
      </c>
      <c r="I2317" s="71"/>
    </row>
    <row r="2318" spans="1:9" s="65" customFormat="1">
      <c r="A2318" s="72" t="s">
        <v>408</v>
      </c>
      <c r="B2318" s="73"/>
      <c r="C2318" s="73"/>
      <c r="D2318" s="73"/>
      <c r="E2318" s="73"/>
      <c r="F2318"/>
      <c r="G2318" s="74"/>
      <c r="H2318" s="108"/>
      <c r="I2318" s="71"/>
    </row>
    <row r="2319" spans="1:9" s="65" customFormat="1">
      <c r="A2319" s="75" t="s">
        <v>391</v>
      </c>
      <c r="B2319" s="76" t="s">
        <v>392</v>
      </c>
      <c r="C2319" s="76" t="s">
        <v>393</v>
      </c>
      <c r="D2319" s="76" t="s">
        <v>394</v>
      </c>
      <c r="E2319" s="76" t="s">
        <v>395</v>
      </c>
      <c r="F2319" s="76" t="s">
        <v>396</v>
      </c>
      <c r="G2319" s="76" t="s">
        <v>397</v>
      </c>
      <c r="H2319" s="108"/>
      <c r="I2319" s="71"/>
    </row>
    <row r="2320" spans="1:9" s="65" customFormat="1" ht="25.5">
      <c r="A2320" s="135"/>
      <c r="B2320" s="78" t="s">
        <v>944</v>
      </c>
      <c r="C2320" s="127" t="s">
        <v>157</v>
      </c>
      <c r="D2320" s="107">
        <f>600000*1.16*1.2*0.8</f>
        <v>668160</v>
      </c>
      <c r="E2320" s="79">
        <v>1</v>
      </c>
      <c r="F2320" s="79">
        <v>0</v>
      </c>
      <c r="G2320" s="107">
        <f>(D2320*E2320)+((D2320*E2320)*F2320/100)</f>
        <v>668160</v>
      </c>
      <c r="H2320" s="108"/>
      <c r="I2320" s="71"/>
    </row>
    <row r="2321" spans="1:9" s="65" customFormat="1">
      <c r="A2321" s="90"/>
      <c r="B2321" s="91"/>
      <c r="C2321" s="91"/>
      <c r="D2321" s="91"/>
      <c r="E2321" s="91"/>
      <c r="F2321"/>
      <c r="G2321" s="85" t="s">
        <v>407</v>
      </c>
      <c r="H2321" s="107">
        <f>SUM(G2320:G2320)</f>
        <v>668160</v>
      </c>
      <c r="I2321" s="71"/>
    </row>
    <row r="2322" spans="1:9" s="65" customFormat="1">
      <c r="A2322" s="72" t="s">
        <v>410</v>
      </c>
      <c r="B2322" s="73"/>
      <c r="C2322" s="73"/>
      <c r="D2322" s="73"/>
      <c r="E2322" s="73"/>
      <c r="F2322"/>
      <c r="G2322" s="74"/>
      <c r="H2322" s="108"/>
      <c r="I2322" s="71"/>
    </row>
    <row r="2323" spans="1:9" s="65" customFormat="1">
      <c r="A2323" s="75" t="s">
        <v>391</v>
      </c>
      <c r="B2323" s="76" t="s">
        <v>392</v>
      </c>
      <c r="C2323" s="76" t="s">
        <v>393</v>
      </c>
      <c r="D2323" s="76" t="s">
        <v>394</v>
      </c>
      <c r="E2323" s="76" t="s">
        <v>395</v>
      </c>
      <c r="F2323" s="76" t="s">
        <v>396</v>
      </c>
      <c r="G2323" s="76" t="s">
        <v>397</v>
      </c>
      <c r="H2323" s="108"/>
      <c r="I2323" s="71"/>
    </row>
    <row r="2324" spans="1:9" s="65" customFormat="1">
      <c r="A2324" s="77"/>
      <c r="B2324" s="78"/>
      <c r="C2324" s="79"/>
      <c r="D2324" s="107"/>
      <c r="E2324" s="79"/>
      <c r="F2324" s="79"/>
      <c r="G2324" s="107"/>
      <c r="H2324" s="108"/>
      <c r="I2324" s="71"/>
    </row>
    <row r="2325" spans="1:9" s="65" customFormat="1">
      <c r="A2325" s="90"/>
      <c r="B2325" s="91"/>
      <c r="C2325" s="91"/>
      <c r="D2325" s="91"/>
      <c r="E2325" s="91"/>
      <c r="F2325"/>
      <c r="G2325" s="93" t="s">
        <v>407</v>
      </c>
      <c r="H2325" s="107">
        <f>SUM(G2324:G2324)</f>
        <v>0</v>
      </c>
      <c r="I2325" s="71"/>
    </row>
    <row r="2326" spans="1:9" s="65" customFormat="1">
      <c r="A2326" s="72" t="s">
        <v>411</v>
      </c>
      <c r="B2326" s="73"/>
      <c r="C2326" s="73"/>
      <c r="D2326" s="73"/>
      <c r="E2326" s="73"/>
      <c r="F2326"/>
      <c r="G2326" s="74"/>
      <c r="H2326" s="108"/>
      <c r="I2326" s="71"/>
    </row>
    <row r="2327" spans="1:9" s="65" customFormat="1">
      <c r="A2327" s="75" t="s">
        <v>391</v>
      </c>
      <c r="B2327" s="76" t="s">
        <v>392</v>
      </c>
      <c r="C2327" s="76" t="s">
        <v>393</v>
      </c>
      <c r="D2327" s="76" t="s">
        <v>394</v>
      </c>
      <c r="E2327" s="76" t="s">
        <v>395</v>
      </c>
      <c r="F2327" s="76" t="s">
        <v>396</v>
      </c>
      <c r="G2327" s="76" t="s">
        <v>397</v>
      </c>
      <c r="H2327" s="108"/>
      <c r="I2327" s="71"/>
    </row>
    <row r="2328" spans="1:9" s="65" customFormat="1">
      <c r="A2328" s="87" t="s">
        <v>409</v>
      </c>
      <c r="B2328" s="114" t="s">
        <v>747</v>
      </c>
      <c r="C2328" s="114" t="s">
        <v>437</v>
      </c>
      <c r="D2328" s="114">
        <v>800000</v>
      </c>
      <c r="E2328" s="215">
        <v>1.7857142857142856E-2</v>
      </c>
      <c r="F2328" s="79">
        <v>0</v>
      </c>
      <c r="G2328" s="107">
        <f>(D2328*E2328)+((D2328*E2328)*F2328/100)</f>
        <v>14285.714285714284</v>
      </c>
      <c r="H2328" s="108"/>
      <c r="I2328" s="71"/>
    </row>
    <row r="2329" spans="1:9" s="65" customFormat="1">
      <c r="A2329" s="94"/>
      <c r="B2329" s="95"/>
      <c r="C2329" s="95"/>
      <c r="D2329" s="95"/>
      <c r="E2329" s="95"/>
      <c r="F2329"/>
      <c r="G2329" s="93" t="s">
        <v>407</v>
      </c>
      <c r="H2329" s="107">
        <f>SUM(G2327:G2328)</f>
        <v>14285.714285714284</v>
      </c>
      <c r="I2329" s="71"/>
    </row>
    <row r="2330" spans="1:9" s="65" customFormat="1">
      <c r="A2330" s="94"/>
      <c r="B2330" s="95"/>
      <c r="C2330" s="95"/>
      <c r="D2330" s="95"/>
      <c r="E2330" s="95"/>
      <c r="F2330"/>
      <c r="G2330" s="74"/>
      <c r="H2330" s="74"/>
      <c r="I2330" s="71"/>
    </row>
    <row r="2331" spans="1:9" s="65" customFormat="1">
      <c r="A2331" s="96"/>
      <c r="B2331" s="97"/>
      <c r="C2331" s="98"/>
      <c r="D2331" s="98"/>
      <c r="E2331" s="98"/>
      <c r="F2331"/>
      <c r="G2331" s="99" t="s">
        <v>412</v>
      </c>
      <c r="H2331" s="115">
        <f>SUM(H2317:H2329)</f>
        <v>682445.71428571432</v>
      </c>
      <c r="I2331" s="71"/>
    </row>
    <row r="2332" spans="1:9" s="65" customFormat="1">
      <c r="A2332" s="96"/>
      <c r="B2332" s="97"/>
      <c r="C2332" s="98"/>
      <c r="D2332" s="98"/>
      <c r="E2332" s="98"/>
      <c r="F2332" s="101"/>
      <c r="G2332" s="116"/>
      <c r="H2332" s="70"/>
      <c r="I2332" s="71"/>
    </row>
    <row r="2333" spans="1:9" s="65" customFormat="1" ht="15.75" thickBot="1">
      <c r="A2333" s="624" t="s">
        <v>761</v>
      </c>
      <c r="B2333" s="625"/>
      <c r="C2333" s="625"/>
      <c r="D2333" s="625"/>
      <c r="E2333" s="625"/>
      <c r="F2333" s="625"/>
      <c r="G2333" s="626"/>
      <c r="H2333" s="117">
        <f>+ROUND(H2331,0)</f>
        <v>682446</v>
      </c>
      <c r="I2333" s="103"/>
    </row>
    <row r="2334" spans="1:9" s="65" customFormat="1">
      <c r="A2334" s="120"/>
      <c r="B2334" s="73"/>
      <c r="C2334" s="73"/>
      <c r="D2334" s="73"/>
      <c r="E2334" s="73"/>
      <c r="G2334" s="121"/>
      <c r="H2334" s="140"/>
    </row>
    <row r="2335" spans="1:9" s="65" customFormat="1" ht="15.75" thickBot="1">
      <c r="A2335" s="128"/>
      <c r="B2335" s="141"/>
      <c r="C2335" s="141"/>
      <c r="D2335" s="141"/>
      <c r="E2335" s="141"/>
      <c r="F2335" s="141"/>
      <c r="G2335" s="141"/>
      <c r="H2335" s="140"/>
    </row>
    <row r="2336" spans="1:9" s="65" customFormat="1">
      <c r="A2336" s="627"/>
      <c r="B2336" s="629" t="s">
        <v>945</v>
      </c>
      <c r="C2336" s="630"/>
      <c r="D2336" s="630"/>
      <c r="E2336" s="630"/>
      <c r="F2336" s="630"/>
      <c r="G2336" s="630"/>
      <c r="H2336" s="643"/>
      <c r="I2336" s="66" t="s">
        <v>389</v>
      </c>
    </row>
    <row r="2337" spans="1:9" s="65" customFormat="1">
      <c r="A2337" s="628"/>
      <c r="B2337" s="631"/>
      <c r="C2337" s="632"/>
      <c r="D2337" s="632"/>
      <c r="E2337" s="632"/>
      <c r="F2337" s="632"/>
      <c r="G2337" s="632"/>
      <c r="H2337" s="644"/>
      <c r="I2337" s="67" t="s">
        <v>7</v>
      </c>
    </row>
    <row r="2338" spans="1:9" s="65" customFormat="1">
      <c r="A2338" s="68"/>
      <c r="B2338" s="69"/>
      <c r="C2338" s="69"/>
      <c r="D2338" s="69"/>
      <c r="E2338" s="69"/>
      <c r="F2338" s="70"/>
      <c r="G2338" s="70"/>
      <c r="H2338" s="70"/>
      <c r="I2338" s="71"/>
    </row>
    <row r="2339" spans="1:9" s="65" customFormat="1">
      <c r="A2339" s="72" t="s">
        <v>390</v>
      </c>
      <c r="B2339" s="73"/>
      <c r="C2339" s="73"/>
      <c r="D2339" s="73"/>
      <c r="E2339" s="73"/>
      <c r="F2339" s="74"/>
      <c r="G2339" s="74"/>
      <c r="H2339" s="70"/>
      <c r="I2339" s="71"/>
    </row>
    <row r="2340" spans="1:9" s="65" customFormat="1">
      <c r="A2340" s="75" t="s">
        <v>391</v>
      </c>
      <c r="B2340" s="76" t="s">
        <v>392</v>
      </c>
      <c r="C2340" s="76" t="s">
        <v>393</v>
      </c>
      <c r="D2340" s="76" t="s">
        <v>394</v>
      </c>
      <c r="E2340" s="76" t="s">
        <v>395</v>
      </c>
      <c r="F2340" s="76" t="s">
        <v>396</v>
      </c>
      <c r="G2340" s="76" t="s">
        <v>397</v>
      </c>
      <c r="H2340" s="74"/>
      <c r="I2340" s="71"/>
    </row>
    <row r="2341" spans="1:9" s="65" customFormat="1">
      <c r="A2341" s="77"/>
      <c r="B2341" s="79"/>
      <c r="C2341" s="79"/>
      <c r="D2341" s="107"/>
      <c r="E2341" s="79"/>
      <c r="F2341" s="79"/>
      <c r="G2341" s="107"/>
      <c r="H2341" s="74"/>
      <c r="I2341" s="71"/>
    </row>
    <row r="2342" spans="1:9" s="65" customFormat="1">
      <c r="A2342" s="82"/>
      <c r="B2342" s="83"/>
      <c r="C2342" s="84"/>
      <c r="D2342" s="84"/>
      <c r="E2342" s="84"/>
      <c r="F2342"/>
      <c r="G2342" s="93" t="s">
        <v>407</v>
      </c>
      <c r="H2342" s="107">
        <f>SUM(G2341:G2341)</f>
        <v>0</v>
      </c>
      <c r="I2342" s="71"/>
    </row>
    <row r="2343" spans="1:9" s="65" customFormat="1">
      <c r="A2343" s="72" t="s">
        <v>408</v>
      </c>
      <c r="B2343" s="73"/>
      <c r="C2343" s="73"/>
      <c r="D2343" s="73"/>
      <c r="E2343" s="73"/>
      <c r="F2343"/>
      <c r="G2343" s="74"/>
      <c r="H2343" s="108"/>
      <c r="I2343" s="71"/>
    </row>
    <row r="2344" spans="1:9" s="65" customFormat="1">
      <c r="A2344" s="75" t="s">
        <v>391</v>
      </c>
      <c r="B2344" s="76" t="s">
        <v>392</v>
      </c>
      <c r="C2344" s="76" t="s">
        <v>393</v>
      </c>
      <c r="D2344" s="76" t="s">
        <v>394</v>
      </c>
      <c r="E2344" s="76" t="s">
        <v>395</v>
      </c>
      <c r="F2344" s="76" t="s">
        <v>396</v>
      </c>
      <c r="G2344" s="76" t="s">
        <v>397</v>
      </c>
      <c r="H2344" s="108"/>
      <c r="I2344" s="71"/>
    </row>
    <row r="2345" spans="1:9" s="65" customFormat="1">
      <c r="A2345" s="135"/>
      <c r="B2345" s="78" t="s">
        <v>337</v>
      </c>
      <c r="C2345" s="127" t="s">
        <v>493</v>
      </c>
      <c r="D2345" s="107">
        <f>1314000*2*1.2*1.16</f>
        <v>3658175.9999999995</v>
      </c>
      <c r="E2345" s="79">
        <v>1</v>
      </c>
      <c r="F2345" s="79">
        <v>0</v>
      </c>
      <c r="G2345" s="107">
        <f>(D2345*E2345)+((D2345*E2345)*F2345/100)</f>
        <v>3658175.9999999995</v>
      </c>
      <c r="H2345" s="108"/>
      <c r="I2345" s="71"/>
    </row>
    <row r="2346" spans="1:9" s="65" customFormat="1">
      <c r="A2346" s="90"/>
      <c r="B2346" s="91"/>
      <c r="C2346" s="91"/>
      <c r="D2346" s="91"/>
      <c r="E2346" s="91"/>
      <c r="F2346"/>
      <c r="G2346" s="85" t="s">
        <v>407</v>
      </c>
      <c r="H2346" s="107">
        <f>SUM(G2345:G2345)</f>
        <v>3658175.9999999995</v>
      </c>
      <c r="I2346" s="71"/>
    </row>
    <row r="2347" spans="1:9" s="65" customFormat="1">
      <c r="A2347" s="72" t="s">
        <v>410</v>
      </c>
      <c r="B2347" s="73"/>
      <c r="C2347" s="73"/>
      <c r="D2347" s="73"/>
      <c r="E2347" s="73"/>
      <c r="F2347"/>
      <c r="G2347" s="74"/>
      <c r="H2347" s="108"/>
      <c r="I2347" s="71"/>
    </row>
    <row r="2348" spans="1:9" s="65" customFormat="1">
      <c r="A2348" s="75" t="s">
        <v>391</v>
      </c>
      <c r="B2348" s="76" t="s">
        <v>392</v>
      </c>
      <c r="C2348" s="76" t="s">
        <v>393</v>
      </c>
      <c r="D2348" s="76" t="s">
        <v>394</v>
      </c>
      <c r="E2348" s="76" t="s">
        <v>395</v>
      </c>
      <c r="F2348" s="76" t="s">
        <v>396</v>
      </c>
      <c r="G2348" s="76" t="s">
        <v>397</v>
      </c>
      <c r="H2348" s="108"/>
      <c r="I2348" s="71"/>
    </row>
    <row r="2349" spans="1:9" s="65" customFormat="1">
      <c r="A2349" s="77"/>
      <c r="B2349" s="78"/>
      <c r="C2349" s="79"/>
      <c r="D2349" s="107"/>
      <c r="E2349" s="79"/>
      <c r="F2349" s="79"/>
      <c r="G2349" s="107"/>
      <c r="H2349" s="108"/>
      <c r="I2349" s="71"/>
    </row>
    <row r="2350" spans="1:9" s="65" customFormat="1">
      <c r="A2350" s="90"/>
      <c r="B2350" s="91"/>
      <c r="C2350" s="91"/>
      <c r="D2350" s="91"/>
      <c r="E2350" s="91"/>
      <c r="F2350"/>
      <c r="G2350" s="93" t="s">
        <v>407</v>
      </c>
      <c r="H2350" s="107">
        <f>SUM(G2349:G2349)</f>
        <v>0</v>
      </c>
      <c r="I2350" s="71"/>
    </row>
    <row r="2351" spans="1:9" s="65" customFormat="1">
      <c r="A2351" s="72" t="s">
        <v>411</v>
      </c>
      <c r="B2351" s="73"/>
      <c r="C2351" s="73"/>
      <c r="D2351" s="73"/>
      <c r="E2351" s="73"/>
      <c r="F2351"/>
      <c r="G2351" s="74"/>
      <c r="H2351" s="108"/>
      <c r="I2351" s="71"/>
    </row>
    <row r="2352" spans="1:9" s="65" customFormat="1">
      <c r="A2352" s="75" t="s">
        <v>391</v>
      </c>
      <c r="B2352" s="76" t="s">
        <v>392</v>
      </c>
      <c r="C2352" s="76" t="s">
        <v>393</v>
      </c>
      <c r="D2352" s="76" t="s">
        <v>394</v>
      </c>
      <c r="E2352" s="76" t="s">
        <v>395</v>
      </c>
      <c r="F2352" s="76" t="s">
        <v>396</v>
      </c>
      <c r="G2352" s="76" t="s">
        <v>397</v>
      </c>
      <c r="H2352" s="108"/>
      <c r="I2352" s="71"/>
    </row>
    <row r="2353" spans="1:9" s="65" customFormat="1">
      <c r="A2353" s="87" t="s">
        <v>409</v>
      </c>
      <c r="B2353" s="114" t="s">
        <v>747</v>
      </c>
      <c r="C2353" s="114" t="s">
        <v>437</v>
      </c>
      <c r="D2353" s="114">
        <v>800000</v>
      </c>
      <c r="E2353" s="215">
        <v>0.1</v>
      </c>
      <c r="F2353" s="79">
        <v>0</v>
      </c>
      <c r="G2353" s="107">
        <f>(D2353*E2353)+((D2353*E2353)*F2353/100)</f>
        <v>80000</v>
      </c>
      <c r="H2353" s="108"/>
      <c r="I2353" s="71"/>
    </row>
    <row r="2354" spans="1:9" s="65" customFormat="1">
      <c r="A2354" s="94"/>
      <c r="B2354" s="95"/>
      <c r="C2354" s="95"/>
      <c r="D2354" s="95"/>
      <c r="E2354" s="95"/>
      <c r="F2354"/>
      <c r="G2354" s="93" t="s">
        <v>407</v>
      </c>
      <c r="H2354" s="107">
        <f>SUM(G2352:G2353)</f>
        <v>80000</v>
      </c>
      <c r="I2354" s="71"/>
    </row>
    <row r="2355" spans="1:9" s="65" customFormat="1">
      <c r="A2355" s="94"/>
      <c r="B2355" s="95"/>
      <c r="C2355" s="95"/>
      <c r="D2355" s="95"/>
      <c r="E2355" s="95"/>
      <c r="F2355"/>
      <c r="G2355" s="74"/>
      <c r="H2355" s="74"/>
      <c r="I2355" s="71"/>
    </row>
    <row r="2356" spans="1:9" s="65" customFormat="1">
      <c r="A2356" s="96"/>
      <c r="B2356" s="97"/>
      <c r="C2356" s="98"/>
      <c r="D2356" s="98"/>
      <c r="E2356" s="98"/>
      <c r="F2356"/>
      <c r="G2356" s="99" t="s">
        <v>412</v>
      </c>
      <c r="H2356" s="115">
        <f>SUM(H2342:H2354)</f>
        <v>3738175.9999999995</v>
      </c>
      <c r="I2356" s="71"/>
    </row>
    <row r="2357" spans="1:9" s="65" customFormat="1">
      <c r="A2357" s="96"/>
      <c r="B2357" s="97"/>
      <c r="C2357" s="98"/>
      <c r="D2357" s="98"/>
      <c r="E2357" s="98"/>
      <c r="F2357" s="101"/>
      <c r="G2357" s="116"/>
      <c r="H2357" s="70"/>
      <c r="I2357" s="71"/>
    </row>
    <row r="2358" spans="1:9" s="65" customFormat="1" ht="15.75" thickBot="1">
      <c r="A2358" s="624" t="s">
        <v>502</v>
      </c>
      <c r="B2358" s="625"/>
      <c r="C2358" s="625"/>
      <c r="D2358" s="625"/>
      <c r="E2358" s="625"/>
      <c r="F2358" s="625"/>
      <c r="G2358" s="626"/>
      <c r="H2358" s="117">
        <f>+ROUND(H2356,0)</f>
        <v>3738176</v>
      </c>
      <c r="I2358" s="103"/>
    </row>
    <row r="2359" spans="1:9" s="65" customFormat="1">
      <c r="A2359" s="120"/>
      <c r="B2359" s="73"/>
      <c r="C2359" s="73"/>
      <c r="D2359" s="73"/>
      <c r="E2359" s="73"/>
      <c r="G2359" s="121"/>
      <c r="H2359" s="140"/>
    </row>
    <row r="2360" spans="1:9" s="65" customFormat="1" ht="15.75" thickBot="1">
      <c r="A2360" s="128"/>
      <c r="B2360" s="141"/>
      <c r="C2360" s="141"/>
      <c r="D2360" s="141"/>
      <c r="E2360" s="141"/>
      <c r="F2360" s="141"/>
      <c r="G2360" s="141"/>
      <c r="H2360" s="140"/>
    </row>
    <row r="2361" spans="1:9" s="65" customFormat="1">
      <c r="A2361" s="627"/>
      <c r="B2361" s="629" t="s">
        <v>314</v>
      </c>
      <c r="C2361" s="630"/>
      <c r="D2361" s="630"/>
      <c r="E2361" s="630"/>
      <c r="F2361" s="630"/>
      <c r="G2361" s="630"/>
      <c r="H2361" s="643"/>
      <c r="I2361" s="66" t="s">
        <v>389</v>
      </c>
    </row>
    <row r="2362" spans="1:9" s="65" customFormat="1">
      <c r="A2362" s="628"/>
      <c r="B2362" s="631"/>
      <c r="C2362" s="632"/>
      <c r="D2362" s="632"/>
      <c r="E2362" s="632"/>
      <c r="F2362" s="632"/>
      <c r="G2362" s="632"/>
      <c r="H2362" s="644"/>
      <c r="I2362" s="67" t="s">
        <v>157</v>
      </c>
    </row>
    <row r="2363" spans="1:9" s="65" customFormat="1">
      <c r="A2363" s="68"/>
      <c r="B2363" s="69"/>
      <c r="C2363" s="69"/>
      <c r="D2363" s="69"/>
      <c r="E2363" s="69"/>
      <c r="F2363" s="70"/>
      <c r="G2363" s="70"/>
      <c r="H2363" s="70"/>
      <c r="I2363" s="71"/>
    </row>
    <row r="2364" spans="1:9" s="65" customFormat="1">
      <c r="A2364" s="72" t="s">
        <v>390</v>
      </c>
      <c r="B2364" s="73"/>
      <c r="C2364" s="73"/>
      <c r="D2364" s="73"/>
      <c r="E2364" s="73"/>
      <c r="F2364" s="74"/>
      <c r="G2364" s="74"/>
      <c r="H2364" s="70"/>
      <c r="I2364" s="71"/>
    </row>
    <row r="2365" spans="1:9" s="65" customFormat="1">
      <c r="A2365" s="75" t="s">
        <v>391</v>
      </c>
      <c r="B2365" s="76" t="s">
        <v>392</v>
      </c>
      <c r="C2365" s="76" t="s">
        <v>393</v>
      </c>
      <c r="D2365" s="76" t="s">
        <v>394</v>
      </c>
      <c r="E2365" s="76" t="s">
        <v>395</v>
      </c>
      <c r="F2365" s="76" t="s">
        <v>396</v>
      </c>
      <c r="G2365" s="76" t="s">
        <v>397</v>
      </c>
      <c r="H2365" s="74"/>
      <c r="I2365" s="71"/>
    </row>
    <row r="2366" spans="1:9" s="65" customFormat="1">
      <c r="A2366" s="77"/>
      <c r="B2366" s="79"/>
      <c r="C2366" s="79"/>
      <c r="D2366" s="107"/>
      <c r="E2366" s="79"/>
      <c r="F2366" s="79"/>
      <c r="G2366" s="107"/>
      <c r="H2366" s="74"/>
      <c r="I2366" s="71"/>
    </row>
    <row r="2367" spans="1:9" s="65" customFormat="1">
      <c r="A2367" s="82"/>
      <c r="B2367" s="83"/>
      <c r="C2367" s="84"/>
      <c r="D2367" s="84"/>
      <c r="E2367" s="84"/>
      <c r="F2367"/>
      <c r="G2367" s="93" t="s">
        <v>407</v>
      </c>
      <c r="H2367" s="107">
        <f>SUM(G2366:G2366)</f>
        <v>0</v>
      </c>
      <c r="I2367" s="71"/>
    </row>
    <row r="2368" spans="1:9" s="65" customFormat="1">
      <c r="A2368" s="72" t="s">
        <v>408</v>
      </c>
      <c r="B2368" s="73"/>
      <c r="C2368" s="73"/>
      <c r="D2368" s="73"/>
      <c r="E2368" s="73"/>
      <c r="F2368"/>
      <c r="G2368" s="74"/>
      <c r="H2368" s="108"/>
      <c r="I2368" s="71"/>
    </row>
    <row r="2369" spans="1:9" s="65" customFormat="1">
      <c r="A2369" s="75" t="s">
        <v>391</v>
      </c>
      <c r="B2369" s="76" t="s">
        <v>392</v>
      </c>
      <c r="C2369" s="76" t="s">
        <v>393</v>
      </c>
      <c r="D2369" s="76" t="s">
        <v>394</v>
      </c>
      <c r="E2369" s="76" t="s">
        <v>395</v>
      </c>
      <c r="F2369" s="76" t="s">
        <v>396</v>
      </c>
      <c r="G2369" s="76" t="s">
        <v>397</v>
      </c>
      <c r="H2369" s="108"/>
      <c r="I2369" s="71"/>
    </row>
    <row r="2370" spans="1:9" s="65" customFormat="1" ht="25.5">
      <c r="A2370" s="135"/>
      <c r="B2370" s="78" t="s">
        <v>314</v>
      </c>
      <c r="C2370" s="127" t="s">
        <v>157</v>
      </c>
      <c r="D2370" s="107">
        <f>220000*1.2*1.16</f>
        <v>306240</v>
      </c>
      <c r="E2370" s="79">
        <v>1</v>
      </c>
      <c r="F2370" s="79">
        <v>0</v>
      </c>
      <c r="G2370" s="107">
        <f>(D2370*E2370)+((D2370*E2370)*F2370/100)</f>
        <v>306240</v>
      </c>
      <c r="H2370" s="108"/>
      <c r="I2370" s="71"/>
    </row>
    <row r="2371" spans="1:9" s="65" customFormat="1">
      <c r="A2371" s="90"/>
      <c r="B2371" s="91"/>
      <c r="C2371" s="91"/>
      <c r="D2371" s="91"/>
      <c r="E2371" s="91"/>
      <c r="F2371"/>
      <c r="G2371" s="85" t="s">
        <v>407</v>
      </c>
      <c r="H2371" s="107">
        <f>SUM(G2370:G2370)</f>
        <v>306240</v>
      </c>
      <c r="I2371" s="71"/>
    </row>
    <row r="2372" spans="1:9" s="65" customFormat="1">
      <c r="A2372" s="72" t="s">
        <v>410</v>
      </c>
      <c r="B2372" s="73"/>
      <c r="C2372" s="73"/>
      <c r="D2372" s="73"/>
      <c r="E2372" s="73"/>
      <c r="F2372"/>
      <c r="G2372" s="74"/>
      <c r="H2372" s="108"/>
      <c r="I2372" s="71"/>
    </row>
    <row r="2373" spans="1:9" s="65" customFormat="1">
      <c r="A2373" s="75" t="s">
        <v>391</v>
      </c>
      <c r="B2373" s="76" t="s">
        <v>392</v>
      </c>
      <c r="C2373" s="76" t="s">
        <v>393</v>
      </c>
      <c r="D2373" s="76" t="s">
        <v>394</v>
      </c>
      <c r="E2373" s="76" t="s">
        <v>395</v>
      </c>
      <c r="F2373" s="76" t="s">
        <v>396</v>
      </c>
      <c r="G2373" s="76" t="s">
        <v>397</v>
      </c>
      <c r="H2373" s="108"/>
      <c r="I2373" s="71"/>
    </row>
    <row r="2374" spans="1:9" s="65" customFormat="1">
      <c r="A2374" s="77"/>
      <c r="B2374" s="78"/>
      <c r="C2374" s="79"/>
      <c r="D2374" s="107"/>
      <c r="E2374" s="79"/>
      <c r="F2374" s="79"/>
      <c r="G2374" s="107"/>
      <c r="H2374" s="108"/>
      <c r="I2374" s="71"/>
    </row>
    <row r="2375" spans="1:9" s="65" customFormat="1">
      <c r="A2375" s="90"/>
      <c r="B2375" s="91"/>
      <c r="C2375" s="91"/>
      <c r="D2375" s="91"/>
      <c r="E2375" s="91"/>
      <c r="F2375"/>
      <c r="G2375" s="93" t="s">
        <v>407</v>
      </c>
      <c r="H2375" s="107">
        <f>SUM(G2374:G2374)</f>
        <v>0</v>
      </c>
      <c r="I2375" s="71"/>
    </row>
    <row r="2376" spans="1:9" s="65" customFormat="1">
      <c r="A2376" s="72" t="s">
        <v>411</v>
      </c>
      <c r="B2376" s="73"/>
      <c r="C2376" s="73"/>
      <c r="D2376" s="73"/>
      <c r="E2376" s="73"/>
      <c r="F2376"/>
      <c r="G2376" s="74"/>
      <c r="H2376" s="108"/>
      <c r="I2376" s="71"/>
    </row>
    <row r="2377" spans="1:9" s="65" customFormat="1">
      <c r="A2377" s="75" t="s">
        <v>391</v>
      </c>
      <c r="B2377" s="76" t="s">
        <v>392</v>
      </c>
      <c r="C2377" s="76" t="s">
        <v>393</v>
      </c>
      <c r="D2377" s="76" t="s">
        <v>394</v>
      </c>
      <c r="E2377" s="76" t="s">
        <v>395</v>
      </c>
      <c r="F2377" s="76" t="s">
        <v>396</v>
      </c>
      <c r="G2377" s="76" t="s">
        <v>397</v>
      </c>
      <c r="H2377" s="108"/>
      <c r="I2377" s="71"/>
    </row>
    <row r="2378" spans="1:9" s="65" customFormat="1">
      <c r="A2378" s="87" t="s">
        <v>409</v>
      </c>
      <c r="B2378" s="114" t="s">
        <v>747</v>
      </c>
      <c r="C2378" s="114" t="s">
        <v>437</v>
      </c>
      <c r="D2378" s="114">
        <v>800000</v>
      </c>
      <c r="E2378" s="215">
        <v>0.04</v>
      </c>
      <c r="F2378" s="79">
        <v>0</v>
      </c>
      <c r="G2378" s="107">
        <f>(D2378*E2378)+((D2378*E2378)*F2378/100)</f>
        <v>32000</v>
      </c>
      <c r="H2378" s="108"/>
      <c r="I2378" s="71"/>
    </row>
    <row r="2379" spans="1:9" s="65" customFormat="1">
      <c r="A2379" s="94"/>
      <c r="B2379" s="95"/>
      <c r="C2379" s="95"/>
      <c r="D2379" s="95"/>
      <c r="E2379" s="95"/>
      <c r="F2379"/>
      <c r="G2379" s="93" t="s">
        <v>407</v>
      </c>
      <c r="H2379" s="107">
        <f>SUM(G2377:G2378)</f>
        <v>32000</v>
      </c>
      <c r="I2379" s="71"/>
    </row>
    <row r="2380" spans="1:9" s="65" customFormat="1">
      <c r="A2380" s="94"/>
      <c r="B2380" s="95"/>
      <c r="C2380" s="95"/>
      <c r="D2380" s="95"/>
      <c r="E2380" s="95"/>
      <c r="F2380"/>
      <c r="G2380" s="74"/>
      <c r="H2380" s="74"/>
      <c r="I2380" s="71"/>
    </row>
    <row r="2381" spans="1:9" s="65" customFormat="1">
      <c r="A2381" s="96"/>
      <c r="B2381" s="97"/>
      <c r="C2381" s="98"/>
      <c r="D2381" s="98"/>
      <c r="E2381" s="98"/>
      <c r="F2381"/>
      <c r="G2381" s="99" t="s">
        <v>412</v>
      </c>
      <c r="H2381" s="115">
        <f>SUM(H2367:H2379)</f>
        <v>338240</v>
      </c>
      <c r="I2381" s="71"/>
    </row>
    <row r="2382" spans="1:9" s="65" customFormat="1">
      <c r="A2382" s="96"/>
      <c r="B2382" s="97"/>
      <c r="C2382" s="98"/>
      <c r="D2382" s="98"/>
      <c r="E2382" s="98"/>
      <c r="F2382" s="101"/>
      <c r="G2382" s="116"/>
      <c r="H2382" s="70"/>
      <c r="I2382" s="71"/>
    </row>
    <row r="2383" spans="1:9" s="65" customFormat="1" ht="15.75" thickBot="1">
      <c r="A2383" s="624" t="s">
        <v>761</v>
      </c>
      <c r="B2383" s="625"/>
      <c r="C2383" s="625"/>
      <c r="D2383" s="625"/>
      <c r="E2383" s="625"/>
      <c r="F2383" s="625"/>
      <c r="G2383" s="626"/>
      <c r="H2383" s="117">
        <f>+ROUND(H2381,0)</f>
        <v>338240</v>
      </c>
      <c r="I2383" s="103"/>
    </row>
    <row r="2384" spans="1:9" s="65" customFormat="1">
      <c r="A2384" s="128"/>
      <c r="B2384" s="141"/>
      <c r="C2384" s="141"/>
      <c r="D2384" s="141"/>
      <c r="E2384" s="141"/>
      <c r="F2384" s="141"/>
      <c r="G2384" s="141"/>
      <c r="H2384" s="140"/>
    </row>
    <row r="2385" spans="1:9" s="65" customFormat="1" ht="17.25" thickBot="1">
      <c r="A2385" s="150"/>
      <c r="B2385" s="161"/>
      <c r="C2385" s="148"/>
      <c r="D2385" s="84"/>
      <c r="E2385" s="84"/>
      <c r="F2385" s="84"/>
      <c r="G2385" s="154"/>
      <c r="H2385" s="140"/>
    </row>
    <row r="2386" spans="1:9" s="65" customFormat="1">
      <c r="A2386" s="627"/>
      <c r="B2386" s="629" t="s">
        <v>375</v>
      </c>
      <c r="C2386" s="630"/>
      <c r="D2386" s="630"/>
      <c r="E2386" s="630"/>
      <c r="F2386" s="630"/>
      <c r="G2386" s="630"/>
      <c r="H2386" s="643"/>
      <c r="I2386" s="66" t="s">
        <v>389</v>
      </c>
    </row>
    <row r="2387" spans="1:9" s="65" customFormat="1">
      <c r="A2387" s="628"/>
      <c r="B2387" s="631"/>
      <c r="C2387" s="632"/>
      <c r="D2387" s="632"/>
      <c r="E2387" s="632"/>
      <c r="F2387" s="632"/>
      <c r="G2387" s="632"/>
      <c r="H2387" s="644"/>
      <c r="I2387" s="67" t="s">
        <v>157</v>
      </c>
    </row>
    <row r="2388" spans="1:9" s="65" customFormat="1">
      <c r="A2388" s="68"/>
      <c r="B2388" s="69"/>
      <c r="C2388" s="69"/>
      <c r="D2388" s="69"/>
      <c r="E2388" s="69"/>
      <c r="F2388" s="70"/>
      <c r="G2388" s="70"/>
      <c r="H2388" s="70"/>
      <c r="I2388" s="71"/>
    </row>
    <row r="2389" spans="1:9" s="65" customFormat="1">
      <c r="A2389" s="72" t="s">
        <v>390</v>
      </c>
      <c r="B2389" s="73"/>
      <c r="C2389" s="73"/>
      <c r="D2389" s="73"/>
      <c r="E2389" s="73"/>
      <c r="F2389" s="74"/>
      <c r="G2389" s="74"/>
      <c r="H2389" s="70"/>
      <c r="I2389" s="71"/>
    </row>
    <row r="2390" spans="1:9" s="65" customFormat="1">
      <c r="A2390" s="75" t="s">
        <v>391</v>
      </c>
      <c r="B2390" s="76" t="s">
        <v>392</v>
      </c>
      <c r="C2390" s="76" t="s">
        <v>393</v>
      </c>
      <c r="D2390" s="76" t="s">
        <v>394</v>
      </c>
      <c r="E2390" s="76" t="s">
        <v>395</v>
      </c>
      <c r="F2390" s="76" t="s">
        <v>396</v>
      </c>
      <c r="G2390" s="76" t="s">
        <v>397</v>
      </c>
      <c r="H2390" s="74"/>
      <c r="I2390" s="71"/>
    </row>
    <row r="2391" spans="1:9" s="65" customFormat="1">
      <c r="A2391" s="77"/>
      <c r="B2391" s="79"/>
      <c r="C2391" s="79"/>
      <c r="D2391" s="107"/>
      <c r="E2391" s="79"/>
      <c r="F2391" s="79"/>
      <c r="G2391" s="107"/>
      <c r="H2391" s="74"/>
      <c r="I2391" s="71"/>
    </row>
    <row r="2392" spans="1:9" s="65" customFormat="1">
      <c r="A2392" s="82"/>
      <c r="B2392" s="83"/>
      <c r="C2392" s="84"/>
      <c r="D2392" s="84"/>
      <c r="E2392" s="84"/>
      <c r="F2392"/>
      <c r="G2392" s="93" t="s">
        <v>407</v>
      </c>
      <c r="H2392" s="107">
        <f>SUM(G2391:G2391)</f>
        <v>0</v>
      </c>
      <c r="I2392" s="71"/>
    </row>
    <row r="2393" spans="1:9" s="65" customFormat="1">
      <c r="A2393" s="72" t="s">
        <v>408</v>
      </c>
      <c r="B2393" s="73"/>
      <c r="C2393" s="73"/>
      <c r="D2393" s="73"/>
      <c r="E2393" s="73"/>
      <c r="F2393"/>
      <c r="G2393" s="74"/>
      <c r="H2393" s="108"/>
      <c r="I2393" s="71"/>
    </row>
    <row r="2394" spans="1:9" s="65" customFormat="1">
      <c r="A2394" s="75" t="s">
        <v>391</v>
      </c>
      <c r="B2394" s="76" t="s">
        <v>392</v>
      </c>
      <c r="C2394" s="76" t="s">
        <v>393</v>
      </c>
      <c r="D2394" s="76" t="s">
        <v>394</v>
      </c>
      <c r="E2394" s="76" t="s">
        <v>395</v>
      </c>
      <c r="F2394" s="76" t="s">
        <v>396</v>
      </c>
      <c r="G2394" s="76" t="s">
        <v>397</v>
      </c>
      <c r="H2394" s="108"/>
      <c r="I2394" s="71"/>
    </row>
    <row r="2395" spans="1:9" s="65" customFormat="1" ht="25.5">
      <c r="A2395" s="135"/>
      <c r="B2395" s="78" t="s">
        <v>375</v>
      </c>
      <c r="C2395" s="127" t="s">
        <v>157</v>
      </c>
      <c r="D2395" s="107">
        <f>2125000*1.16*1.2</f>
        <v>2958000</v>
      </c>
      <c r="E2395" s="79">
        <v>1</v>
      </c>
      <c r="F2395" s="79">
        <v>0</v>
      </c>
      <c r="G2395" s="107">
        <f>(D2395*E2395)+((D2395*E2395)*F2395/100)</f>
        <v>2958000</v>
      </c>
      <c r="H2395" s="108"/>
      <c r="I2395" s="71"/>
    </row>
    <row r="2396" spans="1:9" s="65" customFormat="1">
      <c r="A2396" s="90"/>
      <c r="B2396" s="91"/>
      <c r="C2396" s="91"/>
      <c r="D2396" s="91"/>
      <c r="E2396" s="91"/>
      <c r="F2396"/>
      <c r="G2396" s="85" t="s">
        <v>407</v>
      </c>
      <c r="H2396" s="107">
        <f>SUM(G2395:G2395)</f>
        <v>2958000</v>
      </c>
      <c r="I2396" s="71"/>
    </row>
    <row r="2397" spans="1:9" s="65" customFormat="1">
      <c r="A2397" s="72" t="s">
        <v>410</v>
      </c>
      <c r="B2397" s="73"/>
      <c r="C2397" s="73"/>
      <c r="D2397" s="73"/>
      <c r="E2397" s="73"/>
      <c r="F2397"/>
      <c r="G2397" s="74"/>
      <c r="H2397" s="108"/>
      <c r="I2397" s="71"/>
    </row>
    <row r="2398" spans="1:9" s="65" customFormat="1">
      <c r="A2398" s="75" t="s">
        <v>391</v>
      </c>
      <c r="B2398" s="76" t="s">
        <v>392</v>
      </c>
      <c r="C2398" s="76" t="s">
        <v>393</v>
      </c>
      <c r="D2398" s="76" t="s">
        <v>394</v>
      </c>
      <c r="E2398" s="76" t="s">
        <v>395</v>
      </c>
      <c r="F2398" s="76" t="s">
        <v>396</v>
      </c>
      <c r="G2398" s="76" t="s">
        <v>397</v>
      </c>
      <c r="H2398" s="108"/>
      <c r="I2398" s="71"/>
    </row>
    <row r="2399" spans="1:9" s="65" customFormat="1">
      <c r="A2399" s="77"/>
      <c r="B2399" s="78"/>
      <c r="C2399" s="79"/>
      <c r="D2399" s="107"/>
      <c r="E2399" s="79"/>
      <c r="F2399" s="79"/>
      <c r="G2399" s="107"/>
      <c r="H2399" s="108"/>
      <c r="I2399" s="71"/>
    </row>
    <row r="2400" spans="1:9" s="65" customFormat="1">
      <c r="A2400" s="90"/>
      <c r="B2400" s="91"/>
      <c r="C2400" s="91"/>
      <c r="D2400" s="91"/>
      <c r="E2400" s="91"/>
      <c r="F2400"/>
      <c r="G2400" s="93" t="s">
        <v>407</v>
      </c>
      <c r="H2400" s="107">
        <f>SUM(G2399:G2399)</f>
        <v>0</v>
      </c>
      <c r="I2400" s="71"/>
    </row>
    <row r="2401" spans="1:9" s="65" customFormat="1">
      <c r="A2401" s="72" t="s">
        <v>411</v>
      </c>
      <c r="B2401" s="73"/>
      <c r="C2401" s="73"/>
      <c r="D2401" s="73"/>
      <c r="E2401" s="73"/>
      <c r="F2401"/>
      <c r="G2401" s="74"/>
      <c r="H2401" s="108"/>
      <c r="I2401" s="71"/>
    </row>
    <row r="2402" spans="1:9" s="65" customFormat="1">
      <c r="A2402" s="75" t="s">
        <v>391</v>
      </c>
      <c r="B2402" s="76" t="s">
        <v>392</v>
      </c>
      <c r="C2402" s="76" t="s">
        <v>393</v>
      </c>
      <c r="D2402" s="76" t="s">
        <v>394</v>
      </c>
      <c r="E2402" s="76" t="s">
        <v>395</v>
      </c>
      <c r="F2402" s="76" t="s">
        <v>396</v>
      </c>
      <c r="G2402" s="76" t="s">
        <v>397</v>
      </c>
      <c r="H2402" s="108"/>
      <c r="I2402" s="71"/>
    </row>
    <row r="2403" spans="1:9" s="65" customFormat="1">
      <c r="A2403" s="87" t="s">
        <v>409</v>
      </c>
      <c r="B2403" s="114" t="s">
        <v>747</v>
      </c>
      <c r="C2403" s="114" t="s">
        <v>437</v>
      </c>
      <c r="D2403" s="114">
        <v>800000</v>
      </c>
      <c r="E2403" s="215">
        <v>0.04</v>
      </c>
      <c r="F2403" s="79">
        <v>0</v>
      </c>
      <c r="G2403" s="107">
        <f>(D2403*E2403)+((D2403*E2403)*F2403/100)</f>
        <v>32000</v>
      </c>
      <c r="H2403" s="108"/>
      <c r="I2403" s="71"/>
    </row>
    <row r="2404" spans="1:9" s="65" customFormat="1">
      <c r="A2404" s="94"/>
      <c r="B2404" s="95"/>
      <c r="C2404" s="95"/>
      <c r="D2404" s="95"/>
      <c r="E2404" s="95"/>
      <c r="F2404"/>
      <c r="G2404" s="93" t="s">
        <v>407</v>
      </c>
      <c r="H2404" s="107">
        <f>SUM(G2402:G2403)</f>
        <v>32000</v>
      </c>
      <c r="I2404" s="71"/>
    </row>
    <row r="2405" spans="1:9" s="65" customFormat="1">
      <c r="A2405" s="94"/>
      <c r="B2405" s="95"/>
      <c r="C2405" s="95"/>
      <c r="D2405" s="95"/>
      <c r="E2405" s="95"/>
      <c r="F2405"/>
      <c r="G2405" s="74"/>
      <c r="H2405" s="74"/>
      <c r="I2405" s="71"/>
    </row>
    <row r="2406" spans="1:9" s="65" customFormat="1">
      <c r="A2406" s="96"/>
      <c r="B2406" s="97"/>
      <c r="C2406" s="98"/>
      <c r="D2406" s="98"/>
      <c r="E2406" s="98"/>
      <c r="F2406"/>
      <c r="G2406" s="99" t="s">
        <v>412</v>
      </c>
      <c r="H2406" s="115">
        <f>SUM(H2392:H2404)</f>
        <v>2990000</v>
      </c>
      <c r="I2406" s="71"/>
    </row>
    <row r="2407" spans="1:9" s="65" customFormat="1">
      <c r="A2407" s="96"/>
      <c r="B2407" s="97"/>
      <c r="C2407" s="98"/>
      <c r="D2407" s="98"/>
      <c r="E2407" s="98"/>
      <c r="F2407" s="101"/>
      <c r="G2407" s="116"/>
      <c r="H2407" s="70"/>
      <c r="I2407" s="71"/>
    </row>
    <row r="2408" spans="1:9" s="65" customFormat="1" ht="15.75" thickBot="1">
      <c r="A2408" s="624" t="s">
        <v>761</v>
      </c>
      <c r="B2408" s="625"/>
      <c r="C2408" s="625"/>
      <c r="D2408" s="625"/>
      <c r="E2408" s="625"/>
      <c r="F2408" s="625"/>
      <c r="G2408" s="626"/>
      <c r="H2408" s="117">
        <f>+ROUND(H2406,0)</f>
        <v>2990000</v>
      </c>
      <c r="I2408" s="103"/>
    </row>
    <row r="2409" spans="1:9" s="65" customFormat="1">
      <c r="A2409" s="120"/>
      <c r="B2409" s="73"/>
      <c r="C2409" s="73"/>
      <c r="D2409" s="73"/>
      <c r="E2409" s="73"/>
      <c r="G2409" s="121"/>
      <c r="H2409" s="140"/>
    </row>
    <row r="2410" spans="1:9" s="65" customFormat="1" ht="15.75" thickBot="1">
      <c r="A2410" s="128"/>
      <c r="B2410" s="141"/>
      <c r="C2410" s="141"/>
      <c r="D2410" s="141"/>
      <c r="E2410" s="141"/>
      <c r="F2410" s="141"/>
      <c r="G2410" s="141"/>
      <c r="H2410" s="140"/>
    </row>
    <row r="2411" spans="1:9" s="65" customFormat="1">
      <c r="A2411" s="627"/>
      <c r="B2411" s="629" t="s">
        <v>315</v>
      </c>
      <c r="C2411" s="630"/>
      <c r="D2411" s="630"/>
      <c r="E2411" s="630"/>
      <c r="F2411" s="630"/>
      <c r="G2411" s="630"/>
      <c r="H2411" s="643"/>
      <c r="I2411" s="66" t="s">
        <v>389</v>
      </c>
    </row>
    <row r="2412" spans="1:9" s="65" customFormat="1">
      <c r="A2412" s="628"/>
      <c r="B2412" s="631"/>
      <c r="C2412" s="632"/>
      <c r="D2412" s="632"/>
      <c r="E2412" s="632"/>
      <c r="F2412" s="632"/>
      <c r="G2412" s="632"/>
      <c r="H2412" s="644"/>
      <c r="I2412" s="67" t="s">
        <v>157</v>
      </c>
    </row>
    <row r="2413" spans="1:9" s="65" customFormat="1">
      <c r="A2413" s="68"/>
      <c r="B2413" s="69"/>
      <c r="C2413" s="69"/>
      <c r="D2413" s="69"/>
      <c r="E2413" s="69"/>
      <c r="F2413" s="70"/>
      <c r="G2413" s="70"/>
      <c r="H2413" s="70"/>
      <c r="I2413" s="71"/>
    </row>
    <row r="2414" spans="1:9" s="65" customFormat="1">
      <c r="A2414" s="72" t="s">
        <v>390</v>
      </c>
      <c r="B2414" s="73"/>
      <c r="C2414" s="73"/>
      <c r="D2414" s="73"/>
      <c r="E2414" s="73"/>
      <c r="F2414" s="74"/>
      <c r="G2414" s="74"/>
      <c r="H2414" s="70"/>
      <c r="I2414" s="71"/>
    </row>
    <row r="2415" spans="1:9" s="65" customFormat="1">
      <c r="A2415" s="75" t="s">
        <v>391</v>
      </c>
      <c r="B2415" s="76" t="s">
        <v>392</v>
      </c>
      <c r="C2415" s="76" t="s">
        <v>393</v>
      </c>
      <c r="D2415" s="76" t="s">
        <v>394</v>
      </c>
      <c r="E2415" s="76" t="s">
        <v>395</v>
      </c>
      <c r="F2415" s="76" t="s">
        <v>396</v>
      </c>
      <c r="G2415" s="76" t="s">
        <v>397</v>
      </c>
      <c r="H2415" s="74"/>
      <c r="I2415" s="71"/>
    </row>
    <row r="2416" spans="1:9" s="65" customFormat="1">
      <c r="A2416" s="77"/>
      <c r="B2416" s="79"/>
      <c r="C2416" s="79"/>
      <c r="D2416" s="107"/>
      <c r="E2416" s="79"/>
      <c r="F2416" s="79"/>
      <c r="G2416" s="107"/>
      <c r="H2416" s="74"/>
      <c r="I2416" s="71"/>
    </row>
    <row r="2417" spans="1:9" s="65" customFormat="1">
      <c r="A2417" s="82"/>
      <c r="B2417" s="83"/>
      <c r="C2417" s="84"/>
      <c r="D2417" s="84"/>
      <c r="E2417" s="84"/>
      <c r="F2417"/>
      <c r="G2417" s="93" t="s">
        <v>407</v>
      </c>
      <c r="H2417" s="107">
        <f>SUM(G2416:G2416)</f>
        <v>0</v>
      </c>
      <c r="I2417" s="71"/>
    </row>
    <row r="2418" spans="1:9" s="65" customFormat="1">
      <c r="A2418" s="72" t="s">
        <v>408</v>
      </c>
      <c r="B2418" s="73"/>
      <c r="C2418" s="73"/>
      <c r="D2418" s="73"/>
      <c r="E2418" s="73"/>
      <c r="F2418"/>
      <c r="G2418" s="74"/>
      <c r="H2418" s="108"/>
      <c r="I2418" s="71"/>
    </row>
    <row r="2419" spans="1:9" s="65" customFormat="1">
      <c r="A2419" s="75" t="s">
        <v>391</v>
      </c>
      <c r="B2419" s="76" t="s">
        <v>392</v>
      </c>
      <c r="C2419" s="76" t="s">
        <v>393</v>
      </c>
      <c r="D2419" s="76" t="s">
        <v>394</v>
      </c>
      <c r="E2419" s="76" t="s">
        <v>395</v>
      </c>
      <c r="F2419" s="76" t="s">
        <v>396</v>
      </c>
      <c r="G2419" s="76" t="s">
        <v>397</v>
      </c>
      <c r="H2419" s="108"/>
      <c r="I2419" s="71"/>
    </row>
    <row r="2420" spans="1:9" s="65" customFormat="1" ht="25.5">
      <c r="A2420" s="135"/>
      <c r="B2420" s="78" t="s">
        <v>315</v>
      </c>
      <c r="C2420" s="127" t="s">
        <v>157</v>
      </c>
      <c r="D2420" s="107">
        <f>600000*1.2*1.16</f>
        <v>835200</v>
      </c>
      <c r="E2420" s="79">
        <v>1</v>
      </c>
      <c r="F2420" s="79">
        <v>0</v>
      </c>
      <c r="G2420" s="107">
        <f>(D2420*E2420)+((D2420*E2420)*F2420/100)</f>
        <v>835200</v>
      </c>
      <c r="H2420" s="108"/>
      <c r="I2420" s="71"/>
    </row>
    <row r="2421" spans="1:9" s="65" customFormat="1">
      <c r="A2421" s="90"/>
      <c r="B2421" s="91"/>
      <c r="C2421" s="91"/>
      <c r="D2421" s="91"/>
      <c r="E2421" s="91"/>
      <c r="F2421"/>
      <c r="G2421" s="85" t="s">
        <v>407</v>
      </c>
      <c r="H2421" s="107">
        <f>SUM(G2420:G2420)</f>
        <v>835200</v>
      </c>
      <c r="I2421" s="71"/>
    </row>
    <row r="2422" spans="1:9" s="65" customFormat="1">
      <c r="A2422" s="72" t="s">
        <v>410</v>
      </c>
      <c r="B2422" s="73"/>
      <c r="C2422" s="73"/>
      <c r="D2422" s="73"/>
      <c r="E2422" s="73"/>
      <c r="F2422"/>
      <c r="G2422" s="74"/>
      <c r="H2422" s="108"/>
      <c r="I2422" s="71"/>
    </row>
    <row r="2423" spans="1:9" s="65" customFormat="1">
      <c r="A2423" s="75" t="s">
        <v>391</v>
      </c>
      <c r="B2423" s="76" t="s">
        <v>392</v>
      </c>
      <c r="C2423" s="76" t="s">
        <v>393</v>
      </c>
      <c r="D2423" s="76" t="s">
        <v>394</v>
      </c>
      <c r="E2423" s="76" t="s">
        <v>395</v>
      </c>
      <c r="F2423" s="76" t="s">
        <v>396</v>
      </c>
      <c r="G2423" s="76" t="s">
        <v>397</v>
      </c>
      <c r="H2423" s="108"/>
      <c r="I2423" s="71"/>
    </row>
    <row r="2424" spans="1:9" s="65" customFormat="1">
      <c r="A2424" s="77"/>
      <c r="B2424" s="78"/>
      <c r="C2424" s="79"/>
      <c r="D2424" s="107"/>
      <c r="E2424" s="79"/>
      <c r="F2424" s="79"/>
      <c r="G2424" s="107"/>
      <c r="H2424" s="108"/>
      <c r="I2424" s="71"/>
    </row>
    <row r="2425" spans="1:9" s="65" customFormat="1">
      <c r="A2425" s="90"/>
      <c r="B2425" s="91"/>
      <c r="C2425" s="91"/>
      <c r="D2425" s="91"/>
      <c r="E2425" s="91"/>
      <c r="F2425"/>
      <c r="G2425" s="93" t="s">
        <v>407</v>
      </c>
      <c r="H2425" s="107">
        <f>SUM(G2424:G2424)</f>
        <v>0</v>
      </c>
      <c r="I2425" s="71"/>
    </row>
    <row r="2426" spans="1:9" s="65" customFormat="1">
      <c r="A2426" s="72" t="s">
        <v>411</v>
      </c>
      <c r="B2426" s="73"/>
      <c r="C2426" s="73"/>
      <c r="D2426" s="73"/>
      <c r="E2426" s="73"/>
      <c r="F2426"/>
      <c r="G2426" s="74"/>
      <c r="H2426" s="108"/>
      <c r="I2426" s="71"/>
    </row>
    <row r="2427" spans="1:9" s="65" customFormat="1">
      <c r="A2427" s="75" t="s">
        <v>391</v>
      </c>
      <c r="B2427" s="76" t="s">
        <v>392</v>
      </c>
      <c r="C2427" s="76" t="s">
        <v>393</v>
      </c>
      <c r="D2427" s="76" t="s">
        <v>394</v>
      </c>
      <c r="E2427" s="76" t="s">
        <v>395</v>
      </c>
      <c r="F2427" s="76" t="s">
        <v>396</v>
      </c>
      <c r="G2427" s="76" t="s">
        <v>397</v>
      </c>
      <c r="H2427" s="108"/>
      <c r="I2427" s="71"/>
    </row>
    <row r="2428" spans="1:9" s="65" customFormat="1">
      <c r="A2428" s="87" t="s">
        <v>409</v>
      </c>
      <c r="B2428" s="114" t="s">
        <v>747</v>
      </c>
      <c r="C2428" s="114" t="s">
        <v>437</v>
      </c>
      <c r="D2428" s="114">
        <v>800000</v>
      </c>
      <c r="E2428" s="215">
        <v>0.1</v>
      </c>
      <c r="F2428" s="79">
        <v>0</v>
      </c>
      <c r="G2428" s="107">
        <f>(D2428*E2428)+((D2428*E2428)*F2428/100)</f>
        <v>80000</v>
      </c>
      <c r="H2428" s="108"/>
      <c r="I2428" s="71"/>
    </row>
    <row r="2429" spans="1:9" s="65" customFormat="1">
      <c r="A2429" s="94"/>
      <c r="B2429" s="95"/>
      <c r="C2429" s="95"/>
      <c r="D2429" s="95"/>
      <c r="E2429" s="95"/>
      <c r="F2429"/>
      <c r="G2429" s="93" t="s">
        <v>407</v>
      </c>
      <c r="H2429" s="107">
        <f>SUM(G2427:G2428)</f>
        <v>80000</v>
      </c>
      <c r="I2429" s="71"/>
    </row>
    <row r="2430" spans="1:9" s="65" customFormat="1">
      <c r="A2430" s="94"/>
      <c r="B2430" s="95"/>
      <c r="C2430" s="95"/>
      <c r="D2430" s="95"/>
      <c r="E2430" s="95"/>
      <c r="F2430"/>
      <c r="G2430" s="74"/>
      <c r="H2430" s="74"/>
      <c r="I2430" s="71"/>
    </row>
    <row r="2431" spans="1:9" s="65" customFormat="1">
      <c r="A2431" s="96"/>
      <c r="B2431" s="97"/>
      <c r="C2431" s="98"/>
      <c r="D2431" s="98"/>
      <c r="E2431" s="98"/>
      <c r="F2431"/>
      <c r="G2431" s="99" t="s">
        <v>412</v>
      </c>
      <c r="H2431" s="115">
        <f>SUM(H2417:H2429)</f>
        <v>915200</v>
      </c>
      <c r="I2431" s="71"/>
    </row>
    <row r="2432" spans="1:9" s="65" customFormat="1">
      <c r="A2432" s="96"/>
      <c r="B2432" s="97"/>
      <c r="C2432" s="98"/>
      <c r="D2432" s="98"/>
      <c r="E2432" s="98"/>
      <c r="F2432" s="101"/>
      <c r="G2432" s="116"/>
      <c r="H2432" s="70"/>
      <c r="I2432" s="71"/>
    </row>
    <row r="2433" spans="1:9" s="65" customFormat="1" ht="15.75" thickBot="1">
      <c r="A2433" s="624" t="s">
        <v>761</v>
      </c>
      <c r="B2433" s="625"/>
      <c r="C2433" s="625"/>
      <c r="D2433" s="625"/>
      <c r="E2433" s="625"/>
      <c r="F2433" s="625"/>
      <c r="G2433" s="626"/>
      <c r="H2433" s="117">
        <f>+ROUND(H2431,0)</f>
        <v>915200</v>
      </c>
      <c r="I2433" s="103"/>
    </row>
    <row r="2434" spans="1:9" s="65" customFormat="1" ht="16.5">
      <c r="A2434" s="150"/>
      <c r="B2434" s="161"/>
      <c r="C2434" s="148"/>
      <c r="D2434" s="84"/>
      <c r="E2434" s="84"/>
      <c r="F2434" s="84"/>
      <c r="G2434" s="154"/>
      <c r="H2434" s="145"/>
    </row>
    <row r="2435" spans="1:9" s="65" customFormat="1" ht="15.75" thickBot="1">
      <c r="A2435" s="84"/>
      <c r="B2435" s="83"/>
      <c r="C2435" s="84"/>
      <c r="D2435" s="84"/>
      <c r="E2435" s="84"/>
      <c r="G2435" s="104"/>
      <c r="H2435" s="140"/>
    </row>
    <row r="2436" spans="1:9" s="65" customFormat="1">
      <c r="A2436" s="627"/>
      <c r="B2436" s="629" t="s">
        <v>385</v>
      </c>
      <c r="C2436" s="630"/>
      <c r="D2436" s="630"/>
      <c r="E2436" s="630"/>
      <c r="F2436" s="630"/>
      <c r="G2436" s="630"/>
      <c r="H2436" s="643"/>
      <c r="I2436" s="66" t="s">
        <v>389</v>
      </c>
    </row>
    <row r="2437" spans="1:9" s="65" customFormat="1">
      <c r="A2437" s="628"/>
      <c r="B2437" s="631"/>
      <c r="C2437" s="632"/>
      <c r="D2437" s="632"/>
      <c r="E2437" s="632"/>
      <c r="F2437" s="632"/>
      <c r="G2437" s="632"/>
      <c r="H2437" s="644"/>
      <c r="I2437" s="67" t="s">
        <v>7</v>
      </c>
    </row>
    <row r="2438" spans="1:9" s="65" customFormat="1">
      <c r="A2438" s="68"/>
      <c r="B2438" s="69"/>
      <c r="C2438" s="69"/>
      <c r="D2438" s="69"/>
      <c r="E2438" s="69"/>
      <c r="F2438" s="70"/>
      <c r="G2438" s="70"/>
      <c r="H2438" s="70"/>
      <c r="I2438" s="71"/>
    </row>
    <row r="2439" spans="1:9" s="65" customFormat="1">
      <c r="A2439" s="72" t="s">
        <v>390</v>
      </c>
      <c r="B2439" s="73"/>
      <c r="C2439" s="73"/>
      <c r="D2439" s="73"/>
      <c r="E2439" s="73"/>
      <c r="F2439" s="74"/>
      <c r="G2439" s="74"/>
      <c r="H2439" s="70"/>
      <c r="I2439" s="71"/>
    </row>
    <row r="2440" spans="1:9" s="65" customFormat="1">
      <c r="A2440" s="75" t="s">
        <v>391</v>
      </c>
      <c r="B2440" s="76" t="s">
        <v>392</v>
      </c>
      <c r="C2440" s="76" t="s">
        <v>393</v>
      </c>
      <c r="D2440" s="76" t="s">
        <v>394</v>
      </c>
      <c r="E2440" s="76" t="s">
        <v>395</v>
      </c>
      <c r="F2440" s="76" t="s">
        <v>396</v>
      </c>
      <c r="G2440" s="76" t="s">
        <v>397</v>
      </c>
      <c r="H2440" s="74"/>
      <c r="I2440" s="71"/>
    </row>
    <row r="2441" spans="1:9" s="65" customFormat="1">
      <c r="A2441" s="77"/>
      <c r="B2441" s="79"/>
      <c r="C2441" s="79"/>
      <c r="D2441" s="107"/>
      <c r="E2441" s="79"/>
      <c r="F2441" s="79"/>
      <c r="G2441" s="107"/>
      <c r="H2441" s="74"/>
      <c r="I2441" s="71"/>
    </row>
    <row r="2442" spans="1:9" s="65" customFormat="1">
      <c r="A2442" s="82"/>
      <c r="B2442" s="83"/>
      <c r="C2442" s="84"/>
      <c r="D2442" s="84"/>
      <c r="E2442" s="84"/>
      <c r="F2442"/>
      <c r="G2442" s="93" t="s">
        <v>407</v>
      </c>
      <c r="H2442" s="107">
        <f>SUM(G2441:G2441)</f>
        <v>0</v>
      </c>
      <c r="I2442" s="71"/>
    </row>
    <row r="2443" spans="1:9" s="65" customFormat="1">
      <c r="A2443" s="72" t="s">
        <v>408</v>
      </c>
      <c r="B2443" s="73"/>
      <c r="C2443" s="73"/>
      <c r="D2443" s="73"/>
      <c r="E2443" s="73"/>
      <c r="F2443"/>
      <c r="G2443" s="74"/>
      <c r="H2443" s="108"/>
      <c r="I2443" s="71"/>
    </row>
    <row r="2444" spans="1:9" s="65" customFormat="1">
      <c r="A2444" s="75" t="s">
        <v>391</v>
      </c>
      <c r="B2444" s="76" t="s">
        <v>392</v>
      </c>
      <c r="C2444" s="76" t="s">
        <v>393</v>
      </c>
      <c r="D2444" s="76" t="s">
        <v>394</v>
      </c>
      <c r="E2444" s="76" t="s">
        <v>395</v>
      </c>
      <c r="F2444" s="76" t="s">
        <v>396</v>
      </c>
      <c r="G2444" s="76" t="s">
        <v>397</v>
      </c>
      <c r="H2444" s="108"/>
      <c r="I2444" s="71"/>
    </row>
    <row r="2445" spans="1:9" s="65" customFormat="1" ht="25.5">
      <c r="A2445" s="135"/>
      <c r="B2445" s="78" t="s">
        <v>385</v>
      </c>
      <c r="C2445" s="127" t="s">
        <v>493</v>
      </c>
      <c r="D2445" s="107">
        <f>65000*1.16*1.2</f>
        <v>90480</v>
      </c>
      <c r="E2445" s="79">
        <v>1</v>
      </c>
      <c r="F2445" s="79">
        <v>0</v>
      </c>
      <c r="G2445" s="107">
        <f>(D2445*E2445)+((D2445*E2445)*F2445/100)</f>
        <v>90480</v>
      </c>
      <c r="H2445" s="108"/>
      <c r="I2445" s="71"/>
    </row>
    <row r="2446" spans="1:9" s="65" customFormat="1">
      <c r="A2446" s="90"/>
      <c r="B2446" s="91"/>
      <c r="C2446" s="91"/>
      <c r="D2446" s="91"/>
      <c r="E2446" s="91"/>
      <c r="F2446"/>
      <c r="G2446" s="85" t="s">
        <v>407</v>
      </c>
      <c r="H2446" s="107">
        <f>SUM(G2445:G2445)</f>
        <v>90480</v>
      </c>
      <c r="I2446" s="71"/>
    </row>
    <row r="2447" spans="1:9" s="65" customFormat="1">
      <c r="A2447" s="72" t="s">
        <v>410</v>
      </c>
      <c r="B2447" s="73"/>
      <c r="C2447" s="73"/>
      <c r="D2447" s="73"/>
      <c r="E2447" s="73"/>
      <c r="F2447"/>
      <c r="G2447" s="74"/>
      <c r="H2447" s="108"/>
      <c r="I2447" s="71"/>
    </row>
    <row r="2448" spans="1:9" s="65" customFormat="1">
      <c r="A2448" s="75" t="s">
        <v>391</v>
      </c>
      <c r="B2448" s="76" t="s">
        <v>392</v>
      </c>
      <c r="C2448" s="76" t="s">
        <v>393</v>
      </c>
      <c r="D2448" s="76" t="s">
        <v>394</v>
      </c>
      <c r="E2448" s="76" t="s">
        <v>395</v>
      </c>
      <c r="F2448" s="76" t="s">
        <v>396</v>
      </c>
      <c r="G2448" s="76" t="s">
        <v>397</v>
      </c>
      <c r="H2448" s="108"/>
      <c r="I2448" s="71"/>
    </row>
    <row r="2449" spans="1:9" s="65" customFormat="1">
      <c r="A2449" s="77"/>
      <c r="B2449" s="78"/>
      <c r="C2449" s="79"/>
      <c r="D2449" s="107"/>
      <c r="E2449" s="79"/>
      <c r="F2449" s="79"/>
      <c r="G2449" s="107"/>
      <c r="H2449" s="108"/>
      <c r="I2449" s="71"/>
    </row>
    <row r="2450" spans="1:9" s="65" customFormat="1">
      <c r="A2450" s="90"/>
      <c r="B2450" s="91"/>
      <c r="C2450" s="91"/>
      <c r="D2450" s="91"/>
      <c r="E2450" s="91"/>
      <c r="F2450"/>
      <c r="G2450" s="93" t="s">
        <v>407</v>
      </c>
      <c r="H2450" s="107">
        <f>SUM(G2449:G2449)</f>
        <v>0</v>
      </c>
      <c r="I2450" s="71"/>
    </row>
    <row r="2451" spans="1:9" s="65" customFormat="1">
      <c r="A2451" s="72" t="s">
        <v>411</v>
      </c>
      <c r="B2451" s="73"/>
      <c r="C2451" s="73"/>
      <c r="D2451" s="73"/>
      <c r="E2451" s="73"/>
      <c r="F2451"/>
      <c r="G2451" s="74"/>
      <c r="H2451" s="108"/>
      <c r="I2451" s="71"/>
    </row>
    <row r="2452" spans="1:9" s="65" customFormat="1">
      <c r="A2452" s="75" t="s">
        <v>391</v>
      </c>
      <c r="B2452" s="76" t="s">
        <v>392</v>
      </c>
      <c r="C2452" s="76" t="s">
        <v>393</v>
      </c>
      <c r="D2452" s="76" t="s">
        <v>394</v>
      </c>
      <c r="E2452" s="76" t="s">
        <v>395</v>
      </c>
      <c r="F2452" s="76" t="s">
        <v>396</v>
      </c>
      <c r="G2452" s="76" t="s">
        <v>397</v>
      </c>
      <c r="H2452" s="108"/>
      <c r="I2452" s="71"/>
    </row>
    <row r="2453" spans="1:9" s="65" customFormat="1">
      <c r="A2453" s="87" t="s">
        <v>409</v>
      </c>
      <c r="B2453" s="114" t="s">
        <v>747</v>
      </c>
      <c r="C2453" s="114" t="s">
        <v>437</v>
      </c>
      <c r="D2453" s="114">
        <v>800000</v>
      </c>
      <c r="E2453" s="215">
        <v>5.5555555555555558E-3</v>
      </c>
      <c r="F2453" s="79">
        <v>0</v>
      </c>
      <c r="G2453" s="107">
        <f>(D2453*E2453)+((D2453*E2453)*F2453/100)</f>
        <v>4444.4444444444443</v>
      </c>
      <c r="H2453" s="108"/>
      <c r="I2453" s="71"/>
    </row>
    <row r="2454" spans="1:9" s="65" customFormat="1">
      <c r="A2454" s="94"/>
      <c r="B2454" s="95"/>
      <c r="C2454" s="95"/>
      <c r="D2454" s="95"/>
      <c r="E2454" s="95"/>
      <c r="F2454"/>
      <c r="G2454" s="93" t="s">
        <v>407</v>
      </c>
      <c r="H2454" s="107">
        <f>SUM(G2452:G2453)</f>
        <v>4444.4444444444443</v>
      </c>
      <c r="I2454" s="71"/>
    </row>
    <row r="2455" spans="1:9" s="65" customFormat="1">
      <c r="A2455" s="94"/>
      <c r="B2455" s="95"/>
      <c r="C2455" s="95"/>
      <c r="D2455" s="95"/>
      <c r="E2455" s="95"/>
      <c r="F2455"/>
      <c r="G2455" s="74"/>
      <c r="H2455" s="74"/>
      <c r="I2455" s="71"/>
    </row>
    <row r="2456" spans="1:9" s="65" customFormat="1">
      <c r="A2456" s="96"/>
      <c r="B2456" s="97"/>
      <c r="C2456" s="98"/>
      <c r="D2456" s="98"/>
      <c r="E2456" s="98"/>
      <c r="F2456"/>
      <c r="G2456" s="99" t="s">
        <v>412</v>
      </c>
      <c r="H2456" s="115">
        <f>SUM(H2442:H2454)</f>
        <v>94924.444444444438</v>
      </c>
      <c r="I2456" s="71"/>
    </row>
    <row r="2457" spans="1:9" s="65" customFormat="1">
      <c r="A2457" s="96"/>
      <c r="B2457" s="97"/>
      <c r="C2457" s="98"/>
      <c r="D2457" s="98"/>
      <c r="E2457" s="98"/>
      <c r="F2457" s="101"/>
      <c r="G2457" s="116"/>
      <c r="H2457" s="70"/>
      <c r="I2457" s="71"/>
    </row>
    <row r="2458" spans="1:9" s="65" customFormat="1" ht="15.75" thickBot="1">
      <c r="A2458" s="624" t="s">
        <v>502</v>
      </c>
      <c r="B2458" s="625"/>
      <c r="C2458" s="625"/>
      <c r="D2458" s="625"/>
      <c r="E2458" s="625"/>
      <c r="F2458" s="625"/>
      <c r="G2458" s="626"/>
      <c r="H2458" s="117">
        <f>+ROUND(H2456,0)</f>
        <v>94924</v>
      </c>
      <c r="I2458" s="103"/>
    </row>
    <row r="2459" spans="1:9" s="65" customFormat="1" ht="15.75" thickBot="1">
      <c r="H2459" s="156"/>
      <c r="I2459" s="151"/>
    </row>
    <row r="2460" spans="1:9" s="65" customFormat="1">
      <c r="A2460" s="627"/>
      <c r="B2460" s="629" t="s">
        <v>946</v>
      </c>
      <c r="C2460" s="630"/>
      <c r="D2460" s="630"/>
      <c r="E2460" s="630"/>
      <c r="F2460" s="630"/>
      <c r="G2460" s="630"/>
      <c r="H2460" s="643"/>
      <c r="I2460" s="66" t="s">
        <v>389</v>
      </c>
    </row>
    <row r="2461" spans="1:9" s="65" customFormat="1">
      <c r="A2461" s="628"/>
      <c r="B2461" s="631"/>
      <c r="C2461" s="632"/>
      <c r="D2461" s="632"/>
      <c r="E2461" s="632"/>
      <c r="F2461" s="632"/>
      <c r="G2461" s="632"/>
      <c r="H2461" s="644"/>
      <c r="I2461" s="67" t="s">
        <v>7</v>
      </c>
    </row>
    <row r="2462" spans="1:9" s="65" customFormat="1">
      <c r="A2462" s="68"/>
      <c r="B2462" s="69"/>
      <c r="C2462" s="69"/>
      <c r="D2462" s="69"/>
      <c r="E2462" s="69"/>
      <c r="F2462" s="70"/>
      <c r="G2462" s="70"/>
      <c r="H2462" s="70"/>
      <c r="I2462" s="71"/>
    </row>
    <row r="2463" spans="1:9" s="65" customFormat="1">
      <c r="A2463" s="72" t="s">
        <v>390</v>
      </c>
      <c r="B2463" s="73"/>
      <c r="C2463" s="73"/>
      <c r="D2463" s="73"/>
      <c r="E2463" s="73"/>
      <c r="F2463" s="74"/>
      <c r="G2463" s="74"/>
      <c r="H2463" s="70"/>
      <c r="I2463" s="71"/>
    </row>
    <row r="2464" spans="1:9" s="65" customFormat="1">
      <c r="A2464" s="75" t="s">
        <v>391</v>
      </c>
      <c r="B2464" s="76" t="s">
        <v>392</v>
      </c>
      <c r="C2464" s="76" t="s">
        <v>393</v>
      </c>
      <c r="D2464" s="76" t="s">
        <v>394</v>
      </c>
      <c r="E2464" s="76" t="s">
        <v>395</v>
      </c>
      <c r="F2464" s="76" t="s">
        <v>396</v>
      </c>
      <c r="G2464" s="76" t="s">
        <v>397</v>
      </c>
      <c r="H2464" s="74"/>
      <c r="I2464" s="71"/>
    </row>
    <row r="2465" spans="1:9" s="65" customFormat="1">
      <c r="A2465" s="77"/>
      <c r="B2465" s="79"/>
      <c r="C2465" s="79"/>
      <c r="D2465" s="107"/>
      <c r="E2465" s="79"/>
      <c r="F2465" s="79"/>
      <c r="G2465" s="107"/>
      <c r="H2465" s="74"/>
      <c r="I2465" s="71"/>
    </row>
    <row r="2466" spans="1:9" s="65" customFormat="1">
      <c r="A2466" s="82"/>
      <c r="B2466" s="83"/>
      <c r="C2466" s="84"/>
      <c r="D2466" s="84"/>
      <c r="E2466" s="84"/>
      <c r="F2466"/>
      <c r="G2466" s="93" t="s">
        <v>407</v>
      </c>
      <c r="H2466" s="107">
        <f>SUM(G2465:G2465)</f>
        <v>0</v>
      </c>
      <c r="I2466" s="71"/>
    </row>
    <row r="2467" spans="1:9" s="65" customFormat="1">
      <c r="A2467" s="72" t="s">
        <v>408</v>
      </c>
      <c r="B2467" s="73"/>
      <c r="C2467" s="73"/>
      <c r="D2467" s="73"/>
      <c r="E2467" s="73"/>
      <c r="F2467"/>
      <c r="G2467" s="74"/>
      <c r="H2467" s="108"/>
      <c r="I2467" s="71"/>
    </row>
    <row r="2468" spans="1:9" s="65" customFormat="1">
      <c r="A2468" s="75" t="s">
        <v>391</v>
      </c>
      <c r="B2468" s="76" t="s">
        <v>392</v>
      </c>
      <c r="C2468" s="76" t="s">
        <v>393</v>
      </c>
      <c r="D2468" s="76" t="s">
        <v>394</v>
      </c>
      <c r="E2468" s="76" t="s">
        <v>395</v>
      </c>
      <c r="F2468" s="76" t="s">
        <v>396</v>
      </c>
      <c r="G2468" s="76" t="s">
        <v>397</v>
      </c>
      <c r="H2468" s="108"/>
      <c r="I2468" s="71"/>
    </row>
    <row r="2469" spans="1:9" s="65" customFormat="1" ht="25.5">
      <c r="A2469" s="135"/>
      <c r="B2469" s="78" t="s">
        <v>946</v>
      </c>
      <c r="C2469" s="127" t="s">
        <v>493</v>
      </c>
      <c r="D2469" s="107">
        <f>65000*1.16*1.2*1.1</f>
        <v>99528.000000000015</v>
      </c>
      <c r="E2469" s="79">
        <v>1</v>
      </c>
      <c r="F2469" s="79">
        <v>0</v>
      </c>
      <c r="G2469" s="107">
        <f>(D2469*E2469)+((D2469*E2469)*F2469/100)</f>
        <v>99528.000000000015</v>
      </c>
      <c r="H2469" s="108"/>
      <c r="I2469" s="71"/>
    </row>
    <row r="2470" spans="1:9" s="65" customFormat="1">
      <c r="A2470" s="90"/>
      <c r="B2470" s="91"/>
      <c r="C2470" s="91"/>
      <c r="D2470" s="91"/>
      <c r="E2470" s="91"/>
      <c r="F2470"/>
      <c r="G2470" s="85" t="s">
        <v>407</v>
      </c>
      <c r="H2470" s="107">
        <f>SUM(G2469:G2469)</f>
        <v>99528.000000000015</v>
      </c>
      <c r="I2470" s="71"/>
    </row>
    <row r="2471" spans="1:9" s="65" customFormat="1">
      <c r="A2471" s="72" t="s">
        <v>410</v>
      </c>
      <c r="B2471" s="73"/>
      <c r="C2471" s="73"/>
      <c r="D2471" s="73"/>
      <c r="E2471" s="73"/>
      <c r="F2471"/>
      <c r="G2471" s="74"/>
      <c r="H2471" s="108"/>
      <c r="I2471" s="71"/>
    </row>
    <row r="2472" spans="1:9" s="65" customFormat="1">
      <c r="A2472" s="75" t="s">
        <v>391</v>
      </c>
      <c r="B2472" s="76" t="s">
        <v>392</v>
      </c>
      <c r="C2472" s="76" t="s">
        <v>393</v>
      </c>
      <c r="D2472" s="76" t="s">
        <v>394</v>
      </c>
      <c r="E2472" s="76" t="s">
        <v>395</v>
      </c>
      <c r="F2472" s="76" t="s">
        <v>396</v>
      </c>
      <c r="G2472" s="76" t="s">
        <v>397</v>
      </c>
      <c r="H2472" s="108"/>
      <c r="I2472" s="71"/>
    </row>
    <row r="2473" spans="1:9" s="65" customFormat="1">
      <c r="A2473" s="77"/>
      <c r="B2473" s="78"/>
      <c r="C2473" s="79"/>
      <c r="D2473" s="107"/>
      <c r="E2473" s="79"/>
      <c r="F2473" s="79"/>
      <c r="G2473" s="107"/>
      <c r="H2473" s="108"/>
      <c r="I2473" s="71"/>
    </row>
    <row r="2474" spans="1:9" s="65" customFormat="1">
      <c r="A2474" s="90"/>
      <c r="B2474" s="91"/>
      <c r="C2474" s="91"/>
      <c r="D2474" s="91"/>
      <c r="E2474" s="91"/>
      <c r="F2474"/>
      <c r="G2474" s="93" t="s">
        <v>407</v>
      </c>
      <c r="H2474" s="107">
        <f>SUM(G2473:G2473)</f>
        <v>0</v>
      </c>
      <c r="I2474" s="71"/>
    </row>
    <row r="2475" spans="1:9" s="65" customFormat="1">
      <c r="A2475" s="72" t="s">
        <v>411</v>
      </c>
      <c r="B2475" s="73"/>
      <c r="C2475" s="73"/>
      <c r="D2475" s="73"/>
      <c r="E2475" s="73"/>
      <c r="F2475"/>
      <c r="G2475" s="74"/>
      <c r="H2475" s="108"/>
      <c r="I2475" s="71"/>
    </row>
    <row r="2476" spans="1:9" s="65" customFormat="1">
      <c r="A2476" s="75" t="s">
        <v>391</v>
      </c>
      <c r="B2476" s="76" t="s">
        <v>392</v>
      </c>
      <c r="C2476" s="76" t="s">
        <v>393</v>
      </c>
      <c r="D2476" s="76" t="s">
        <v>394</v>
      </c>
      <c r="E2476" s="76" t="s">
        <v>395</v>
      </c>
      <c r="F2476" s="76" t="s">
        <v>396</v>
      </c>
      <c r="G2476" s="76" t="s">
        <v>397</v>
      </c>
      <c r="H2476" s="108"/>
      <c r="I2476" s="71"/>
    </row>
    <row r="2477" spans="1:9" s="65" customFormat="1">
      <c r="A2477" s="87" t="s">
        <v>409</v>
      </c>
      <c r="B2477" s="114" t="s">
        <v>747</v>
      </c>
      <c r="C2477" s="114" t="s">
        <v>437</v>
      </c>
      <c r="D2477" s="114">
        <v>800000</v>
      </c>
      <c r="E2477" s="215">
        <v>5.5555555555555558E-3</v>
      </c>
      <c r="F2477" s="79">
        <v>0</v>
      </c>
      <c r="G2477" s="107">
        <f>(D2477*E2477)+((D2477*E2477)*F2477/100)</f>
        <v>4444.4444444444443</v>
      </c>
      <c r="H2477" s="108"/>
      <c r="I2477" s="71"/>
    </row>
    <row r="2478" spans="1:9" s="65" customFormat="1">
      <c r="A2478" s="94"/>
      <c r="B2478" s="95"/>
      <c r="C2478" s="95"/>
      <c r="D2478" s="95"/>
      <c r="E2478" s="95"/>
      <c r="F2478"/>
      <c r="G2478" s="93" t="s">
        <v>407</v>
      </c>
      <c r="H2478" s="107">
        <f>SUM(G2476:G2477)</f>
        <v>4444.4444444444443</v>
      </c>
      <c r="I2478" s="71"/>
    </row>
    <row r="2479" spans="1:9" s="65" customFormat="1">
      <c r="A2479" s="94"/>
      <c r="B2479" s="95"/>
      <c r="C2479" s="95"/>
      <c r="D2479" s="95"/>
      <c r="E2479" s="95"/>
      <c r="F2479"/>
      <c r="G2479" s="74"/>
      <c r="H2479" s="74"/>
      <c r="I2479" s="71"/>
    </row>
    <row r="2480" spans="1:9" s="65" customFormat="1">
      <c r="A2480" s="96"/>
      <c r="B2480" s="97"/>
      <c r="C2480" s="98"/>
      <c r="D2480" s="98"/>
      <c r="E2480" s="98"/>
      <c r="F2480"/>
      <c r="G2480" s="99" t="s">
        <v>412</v>
      </c>
      <c r="H2480" s="115">
        <f>SUM(H2466:H2478)</f>
        <v>103972.44444444445</v>
      </c>
      <c r="I2480" s="71"/>
    </row>
    <row r="2481" spans="1:9" s="65" customFormat="1">
      <c r="A2481" s="96"/>
      <c r="B2481" s="97"/>
      <c r="C2481" s="98"/>
      <c r="D2481" s="98"/>
      <c r="E2481" s="98"/>
      <c r="F2481" s="101"/>
      <c r="G2481" s="116"/>
      <c r="H2481" s="70"/>
      <c r="I2481" s="71"/>
    </row>
    <row r="2482" spans="1:9" s="65" customFormat="1" ht="15.75" thickBot="1">
      <c r="A2482" s="624" t="s">
        <v>502</v>
      </c>
      <c r="B2482" s="625"/>
      <c r="C2482" s="625"/>
      <c r="D2482" s="625"/>
      <c r="E2482" s="625"/>
      <c r="F2482" s="625"/>
      <c r="G2482" s="626"/>
      <c r="H2482" s="117">
        <f>+ROUND(H2480,0)</f>
        <v>103972</v>
      </c>
      <c r="I2482" s="103"/>
    </row>
    <row r="2483" spans="1:9" s="65" customFormat="1" ht="15.75" thickBot="1">
      <c r="H2483" s="156"/>
      <c r="I2483" s="151"/>
    </row>
    <row r="2484" spans="1:9" s="65" customFormat="1">
      <c r="A2484" s="627"/>
      <c r="B2484" s="634" t="s">
        <v>801</v>
      </c>
      <c r="C2484" s="635"/>
      <c r="D2484" s="635"/>
      <c r="E2484" s="635"/>
      <c r="F2484" s="635"/>
      <c r="G2484" s="635"/>
      <c r="H2484" s="636"/>
      <c r="I2484" s="66" t="s">
        <v>389</v>
      </c>
    </row>
    <row r="2485" spans="1:9" s="65" customFormat="1">
      <c r="A2485" s="628"/>
      <c r="B2485" s="637"/>
      <c r="C2485" s="638"/>
      <c r="D2485" s="638"/>
      <c r="E2485" s="638"/>
      <c r="F2485" s="638"/>
      <c r="G2485" s="638"/>
      <c r="H2485" s="639"/>
      <c r="I2485" s="67" t="s">
        <v>157</v>
      </c>
    </row>
    <row r="2486" spans="1:9" s="65" customFormat="1">
      <c r="A2486" s="68"/>
      <c r="B2486" s="69"/>
      <c r="C2486" s="69"/>
      <c r="D2486" s="69"/>
      <c r="E2486" s="69"/>
      <c r="F2486" s="70"/>
      <c r="G2486" s="70"/>
      <c r="H2486" s="70"/>
      <c r="I2486" s="71"/>
    </row>
    <row r="2487" spans="1:9" s="65" customFormat="1">
      <c r="A2487" s="72" t="s">
        <v>390</v>
      </c>
      <c r="B2487" s="73"/>
      <c r="C2487" s="73"/>
      <c r="D2487" s="73"/>
      <c r="E2487" s="73"/>
      <c r="F2487" s="74"/>
      <c r="G2487" s="74"/>
      <c r="H2487" s="70"/>
      <c r="I2487" s="71"/>
    </row>
    <row r="2488" spans="1:9" s="65" customFormat="1">
      <c r="A2488" s="75" t="s">
        <v>391</v>
      </c>
      <c r="B2488" s="76" t="s">
        <v>392</v>
      </c>
      <c r="C2488" s="76" t="s">
        <v>393</v>
      </c>
      <c r="D2488" s="76" t="s">
        <v>394</v>
      </c>
      <c r="E2488" s="76" t="s">
        <v>395</v>
      </c>
      <c r="F2488" s="76" t="s">
        <v>396</v>
      </c>
      <c r="G2488" s="76" t="s">
        <v>397</v>
      </c>
      <c r="H2488" s="74"/>
      <c r="I2488" s="71"/>
    </row>
    <row r="2489" spans="1:9" s="65" customFormat="1">
      <c r="A2489" s="77"/>
      <c r="B2489" s="79"/>
      <c r="C2489" s="79"/>
      <c r="D2489" s="107"/>
      <c r="E2489" s="79"/>
      <c r="F2489" s="79"/>
      <c r="G2489" s="107"/>
      <c r="H2489" s="74"/>
      <c r="I2489" s="71"/>
    </row>
    <row r="2490" spans="1:9" s="65" customFormat="1">
      <c r="A2490" s="82"/>
      <c r="B2490" s="83"/>
      <c r="C2490" s="84"/>
      <c r="D2490" s="84"/>
      <c r="E2490" s="84"/>
      <c r="F2490"/>
      <c r="G2490" s="93" t="s">
        <v>407</v>
      </c>
      <c r="H2490" s="107">
        <f>SUM(G2489:G2489)</f>
        <v>0</v>
      </c>
      <c r="I2490" s="71"/>
    </row>
    <row r="2491" spans="1:9" s="65" customFormat="1">
      <c r="A2491" s="72" t="s">
        <v>408</v>
      </c>
      <c r="B2491" s="73"/>
      <c r="C2491" s="73"/>
      <c r="D2491" s="73"/>
      <c r="E2491" s="73"/>
      <c r="F2491"/>
      <c r="G2491" s="74"/>
      <c r="H2491" s="108"/>
      <c r="I2491" s="71"/>
    </row>
    <row r="2492" spans="1:9" s="65" customFormat="1">
      <c r="A2492" s="75" t="s">
        <v>391</v>
      </c>
      <c r="B2492" s="76" t="s">
        <v>392</v>
      </c>
      <c r="C2492" s="76" t="s">
        <v>393</v>
      </c>
      <c r="D2492" s="76" t="s">
        <v>394</v>
      </c>
      <c r="E2492" s="76" t="s">
        <v>395</v>
      </c>
      <c r="F2492" s="76" t="s">
        <v>396</v>
      </c>
      <c r="G2492" s="76" t="s">
        <v>397</v>
      </c>
      <c r="H2492" s="108"/>
      <c r="I2492" s="71"/>
    </row>
    <row r="2493" spans="1:9" s="65" customFormat="1" ht="76.5">
      <c r="A2493" s="135"/>
      <c r="B2493" s="78" t="s">
        <v>801</v>
      </c>
      <c r="C2493" s="127" t="s">
        <v>157</v>
      </c>
      <c r="D2493" s="256">
        <f>32383000*1.2*1.16</f>
        <v>45077136</v>
      </c>
      <c r="E2493" s="79">
        <v>1</v>
      </c>
      <c r="F2493" s="79">
        <v>0</v>
      </c>
      <c r="G2493" s="107">
        <f>(D2493*E2493)+((D2493*E2493)*F2493/100)</f>
        <v>45077136</v>
      </c>
      <c r="H2493" s="108"/>
      <c r="I2493" s="71"/>
    </row>
    <row r="2494" spans="1:9" s="65" customFormat="1">
      <c r="A2494" s="90"/>
      <c r="B2494" s="91"/>
      <c r="C2494" s="91"/>
      <c r="D2494" s="91"/>
      <c r="E2494" s="91"/>
      <c r="F2494"/>
      <c r="G2494" s="85" t="s">
        <v>407</v>
      </c>
      <c r="H2494" s="107">
        <f>SUM(G2493:G2493)</f>
        <v>45077136</v>
      </c>
      <c r="I2494" s="71"/>
    </row>
    <row r="2495" spans="1:9" s="65" customFormat="1">
      <c r="A2495" s="72" t="s">
        <v>410</v>
      </c>
      <c r="B2495" s="73"/>
      <c r="C2495" s="73"/>
      <c r="D2495" s="73"/>
      <c r="E2495" s="73"/>
      <c r="F2495"/>
      <c r="G2495" s="74"/>
      <c r="H2495" s="108"/>
      <c r="I2495" s="71"/>
    </row>
    <row r="2496" spans="1:9" s="65" customFormat="1">
      <c r="A2496" s="75" t="s">
        <v>391</v>
      </c>
      <c r="B2496" s="76" t="s">
        <v>392</v>
      </c>
      <c r="C2496" s="76" t="s">
        <v>393</v>
      </c>
      <c r="D2496" s="76" t="s">
        <v>394</v>
      </c>
      <c r="E2496" s="76" t="s">
        <v>395</v>
      </c>
      <c r="F2496" s="76" t="s">
        <v>396</v>
      </c>
      <c r="G2496" s="76" t="s">
        <v>397</v>
      </c>
      <c r="H2496" s="108"/>
      <c r="I2496" s="71"/>
    </row>
    <row r="2497" spans="1:9" s="65" customFormat="1">
      <c r="A2497" s="77"/>
      <c r="B2497" s="78"/>
      <c r="C2497" s="79"/>
      <c r="D2497" s="107"/>
      <c r="E2497" s="79"/>
      <c r="F2497" s="79"/>
      <c r="G2497" s="107"/>
      <c r="H2497" s="108"/>
      <c r="I2497" s="71"/>
    </row>
    <row r="2498" spans="1:9" s="65" customFormat="1">
      <c r="A2498" s="90"/>
      <c r="B2498" s="91"/>
      <c r="C2498" s="91"/>
      <c r="D2498" s="91"/>
      <c r="E2498" s="91"/>
      <c r="F2498"/>
      <c r="G2498" s="93" t="s">
        <v>407</v>
      </c>
      <c r="H2498" s="107">
        <f>SUM(G2497:G2497)</f>
        <v>0</v>
      </c>
      <c r="I2498" s="71"/>
    </row>
    <row r="2499" spans="1:9" s="65" customFormat="1">
      <c r="A2499" s="72" t="s">
        <v>411</v>
      </c>
      <c r="B2499" s="73"/>
      <c r="C2499" s="73"/>
      <c r="D2499" s="73"/>
      <c r="E2499" s="73"/>
      <c r="F2499"/>
      <c r="G2499" s="74"/>
      <c r="H2499" s="108"/>
      <c r="I2499" s="71"/>
    </row>
    <row r="2500" spans="1:9" s="65" customFormat="1">
      <c r="A2500" s="75" t="s">
        <v>391</v>
      </c>
      <c r="B2500" s="76" t="s">
        <v>392</v>
      </c>
      <c r="C2500" s="76" t="s">
        <v>393</v>
      </c>
      <c r="D2500" s="76" t="s">
        <v>394</v>
      </c>
      <c r="E2500" s="76" t="s">
        <v>395</v>
      </c>
      <c r="F2500" s="76" t="s">
        <v>396</v>
      </c>
      <c r="G2500" s="76" t="s">
        <v>397</v>
      </c>
      <c r="H2500" s="108"/>
      <c r="I2500" s="71"/>
    </row>
    <row r="2501" spans="1:9" s="65" customFormat="1">
      <c r="A2501" s="87" t="s">
        <v>409</v>
      </c>
      <c r="B2501" s="114" t="s">
        <v>747</v>
      </c>
      <c r="C2501" s="114" t="s">
        <v>437</v>
      </c>
      <c r="D2501" s="114">
        <v>800000</v>
      </c>
      <c r="E2501" s="215">
        <v>0.33</v>
      </c>
      <c r="F2501" s="79">
        <v>0</v>
      </c>
      <c r="G2501" s="107">
        <f>(D2501*E2501)+((D2501*E2501)*F2501/100)</f>
        <v>264000</v>
      </c>
      <c r="H2501" s="108"/>
      <c r="I2501" s="71"/>
    </row>
    <row r="2502" spans="1:9" s="65" customFormat="1">
      <c r="A2502" s="94"/>
      <c r="B2502" s="95"/>
      <c r="C2502" s="95"/>
      <c r="D2502" s="95"/>
      <c r="E2502" s="95"/>
      <c r="F2502"/>
      <c r="G2502" s="93" t="s">
        <v>407</v>
      </c>
      <c r="H2502" s="107">
        <f>SUM(G2500:G2501)</f>
        <v>264000</v>
      </c>
      <c r="I2502" s="71"/>
    </row>
    <row r="2503" spans="1:9" s="65" customFormat="1">
      <c r="A2503" s="94"/>
      <c r="B2503" s="95"/>
      <c r="C2503" s="95"/>
      <c r="D2503" s="95"/>
      <c r="E2503" s="95"/>
      <c r="F2503"/>
      <c r="G2503" s="74"/>
      <c r="H2503" s="74"/>
      <c r="I2503" s="71"/>
    </row>
    <row r="2504" spans="1:9" s="65" customFormat="1">
      <c r="A2504" s="96"/>
      <c r="B2504" s="97"/>
      <c r="C2504" s="98"/>
      <c r="D2504" s="98"/>
      <c r="E2504" s="98"/>
      <c r="F2504"/>
      <c r="G2504" s="99" t="s">
        <v>412</v>
      </c>
      <c r="H2504" s="115">
        <f>SUM(H2490:H2502)</f>
        <v>45341136</v>
      </c>
      <c r="I2504" s="71"/>
    </row>
    <row r="2505" spans="1:9" s="65" customFormat="1">
      <c r="A2505" s="96"/>
      <c r="B2505" s="97"/>
      <c r="C2505" s="98"/>
      <c r="D2505" s="98"/>
      <c r="E2505" s="98"/>
      <c r="F2505" s="101"/>
      <c r="G2505" s="116"/>
      <c r="H2505" s="70"/>
      <c r="I2505" s="71"/>
    </row>
    <row r="2506" spans="1:9" s="65" customFormat="1" ht="15.75" thickBot="1">
      <c r="A2506" s="624" t="s">
        <v>761</v>
      </c>
      <c r="B2506" s="625"/>
      <c r="C2506" s="625"/>
      <c r="D2506" s="625"/>
      <c r="E2506" s="625"/>
      <c r="F2506" s="625"/>
      <c r="G2506" s="626"/>
      <c r="H2506" s="117">
        <f>+ROUND(H2504,0)</f>
        <v>45341136</v>
      </c>
      <c r="I2506" s="103"/>
    </row>
    <row r="2507" spans="1:9" s="65" customFormat="1">
      <c r="H2507" s="156"/>
      <c r="I2507" s="151"/>
    </row>
    <row r="2508" spans="1:9" s="65" customFormat="1">
      <c r="A2508" s="645"/>
      <c r="B2508" s="156"/>
      <c r="C2508" s="156"/>
      <c r="D2508" s="156"/>
      <c r="E2508" s="156"/>
      <c r="F2508" s="156"/>
      <c r="G2508" s="156"/>
      <c r="H2508" s="156"/>
      <c r="I2508" s="152"/>
    </row>
    <row r="2509" spans="1:9" s="65" customFormat="1">
      <c r="A2509" s="645"/>
      <c r="B2509" s="156"/>
      <c r="C2509" s="156"/>
      <c r="D2509" s="156"/>
      <c r="E2509" s="156"/>
      <c r="F2509" s="156"/>
      <c r="G2509" s="156"/>
    </row>
    <row r="2510" spans="1:9" s="65" customFormat="1">
      <c r="A2510" s="69"/>
      <c r="B2510" s="69"/>
      <c r="C2510" s="69"/>
      <c r="D2510" s="69"/>
      <c r="E2510" s="69"/>
    </row>
    <row r="2511" spans="1:9" s="65" customFormat="1">
      <c r="A2511" s="120"/>
      <c r="B2511" s="73"/>
      <c r="C2511" s="73"/>
      <c r="D2511" s="73"/>
      <c r="E2511" s="73"/>
      <c r="F2511" s="121"/>
      <c r="G2511" s="121"/>
      <c r="H2511" s="121"/>
    </row>
    <row r="2512" spans="1:9" s="65" customFormat="1">
      <c r="A2512" s="128"/>
      <c r="B2512" s="141"/>
      <c r="C2512" s="141"/>
      <c r="D2512" s="141"/>
      <c r="E2512" s="141"/>
      <c r="F2512" s="141"/>
      <c r="G2512" s="141"/>
      <c r="H2512" s="121"/>
    </row>
    <row r="2513" spans="1:8" s="65" customFormat="1">
      <c r="A2513" s="150"/>
      <c r="B2513" s="83"/>
      <c r="C2513" s="148"/>
      <c r="D2513" s="84"/>
      <c r="E2513" s="84"/>
      <c r="F2513" s="84"/>
      <c r="G2513" s="144"/>
      <c r="H2513" s="145"/>
    </row>
    <row r="2514" spans="1:8" s="65" customFormat="1">
      <c r="A2514" s="84"/>
      <c r="B2514" s="83"/>
      <c r="C2514" s="84"/>
      <c r="D2514" s="84"/>
      <c r="E2514" s="84"/>
      <c r="G2514" s="104"/>
      <c r="H2514" s="140"/>
    </row>
    <row r="2515" spans="1:8" s="65" customFormat="1">
      <c r="A2515" s="120"/>
      <c r="B2515" s="73"/>
      <c r="C2515" s="73"/>
      <c r="D2515" s="73"/>
      <c r="E2515" s="73"/>
      <c r="G2515" s="121"/>
      <c r="H2515" s="140"/>
    </row>
    <row r="2516" spans="1:8" s="65" customFormat="1">
      <c r="A2516" s="128"/>
      <c r="B2516" s="141"/>
      <c r="C2516" s="141"/>
      <c r="D2516" s="141"/>
      <c r="E2516" s="141"/>
      <c r="F2516" s="141"/>
      <c r="G2516" s="141"/>
      <c r="H2516" s="140"/>
    </row>
    <row r="2517" spans="1:8" s="65" customFormat="1" ht="16.5">
      <c r="A2517" s="150"/>
      <c r="B2517" s="161"/>
      <c r="C2517" s="148"/>
      <c r="D2517" s="160"/>
      <c r="E2517" s="84"/>
      <c r="F2517" s="84"/>
      <c r="G2517" s="144"/>
      <c r="H2517" s="145"/>
    </row>
    <row r="2518" spans="1:8" s="65" customFormat="1">
      <c r="A2518" s="91"/>
      <c r="B2518" s="91"/>
      <c r="C2518" s="91"/>
      <c r="D2518" s="91"/>
      <c r="E2518" s="91"/>
      <c r="G2518" s="104"/>
      <c r="H2518" s="140"/>
    </row>
    <row r="2519" spans="1:8" s="65" customFormat="1">
      <c r="A2519" s="120"/>
      <c r="B2519" s="73"/>
      <c r="C2519" s="73"/>
      <c r="D2519" s="73"/>
      <c r="E2519" s="73"/>
      <c r="G2519" s="121"/>
      <c r="H2519" s="140"/>
    </row>
    <row r="2520" spans="1:8" s="65" customFormat="1">
      <c r="A2520" s="128"/>
      <c r="B2520" s="141"/>
      <c r="C2520" s="141"/>
      <c r="D2520" s="141"/>
      <c r="E2520" s="141"/>
      <c r="F2520" s="141"/>
      <c r="G2520" s="141"/>
      <c r="H2520" s="140"/>
    </row>
    <row r="2521" spans="1:8" s="65" customFormat="1">
      <c r="A2521" s="146"/>
      <c r="B2521" s="83"/>
      <c r="C2521" s="148"/>
      <c r="D2521" s="84"/>
      <c r="E2521" s="84"/>
      <c r="F2521" s="84"/>
      <c r="G2521" s="144"/>
      <c r="H2521" s="145"/>
    </row>
    <row r="2522" spans="1:8" s="65" customFormat="1">
      <c r="A2522" s="91"/>
      <c r="B2522" s="91"/>
      <c r="C2522" s="91"/>
      <c r="D2522" s="91"/>
      <c r="E2522" s="91"/>
      <c r="G2522" s="104"/>
      <c r="H2522" s="140"/>
    </row>
    <row r="2523" spans="1:8" s="65" customFormat="1">
      <c r="A2523" s="120"/>
      <c r="B2523" s="73"/>
      <c r="C2523" s="73"/>
      <c r="D2523" s="73"/>
      <c r="E2523" s="73"/>
      <c r="G2523" s="121"/>
      <c r="H2523" s="140"/>
    </row>
    <row r="2524" spans="1:8" s="65" customFormat="1">
      <c r="A2524" s="128"/>
      <c r="B2524" s="141"/>
      <c r="C2524" s="141"/>
      <c r="D2524" s="141"/>
      <c r="E2524" s="141"/>
      <c r="F2524" s="141"/>
      <c r="G2524" s="141"/>
      <c r="H2524" s="140"/>
    </row>
    <row r="2525" spans="1:8" s="65" customFormat="1">
      <c r="A2525" s="142"/>
      <c r="B2525" s="143"/>
      <c r="C2525" s="143"/>
      <c r="D2525" s="143"/>
      <c r="E2525" s="143"/>
      <c r="F2525" s="84"/>
      <c r="G2525" s="144"/>
      <c r="H2525" s="145"/>
    </row>
    <row r="2526" spans="1:8" s="65" customFormat="1">
      <c r="A2526" s="123"/>
      <c r="B2526" s="95"/>
      <c r="C2526" s="95"/>
      <c r="D2526" s="95"/>
      <c r="E2526" s="95"/>
      <c r="G2526" s="104"/>
      <c r="H2526" s="121"/>
    </row>
    <row r="2527" spans="1:8" s="65" customFormat="1">
      <c r="A2527" s="123"/>
      <c r="B2527" s="95"/>
      <c r="C2527" s="95"/>
      <c r="D2527" s="95"/>
      <c r="E2527" s="95"/>
      <c r="G2527" s="121"/>
      <c r="H2527" s="133"/>
    </row>
    <row r="2528" spans="1:8" s="65" customFormat="1">
      <c r="B2528" s="97"/>
      <c r="C2528" s="98"/>
      <c r="D2528" s="98"/>
      <c r="E2528" s="98"/>
      <c r="G2528" s="128"/>
    </row>
    <row r="2529" spans="1:9" s="65" customFormat="1">
      <c r="B2529" s="97"/>
      <c r="C2529" s="98"/>
      <c r="D2529" s="98"/>
      <c r="E2529" s="98"/>
      <c r="F2529" s="128"/>
      <c r="G2529" s="133"/>
      <c r="H2529" s="134"/>
    </row>
    <row r="2530" spans="1:9" s="65" customFormat="1">
      <c r="A2530" s="633"/>
      <c r="B2530" s="633"/>
      <c r="C2530" s="633"/>
      <c r="D2530" s="633"/>
      <c r="E2530" s="633"/>
      <c r="F2530" s="633"/>
      <c r="G2530" s="633"/>
    </row>
    <row r="2531" spans="1:9" s="65" customFormat="1">
      <c r="H2531" s="156"/>
      <c r="I2531" s="151"/>
    </row>
    <row r="2532" spans="1:9" s="65" customFormat="1">
      <c r="A2532" s="645"/>
      <c r="B2532" s="156"/>
      <c r="C2532" s="156"/>
      <c r="D2532" s="156"/>
      <c r="E2532" s="156"/>
      <c r="F2532" s="156"/>
      <c r="G2532" s="156"/>
      <c r="H2532" s="156"/>
      <c r="I2532" s="152"/>
    </row>
    <row r="2533" spans="1:9" s="65" customFormat="1">
      <c r="A2533" s="645"/>
      <c r="B2533" s="156"/>
      <c r="C2533" s="156"/>
      <c r="D2533" s="156"/>
      <c r="E2533" s="156"/>
      <c r="F2533" s="156"/>
      <c r="G2533" s="156"/>
    </row>
    <row r="2534" spans="1:9" s="65" customFormat="1">
      <c r="A2534" s="69"/>
      <c r="B2534" s="69"/>
      <c r="C2534" s="69"/>
      <c r="D2534" s="69"/>
      <c r="E2534" s="69"/>
    </row>
    <row r="2535" spans="1:9" s="65" customFormat="1">
      <c r="A2535" s="120"/>
      <c r="B2535" s="73"/>
      <c r="C2535" s="73"/>
      <c r="D2535" s="73"/>
      <c r="E2535" s="73"/>
      <c r="F2535" s="121"/>
      <c r="G2535" s="121"/>
      <c r="H2535" s="121"/>
    </row>
    <row r="2536" spans="1:9" s="65" customFormat="1">
      <c r="A2536" s="128"/>
      <c r="B2536" s="141"/>
      <c r="C2536" s="141"/>
      <c r="D2536" s="141"/>
      <c r="E2536" s="141"/>
      <c r="F2536" s="141"/>
      <c r="G2536" s="141"/>
      <c r="H2536" s="121"/>
    </row>
    <row r="2537" spans="1:9" s="65" customFormat="1">
      <c r="A2537" s="150"/>
      <c r="B2537" s="83"/>
      <c r="C2537" s="148"/>
      <c r="D2537" s="84"/>
      <c r="E2537" s="84"/>
      <c r="F2537" s="84"/>
      <c r="G2537" s="144"/>
      <c r="H2537" s="145"/>
    </row>
    <row r="2538" spans="1:9" s="65" customFormat="1">
      <c r="A2538" s="84"/>
      <c r="B2538" s="83"/>
      <c r="C2538" s="84"/>
      <c r="D2538" s="84"/>
      <c r="E2538" s="84"/>
      <c r="G2538" s="104"/>
      <c r="H2538" s="140"/>
    </row>
    <row r="2539" spans="1:9" s="65" customFormat="1">
      <c r="A2539" s="120"/>
      <c r="B2539" s="73"/>
      <c r="C2539" s="73"/>
      <c r="D2539" s="73"/>
      <c r="E2539" s="73"/>
      <c r="G2539" s="121"/>
      <c r="H2539" s="140"/>
    </row>
    <row r="2540" spans="1:9" s="65" customFormat="1">
      <c r="A2540" s="128"/>
      <c r="B2540" s="141"/>
      <c r="C2540" s="141"/>
      <c r="D2540" s="141"/>
      <c r="E2540" s="141"/>
      <c r="F2540" s="141"/>
      <c r="G2540" s="141"/>
      <c r="H2540" s="140"/>
    </row>
    <row r="2541" spans="1:9" s="65" customFormat="1" ht="16.5">
      <c r="A2541" s="150"/>
      <c r="B2541" s="161"/>
      <c r="C2541" s="148"/>
      <c r="D2541" s="160"/>
      <c r="E2541" s="84"/>
      <c r="F2541" s="84"/>
      <c r="G2541" s="144"/>
      <c r="H2541" s="145"/>
    </row>
    <row r="2542" spans="1:9" s="65" customFormat="1">
      <c r="A2542" s="91"/>
      <c r="B2542" s="91"/>
      <c r="C2542" s="91"/>
      <c r="D2542" s="91"/>
      <c r="E2542" s="91"/>
      <c r="G2542" s="104"/>
      <c r="H2542" s="140"/>
    </row>
    <row r="2543" spans="1:9" s="65" customFormat="1">
      <c r="A2543" s="120"/>
      <c r="B2543" s="73"/>
      <c r="C2543" s="73"/>
      <c r="D2543" s="73"/>
      <c r="E2543" s="73"/>
      <c r="G2543" s="121"/>
      <c r="H2543" s="140"/>
    </row>
    <row r="2544" spans="1:9" s="65" customFormat="1">
      <c r="A2544" s="128"/>
      <c r="B2544" s="141"/>
      <c r="C2544" s="141"/>
      <c r="D2544" s="141"/>
      <c r="E2544" s="141"/>
      <c r="F2544" s="141"/>
      <c r="G2544" s="141"/>
      <c r="H2544" s="140"/>
    </row>
    <row r="2545" spans="1:9" s="65" customFormat="1">
      <c r="A2545" s="146"/>
      <c r="B2545" s="83"/>
      <c r="C2545" s="148"/>
      <c r="D2545" s="84"/>
      <c r="E2545" s="84"/>
      <c r="F2545" s="84"/>
      <c r="G2545" s="144"/>
      <c r="H2545" s="145"/>
    </row>
    <row r="2546" spans="1:9" s="65" customFormat="1">
      <c r="A2546" s="91"/>
      <c r="B2546" s="91"/>
      <c r="C2546" s="91"/>
      <c r="D2546" s="91"/>
      <c r="E2546" s="91"/>
      <c r="G2546" s="104"/>
      <c r="H2546" s="140"/>
    </row>
    <row r="2547" spans="1:9" s="65" customFormat="1">
      <c r="A2547" s="120"/>
      <c r="B2547" s="73"/>
      <c r="C2547" s="73"/>
      <c r="D2547" s="73"/>
      <c r="E2547" s="73"/>
      <c r="G2547" s="121"/>
      <c r="H2547" s="140"/>
    </row>
    <row r="2548" spans="1:9" s="65" customFormat="1">
      <c r="A2548" s="128"/>
      <c r="B2548" s="141"/>
      <c r="C2548" s="141"/>
      <c r="D2548" s="141"/>
      <c r="E2548" s="141"/>
      <c r="F2548" s="141"/>
      <c r="G2548" s="141"/>
      <c r="H2548" s="140"/>
    </row>
    <row r="2549" spans="1:9" s="65" customFormat="1">
      <c r="A2549" s="142"/>
      <c r="B2549" s="143"/>
      <c r="C2549" s="143"/>
      <c r="D2549" s="143"/>
      <c r="E2549" s="143"/>
      <c r="F2549" s="84"/>
      <c r="G2549" s="144"/>
      <c r="H2549" s="145"/>
    </row>
    <row r="2550" spans="1:9" s="65" customFormat="1">
      <c r="A2550" s="123"/>
      <c r="B2550" s="95"/>
      <c r="C2550" s="95"/>
      <c r="D2550" s="95"/>
      <c r="E2550" s="95"/>
      <c r="G2550" s="104"/>
      <c r="H2550" s="121"/>
    </row>
    <row r="2551" spans="1:9" s="65" customFormat="1">
      <c r="A2551" s="123"/>
      <c r="B2551" s="95"/>
      <c r="C2551" s="95"/>
      <c r="D2551" s="95"/>
      <c r="E2551" s="95"/>
      <c r="G2551" s="121"/>
      <c r="H2551" s="133"/>
    </row>
    <row r="2552" spans="1:9" s="65" customFormat="1">
      <c r="B2552" s="97"/>
      <c r="C2552" s="98"/>
      <c r="D2552" s="98"/>
      <c r="E2552" s="98"/>
      <c r="G2552" s="128"/>
    </row>
    <row r="2553" spans="1:9" s="65" customFormat="1">
      <c r="B2553" s="97"/>
      <c r="C2553" s="98"/>
      <c r="D2553" s="98"/>
      <c r="E2553" s="98"/>
      <c r="F2553" s="128"/>
      <c r="G2553" s="133"/>
      <c r="H2553" s="134"/>
    </row>
    <row r="2554" spans="1:9" s="65" customFormat="1">
      <c r="A2554" s="633"/>
      <c r="B2554" s="633"/>
      <c r="C2554" s="633"/>
      <c r="D2554" s="633"/>
      <c r="E2554" s="633"/>
      <c r="F2554" s="633"/>
      <c r="G2554" s="633"/>
    </row>
    <row r="2555" spans="1:9" s="65" customFormat="1">
      <c r="H2555" s="156"/>
      <c r="I2555" s="151"/>
    </row>
    <row r="2556" spans="1:9" s="65" customFormat="1">
      <c r="A2556" s="645"/>
      <c r="B2556" s="156"/>
      <c r="C2556" s="156"/>
      <c r="D2556" s="156"/>
      <c r="E2556" s="156"/>
      <c r="F2556" s="156"/>
      <c r="G2556" s="156"/>
      <c r="H2556" s="156"/>
      <c r="I2556" s="152"/>
    </row>
    <row r="2557" spans="1:9" s="65" customFormat="1">
      <c r="A2557" s="645"/>
      <c r="B2557" s="156"/>
      <c r="C2557" s="156"/>
      <c r="D2557" s="156"/>
      <c r="E2557" s="156"/>
      <c r="F2557" s="156"/>
      <c r="G2557" s="156"/>
    </row>
    <row r="2558" spans="1:9" s="65" customFormat="1">
      <c r="A2558" s="69"/>
      <c r="B2558" s="69"/>
      <c r="C2558" s="69"/>
      <c r="D2558" s="69"/>
      <c r="E2558" s="69"/>
    </row>
    <row r="2559" spans="1:9" s="65" customFormat="1">
      <c r="A2559" s="120"/>
      <c r="B2559" s="73"/>
      <c r="C2559" s="73"/>
      <c r="D2559" s="73"/>
      <c r="E2559" s="73"/>
      <c r="F2559" s="121"/>
      <c r="G2559" s="121"/>
      <c r="H2559" s="121"/>
    </row>
    <row r="2560" spans="1:9" s="65" customFormat="1">
      <c r="A2560" s="128"/>
      <c r="B2560" s="141"/>
      <c r="C2560" s="141"/>
      <c r="D2560" s="141"/>
      <c r="E2560" s="141"/>
      <c r="F2560" s="141"/>
      <c r="G2560" s="141"/>
      <c r="H2560" s="121"/>
    </row>
    <row r="2561" spans="1:8" s="65" customFormat="1">
      <c r="A2561" s="150"/>
      <c r="B2561" s="83"/>
      <c r="C2561" s="148"/>
      <c r="D2561" s="84"/>
      <c r="E2561" s="84"/>
      <c r="F2561" s="84"/>
      <c r="G2561" s="144"/>
      <c r="H2561" s="145"/>
    </row>
    <row r="2562" spans="1:8" s="65" customFormat="1">
      <c r="A2562" s="84"/>
      <c r="B2562" s="83"/>
      <c r="C2562" s="84"/>
      <c r="D2562" s="84"/>
      <c r="E2562" s="84"/>
      <c r="G2562" s="104"/>
      <c r="H2562" s="140"/>
    </row>
    <row r="2563" spans="1:8" s="65" customFormat="1">
      <c r="A2563" s="120"/>
      <c r="B2563" s="73"/>
      <c r="C2563" s="73"/>
      <c r="D2563" s="73"/>
      <c r="E2563" s="73"/>
      <c r="G2563" s="121"/>
      <c r="H2563" s="140"/>
    </row>
    <row r="2564" spans="1:8" s="65" customFormat="1">
      <c r="A2564" s="128"/>
      <c r="B2564" s="141"/>
      <c r="C2564" s="141"/>
      <c r="D2564" s="141"/>
      <c r="E2564" s="141"/>
      <c r="F2564" s="141"/>
      <c r="G2564" s="141"/>
      <c r="H2564" s="140"/>
    </row>
    <row r="2565" spans="1:8" s="65" customFormat="1" ht="16.5">
      <c r="A2565" s="150"/>
      <c r="B2565" s="161"/>
      <c r="C2565" s="148"/>
      <c r="D2565" s="160"/>
      <c r="E2565" s="84"/>
      <c r="F2565" s="84"/>
      <c r="G2565" s="144"/>
      <c r="H2565" s="145"/>
    </row>
    <row r="2566" spans="1:8" s="65" customFormat="1">
      <c r="A2566" s="91"/>
      <c r="B2566" s="91"/>
      <c r="C2566" s="91"/>
      <c r="D2566" s="91"/>
      <c r="E2566" s="91"/>
      <c r="G2566" s="104"/>
      <c r="H2566" s="140"/>
    </row>
    <row r="2567" spans="1:8" s="65" customFormat="1">
      <c r="A2567" s="120"/>
      <c r="B2567" s="73"/>
      <c r="C2567" s="73"/>
      <c r="D2567" s="73"/>
      <c r="E2567" s="73"/>
      <c r="G2567" s="121"/>
      <c r="H2567" s="140"/>
    </row>
    <row r="2568" spans="1:8" s="65" customFormat="1">
      <c r="A2568" s="128"/>
      <c r="B2568" s="141"/>
      <c r="C2568" s="141"/>
      <c r="D2568" s="141"/>
      <c r="E2568" s="141"/>
      <c r="F2568" s="141"/>
      <c r="G2568" s="141"/>
      <c r="H2568" s="140"/>
    </row>
    <row r="2569" spans="1:8" s="65" customFormat="1">
      <c r="A2569" s="146"/>
      <c r="B2569" s="83"/>
      <c r="C2569" s="148"/>
      <c r="D2569" s="84"/>
      <c r="E2569" s="84"/>
      <c r="F2569" s="84"/>
      <c r="G2569" s="144"/>
      <c r="H2569" s="145"/>
    </row>
    <row r="2570" spans="1:8" s="65" customFormat="1">
      <c r="A2570" s="91"/>
      <c r="B2570" s="91"/>
      <c r="C2570" s="91"/>
      <c r="D2570" s="91"/>
      <c r="E2570" s="91"/>
      <c r="G2570" s="104"/>
      <c r="H2570" s="140"/>
    </row>
    <row r="2571" spans="1:8" s="65" customFormat="1">
      <c r="A2571" s="120"/>
      <c r="B2571" s="73"/>
      <c r="C2571" s="73"/>
      <c r="D2571" s="73"/>
      <c r="E2571" s="73"/>
      <c r="G2571" s="121"/>
      <c r="H2571" s="140"/>
    </row>
    <row r="2572" spans="1:8" s="65" customFormat="1">
      <c r="A2572" s="128"/>
      <c r="B2572" s="141"/>
      <c r="C2572" s="141"/>
      <c r="D2572" s="141"/>
      <c r="E2572" s="141"/>
      <c r="F2572" s="141"/>
      <c r="G2572" s="141"/>
      <c r="H2572" s="140"/>
    </row>
    <row r="2573" spans="1:8" s="65" customFormat="1">
      <c r="A2573" s="142"/>
      <c r="B2573" s="143"/>
      <c r="C2573" s="143"/>
      <c r="D2573" s="143"/>
      <c r="E2573" s="143"/>
      <c r="F2573" s="84"/>
      <c r="G2573" s="144"/>
      <c r="H2573" s="145"/>
    </row>
    <row r="2574" spans="1:8" s="65" customFormat="1">
      <c r="A2574" s="123"/>
      <c r="B2574" s="95"/>
      <c r="C2574" s="95"/>
      <c r="D2574" s="95"/>
      <c r="E2574" s="95"/>
      <c r="G2574" s="104"/>
      <c r="H2574" s="121"/>
    </row>
    <row r="2575" spans="1:8" s="65" customFormat="1">
      <c r="A2575" s="123"/>
      <c r="B2575" s="95"/>
      <c r="C2575" s="95"/>
      <c r="D2575" s="95"/>
      <c r="E2575" s="95"/>
      <c r="G2575" s="121"/>
      <c r="H2575" s="133"/>
    </row>
    <row r="2576" spans="1:8" s="65" customFormat="1">
      <c r="B2576" s="97"/>
      <c r="C2576" s="98"/>
      <c r="D2576" s="98"/>
      <c r="E2576" s="98"/>
      <c r="G2576" s="128"/>
    </row>
    <row r="2577" spans="1:9" s="65" customFormat="1">
      <c r="B2577" s="97"/>
      <c r="C2577" s="98"/>
      <c r="D2577" s="98"/>
      <c r="E2577" s="98"/>
      <c r="F2577" s="128"/>
      <c r="G2577" s="133"/>
      <c r="H2577" s="134"/>
    </row>
    <row r="2578" spans="1:9" s="65" customFormat="1">
      <c r="A2578" s="633"/>
      <c r="B2578" s="633"/>
      <c r="C2578" s="633"/>
      <c r="D2578" s="633"/>
      <c r="E2578" s="633"/>
      <c r="F2578" s="633"/>
      <c r="G2578" s="633"/>
    </row>
    <row r="2579" spans="1:9" s="65" customFormat="1">
      <c r="H2579" s="156"/>
      <c r="I2579" s="151"/>
    </row>
    <row r="2580" spans="1:9" s="65" customFormat="1">
      <c r="A2580" s="645"/>
      <c r="B2580" s="156"/>
      <c r="C2580" s="156"/>
      <c r="D2580" s="156"/>
      <c r="E2580" s="156"/>
      <c r="F2580" s="156"/>
      <c r="G2580" s="156"/>
      <c r="H2580" s="156"/>
      <c r="I2580" s="152"/>
    </row>
    <row r="2581" spans="1:9" s="65" customFormat="1">
      <c r="A2581" s="645"/>
      <c r="B2581" s="156"/>
      <c r="C2581" s="156"/>
      <c r="D2581" s="156"/>
      <c r="E2581" s="156"/>
      <c r="F2581" s="156"/>
      <c r="G2581" s="156"/>
    </row>
    <row r="2582" spans="1:9" s="65" customFormat="1">
      <c r="A2582" s="69"/>
      <c r="B2582" s="69"/>
      <c r="C2582" s="69"/>
      <c r="D2582" s="69"/>
      <c r="E2582" s="69"/>
    </row>
    <row r="2583" spans="1:9" s="65" customFormat="1">
      <c r="A2583" s="120"/>
      <c r="B2583" s="73"/>
      <c r="C2583" s="73"/>
      <c r="D2583" s="73"/>
      <c r="E2583" s="73"/>
      <c r="F2583" s="121"/>
      <c r="G2583" s="121"/>
      <c r="H2583" s="121"/>
    </row>
    <row r="2584" spans="1:9" s="65" customFormat="1">
      <c r="A2584" s="128"/>
      <c r="B2584" s="141"/>
      <c r="C2584" s="141"/>
      <c r="D2584" s="141"/>
      <c r="E2584" s="141"/>
      <c r="F2584" s="141"/>
      <c r="G2584" s="141"/>
      <c r="H2584" s="121"/>
    </row>
    <row r="2585" spans="1:9" s="65" customFormat="1">
      <c r="A2585" s="150"/>
      <c r="B2585" s="83"/>
      <c r="C2585" s="148"/>
      <c r="D2585" s="84"/>
      <c r="E2585" s="84"/>
      <c r="F2585" s="84"/>
      <c r="G2585" s="144"/>
      <c r="H2585" s="145"/>
    </row>
    <row r="2586" spans="1:9" s="65" customFormat="1">
      <c r="A2586" s="84"/>
      <c r="B2586" s="83"/>
      <c r="C2586" s="84"/>
      <c r="D2586" s="84"/>
      <c r="E2586" s="84"/>
      <c r="G2586" s="104"/>
      <c r="H2586" s="140"/>
    </row>
    <row r="2587" spans="1:9" s="65" customFormat="1">
      <c r="A2587" s="120"/>
      <c r="B2587" s="73"/>
      <c r="C2587" s="73"/>
      <c r="D2587" s="73"/>
      <c r="E2587" s="73"/>
      <c r="G2587" s="121"/>
      <c r="H2587" s="140"/>
    </row>
    <row r="2588" spans="1:9" s="65" customFormat="1">
      <c r="A2588" s="128"/>
      <c r="B2588" s="141"/>
      <c r="C2588" s="141"/>
      <c r="D2588" s="141"/>
      <c r="E2588" s="141"/>
      <c r="F2588" s="141"/>
      <c r="G2588" s="141"/>
      <c r="H2588" s="140"/>
    </row>
    <row r="2589" spans="1:9" s="65" customFormat="1" ht="16.5">
      <c r="A2589" s="150"/>
      <c r="B2589" s="163"/>
      <c r="C2589" s="148"/>
      <c r="D2589" s="160"/>
      <c r="E2589" s="84"/>
      <c r="F2589" s="84"/>
      <c r="G2589" s="144"/>
      <c r="H2589" s="145"/>
    </row>
    <row r="2590" spans="1:9" s="65" customFormat="1">
      <c r="A2590" s="91"/>
      <c r="B2590" s="91"/>
      <c r="C2590" s="91"/>
      <c r="D2590" s="91"/>
      <c r="E2590" s="91"/>
      <c r="G2590" s="104"/>
      <c r="H2590" s="140"/>
    </row>
    <row r="2591" spans="1:9" s="65" customFormat="1">
      <c r="A2591" s="120"/>
      <c r="B2591" s="73"/>
      <c r="C2591" s="73"/>
      <c r="D2591" s="73"/>
      <c r="E2591" s="73"/>
      <c r="G2591" s="121"/>
      <c r="H2591" s="140"/>
    </row>
    <row r="2592" spans="1:9" s="65" customFormat="1">
      <c r="A2592" s="128"/>
      <c r="B2592" s="141"/>
      <c r="C2592" s="141"/>
      <c r="D2592" s="141"/>
      <c r="E2592" s="141"/>
      <c r="F2592" s="141"/>
      <c r="G2592" s="141"/>
      <c r="H2592" s="140"/>
    </row>
    <row r="2593" spans="1:9" s="65" customFormat="1">
      <c r="A2593" s="146"/>
      <c r="B2593" s="83"/>
      <c r="C2593" s="148"/>
      <c r="D2593" s="84"/>
      <c r="E2593" s="84"/>
      <c r="F2593" s="84"/>
      <c r="G2593" s="144"/>
      <c r="H2593" s="145"/>
    </row>
    <row r="2594" spans="1:9" s="65" customFormat="1">
      <c r="A2594" s="91"/>
      <c r="B2594" s="91"/>
      <c r="C2594" s="91"/>
      <c r="D2594" s="91"/>
      <c r="E2594" s="91"/>
      <c r="G2594" s="104"/>
      <c r="H2594" s="140"/>
    </row>
    <row r="2595" spans="1:9" s="65" customFormat="1">
      <c r="A2595" s="120"/>
      <c r="B2595" s="73"/>
      <c r="C2595" s="73"/>
      <c r="D2595" s="73"/>
      <c r="E2595" s="73"/>
      <c r="G2595" s="121"/>
      <c r="H2595" s="140"/>
    </row>
    <row r="2596" spans="1:9" s="65" customFormat="1">
      <c r="A2596" s="128"/>
      <c r="B2596" s="141"/>
      <c r="C2596" s="141"/>
      <c r="D2596" s="141"/>
      <c r="E2596" s="141"/>
      <c r="F2596" s="141"/>
      <c r="G2596" s="141"/>
      <c r="H2596" s="140"/>
    </row>
    <row r="2597" spans="1:9" s="65" customFormat="1">
      <c r="A2597" s="142"/>
      <c r="B2597" s="143"/>
      <c r="C2597" s="143"/>
      <c r="D2597" s="143"/>
      <c r="E2597" s="143"/>
      <c r="F2597" s="84"/>
      <c r="G2597" s="144"/>
      <c r="H2597" s="145"/>
    </row>
    <row r="2598" spans="1:9" s="65" customFormat="1">
      <c r="A2598" s="123"/>
      <c r="B2598" s="95"/>
      <c r="C2598" s="95"/>
      <c r="D2598" s="95"/>
      <c r="E2598" s="95"/>
      <c r="G2598" s="104"/>
      <c r="H2598" s="121"/>
    </row>
    <row r="2599" spans="1:9" s="65" customFormat="1">
      <c r="A2599" s="123"/>
      <c r="B2599" s="95"/>
      <c r="C2599" s="95"/>
      <c r="D2599" s="95"/>
      <c r="E2599" s="95"/>
      <c r="G2599" s="121"/>
      <c r="H2599" s="133"/>
    </row>
    <row r="2600" spans="1:9" s="65" customFormat="1">
      <c r="B2600" s="97"/>
      <c r="C2600" s="98"/>
      <c r="D2600" s="98"/>
      <c r="E2600" s="98"/>
      <c r="G2600" s="128"/>
    </row>
    <row r="2601" spans="1:9" s="65" customFormat="1">
      <c r="B2601" s="97"/>
      <c r="C2601" s="98"/>
      <c r="D2601" s="98"/>
      <c r="E2601" s="98"/>
      <c r="F2601" s="128"/>
      <c r="G2601" s="133"/>
      <c r="H2601" s="134"/>
    </row>
    <row r="2602" spans="1:9" s="65" customFormat="1">
      <c r="A2602" s="633"/>
      <c r="B2602" s="633"/>
      <c r="C2602" s="633"/>
      <c r="D2602" s="633"/>
      <c r="E2602" s="633"/>
      <c r="F2602" s="633"/>
      <c r="G2602" s="633"/>
    </row>
    <row r="2603" spans="1:9" s="65" customFormat="1">
      <c r="H2603" s="156"/>
      <c r="I2603" s="151"/>
    </row>
    <row r="2604" spans="1:9" s="65" customFormat="1">
      <c r="A2604" s="645"/>
      <c r="B2604" s="156"/>
      <c r="C2604" s="156"/>
      <c r="D2604" s="156"/>
      <c r="E2604" s="156"/>
      <c r="F2604" s="156"/>
      <c r="G2604" s="156"/>
      <c r="H2604" s="156"/>
      <c r="I2604" s="152"/>
    </row>
    <row r="2605" spans="1:9" s="65" customFormat="1">
      <c r="A2605" s="645"/>
      <c r="B2605" s="156"/>
      <c r="C2605" s="156"/>
      <c r="D2605" s="156"/>
      <c r="E2605" s="156"/>
      <c r="F2605" s="156"/>
      <c r="G2605" s="156"/>
    </row>
    <row r="2606" spans="1:9" s="65" customFormat="1">
      <c r="A2606" s="69"/>
      <c r="B2606" s="69"/>
      <c r="C2606" s="69"/>
      <c r="D2606" s="69"/>
      <c r="E2606" s="69"/>
    </row>
    <row r="2607" spans="1:9" s="65" customFormat="1">
      <c r="A2607" s="120"/>
      <c r="B2607" s="73"/>
      <c r="C2607" s="73"/>
      <c r="D2607" s="73"/>
      <c r="E2607" s="73"/>
      <c r="F2607" s="121"/>
      <c r="G2607" s="121"/>
      <c r="H2607" s="121"/>
    </row>
    <row r="2608" spans="1:9" s="65" customFormat="1">
      <c r="A2608" s="128"/>
      <c r="B2608" s="141"/>
      <c r="C2608" s="141"/>
      <c r="D2608" s="141"/>
      <c r="E2608" s="141"/>
      <c r="F2608" s="141"/>
      <c r="G2608" s="141"/>
      <c r="H2608" s="121"/>
    </row>
    <row r="2609" spans="1:8" s="65" customFormat="1">
      <c r="A2609" s="150"/>
      <c r="B2609" s="83"/>
      <c r="C2609" s="148"/>
      <c r="D2609" s="84"/>
      <c r="E2609" s="84"/>
      <c r="F2609" s="84"/>
      <c r="G2609" s="144"/>
      <c r="H2609" s="145"/>
    </row>
    <row r="2610" spans="1:8" s="65" customFormat="1">
      <c r="A2610" s="84"/>
      <c r="B2610" s="83"/>
      <c r="C2610" s="84"/>
      <c r="D2610" s="84"/>
      <c r="E2610" s="84"/>
      <c r="G2610" s="104"/>
      <c r="H2610" s="140"/>
    </row>
    <row r="2611" spans="1:8" s="65" customFormat="1">
      <c r="A2611" s="120"/>
      <c r="B2611" s="73"/>
      <c r="C2611" s="73"/>
      <c r="D2611" s="73"/>
      <c r="E2611" s="73"/>
      <c r="G2611" s="121"/>
      <c r="H2611" s="140"/>
    </row>
    <row r="2612" spans="1:8" s="65" customFormat="1">
      <c r="A2612" s="128"/>
      <c r="B2612" s="141"/>
      <c r="C2612" s="141"/>
      <c r="D2612" s="141"/>
      <c r="E2612" s="141"/>
      <c r="F2612" s="141"/>
      <c r="G2612" s="141"/>
      <c r="H2612" s="140"/>
    </row>
    <row r="2613" spans="1:8" s="65" customFormat="1" ht="16.5">
      <c r="A2613" s="150"/>
      <c r="B2613" s="161"/>
      <c r="C2613" s="148"/>
      <c r="D2613" s="160"/>
      <c r="E2613" s="84"/>
      <c r="F2613" s="84"/>
      <c r="G2613" s="144"/>
      <c r="H2613" s="145"/>
    </row>
    <row r="2614" spans="1:8" s="65" customFormat="1">
      <c r="A2614" s="91"/>
      <c r="B2614" s="91"/>
      <c r="C2614" s="91"/>
      <c r="D2614" s="91"/>
      <c r="E2614" s="91"/>
      <c r="G2614" s="104"/>
      <c r="H2614" s="140"/>
    </row>
    <row r="2615" spans="1:8" s="65" customFormat="1">
      <c r="A2615" s="120"/>
      <c r="B2615" s="73"/>
      <c r="C2615" s="73"/>
      <c r="D2615" s="73"/>
      <c r="E2615" s="73"/>
      <c r="G2615" s="121"/>
      <c r="H2615" s="140"/>
    </row>
    <row r="2616" spans="1:8" s="65" customFormat="1">
      <c r="A2616" s="128"/>
      <c r="B2616" s="141"/>
      <c r="C2616" s="141"/>
      <c r="D2616" s="141"/>
      <c r="E2616" s="141"/>
      <c r="F2616" s="141"/>
      <c r="G2616" s="141"/>
      <c r="H2616" s="140"/>
    </row>
    <row r="2617" spans="1:8" s="65" customFormat="1">
      <c r="A2617" s="146"/>
      <c r="B2617" s="83"/>
      <c r="C2617" s="148"/>
      <c r="D2617" s="84"/>
      <c r="E2617" s="84"/>
      <c r="F2617" s="84"/>
      <c r="G2617" s="144"/>
      <c r="H2617" s="145"/>
    </row>
    <row r="2618" spans="1:8" s="65" customFormat="1">
      <c r="A2618" s="91"/>
      <c r="B2618" s="91"/>
      <c r="C2618" s="91"/>
      <c r="D2618" s="91"/>
      <c r="E2618" s="91"/>
      <c r="G2618" s="104"/>
      <c r="H2618" s="140"/>
    </row>
    <row r="2619" spans="1:8" s="65" customFormat="1">
      <c r="A2619" s="120"/>
      <c r="B2619" s="73"/>
      <c r="C2619" s="73"/>
      <c r="D2619" s="73"/>
      <c r="E2619" s="73"/>
      <c r="G2619" s="121"/>
      <c r="H2619" s="140"/>
    </row>
    <row r="2620" spans="1:8" s="65" customFormat="1">
      <c r="A2620" s="128"/>
      <c r="B2620" s="141"/>
      <c r="C2620" s="141"/>
      <c r="D2620" s="141"/>
      <c r="E2620" s="141"/>
      <c r="F2620" s="141"/>
      <c r="G2620" s="141"/>
      <c r="H2620" s="140"/>
    </row>
    <row r="2621" spans="1:8" s="65" customFormat="1">
      <c r="A2621" s="142"/>
      <c r="B2621" s="143"/>
      <c r="C2621" s="143"/>
      <c r="D2621" s="143"/>
      <c r="E2621" s="143"/>
      <c r="F2621" s="84"/>
      <c r="G2621" s="144"/>
      <c r="H2621" s="145"/>
    </row>
    <row r="2622" spans="1:8" s="65" customFormat="1">
      <c r="A2622" s="123"/>
      <c r="B2622" s="95"/>
      <c r="C2622" s="95"/>
      <c r="D2622" s="95"/>
      <c r="E2622" s="95"/>
      <c r="G2622" s="104"/>
      <c r="H2622" s="121"/>
    </row>
    <row r="2623" spans="1:8" s="65" customFormat="1">
      <c r="A2623" s="123"/>
      <c r="B2623" s="95"/>
      <c r="C2623" s="95"/>
      <c r="D2623" s="95"/>
      <c r="E2623" s="95"/>
      <c r="G2623" s="121"/>
      <c r="H2623" s="133"/>
    </row>
    <row r="2624" spans="1:8" s="65" customFormat="1">
      <c r="B2624" s="97"/>
      <c r="C2624" s="98"/>
      <c r="D2624" s="98"/>
      <c r="E2624" s="98"/>
      <c r="G2624" s="128"/>
    </row>
    <row r="2625" spans="1:9" s="65" customFormat="1">
      <c r="B2625" s="97"/>
      <c r="C2625" s="98"/>
      <c r="D2625" s="98"/>
      <c r="E2625" s="98"/>
      <c r="F2625" s="128"/>
      <c r="G2625" s="133"/>
      <c r="H2625" s="134"/>
    </row>
    <row r="2626" spans="1:9" s="65" customFormat="1">
      <c r="A2626" s="633"/>
      <c r="B2626" s="633"/>
      <c r="C2626" s="633"/>
      <c r="D2626" s="633"/>
      <c r="E2626" s="633"/>
      <c r="F2626" s="633"/>
      <c r="G2626" s="633"/>
    </row>
    <row r="2627" spans="1:9" s="65" customFormat="1">
      <c r="H2627" s="156"/>
      <c r="I2627" s="151"/>
    </row>
    <row r="2628" spans="1:9" s="65" customFormat="1">
      <c r="A2628" s="645"/>
      <c r="B2628" s="156"/>
      <c r="C2628" s="156"/>
      <c r="D2628" s="156"/>
      <c r="E2628" s="156"/>
      <c r="F2628" s="156"/>
      <c r="G2628" s="156"/>
      <c r="H2628" s="156"/>
      <c r="I2628" s="152"/>
    </row>
    <row r="2629" spans="1:9" s="65" customFormat="1">
      <c r="A2629" s="645"/>
      <c r="B2629" s="156"/>
      <c r="C2629" s="156"/>
      <c r="D2629" s="156"/>
      <c r="E2629" s="156"/>
      <c r="F2629" s="156"/>
      <c r="G2629" s="156"/>
    </row>
    <row r="2630" spans="1:9" s="65" customFormat="1">
      <c r="A2630" s="69"/>
      <c r="B2630" s="69"/>
      <c r="C2630" s="69"/>
      <c r="D2630" s="69"/>
      <c r="E2630" s="69"/>
    </row>
    <row r="2631" spans="1:9" s="65" customFormat="1">
      <c r="A2631" s="120"/>
      <c r="B2631" s="73"/>
      <c r="C2631" s="73"/>
      <c r="D2631" s="73"/>
      <c r="E2631" s="73"/>
      <c r="F2631" s="121"/>
      <c r="G2631" s="121"/>
      <c r="H2631" s="121"/>
    </row>
    <row r="2632" spans="1:9" s="65" customFormat="1">
      <c r="A2632" s="128"/>
      <c r="B2632" s="141"/>
      <c r="C2632" s="141"/>
      <c r="D2632" s="141"/>
      <c r="E2632" s="141"/>
      <c r="F2632" s="141"/>
      <c r="G2632" s="141"/>
      <c r="H2632" s="121"/>
    </row>
    <row r="2633" spans="1:9" s="65" customFormat="1">
      <c r="A2633" s="150"/>
      <c r="B2633" s="83"/>
      <c r="C2633" s="148"/>
      <c r="D2633" s="84"/>
      <c r="E2633" s="84"/>
      <c r="F2633" s="84"/>
      <c r="G2633" s="144"/>
      <c r="H2633" s="145"/>
    </row>
    <row r="2634" spans="1:9" s="65" customFormat="1">
      <c r="A2634" s="84"/>
      <c r="B2634" s="83"/>
      <c r="C2634" s="84"/>
      <c r="D2634" s="84"/>
      <c r="E2634" s="84"/>
      <c r="G2634" s="104"/>
      <c r="H2634" s="140"/>
    </row>
    <row r="2635" spans="1:9" s="65" customFormat="1">
      <c r="A2635" s="120"/>
      <c r="B2635" s="73"/>
      <c r="C2635" s="73"/>
      <c r="D2635" s="73"/>
      <c r="E2635" s="73"/>
      <c r="G2635" s="121"/>
      <c r="H2635" s="140"/>
    </row>
    <row r="2636" spans="1:9" s="65" customFormat="1">
      <c r="A2636" s="128"/>
      <c r="B2636" s="141"/>
      <c r="C2636" s="141"/>
      <c r="D2636" s="141"/>
      <c r="E2636" s="141"/>
      <c r="F2636" s="141"/>
      <c r="G2636" s="141"/>
      <c r="H2636" s="140"/>
    </row>
    <row r="2637" spans="1:9" s="65" customFormat="1" ht="16.5">
      <c r="A2637" s="150"/>
      <c r="B2637" s="163"/>
      <c r="C2637" s="148"/>
      <c r="D2637" s="160"/>
      <c r="E2637" s="84"/>
      <c r="F2637" s="84"/>
      <c r="G2637" s="144"/>
      <c r="H2637" s="145"/>
    </row>
    <row r="2638" spans="1:9" s="65" customFormat="1">
      <c r="A2638" s="91"/>
      <c r="B2638" s="91"/>
      <c r="C2638" s="91"/>
      <c r="D2638" s="91"/>
      <c r="E2638" s="91"/>
      <c r="G2638" s="104"/>
      <c r="H2638" s="140"/>
    </row>
    <row r="2639" spans="1:9" s="65" customFormat="1">
      <c r="A2639" s="120"/>
      <c r="B2639" s="73"/>
      <c r="C2639" s="73"/>
      <c r="D2639" s="73"/>
      <c r="E2639" s="73"/>
      <c r="G2639" s="121"/>
      <c r="H2639" s="140"/>
    </row>
    <row r="2640" spans="1:9" s="65" customFormat="1">
      <c r="A2640" s="128"/>
      <c r="B2640" s="141"/>
      <c r="C2640" s="141"/>
      <c r="D2640" s="141"/>
      <c r="E2640" s="141"/>
      <c r="F2640" s="141"/>
      <c r="G2640" s="141"/>
      <c r="H2640" s="140"/>
    </row>
    <row r="2641" spans="1:9" s="65" customFormat="1">
      <c r="A2641" s="146"/>
      <c r="B2641" s="83"/>
      <c r="C2641" s="148"/>
      <c r="D2641" s="84"/>
      <c r="E2641" s="84"/>
      <c r="F2641" s="84"/>
      <c r="G2641" s="144"/>
      <c r="H2641" s="145"/>
    </row>
    <row r="2642" spans="1:9" s="65" customFormat="1">
      <c r="A2642" s="91"/>
      <c r="B2642" s="91"/>
      <c r="C2642" s="91"/>
      <c r="D2642" s="91"/>
      <c r="E2642" s="91"/>
      <c r="G2642" s="104"/>
      <c r="H2642" s="140"/>
    </row>
    <row r="2643" spans="1:9" s="65" customFormat="1">
      <c r="A2643" s="120"/>
      <c r="B2643" s="73"/>
      <c r="C2643" s="73"/>
      <c r="D2643" s="73"/>
      <c r="E2643" s="73"/>
      <c r="G2643" s="121"/>
      <c r="H2643" s="140"/>
    </row>
    <row r="2644" spans="1:9" s="65" customFormat="1">
      <c r="A2644" s="128"/>
      <c r="B2644" s="141"/>
      <c r="C2644" s="141"/>
      <c r="D2644" s="141"/>
      <c r="E2644" s="141"/>
      <c r="F2644" s="141"/>
      <c r="G2644" s="141"/>
      <c r="H2644" s="140"/>
    </row>
    <row r="2645" spans="1:9" s="65" customFormat="1">
      <c r="A2645" s="142"/>
      <c r="B2645" s="143"/>
      <c r="C2645" s="143"/>
      <c r="D2645" s="143"/>
      <c r="E2645" s="143"/>
      <c r="F2645" s="84"/>
      <c r="G2645" s="144"/>
      <c r="H2645" s="145"/>
    </row>
    <row r="2646" spans="1:9" s="65" customFormat="1">
      <c r="A2646" s="123"/>
      <c r="B2646" s="95"/>
      <c r="C2646" s="95"/>
      <c r="D2646" s="95"/>
      <c r="E2646" s="95"/>
      <c r="G2646" s="104"/>
      <c r="H2646" s="121"/>
    </row>
    <row r="2647" spans="1:9" s="65" customFormat="1">
      <c r="A2647" s="123"/>
      <c r="B2647" s="95"/>
      <c r="C2647" s="95"/>
      <c r="D2647" s="95"/>
      <c r="E2647" s="95"/>
      <c r="G2647" s="121"/>
      <c r="H2647" s="133"/>
    </row>
    <row r="2648" spans="1:9" s="65" customFormat="1">
      <c r="B2648" s="97"/>
      <c r="C2648" s="98"/>
      <c r="D2648" s="98"/>
      <c r="E2648" s="98"/>
      <c r="G2648" s="128"/>
    </row>
    <row r="2649" spans="1:9" s="65" customFormat="1">
      <c r="B2649" s="97"/>
      <c r="C2649" s="98"/>
      <c r="D2649" s="98"/>
      <c r="E2649" s="98"/>
      <c r="F2649" s="128"/>
      <c r="G2649" s="133"/>
      <c r="H2649" s="134"/>
    </row>
    <row r="2650" spans="1:9" s="65" customFormat="1">
      <c r="A2650" s="633"/>
      <c r="B2650" s="633"/>
      <c r="C2650" s="633"/>
      <c r="D2650" s="633"/>
      <c r="E2650" s="633"/>
      <c r="F2650" s="633"/>
      <c r="G2650" s="633"/>
    </row>
    <row r="2651" spans="1:9" s="65" customFormat="1">
      <c r="H2651" s="156"/>
      <c r="I2651" s="151"/>
    </row>
    <row r="2652" spans="1:9" s="65" customFormat="1">
      <c r="A2652" s="645"/>
      <c r="B2652" s="156"/>
      <c r="C2652" s="156"/>
      <c r="D2652" s="156"/>
      <c r="E2652" s="156"/>
      <c r="F2652" s="156"/>
      <c r="G2652" s="156"/>
      <c r="H2652" s="156"/>
      <c r="I2652" s="152"/>
    </row>
    <row r="2653" spans="1:9" s="65" customFormat="1">
      <c r="A2653" s="645"/>
      <c r="B2653" s="156"/>
      <c r="C2653" s="156"/>
      <c r="D2653" s="156"/>
      <c r="E2653" s="156"/>
      <c r="F2653" s="156"/>
      <c r="G2653" s="156"/>
    </row>
    <row r="2654" spans="1:9" s="65" customFormat="1">
      <c r="A2654" s="69"/>
      <c r="B2654" s="69"/>
      <c r="C2654" s="69"/>
      <c r="D2654" s="69"/>
      <c r="E2654" s="69"/>
    </row>
    <row r="2655" spans="1:9" s="65" customFormat="1">
      <c r="A2655" s="120"/>
      <c r="B2655" s="73"/>
      <c r="C2655" s="73"/>
      <c r="D2655" s="73"/>
      <c r="E2655" s="73"/>
      <c r="F2655" s="121"/>
      <c r="G2655" s="121"/>
      <c r="H2655" s="121"/>
    </row>
    <row r="2656" spans="1:9" s="65" customFormat="1">
      <c r="A2656" s="128"/>
      <c r="B2656" s="141"/>
      <c r="C2656" s="141"/>
      <c r="D2656" s="141"/>
      <c r="E2656" s="141"/>
      <c r="F2656" s="141"/>
      <c r="G2656" s="141"/>
      <c r="H2656" s="121"/>
    </row>
    <row r="2657" spans="1:8" s="65" customFormat="1">
      <c r="A2657" s="150"/>
      <c r="B2657" s="83"/>
      <c r="C2657" s="148"/>
      <c r="D2657" s="84"/>
      <c r="E2657" s="84"/>
      <c r="F2657" s="84"/>
      <c r="G2657" s="144"/>
      <c r="H2657" s="145"/>
    </row>
    <row r="2658" spans="1:8" s="65" customFormat="1">
      <c r="A2658" s="84"/>
      <c r="B2658" s="83"/>
      <c r="C2658" s="84"/>
      <c r="D2658" s="84"/>
      <c r="E2658" s="84"/>
      <c r="G2658" s="104"/>
      <c r="H2658" s="140"/>
    </row>
    <row r="2659" spans="1:8" s="65" customFormat="1">
      <c r="A2659" s="120"/>
      <c r="B2659" s="73"/>
      <c r="C2659" s="73"/>
      <c r="D2659" s="73"/>
      <c r="E2659" s="73"/>
      <c r="G2659" s="121"/>
      <c r="H2659" s="140"/>
    </row>
    <row r="2660" spans="1:8" s="65" customFormat="1">
      <c r="A2660" s="128"/>
      <c r="B2660" s="141"/>
      <c r="C2660" s="141"/>
      <c r="D2660" s="141"/>
      <c r="E2660" s="141"/>
      <c r="F2660" s="141"/>
      <c r="G2660" s="141"/>
      <c r="H2660" s="140"/>
    </row>
    <row r="2661" spans="1:8" s="65" customFormat="1" ht="16.5">
      <c r="A2661" s="150"/>
      <c r="B2661" s="161"/>
      <c r="C2661" s="148"/>
      <c r="D2661" s="160"/>
      <c r="E2661" s="84"/>
      <c r="F2661" s="84"/>
      <c r="G2661" s="144"/>
      <c r="H2661" s="145"/>
    </row>
    <row r="2662" spans="1:8" s="65" customFormat="1">
      <c r="A2662" s="91"/>
      <c r="B2662" s="91"/>
      <c r="C2662" s="91"/>
      <c r="D2662" s="91"/>
      <c r="E2662" s="91"/>
      <c r="G2662" s="104"/>
      <c r="H2662" s="140"/>
    </row>
    <row r="2663" spans="1:8" s="65" customFormat="1">
      <c r="A2663" s="120"/>
      <c r="B2663" s="73"/>
      <c r="C2663" s="73"/>
      <c r="D2663" s="73"/>
      <c r="E2663" s="73"/>
      <c r="G2663" s="121"/>
      <c r="H2663" s="140"/>
    </row>
    <row r="2664" spans="1:8" s="65" customFormat="1">
      <c r="A2664" s="128"/>
      <c r="B2664" s="141"/>
      <c r="C2664" s="141"/>
      <c r="D2664" s="141"/>
      <c r="E2664" s="141"/>
      <c r="F2664" s="141"/>
      <c r="G2664" s="141"/>
      <c r="H2664" s="140"/>
    </row>
    <row r="2665" spans="1:8" s="65" customFormat="1">
      <c r="A2665" s="146"/>
      <c r="B2665" s="83"/>
      <c r="C2665" s="148"/>
      <c r="D2665" s="84"/>
      <c r="E2665" s="84"/>
      <c r="F2665" s="84"/>
      <c r="G2665" s="144"/>
      <c r="H2665" s="145"/>
    </row>
    <row r="2666" spans="1:8" s="65" customFormat="1">
      <c r="A2666" s="91"/>
      <c r="B2666" s="91"/>
      <c r="C2666" s="91"/>
      <c r="D2666" s="91"/>
      <c r="E2666" s="91"/>
      <c r="G2666" s="104"/>
      <c r="H2666" s="140"/>
    </row>
    <row r="2667" spans="1:8" s="65" customFormat="1">
      <c r="A2667" s="120"/>
      <c r="B2667" s="73"/>
      <c r="C2667" s="73"/>
      <c r="D2667" s="73"/>
      <c r="E2667" s="73"/>
      <c r="G2667" s="121"/>
      <c r="H2667" s="140"/>
    </row>
    <row r="2668" spans="1:8" s="65" customFormat="1">
      <c r="A2668" s="128"/>
      <c r="B2668" s="141"/>
      <c r="C2668" s="141"/>
      <c r="D2668" s="141"/>
      <c r="E2668" s="141"/>
      <c r="F2668" s="141"/>
      <c r="G2668" s="141"/>
      <c r="H2668" s="140"/>
    </row>
    <row r="2669" spans="1:8" s="65" customFormat="1">
      <c r="A2669" s="142"/>
      <c r="B2669" s="143"/>
      <c r="C2669" s="143"/>
      <c r="D2669" s="143"/>
      <c r="E2669" s="143"/>
      <c r="F2669" s="84"/>
      <c r="G2669" s="144"/>
      <c r="H2669" s="145"/>
    </row>
    <row r="2670" spans="1:8" s="65" customFormat="1">
      <c r="A2670" s="123"/>
      <c r="B2670" s="95"/>
      <c r="C2670" s="95"/>
      <c r="D2670" s="95"/>
      <c r="E2670" s="95"/>
      <c r="G2670" s="104"/>
      <c r="H2670" s="121"/>
    </row>
    <row r="2671" spans="1:8" s="65" customFormat="1">
      <c r="A2671" s="123"/>
      <c r="B2671" s="95"/>
      <c r="C2671" s="95"/>
      <c r="D2671" s="95"/>
      <c r="E2671" s="95"/>
      <c r="G2671" s="121"/>
      <c r="H2671" s="133"/>
    </row>
    <row r="2672" spans="1:8" s="65" customFormat="1">
      <c r="B2672" s="97"/>
      <c r="C2672" s="98"/>
      <c r="D2672" s="98"/>
      <c r="E2672" s="98"/>
      <c r="G2672" s="128"/>
    </row>
    <row r="2673" spans="1:9" s="65" customFormat="1">
      <c r="B2673" s="97"/>
      <c r="C2673" s="98"/>
      <c r="D2673" s="98"/>
      <c r="E2673" s="98"/>
      <c r="F2673" s="128"/>
      <c r="G2673" s="133"/>
      <c r="H2673" s="134"/>
    </row>
    <row r="2674" spans="1:9" s="65" customFormat="1">
      <c r="A2674" s="633"/>
      <c r="B2674" s="633"/>
      <c r="C2674" s="633"/>
      <c r="D2674" s="633"/>
      <c r="E2674" s="633"/>
      <c r="F2674" s="633"/>
      <c r="G2674" s="633"/>
    </row>
    <row r="2675" spans="1:9" s="65" customFormat="1">
      <c r="H2675" s="156"/>
      <c r="I2675" s="151"/>
    </row>
    <row r="2676" spans="1:9" s="65" customFormat="1">
      <c r="A2676" s="645"/>
      <c r="B2676" s="156"/>
      <c r="C2676" s="156"/>
      <c r="D2676" s="156"/>
      <c r="E2676" s="156"/>
      <c r="F2676" s="156"/>
      <c r="G2676" s="156"/>
      <c r="H2676" s="156"/>
      <c r="I2676" s="152"/>
    </row>
    <row r="2677" spans="1:9" s="65" customFormat="1">
      <c r="A2677" s="645"/>
      <c r="B2677" s="156"/>
      <c r="C2677" s="156"/>
      <c r="D2677" s="156"/>
      <c r="E2677" s="156"/>
      <c r="F2677" s="156"/>
      <c r="G2677" s="156"/>
    </row>
    <row r="2678" spans="1:9" s="65" customFormat="1">
      <c r="A2678" s="69"/>
      <c r="B2678" s="69"/>
      <c r="C2678" s="69"/>
      <c r="D2678" s="69"/>
      <c r="E2678" s="69"/>
    </row>
    <row r="2679" spans="1:9" s="65" customFormat="1">
      <c r="A2679" s="120"/>
      <c r="B2679" s="73"/>
      <c r="C2679" s="73"/>
      <c r="D2679" s="73"/>
      <c r="E2679" s="73"/>
      <c r="F2679" s="121"/>
      <c r="G2679" s="121"/>
      <c r="H2679" s="121"/>
    </row>
    <row r="2680" spans="1:9" s="65" customFormat="1">
      <c r="A2680" s="128"/>
      <c r="B2680" s="141"/>
      <c r="C2680" s="141"/>
      <c r="D2680" s="141"/>
      <c r="E2680" s="141"/>
      <c r="F2680" s="141"/>
      <c r="G2680" s="141"/>
      <c r="H2680" s="121"/>
    </row>
    <row r="2681" spans="1:9" s="65" customFormat="1">
      <c r="A2681" s="150"/>
      <c r="B2681" s="83"/>
      <c r="C2681" s="148"/>
      <c r="D2681" s="84"/>
      <c r="E2681" s="84"/>
      <c r="F2681" s="84"/>
      <c r="G2681" s="144"/>
      <c r="H2681" s="145"/>
    </row>
    <row r="2682" spans="1:9" s="65" customFormat="1">
      <c r="A2682" s="84"/>
      <c r="B2682" s="83"/>
      <c r="C2682" s="84"/>
      <c r="D2682" s="84"/>
      <c r="E2682" s="84"/>
      <c r="G2682" s="104"/>
      <c r="H2682" s="140"/>
    </row>
    <row r="2683" spans="1:9" s="65" customFormat="1">
      <c r="A2683" s="120"/>
      <c r="B2683" s="73"/>
      <c r="C2683" s="73"/>
      <c r="D2683" s="73"/>
      <c r="E2683" s="73"/>
      <c r="G2683" s="121"/>
      <c r="H2683" s="140"/>
    </row>
    <row r="2684" spans="1:9" s="65" customFormat="1">
      <c r="A2684" s="128"/>
      <c r="B2684" s="141"/>
      <c r="C2684" s="141"/>
      <c r="D2684" s="141"/>
      <c r="E2684" s="141"/>
      <c r="F2684" s="141"/>
      <c r="G2684" s="141"/>
      <c r="H2684" s="140"/>
    </row>
    <row r="2685" spans="1:9" s="65" customFormat="1" ht="16.5">
      <c r="A2685" s="150"/>
      <c r="B2685" s="161"/>
      <c r="C2685" s="148"/>
      <c r="D2685" s="160"/>
      <c r="E2685" s="84"/>
      <c r="F2685" s="84"/>
      <c r="G2685" s="144"/>
      <c r="H2685" s="145"/>
    </row>
    <row r="2686" spans="1:9" s="65" customFormat="1">
      <c r="A2686" s="91"/>
      <c r="B2686" s="91"/>
      <c r="C2686" s="91"/>
      <c r="D2686" s="91"/>
      <c r="E2686" s="91"/>
      <c r="G2686" s="104"/>
      <c r="H2686" s="140"/>
    </row>
    <row r="2687" spans="1:9" s="65" customFormat="1">
      <c r="A2687" s="120"/>
      <c r="B2687" s="73"/>
      <c r="C2687" s="73"/>
      <c r="D2687" s="73"/>
      <c r="E2687" s="73"/>
      <c r="G2687" s="121"/>
      <c r="H2687" s="140"/>
    </row>
    <row r="2688" spans="1:9" s="65" customFormat="1">
      <c r="A2688" s="128"/>
      <c r="B2688" s="141"/>
      <c r="C2688" s="141"/>
      <c r="D2688" s="141"/>
      <c r="E2688" s="141"/>
      <c r="F2688" s="141"/>
      <c r="G2688" s="141"/>
      <c r="H2688" s="140"/>
    </row>
    <row r="2689" spans="1:9" s="65" customFormat="1">
      <c r="A2689" s="146"/>
      <c r="B2689" s="83"/>
      <c r="C2689" s="148"/>
      <c r="D2689" s="84"/>
      <c r="E2689" s="84"/>
      <c r="F2689" s="84"/>
      <c r="G2689" s="144"/>
      <c r="H2689" s="145"/>
    </row>
    <row r="2690" spans="1:9" s="65" customFormat="1">
      <c r="A2690" s="91"/>
      <c r="B2690" s="91"/>
      <c r="C2690" s="91"/>
      <c r="D2690" s="91"/>
      <c r="E2690" s="91"/>
      <c r="G2690" s="104"/>
      <c r="H2690" s="140"/>
    </row>
    <row r="2691" spans="1:9" s="65" customFormat="1">
      <c r="A2691" s="120"/>
      <c r="B2691" s="73"/>
      <c r="C2691" s="73"/>
      <c r="D2691" s="73"/>
      <c r="E2691" s="73"/>
      <c r="G2691" s="121"/>
      <c r="H2691" s="140"/>
    </row>
    <row r="2692" spans="1:9" s="65" customFormat="1">
      <c r="A2692" s="128"/>
      <c r="B2692" s="141"/>
      <c r="C2692" s="141"/>
      <c r="D2692" s="141"/>
      <c r="E2692" s="141"/>
      <c r="F2692" s="141"/>
      <c r="G2692" s="141"/>
      <c r="H2692" s="140"/>
    </row>
    <row r="2693" spans="1:9" s="65" customFormat="1">
      <c r="A2693" s="142"/>
      <c r="B2693" s="143"/>
      <c r="C2693" s="143"/>
      <c r="D2693" s="143"/>
      <c r="E2693" s="143"/>
      <c r="F2693" s="84"/>
      <c r="G2693" s="144"/>
      <c r="H2693" s="145"/>
    </row>
    <row r="2694" spans="1:9" s="65" customFormat="1">
      <c r="A2694" s="123"/>
      <c r="B2694" s="95"/>
      <c r="C2694" s="95"/>
      <c r="D2694" s="95"/>
      <c r="E2694" s="95"/>
      <c r="G2694" s="104"/>
      <c r="H2694" s="121"/>
    </row>
    <row r="2695" spans="1:9" s="65" customFormat="1">
      <c r="A2695" s="123"/>
      <c r="B2695" s="95"/>
      <c r="C2695" s="95"/>
      <c r="D2695" s="95"/>
      <c r="E2695" s="95"/>
      <c r="G2695" s="121"/>
      <c r="H2695" s="133"/>
    </row>
    <row r="2696" spans="1:9" s="65" customFormat="1">
      <c r="B2696" s="97"/>
      <c r="C2696" s="98"/>
      <c r="D2696" s="98"/>
      <c r="E2696" s="98"/>
      <c r="G2696" s="128"/>
    </row>
    <row r="2697" spans="1:9" s="65" customFormat="1">
      <c r="B2697" s="97"/>
      <c r="C2697" s="98"/>
      <c r="D2697" s="98"/>
      <c r="E2697" s="98"/>
      <c r="F2697" s="128"/>
      <c r="G2697" s="133"/>
      <c r="H2697" s="134"/>
    </row>
    <row r="2698" spans="1:9" s="65" customFormat="1">
      <c r="A2698" s="633"/>
      <c r="B2698" s="633"/>
      <c r="C2698" s="633"/>
      <c r="D2698" s="633"/>
      <c r="E2698" s="633"/>
      <c r="F2698" s="633"/>
      <c r="G2698" s="633"/>
    </row>
    <row r="2699" spans="1:9" s="65" customFormat="1">
      <c r="H2699" s="156"/>
      <c r="I2699" s="151"/>
    </row>
    <row r="2700" spans="1:9" s="65" customFormat="1">
      <c r="A2700" s="645"/>
      <c r="B2700" s="156"/>
      <c r="C2700" s="156"/>
      <c r="D2700" s="156"/>
      <c r="E2700" s="156"/>
      <c r="F2700" s="156"/>
      <c r="G2700" s="156"/>
      <c r="H2700" s="156"/>
      <c r="I2700" s="152"/>
    </row>
    <row r="2701" spans="1:9" s="65" customFormat="1">
      <c r="A2701" s="645"/>
      <c r="B2701" s="156"/>
      <c r="C2701" s="156"/>
      <c r="D2701" s="156"/>
      <c r="E2701" s="156"/>
      <c r="F2701" s="156"/>
      <c r="G2701" s="156"/>
    </row>
    <row r="2702" spans="1:9" s="65" customFormat="1">
      <c r="A2702" s="69"/>
      <c r="B2702" s="69"/>
      <c r="C2702" s="69"/>
      <c r="D2702" s="69"/>
      <c r="E2702" s="69"/>
    </row>
    <row r="2703" spans="1:9" s="65" customFormat="1">
      <c r="A2703" s="120"/>
      <c r="B2703" s="73"/>
      <c r="C2703" s="73"/>
      <c r="D2703" s="73"/>
      <c r="E2703" s="73"/>
      <c r="F2703" s="121"/>
      <c r="G2703" s="121"/>
      <c r="H2703" s="121"/>
    </row>
    <row r="2704" spans="1:9" s="65" customFormat="1">
      <c r="A2704" s="128"/>
      <c r="B2704" s="141"/>
      <c r="C2704" s="141"/>
      <c r="D2704" s="141"/>
      <c r="E2704" s="141"/>
      <c r="F2704" s="141"/>
      <c r="G2704" s="141"/>
      <c r="H2704" s="121"/>
    </row>
    <row r="2705" spans="1:8" s="65" customFormat="1">
      <c r="A2705" s="150"/>
      <c r="B2705" s="83"/>
      <c r="C2705" s="148"/>
      <c r="D2705" s="84"/>
      <c r="E2705" s="84"/>
      <c r="F2705" s="84"/>
      <c r="G2705" s="144"/>
      <c r="H2705" s="145"/>
    </row>
    <row r="2706" spans="1:8" s="65" customFormat="1">
      <c r="A2706" s="84"/>
      <c r="B2706" s="83"/>
      <c r="C2706" s="84"/>
      <c r="D2706" s="84"/>
      <c r="E2706" s="84"/>
      <c r="G2706" s="104"/>
      <c r="H2706" s="140"/>
    </row>
    <row r="2707" spans="1:8" s="65" customFormat="1">
      <c r="A2707" s="120"/>
      <c r="B2707" s="73"/>
      <c r="C2707" s="73"/>
      <c r="D2707" s="73"/>
      <c r="E2707" s="73"/>
      <c r="G2707" s="121"/>
      <c r="H2707" s="140"/>
    </row>
    <row r="2708" spans="1:8" s="65" customFormat="1">
      <c r="A2708" s="128"/>
      <c r="B2708" s="141"/>
      <c r="C2708" s="141"/>
      <c r="D2708" s="141"/>
      <c r="E2708" s="141"/>
      <c r="F2708" s="141"/>
      <c r="G2708" s="141"/>
      <c r="H2708" s="140"/>
    </row>
    <row r="2709" spans="1:8" s="65" customFormat="1" ht="16.5">
      <c r="A2709" s="150"/>
      <c r="B2709" s="161"/>
      <c r="C2709" s="148"/>
      <c r="D2709" s="84"/>
      <c r="E2709" s="84"/>
      <c r="F2709" s="84"/>
      <c r="G2709" s="144"/>
      <c r="H2709" s="140"/>
    </row>
    <row r="2710" spans="1:8" s="65" customFormat="1" ht="16.5">
      <c r="A2710" s="150"/>
      <c r="B2710" s="161"/>
      <c r="C2710" s="148"/>
      <c r="D2710" s="84"/>
      <c r="E2710" s="84"/>
      <c r="F2710" s="84"/>
      <c r="G2710" s="144"/>
      <c r="H2710" s="140"/>
    </row>
    <row r="2711" spans="1:8" s="65" customFormat="1" ht="16.5">
      <c r="A2711" s="150"/>
      <c r="B2711" s="161"/>
      <c r="C2711" s="148"/>
      <c r="D2711" s="84"/>
      <c r="E2711" s="84"/>
      <c r="F2711" s="84"/>
      <c r="G2711" s="144"/>
      <c r="H2711" s="145"/>
    </row>
    <row r="2712" spans="1:8" s="65" customFormat="1">
      <c r="A2712" s="91"/>
      <c r="B2712" s="91"/>
      <c r="C2712" s="91"/>
      <c r="D2712" s="91"/>
      <c r="E2712" s="91"/>
      <c r="G2712" s="104"/>
      <c r="H2712" s="140"/>
    </row>
    <row r="2713" spans="1:8" s="65" customFormat="1">
      <c r="A2713" s="120"/>
      <c r="B2713" s="73"/>
      <c r="C2713" s="73"/>
      <c r="D2713" s="73"/>
      <c r="E2713" s="73"/>
      <c r="G2713" s="121"/>
      <c r="H2713" s="140"/>
    </row>
    <row r="2714" spans="1:8" s="65" customFormat="1">
      <c r="A2714" s="128"/>
      <c r="B2714" s="141"/>
      <c r="C2714" s="141"/>
      <c r="D2714" s="141"/>
      <c r="E2714" s="141"/>
      <c r="F2714" s="141"/>
      <c r="G2714" s="141"/>
      <c r="H2714" s="140"/>
    </row>
    <row r="2715" spans="1:8" s="65" customFormat="1">
      <c r="A2715" s="146"/>
      <c r="B2715" s="83"/>
      <c r="C2715" s="148"/>
      <c r="D2715" s="84"/>
      <c r="E2715" s="84"/>
      <c r="F2715" s="84"/>
      <c r="G2715" s="144"/>
      <c r="H2715" s="140"/>
    </row>
    <row r="2716" spans="1:8" s="65" customFormat="1">
      <c r="A2716" s="146"/>
      <c r="B2716" s="83"/>
      <c r="C2716" s="148"/>
      <c r="D2716" s="84"/>
      <c r="E2716" s="84"/>
      <c r="F2716" s="84"/>
      <c r="G2716" s="144"/>
      <c r="H2716" s="145"/>
    </row>
    <row r="2717" spans="1:8" s="65" customFormat="1">
      <c r="A2717" s="91"/>
      <c r="B2717" s="91"/>
      <c r="C2717" s="91"/>
      <c r="D2717" s="91"/>
      <c r="E2717" s="91"/>
      <c r="G2717" s="104"/>
      <c r="H2717" s="140"/>
    </row>
    <row r="2718" spans="1:8" s="65" customFormat="1">
      <c r="A2718" s="120"/>
      <c r="B2718" s="73"/>
      <c r="C2718" s="73"/>
      <c r="D2718" s="73"/>
      <c r="E2718" s="73"/>
      <c r="G2718" s="121"/>
      <c r="H2718" s="140"/>
    </row>
    <row r="2719" spans="1:8" s="65" customFormat="1">
      <c r="A2719" s="128"/>
      <c r="B2719" s="141"/>
      <c r="C2719" s="141"/>
      <c r="D2719" s="141"/>
      <c r="E2719" s="141"/>
      <c r="F2719" s="141"/>
      <c r="G2719" s="141"/>
      <c r="H2719" s="140"/>
    </row>
    <row r="2720" spans="1:8" s="65" customFormat="1">
      <c r="A2720" s="142"/>
      <c r="B2720" s="143"/>
      <c r="C2720" s="143"/>
      <c r="D2720" s="143"/>
      <c r="E2720" s="143"/>
      <c r="F2720" s="84"/>
      <c r="G2720" s="144"/>
      <c r="H2720" s="145"/>
    </row>
    <row r="2721" spans="1:9" s="65" customFormat="1">
      <c r="A2721" s="123"/>
      <c r="B2721" s="95"/>
      <c r="C2721" s="95"/>
      <c r="D2721" s="95"/>
      <c r="E2721" s="95"/>
      <c r="G2721" s="104"/>
      <c r="H2721" s="121"/>
    </row>
    <row r="2722" spans="1:9" s="65" customFormat="1">
      <c r="A2722" s="123"/>
      <c r="B2722" s="95"/>
      <c r="C2722" s="95"/>
      <c r="D2722" s="95"/>
      <c r="E2722" s="95"/>
      <c r="G2722" s="121"/>
      <c r="H2722" s="133"/>
    </row>
    <row r="2723" spans="1:9" s="65" customFormat="1">
      <c r="B2723" s="97"/>
      <c r="C2723" s="98"/>
      <c r="D2723" s="98"/>
      <c r="E2723" s="98"/>
      <c r="G2723" s="128"/>
    </row>
    <row r="2724" spans="1:9" s="65" customFormat="1">
      <c r="B2724" s="97"/>
      <c r="C2724" s="98"/>
      <c r="D2724" s="98"/>
      <c r="E2724" s="98"/>
      <c r="F2724" s="128"/>
      <c r="G2724" s="133"/>
      <c r="H2724" s="134"/>
    </row>
    <row r="2725" spans="1:9" s="65" customFormat="1">
      <c r="A2725" s="633"/>
      <c r="B2725" s="633"/>
      <c r="C2725" s="633"/>
      <c r="D2725" s="633"/>
      <c r="E2725" s="633"/>
      <c r="F2725" s="633"/>
      <c r="G2725" s="633"/>
    </row>
    <row r="2726" spans="1:9" s="65" customFormat="1">
      <c r="H2726" s="156"/>
      <c r="I2726" s="151"/>
    </row>
    <row r="2727" spans="1:9" s="65" customFormat="1">
      <c r="A2727" s="645"/>
      <c r="B2727" s="156"/>
      <c r="C2727" s="156"/>
      <c r="D2727" s="156"/>
      <c r="E2727" s="156"/>
      <c r="F2727" s="156"/>
      <c r="G2727" s="156"/>
      <c r="H2727" s="156"/>
      <c r="I2727" s="152"/>
    </row>
    <row r="2728" spans="1:9" s="65" customFormat="1">
      <c r="A2728" s="645"/>
      <c r="B2728" s="156"/>
      <c r="C2728" s="156"/>
      <c r="D2728" s="156"/>
      <c r="E2728" s="156"/>
      <c r="F2728" s="156"/>
      <c r="G2728" s="156"/>
    </row>
    <row r="2729" spans="1:9" s="65" customFormat="1">
      <c r="A2729" s="69"/>
      <c r="B2729" s="69"/>
      <c r="C2729" s="69"/>
      <c r="D2729" s="69"/>
      <c r="E2729" s="69"/>
    </row>
    <row r="2730" spans="1:9" s="65" customFormat="1">
      <c r="A2730" s="120"/>
      <c r="B2730" s="73"/>
      <c r="C2730" s="73"/>
      <c r="D2730" s="73"/>
      <c r="E2730" s="73"/>
      <c r="F2730" s="121"/>
      <c r="G2730" s="121"/>
      <c r="H2730" s="121"/>
    </row>
    <row r="2731" spans="1:9" s="65" customFormat="1">
      <c r="A2731" s="128"/>
      <c r="B2731" s="141"/>
      <c r="C2731" s="141"/>
      <c r="D2731" s="141"/>
      <c r="E2731" s="141"/>
      <c r="F2731" s="141"/>
      <c r="G2731" s="141"/>
      <c r="H2731" s="121"/>
    </row>
    <row r="2732" spans="1:9" s="65" customFormat="1">
      <c r="A2732" s="142"/>
      <c r="B2732" s="143"/>
      <c r="C2732" s="143"/>
      <c r="D2732" s="84"/>
      <c r="E2732" s="84"/>
      <c r="F2732" s="84"/>
      <c r="G2732" s="144"/>
      <c r="H2732" s="145"/>
    </row>
    <row r="2733" spans="1:9" s="65" customFormat="1">
      <c r="A2733" s="84"/>
      <c r="B2733" s="83"/>
      <c r="C2733" s="84"/>
      <c r="D2733" s="84"/>
      <c r="E2733" s="84"/>
      <c r="G2733" s="104"/>
      <c r="H2733" s="140"/>
    </row>
    <row r="2734" spans="1:9" s="65" customFormat="1">
      <c r="A2734" s="120"/>
      <c r="B2734" s="73"/>
      <c r="C2734" s="73"/>
      <c r="D2734" s="73"/>
      <c r="E2734" s="73"/>
      <c r="G2734" s="121"/>
      <c r="H2734" s="140"/>
    </row>
    <row r="2735" spans="1:9" s="65" customFormat="1">
      <c r="A2735" s="128"/>
      <c r="B2735" s="141"/>
      <c r="C2735" s="141"/>
      <c r="D2735" s="141"/>
      <c r="E2735" s="141"/>
      <c r="F2735" s="141"/>
      <c r="G2735" s="141"/>
      <c r="H2735" s="140"/>
    </row>
    <row r="2736" spans="1:9" s="65" customFormat="1">
      <c r="A2736" s="142"/>
      <c r="B2736" s="143"/>
      <c r="C2736" s="143"/>
      <c r="D2736" s="143"/>
      <c r="E2736" s="143"/>
      <c r="F2736" s="84"/>
      <c r="G2736" s="144"/>
      <c r="H2736" s="145"/>
    </row>
    <row r="2737" spans="1:9" s="65" customFormat="1">
      <c r="A2737" s="91"/>
      <c r="B2737" s="91"/>
      <c r="C2737" s="91"/>
      <c r="D2737" s="91"/>
      <c r="E2737" s="91"/>
      <c r="G2737" s="104"/>
      <c r="H2737" s="140"/>
    </row>
    <row r="2738" spans="1:9" s="65" customFormat="1">
      <c r="A2738" s="120"/>
      <c r="B2738" s="73"/>
      <c r="C2738" s="73"/>
      <c r="D2738" s="73"/>
      <c r="E2738" s="73"/>
      <c r="G2738" s="121"/>
      <c r="H2738" s="140"/>
    </row>
    <row r="2739" spans="1:9" s="65" customFormat="1">
      <c r="A2739" s="128"/>
      <c r="B2739" s="141"/>
      <c r="C2739" s="141"/>
      <c r="D2739" s="141"/>
      <c r="E2739" s="141"/>
      <c r="F2739" s="141"/>
      <c r="G2739" s="141"/>
      <c r="H2739" s="140"/>
    </row>
    <row r="2740" spans="1:9" s="65" customFormat="1">
      <c r="A2740" s="142"/>
      <c r="B2740" s="143"/>
      <c r="C2740" s="143"/>
      <c r="D2740" s="143"/>
      <c r="E2740" s="143"/>
      <c r="F2740" s="84"/>
      <c r="G2740" s="144"/>
      <c r="H2740" s="145"/>
    </row>
    <row r="2741" spans="1:9" s="65" customFormat="1">
      <c r="A2741" s="91"/>
      <c r="B2741" s="91"/>
      <c r="C2741" s="91"/>
      <c r="D2741" s="91"/>
      <c r="E2741" s="91"/>
      <c r="G2741" s="104"/>
      <c r="H2741" s="140"/>
    </row>
    <row r="2742" spans="1:9" s="65" customFormat="1">
      <c r="A2742" s="120"/>
      <c r="B2742" s="73"/>
      <c r="C2742" s="73"/>
      <c r="D2742" s="73"/>
      <c r="E2742" s="73"/>
      <c r="G2742" s="121"/>
      <c r="H2742" s="140"/>
    </row>
    <row r="2743" spans="1:9" s="65" customFormat="1">
      <c r="A2743" s="128"/>
      <c r="B2743" s="141"/>
      <c r="C2743" s="141"/>
      <c r="D2743" s="141"/>
      <c r="E2743" s="141"/>
      <c r="F2743" s="141"/>
      <c r="G2743" s="141"/>
      <c r="H2743" s="140"/>
    </row>
    <row r="2744" spans="1:9" s="65" customFormat="1">
      <c r="A2744" s="142"/>
      <c r="B2744" s="143"/>
      <c r="C2744" s="143"/>
      <c r="D2744" s="143"/>
      <c r="E2744" s="143"/>
      <c r="F2744" s="84"/>
      <c r="G2744" s="144"/>
      <c r="H2744" s="145"/>
    </row>
    <row r="2745" spans="1:9" s="65" customFormat="1">
      <c r="A2745" s="123"/>
      <c r="B2745" s="95"/>
      <c r="C2745" s="95"/>
      <c r="D2745" s="95"/>
      <c r="E2745" s="95"/>
      <c r="G2745" s="104"/>
      <c r="H2745" s="121"/>
    </row>
    <row r="2746" spans="1:9" s="65" customFormat="1">
      <c r="A2746" s="123"/>
      <c r="B2746" s="95"/>
      <c r="C2746" s="95"/>
      <c r="D2746" s="95"/>
      <c r="E2746" s="95"/>
      <c r="G2746" s="121"/>
      <c r="H2746" s="133"/>
    </row>
    <row r="2747" spans="1:9" s="65" customFormat="1">
      <c r="B2747" s="97"/>
      <c r="C2747" s="98"/>
      <c r="D2747" s="98"/>
      <c r="E2747" s="98"/>
      <c r="G2747" s="128"/>
    </row>
    <row r="2748" spans="1:9" s="65" customFormat="1">
      <c r="B2748" s="97"/>
      <c r="C2748" s="98"/>
      <c r="D2748" s="98"/>
      <c r="E2748" s="98"/>
      <c r="F2748" s="128"/>
      <c r="G2748" s="133"/>
      <c r="H2748" s="134"/>
    </row>
    <row r="2749" spans="1:9" s="65" customFormat="1">
      <c r="A2749" s="633"/>
      <c r="B2749" s="633"/>
      <c r="C2749" s="633"/>
      <c r="D2749" s="633"/>
      <c r="E2749" s="633"/>
      <c r="F2749" s="633"/>
      <c r="G2749" s="633"/>
    </row>
    <row r="2750" spans="1:9" s="65" customFormat="1">
      <c r="H2750" s="156"/>
      <c r="I2750" s="151"/>
    </row>
    <row r="2751" spans="1:9" s="65" customFormat="1">
      <c r="A2751" s="645"/>
      <c r="B2751" s="156"/>
      <c r="C2751" s="156"/>
      <c r="D2751" s="156"/>
      <c r="E2751" s="156"/>
      <c r="F2751" s="156"/>
      <c r="G2751" s="156"/>
      <c r="H2751" s="156"/>
      <c r="I2751" s="152"/>
    </row>
    <row r="2752" spans="1:9" s="65" customFormat="1">
      <c r="A2752" s="645"/>
      <c r="B2752" s="156"/>
      <c r="C2752" s="156"/>
      <c r="D2752" s="156"/>
      <c r="E2752" s="156"/>
      <c r="F2752" s="156"/>
      <c r="G2752" s="156"/>
    </row>
    <row r="2753" spans="1:8" s="65" customFormat="1">
      <c r="A2753" s="69"/>
      <c r="B2753" s="69"/>
      <c r="C2753" s="69"/>
      <c r="D2753" s="69"/>
      <c r="E2753" s="69"/>
    </row>
    <row r="2754" spans="1:8" s="65" customFormat="1">
      <c r="A2754" s="120"/>
      <c r="B2754" s="73"/>
      <c r="C2754" s="73"/>
      <c r="D2754" s="73"/>
      <c r="E2754" s="73"/>
      <c r="F2754" s="121"/>
      <c r="G2754" s="121"/>
      <c r="H2754" s="121"/>
    </row>
    <row r="2755" spans="1:8" s="65" customFormat="1">
      <c r="A2755" s="128"/>
      <c r="B2755" s="141"/>
      <c r="C2755" s="141"/>
      <c r="D2755" s="141"/>
      <c r="E2755" s="141"/>
      <c r="F2755" s="141"/>
      <c r="G2755" s="141"/>
      <c r="H2755" s="121"/>
    </row>
    <row r="2756" spans="1:8" s="65" customFormat="1">
      <c r="A2756" s="142"/>
      <c r="B2756" s="167"/>
      <c r="C2756" s="143"/>
      <c r="D2756" s="84"/>
      <c r="E2756" s="84"/>
      <c r="F2756" s="84"/>
      <c r="G2756" s="144"/>
      <c r="H2756" s="121"/>
    </row>
    <row r="2757" spans="1:8" s="65" customFormat="1">
      <c r="A2757" s="142"/>
      <c r="B2757" s="167"/>
      <c r="C2757" s="143"/>
      <c r="D2757" s="84"/>
      <c r="E2757" s="84"/>
      <c r="F2757" s="84"/>
      <c r="G2757" s="144"/>
      <c r="H2757" s="145"/>
    </row>
    <row r="2758" spans="1:8" s="65" customFormat="1">
      <c r="A2758" s="84"/>
      <c r="B2758" s="83"/>
      <c r="C2758" s="84"/>
      <c r="D2758" s="84"/>
      <c r="E2758" s="84"/>
      <c r="G2758" s="104"/>
      <c r="H2758" s="140"/>
    </row>
    <row r="2759" spans="1:8" s="65" customFormat="1">
      <c r="A2759" s="120"/>
      <c r="B2759" s="73"/>
      <c r="C2759" s="73"/>
      <c r="D2759" s="73"/>
      <c r="E2759" s="73"/>
      <c r="G2759" s="121"/>
      <c r="H2759" s="140"/>
    </row>
    <row r="2760" spans="1:8" s="65" customFormat="1">
      <c r="A2760" s="128"/>
      <c r="B2760" s="141"/>
      <c r="C2760" s="141"/>
      <c r="D2760" s="141"/>
      <c r="E2760" s="141"/>
      <c r="F2760" s="141"/>
      <c r="G2760" s="141"/>
      <c r="H2760" s="140"/>
    </row>
    <row r="2761" spans="1:8" s="65" customFormat="1">
      <c r="A2761" s="142"/>
      <c r="B2761" s="167"/>
      <c r="C2761" s="143"/>
      <c r="D2761" s="84"/>
      <c r="E2761" s="84"/>
      <c r="F2761" s="84"/>
      <c r="G2761" s="144"/>
      <c r="H2761" s="140"/>
    </row>
    <row r="2762" spans="1:8" s="65" customFormat="1">
      <c r="A2762" s="142"/>
      <c r="B2762" s="167"/>
      <c r="C2762" s="143"/>
      <c r="D2762" s="84"/>
      <c r="E2762" s="84"/>
      <c r="F2762" s="84"/>
      <c r="G2762" s="144"/>
      <c r="H2762" s="140"/>
    </row>
    <row r="2763" spans="1:8" s="65" customFormat="1">
      <c r="A2763" s="142"/>
      <c r="B2763" s="167"/>
      <c r="C2763" s="143"/>
      <c r="D2763" s="84"/>
      <c r="E2763" s="84"/>
      <c r="F2763" s="84"/>
      <c r="G2763" s="144"/>
      <c r="H2763" s="145"/>
    </row>
    <row r="2764" spans="1:8" s="65" customFormat="1">
      <c r="A2764" s="91"/>
      <c r="B2764" s="91"/>
      <c r="C2764" s="91"/>
      <c r="D2764" s="91"/>
      <c r="E2764" s="91"/>
      <c r="G2764" s="104"/>
      <c r="H2764" s="140"/>
    </row>
    <row r="2765" spans="1:8" s="65" customFormat="1">
      <c r="A2765" s="120"/>
      <c r="B2765" s="73"/>
      <c r="C2765" s="73"/>
      <c r="D2765" s="73"/>
      <c r="E2765" s="73"/>
      <c r="G2765" s="121"/>
      <c r="H2765" s="140"/>
    </row>
    <row r="2766" spans="1:8" s="65" customFormat="1">
      <c r="A2766" s="128"/>
      <c r="B2766" s="141"/>
      <c r="C2766" s="141"/>
      <c r="D2766" s="141"/>
      <c r="E2766" s="141"/>
      <c r="F2766" s="141"/>
      <c r="G2766" s="141"/>
      <c r="H2766" s="140"/>
    </row>
    <row r="2767" spans="1:8" s="65" customFormat="1">
      <c r="A2767" s="142"/>
      <c r="B2767" s="167"/>
      <c r="C2767" s="143"/>
      <c r="D2767" s="84"/>
      <c r="E2767" s="84"/>
      <c r="F2767" s="84"/>
      <c r="G2767" s="144"/>
      <c r="H2767" s="145"/>
    </row>
    <row r="2768" spans="1:8" s="65" customFormat="1">
      <c r="A2768" s="91"/>
      <c r="B2768" s="91"/>
      <c r="C2768" s="91"/>
      <c r="D2768" s="91"/>
      <c r="E2768" s="91"/>
      <c r="G2768" s="104"/>
      <c r="H2768" s="140"/>
    </row>
    <row r="2769" spans="1:9" s="65" customFormat="1">
      <c r="A2769" s="120"/>
      <c r="B2769" s="73"/>
      <c r="C2769" s="73"/>
      <c r="D2769" s="73"/>
      <c r="E2769" s="73"/>
      <c r="G2769" s="121"/>
      <c r="H2769" s="140"/>
    </row>
    <row r="2770" spans="1:9" s="65" customFormat="1">
      <c r="A2770" s="128"/>
      <c r="B2770" s="141"/>
      <c r="C2770" s="141"/>
      <c r="D2770" s="141"/>
      <c r="E2770" s="141"/>
      <c r="F2770" s="141"/>
      <c r="G2770" s="141"/>
      <c r="H2770" s="140"/>
    </row>
    <row r="2771" spans="1:9" s="65" customFormat="1">
      <c r="A2771" s="142"/>
      <c r="B2771" s="143"/>
      <c r="C2771" s="143"/>
      <c r="D2771" s="143"/>
      <c r="E2771" s="143"/>
      <c r="F2771" s="84"/>
      <c r="G2771" s="144"/>
      <c r="H2771" s="145"/>
    </row>
    <row r="2772" spans="1:9" s="65" customFormat="1">
      <c r="A2772" s="123"/>
      <c r="B2772" s="95"/>
      <c r="C2772" s="95"/>
      <c r="D2772" s="95"/>
      <c r="E2772" s="95"/>
      <c r="G2772" s="104"/>
      <c r="H2772" s="121"/>
    </row>
    <row r="2773" spans="1:9" s="65" customFormat="1">
      <c r="A2773" s="123"/>
      <c r="B2773" s="95"/>
      <c r="C2773" s="95"/>
      <c r="D2773" s="95"/>
      <c r="E2773" s="95"/>
      <c r="G2773" s="121"/>
      <c r="H2773" s="133"/>
    </row>
    <row r="2774" spans="1:9" s="65" customFormat="1">
      <c r="B2774" s="97"/>
      <c r="C2774" s="98"/>
      <c r="D2774" s="98"/>
      <c r="E2774" s="98"/>
      <c r="G2774" s="128"/>
    </row>
    <row r="2775" spans="1:9" s="65" customFormat="1">
      <c r="B2775" s="97"/>
      <c r="C2775" s="98"/>
      <c r="D2775" s="98"/>
      <c r="E2775" s="98"/>
      <c r="F2775" s="128"/>
      <c r="G2775" s="133"/>
      <c r="H2775" s="134"/>
    </row>
    <row r="2776" spans="1:9" s="65" customFormat="1">
      <c r="A2776" s="633"/>
      <c r="B2776" s="633"/>
      <c r="C2776" s="633"/>
      <c r="D2776" s="633"/>
      <c r="E2776" s="633"/>
      <c r="F2776" s="633"/>
      <c r="G2776" s="633"/>
    </row>
    <row r="2777" spans="1:9" s="65" customFormat="1">
      <c r="H2777" s="156"/>
      <c r="I2777" s="151"/>
    </row>
    <row r="2778" spans="1:9" s="65" customFormat="1">
      <c r="A2778" s="645"/>
      <c r="B2778" s="156"/>
      <c r="C2778" s="156"/>
      <c r="D2778" s="156"/>
      <c r="E2778" s="156"/>
      <c r="F2778" s="156"/>
      <c r="G2778" s="156"/>
      <c r="H2778" s="156"/>
      <c r="I2778" s="152"/>
    </row>
    <row r="2779" spans="1:9" s="65" customFormat="1">
      <c r="A2779" s="645"/>
      <c r="B2779" s="156"/>
      <c r="C2779" s="156"/>
      <c r="D2779" s="156"/>
      <c r="E2779" s="156"/>
      <c r="F2779" s="156"/>
      <c r="G2779" s="156"/>
    </row>
    <row r="2780" spans="1:9" s="65" customFormat="1">
      <c r="A2780" s="69"/>
      <c r="B2780" s="69"/>
      <c r="C2780" s="69"/>
      <c r="D2780" s="69"/>
      <c r="E2780" s="69"/>
    </row>
    <row r="2781" spans="1:9" s="65" customFormat="1">
      <c r="A2781" s="120"/>
      <c r="B2781" s="73"/>
      <c r="C2781" s="73"/>
      <c r="D2781" s="73"/>
      <c r="E2781" s="73"/>
      <c r="F2781" s="121"/>
      <c r="G2781" s="121"/>
      <c r="H2781" s="121"/>
    </row>
    <row r="2782" spans="1:9" s="65" customFormat="1">
      <c r="A2782" s="128"/>
      <c r="B2782" s="141"/>
      <c r="C2782" s="141"/>
      <c r="D2782" s="141"/>
      <c r="E2782" s="141"/>
      <c r="F2782" s="141"/>
      <c r="G2782" s="141"/>
      <c r="H2782" s="121"/>
    </row>
    <row r="2783" spans="1:9" s="65" customFormat="1">
      <c r="A2783" s="142"/>
      <c r="B2783" s="143"/>
      <c r="C2783" s="143"/>
      <c r="D2783" s="143"/>
      <c r="E2783" s="143"/>
      <c r="F2783" s="84"/>
      <c r="G2783" s="144"/>
      <c r="H2783" s="145"/>
    </row>
    <row r="2784" spans="1:9" s="65" customFormat="1">
      <c r="A2784" s="84"/>
      <c r="B2784" s="83"/>
      <c r="C2784" s="84"/>
      <c r="D2784" s="84"/>
      <c r="E2784" s="84"/>
      <c r="G2784" s="104"/>
      <c r="H2784" s="140"/>
    </row>
    <row r="2785" spans="1:8" s="65" customFormat="1">
      <c r="A2785" s="120"/>
      <c r="B2785" s="73"/>
      <c r="C2785" s="73"/>
      <c r="D2785" s="73"/>
      <c r="E2785" s="73"/>
      <c r="G2785" s="121"/>
      <c r="H2785" s="140"/>
    </row>
    <row r="2786" spans="1:8" s="65" customFormat="1">
      <c r="A2786" s="128"/>
      <c r="B2786" s="141"/>
      <c r="C2786" s="141"/>
      <c r="D2786" s="141"/>
      <c r="E2786" s="141"/>
      <c r="F2786" s="141"/>
      <c r="G2786" s="141"/>
      <c r="H2786" s="140"/>
    </row>
    <row r="2787" spans="1:8" s="65" customFormat="1">
      <c r="A2787" s="142"/>
      <c r="B2787" s="143"/>
      <c r="C2787" s="143"/>
      <c r="D2787" s="84"/>
      <c r="E2787" s="84"/>
      <c r="F2787" s="84"/>
      <c r="G2787" s="144"/>
      <c r="H2787" s="145"/>
    </row>
    <row r="2788" spans="1:8" s="65" customFormat="1">
      <c r="A2788" s="91"/>
      <c r="B2788" s="91"/>
      <c r="C2788" s="91"/>
      <c r="D2788" s="91"/>
      <c r="E2788" s="91"/>
      <c r="G2788" s="104"/>
      <c r="H2788" s="140"/>
    </row>
    <row r="2789" spans="1:8" s="65" customFormat="1">
      <c r="A2789" s="120"/>
      <c r="B2789" s="73"/>
      <c r="C2789" s="73"/>
      <c r="D2789" s="73"/>
      <c r="E2789" s="73"/>
      <c r="G2789" s="121"/>
      <c r="H2789" s="140"/>
    </row>
    <row r="2790" spans="1:8" s="65" customFormat="1">
      <c r="A2790" s="128"/>
      <c r="B2790" s="141"/>
      <c r="C2790" s="141"/>
      <c r="D2790" s="141"/>
      <c r="E2790" s="141"/>
      <c r="F2790" s="141"/>
      <c r="G2790" s="141"/>
      <c r="H2790" s="140"/>
    </row>
    <row r="2791" spans="1:8" s="65" customFormat="1">
      <c r="A2791" s="142"/>
      <c r="B2791" s="143"/>
      <c r="C2791" s="143"/>
      <c r="D2791" s="143"/>
      <c r="E2791" s="143"/>
      <c r="F2791" s="84"/>
      <c r="G2791" s="144"/>
      <c r="H2791" s="145"/>
    </row>
    <row r="2792" spans="1:8" s="65" customFormat="1">
      <c r="A2792" s="91"/>
      <c r="B2792" s="91"/>
      <c r="C2792" s="91"/>
      <c r="D2792" s="91"/>
      <c r="E2792" s="91"/>
      <c r="G2792" s="104"/>
      <c r="H2792" s="140"/>
    </row>
    <row r="2793" spans="1:8" s="65" customFormat="1">
      <c r="A2793" s="120"/>
      <c r="B2793" s="73"/>
      <c r="C2793" s="73"/>
      <c r="D2793" s="73"/>
      <c r="E2793" s="73"/>
      <c r="G2793" s="121"/>
      <c r="H2793" s="140"/>
    </row>
    <row r="2794" spans="1:8" s="65" customFormat="1">
      <c r="A2794" s="128"/>
      <c r="B2794" s="141"/>
      <c r="C2794" s="141"/>
      <c r="D2794" s="141"/>
      <c r="E2794" s="141"/>
      <c r="F2794" s="141"/>
      <c r="G2794" s="141"/>
      <c r="H2794" s="140"/>
    </row>
    <row r="2795" spans="1:8" s="65" customFormat="1">
      <c r="A2795" s="142"/>
      <c r="B2795" s="143"/>
      <c r="C2795" s="143"/>
      <c r="D2795" s="143"/>
      <c r="E2795" s="143"/>
      <c r="F2795" s="84"/>
      <c r="G2795" s="144"/>
      <c r="H2795" s="145"/>
    </row>
    <row r="2796" spans="1:8" s="65" customFormat="1">
      <c r="A2796" s="123"/>
      <c r="B2796" s="95"/>
      <c r="C2796" s="95"/>
      <c r="D2796" s="95"/>
      <c r="E2796" s="95"/>
      <c r="G2796" s="104"/>
      <c r="H2796" s="121"/>
    </row>
    <row r="2797" spans="1:8" s="65" customFormat="1">
      <c r="A2797" s="123"/>
      <c r="B2797" s="95"/>
      <c r="C2797" s="95"/>
      <c r="D2797" s="95"/>
      <c r="E2797" s="95"/>
      <c r="G2797" s="121"/>
      <c r="H2797" s="133"/>
    </row>
    <row r="2798" spans="1:8" s="65" customFormat="1">
      <c r="B2798" s="97"/>
      <c r="C2798" s="98"/>
      <c r="D2798" s="98"/>
      <c r="E2798" s="98"/>
      <c r="G2798" s="128"/>
    </row>
    <row r="2799" spans="1:8" s="65" customFormat="1">
      <c r="B2799" s="97"/>
      <c r="C2799" s="98"/>
      <c r="D2799" s="98"/>
      <c r="E2799" s="98"/>
      <c r="F2799" s="128"/>
      <c r="G2799" s="133"/>
      <c r="H2799" s="134"/>
    </row>
    <row r="2800" spans="1:8" s="65" customFormat="1">
      <c r="A2800" s="633"/>
      <c r="B2800" s="633"/>
      <c r="C2800" s="633"/>
      <c r="D2800" s="633"/>
      <c r="E2800" s="633"/>
      <c r="F2800" s="633"/>
      <c r="G2800" s="633"/>
    </row>
    <row r="2801" spans="1:9" s="65" customFormat="1">
      <c r="H2801" s="156"/>
      <c r="I2801" s="151"/>
    </row>
    <row r="2802" spans="1:9" s="65" customFormat="1">
      <c r="A2802" s="645"/>
      <c r="B2802" s="156"/>
      <c r="C2802" s="156"/>
      <c r="D2802" s="156"/>
      <c r="E2802" s="156"/>
      <c r="F2802" s="156"/>
      <c r="G2802" s="156"/>
      <c r="H2802" s="156"/>
      <c r="I2802" s="152"/>
    </row>
    <row r="2803" spans="1:9" s="65" customFormat="1">
      <c r="A2803" s="645"/>
      <c r="B2803" s="156"/>
      <c r="C2803" s="156"/>
      <c r="D2803" s="156"/>
      <c r="E2803" s="156"/>
      <c r="F2803" s="156"/>
      <c r="G2803" s="156"/>
    </row>
    <row r="2804" spans="1:9" s="65" customFormat="1">
      <c r="A2804" s="69"/>
      <c r="B2804" s="69"/>
      <c r="C2804" s="69"/>
      <c r="D2804" s="69"/>
      <c r="E2804" s="69"/>
    </row>
    <row r="2805" spans="1:9" s="65" customFormat="1">
      <c r="A2805" s="120"/>
      <c r="B2805" s="73"/>
      <c r="C2805" s="73"/>
      <c r="D2805" s="73"/>
      <c r="E2805" s="73"/>
      <c r="F2805" s="121"/>
      <c r="G2805" s="121"/>
      <c r="H2805" s="121"/>
    </row>
    <row r="2806" spans="1:9" s="65" customFormat="1">
      <c r="A2806" s="128"/>
      <c r="B2806" s="141"/>
      <c r="C2806" s="141"/>
      <c r="D2806" s="141"/>
      <c r="E2806" s="141"/>
      <c r="F2806" s="141"/>
      <c r="G2806" s="141"/>
      <c r="H2806" s="121"/>
    </row>
    <row r="2807" spans="1:9" s="65" customFormat="1">
      <c r="A2807" s="142"/>
      <c r="B2807" s="143"/>
      <c r="C2807" s="143"/>
      <c r="D2807" s="143"/>
      <c r="E2807" s="143"/>
      <c r="F2807" s="84"/>
      <c r="G2807" s="144"/>
      <c r="H2807" s="145"/>
    </row>
    <row r="2808" spans="1:9" s="65" customFormat="1">
      <c r="A2808" s="84"/>
      <c r="B2808" s="83"/>
      <c r="C2808" s="84"/>
      <c r="D2808" s="84"/>
      <c r="E2808" s="84"/>
      <c r="G2808" s="104"/>
      <c r="H2808" s="140"/>
    </row>
    <row r="2809" spans="1:9" s="65" customFormat="1">
      <c r="A2809" s="120"/>
      <c r="B2809" s="73"/>
      <c r="C2809" s="73"/>
      <c r="D2809" s="73"/>
      <c r="E2809" s="73"/>
      <c r="G2809" s="121"/>
      <c r="H2809" s="140"/>
    </row>
    <row r="2810" spans="1:9" s="65" customFormat="1">
      <c r="A2810" s="128"/>
      <c r="B2810" s="141"/>
      <c r="C2810" s="141"/>
      <c r="D2810" s="141"/>
      <c r="E2810" s="141"/>
      <c r="F2810" s="141"/>
      <c r="G2810" s="141"/>
      <c r="H2810" s="140"/>
    </row>
    <row r="2811" spans="1:9" s="65" customFormat="1" ht="16.5">
      <c r="A2811" s="150"/>
      <c r="B2811" s="161"/>
      <c r="C2811" s="148"/>
      <c r="D2811" s="84"/>
      <c r="E2811" s="84"/>
      <c r="F2811" s="84"/>
      <c r="G2811" s="154"/>
      <c r="H2811" s="140"/>
    </row>
    <row r="2812" spans="1:9" s="65" customFormat="1" ht="16.5">
      <c r="A2812" s="150"/>
      <c r="B2812" s="161"/>
      <c r="C2812" s="148"/>
      <c r="D2812" s="84"/>
      <c r="E2812" s="84"/>
      <c r="F2812" s="84"/>
      <c r="G2812" s="154"/>
      <c r="H2812" s="140"/>
    </row>
    <row r="2813" spans="1:9" s="65" customFormat="1" ht="16.5">
      <c r="A2813" s="150"/>
      <c r="B2813" s="161"/>
      <c r="C2813" s="148"/>
      <c r="D2813" s="84"/>
      <c r="E2813" s="84"/>
      <c r="F2813" s="84"/>
      <c r="G2813" s="154"/>
      <c r="H2813" s="140"/>
    </row>
    <row r="2814" spans="1:9" s="65" customFormat="1" ht="16.5">
      <c r="A2814" s="150"/>
      <c r="B2814" s="161"/>
      <c r="C2814" s="148"/>
      <c r="D2814" s="84"/>
      <c r="E2814" s="84"/>
      <c r="F2814" s="84"/>
      <c r="G2814" s="154"/>
      <c r="H2814" s="140"/>
    </row>
    <row r="2815" spans="1:9" s="65" customFormat="1" ht="16.5">
      <c r="A2815" s="150"/>
      <c r="B2815" s="161"/>
      <c r="C2815" s="148"/>
      <c r="D2815" s="84"/>
      <c r="E2815" s="84"/>
      <c r="F2815" s="84"/>
      <c r="G2815" s="154"/>
      <c r="H2815" s="140"/>
    </row>
    <row r="2816" spans="1:9" s="65" customFormat="1" ht="16.5">
      <c r="A2816" s="150"/>
      <c r="B2816" s="161"/>
      <c r="C2816" s="148"/>
      <c r="D2816" s="84"/>
      <c r="E2816" s="84"/>
      <c r="F2816" s="84"/>
      <c r="G2816" s="154"/>
      <c r="H2816" s="145"/>
    </row>
    <row r="2817" spans="1:10" s="65" customFormat="1">
      <c r="A2817" s="91"/>
      <c r="B2817" s="91"/>
      <c r="C2817" s="91"/>
      <c r="D2817" s="91"/>
      <c r="E2817" s="91"/>
      <c r="G2817" s="104"/>
      <c r="H2817" s="140"/>
    </row>
    <row r="2818" spans="1:10" s="65" customFormat="1">
      <c r="A2818" s="120"/>
      <c r="B2818" s="73"/>
      <c r="C2818" s="73"/>
      <c r="D2818" s="73"/>
      <c r="E2818" s="73"/>
      <c r="G2818" s="121"/>
      <c r="H2818" s="140"/>
    </row>
    <row r="2819" spans="1:10" s="65" customFormat="1">
      <c r="A2819" s="128"/>
      <c r="B2819" s="141"/>
      <c r="C2819" s="141"/>
      <c r="D2819" s="141"/>
      <c r="E2819" s="141"/>
      <c r="F2819" s="141"/>
      <c r="G2819" s="141"/>
      <c r="H2819" s="140"/>
    </row>
    <row r="2820" spans="1:10" s="65" customFormat="1">
      <c r="A2820" s="146"/>
      <c r="B2820" s="83"/>
      <c r="C2820" s="148"/>
      <c r="D2820" s="84"/>
      <c r="E2820" s="84"/>
      <c r="F2820" s="84"/>
      <c r="G2820" s="144"/>
      <c r="H2820" s="145"/>
    </row>
    <row r="2821" spans="1:10" s="65" customFormat="1">
      <c r="A2821" s="91"/>
      <c r="B2821" s="91"/>
      <c r="C2821" s="91"/>
      <c r="D2821" s="91"/>
      <c r="E2821" s="91"/>
      <c r="G2821" s="104"/>
      <c r="H2821" s="140"/>
    </row>
    <row r="2822" spans="1:10" s="65" customFormat="1">
      <c r="A2822" s="120"/>
      <c r="B2822" s="73"/>
      <c r="C2822" s="73"/>
      <c r="D2822" s="73"/>
      <c r="E2822" s="73"/>
      <c r="G2822" s="121"/>
      <c r="H2822" s="140"/>
    </row>
    <row r="2823" spans="1:10" s="65" customFormat="1">
      <c r="A2823" s="128"/>
      <c r="B2823" s="141"/>
      <c r="C2823" s="141"/>
      <c r="D2823" s="141"/>
      <c r="E2823" s="141"/>
      <c r="F2823" s="141"/>
      <c r="G2823" s="141"/>
      <c r="H2823" s="140"/>
    </row>
    <row r="2824" spans="1:10" s="65" customFormat="1">
      <c r="A2824" s="142"/>
      <c r="B2824" s="143"/>
      <c r="C2824" s="143"/>
      <c r="D2824" s="143"/>
      <c r="E2824" s="143"/>
      <c r="F2824" s="84"/>
      <c r="G2824" s="144"/>
      <c r="H2824" s="145"/>
    </row>
    <row r="2825" spans="1:10" s="65" customFormat="1">
      <c r="A2825" s="123"/>
      <c r="B2825" s="95"/>
      <c r="C2825" s="95"/>
      <c r="D2825" s="95"/>
      <c r="E2825" s="95"/>
      <c r="G2825" s="104"/>
      <c r="H2825" s="121"/>
    </row>
    <row r="2826" spans="1:10" s="65" customFormat="1">
      <c r="A2826" s="123"/>
      <c r="B2826" s="95"/>
      <c r="C2826" s="95"/>
      <c r="D2826" s="95"/>
      <c r="E2826" s="95"/>
      <c r="G2826" s="121"/>
      <c r="H2826" s="133"/>
    </row>
    <row r="2827" spans="1:10" s="65" customFormat="1">
      <c r="B2827" s="97"/>
      <c r="C2827" s="98"/>
      <c r="D2827" s="98"/>
      <c r="E2827" s="98"/>
      <c r="G2827" s="128"/>
    </row>
    <row r="2828" spans="1:10" s="65" customFormat="1">
      <c r="B2828" s="97"/>
      <c r="C2828" s="98"/>
      <c r="D2828" s="98"/>
      <c r="E2828" s="98"/>
      <c r="F2828" s="128"/>
      <c r="G2828" s="133"/>
      <c r="H2828" s="134"/>
    </row>
    <row r="2829" spans="1:10" s="65" customFormat="1">
      <c r="A2829" s="633"/>
      <c r="B2829" s="633"/>
      <c r="C2829" s="633"/>
      <c r="D2829" s="633"/>
      <c r="E2829" s="633"/>
      <c r="F2829" s="633"/>
      <c r="G2829" s="633"/>
    </row>
    <row r="2830" spans="1:10">
      <c r="A2830" s="65"/>
      <c r="B2830" s="65"/>
      <c r="C2830" s="65"/>
      <c r="D2830" s="65"/>
      <c r="E2830" s="65"/>
      <c r="F2830" s="65"/>
      <c r="G2830" s="65"/>
      <c r="H2830" s="156"/>
      <c r="I2830" s="151"/>
      <c r="J2830" s="136"/>
    </row>
    <row r="2831" spans="1:10" s="65" customFormat="1">
      <c r="A2831" s="645"/>
      <c r="B2831" s="156"/>
      <c r="C2831" s="156"/>
      <c r="D2831" s="156"/>
      <c r="E2831" s="156"/>
      <c r="F2831" s="156"/>
      <c r="G2831" s="156"/>
      <c r="H2831" s="156"/>
      <c r="I2831" s="152"/>
    </row>
    <row r="2832" spans="1:10" s="65" customFormat="1">
      <c r="A2832" s="645"/>
      <c r="B2832" s="156"/>
      <c r="C2832" s="156"/>
      <c r="D2832" s="156"/>
      <c r="E2832" s="156"/>
      <c r="F2832" s="156"/>
      <c r="G2832" s="156"/>
    </row>
    <row r="2833" spans="1:8" s="65" customFormat="1">
      <c r="A2833" s="69"/>
      <c r="B2833" s="69"/>
      <c r="C2833" s="69"/>
      <c r="D2833" s="69"/>
      <c r="E2833" s="69"/>
    </row>
    <row r="2834" spans="1:8" s="65" customFormat="1" ht="15" customHeight="1">
      <c r="A2834" s="120"/>
      <c r="B2834" s="73"/>
      <c r="C2834" s="73"/>
      <c r="D2834" s="73"/>
      <c r="E2834" s="73"/>
      <c r="F2834" s="121"/>
      <c r="G2834" s="121"/>
      <c r="H2834" s="121"/>
    </row>
    <row r="2835" spans="1:8" s="65" customFormat="1">
      <c r="A2835" s="128"/>
      <c r="B2835" s="141"/>
      <c r="C2835" s="141"/>
      <c r="D2835" s="141"/>
      <c r="E2835" s="141"/>
      <c r="F2835" s="141"/>
      <c r="G2835" s="141"/>
      <c r="H2835" s="121"/>
    </row>
    <row r="2836" spans="1:8" s="65" customFormat="1" ht="14.25" customHeight="1">
      <c r="A2836" s="142"/>
      <c r="B2836" s="143"/>
      <c r="C2836" s="143"/>
      <c r="D2836" s="143"/>
      <c r="E2836" s="143"/>
      <c r="F2836" s="84"/>
      <c r="G2836" s="144"/>
      <c r="H2836" s="145"/>
    </row>
    <row r="2837" spans="1:8" s="65" customFormat="1" ht="14.25" customHeight="1">
      <c r="A2837" s="84"/>
      <c r="B2837" s="83"/>
      <c r="C2837" s="84"/>
      <c r="D2837" s="84"/>
      <c r="E2837" s="84"/>
      <c r="G2837" s="104"/>
      <c r="H2837" s="140"/>
    </row>
    <row r="2838" spans="1:8" s="65" customFormat="1" ht="14.25" customHeight="1">
      <c r="A2838" s="120"/>
      <c r="B2838" s="73"/>
      <c r="C2838" s="73"/>
      <c r="D2838" s="73"/>
      <c r="E2838" s="73"/>
      <c r="G2838" s="121"/>
      <c r="H2838" s="140"/>
    </row>
    <row r="2839" spans="1:8" s="65" customFormat="1" ht="14.25" customHeight="1">
      <c r="A2839" s="128"/>
      <c r="B2839" s="141"/>
      <c r="C2839" s="141"/>
      <c r="D2839" s="141"/>
      <c r="E2839" s="141"/>
      <c r="F2839" s="141"/>
      <c r="G2839" s="141"/>
      <c r="H2839" s="140"/>
    </row>
    <row r="2840" spans="1:8" s="65" customFormat="1" ht="16.5">
      <c r="A2840" s="150"/>
      <c r="B2840" s="161"/>
      <c r="C2840" s="148"/>
      <c r="D2840" s="84"/>
      <c r="E2840" s="84"/>
      <c r="F2840" s="84"/>
      <c r="G2840" s="154"/>
      <c r="H2840" s="140"/>
    </row>
    <row r="2841" spans="1:8" s="65" customFormat="1" ht="16.5">
      <c r="A2841" s="150"/>
      <c r="B2841" s="161"/>
      <c r="C2841" s="148"/>
      <c r="D2841" s="84"/>
      <c r="E2841" s="84"/>
      <c r="F2841" s="84"/>
      <c r="G2841" s="154"/>
      <c r="H2841" s="140"/>
    </row>
    <row r="2842" spans="1:8" s="65" customFormat="1" ht="16.5">
      <c r="A2842" s="150"/>
      <c r="B2842" s="161"/>
      <c r="C2842" s="148"/>
      <c r="D2842" s="84"/>
      <c r="E2842" s="84"/>
      <c r="F2842" s="84"/>
      <c r="G2842" s="154"/>
      <c r="H2842" s="140"/>
    </row>
    <row r="2843" spans="1:8" s="65" customFormat="1" ht="16.5">
      <c r="A2843" s="150"/>
      <c r="B2843" s="161"/>
      <c r="C2843" s="148"/>
      <c r="D2843" s="84"/>
      <c r="E2843" s="84"/>
      <c r="F2843" s="84"/>
      <c r="G2843" s="154"/>
      <c r="H2843" s="140"/>
    </row>
    <row r="2844" spans="1:8" s="65" customFormat="1" ht="16.5">
      <c r="A2844" s="150"/>
      <c r="B2844" s="161"/>
      <c r="C2844" s="148"/>
      <c r="D2844" s="84"/>
      <c r="E2844" s="84"/>
      <c r="F2844" s="84"/>
      <c r="G2844" s="154"/>
      <c r="H2844" s="140"/>
    </row>
    <row r="2845" spans="1:8" s="65" customFormat="1" ht="16.5">
      <c r="A2845" s="150"/>
      <c r="B2845" s="161"/>
      <c r="C2845" s="148"/>
      <c r="D2845" s="84"/>
      <c r="E2845" s="84"/>
      <c r="F2845" s="84"/>
      <c r="G2845" s="154"/>
      <c r="H2845" s="145"/>
    </row>
    <row r="2846" spans="1:8" s="65" customFormat="1">
      <c r="A2846" s="91"/>
      <c r="B2846" s="91"/>
      <c r="C2846" s="91"/>
      <c r="D2846" s="91"/>
      <c r="E2846" s="91"/>
      <c r="G2846" s="104"/>
      <c r="H2846" s="140"/>
    </row>
    <row r="2847" spans="1:8" s="65" customFormat="1">
      <c r="A2847" s="120"/>
      <c r="B2847" s="73"/>
      <c r="C2847" s="73"/>
      <c r="D2847" s="73"/>
      <c r="E2847" s="73"/>
      <c r="G2847" s="121"/>
      <c r="H2847" s="140"/>
    </row>
    <row r="2848" spans="1:8" s="65" customFormat="1">
      <c r="A2848" s="128"/>
      <c r="B2848" s="141"/>
      <c r="C2848" s="141"/>
      <c r="D2848" s="141"/>
      <c r="E2848" s="141"/>
      <c r="F2848" s="141"/>
      <c r="G2848" s="141"/>
      <c r="H2848" s="140"/>
    </row>
    <row r="2849" spans="1:9" s="65" customFormat="1">
      <c r="A2849" s="146"/>
      <c r="B2849" s="83"/>
      <c r="C2849" s="148"/>
      <c r="D2849" s="84"/>
      <c r="E2849" s="84"/>
      <c r="F2849" s="84"/>
      <c r="G2849" s="144"/>
      <c r="H2849" s="145"/>
    </row>
    <row r="2850" spans="1:9" s="65" customFormat="1">
      <c r="A2850" s="91"/>
      <c r="B2850" s="91"/>
      <c r="C2850" s="91"/>
      <c r="D2850" s="91"/>
      <c r="E2850" s="91"/>
      <c r="G2850" s="104"/>
      <c r="H2850" s="140"/>
    </row>
    <row r="2851" spans="1:9" s="65" customFormat="1">
      <c r="A2851" s="120"/>
      <c r="B2851" s="73"/>
      <c r="C2851" s="73"/>
      <c r="D2851" s="73"/>
      <c r="E2851" s="73"/>
      <c r="G2851" s="121"/>
      <c r="H2851" s="140"/>
    </row>
    <row r="2852" spans="1:9" s="65" customFormat="1">
      <c r="A2852" s="128"/>
      <c r="B2852" s="141"/>
      <c r="C2852" s="141"/>
      <c r="D2852" s="141"/>
      <c r="E2852" s="141"/>
      <c r="F2852" s="141"/>
      <c r="G2852" s="141"/>
      <c r="H2852" s="140"/>
    </row>
    <row r="2853" spans="1:9" s="65" customFormat="1">
      <c r="A2853" s="142"/>
      <c r="B2853" s="143"/>
      <c r="C2853" s="143"/>
      <c r="D2853" s="143"/>
      <c r="E2853" s="143"/>
      <c r="F2853" s="84"/>
      <c r="G2853" s="144"/>
      <c r="H2853" s="145"/>
    </row>
    <row r="2854" spans="1:9" s="65" customFormat="1">
      <c r="A2854" s="123"/>
      <c r="B2854" s="95"/>
      <c r="C2854" s="95"/>
      <c r="D2854" s="95"/>
      <c r="E2854" s="95"/>
      <c r="G2854" s="104"/>
      <c r="H2854" s="121"/>
    </row>
    <row r="2855" spans="1:9" s="65" customFormat="1">
      <c r="A2855" s="123"/>
      <c r="B2855" s="95"/>
      <c r="C2855" s="95"/>
      <c r="D2855" s="95"/>
      <c r="E2855" s="95"/>
      <c r="G2855" s="121"/>
      <c r="H2855" s="133"/>
    </row>
    <row r="2856" spans="1:9" s="65" customFormat="1">
      <c r="B2856" s="97"/>
      <c r="C2856" s="98"/>
      <c r="D2856" s="98"/>
      <c r="E2856" s="98"/>
      <c r="G2856" s="128"/>
    </row>
    <row r="2857" spans="1:9" s="65" customFormat="1">
      <c r="B2857" s="97"/>
      <c r="C2857" s="98"/>
      <c r="D2857" s="98"/>
      <c r="E2857" s="98"/>
      <c r="F2857" s="128"/>
      <c r="G2857" s="133"/>
      <c r="H2857" s="134"/>
    </row>
    <row r="2858" spans="1:9" s="65" customFormat="1">
      <c r="A2858" s="633"/>
      <c r="B2858" s="633"/>
      <c r="C2858" s="633"/>
      <c r="D2858" s="633"/>
      <c r="E2858" s="633"/>
      <c r="F2858" s="633"/>
      <c r="G2858" s="633"/>
      <c r="H2858"/>
      <c r="I2858"/>
    </row>
    <row r="2859" spans="1:9" s="65" customFormat="1">
      <c r="A2859"/>
      <c r="B2859"/>
      <c r="C2859"/>
      <c r="D2859"/>
      <c r="E2859"/>
      <c r="F2859"/>
      <c r="G2859"/>
      <c r="H2859" s="156"/>
      <c r="I2859" s="151"/>
    </row>
    <row r="2860" spans="1:9" s="65" customFormat="1">
      <c r="A2860" s="645"/>
      <c r="B2860" s="156"/>
      <c r="C2860" s="156"/>
      <c r="D2860" s="156"/>
      <c r="E2860" s="156"/>
      <c r="F2860" s="156"/>
      <c r="G2860" s="156"/>
      <c r="H2860" s="156"/>
      <c r="I2860" s="152"/>
    </row>
    <row r="2861" spans="1:9" s="65" customFormat="1">
      <c r="A2861" s="645"/>
      <c r="B2861" s="156"/>
      <c r="C2861" s="156"/>
      <c r="D2861" s="156"/>
      <c r="E2861" s="156"/>
      <c r="F2861" s="156"/>
      <c r="G2861" s="156"/>
    </row>
    <row r="2862" spans="1:9" s="65" customFormat="1">
      <c r="A2862" s="69"/>
      <c r="B2862" s="69"/>
      <c r="C2862" s="69"/>
      <c r="D2862" s="69"/>
      <c r="E2862" s="69"/>
    </row>
    <row r="2863" spans="1:9" s="65" customFormat="1">
      <c r="A2863" s="120"/>
      <c r="B2863" s="73"/>
      <c r="C2863" s="73"/>
      <c r="D2863" s="73"/>
      <c r="E2863" s="73"/>
      <c r="F2863" s="121"/>
      <c r="G2863" s="121"/>
      <c r="H2863" s="121"/>
    </row>
    <row r="2864" spans="1:9" s="65" customFormat="1">
      <c r="A2864" s="128"/>
      <c r="B2864" s="141"/>
      <c r="C2864" s="141"/>
      <c r="D2864" s="141"/>
      <c r="E2864" s="141"/>
      <c r="F2864" s="141"/>
      <c r="G2864" s="141"/>
      <c r="H2864" s="121"/>
    </row>
    <row r="2865" spans="1:8" s="65" customFormat="1" ht="16.5">
      <c r="A2865" s="150"/>
      <c r="B2865" s="161"/>
      <c r="C2865" s="148"/>
      <c r="D2865" s="84"/>
      <c r="E2865" s="84"/>
      <c r="F2865" s="84"/>
      <c r="G2865" s="154"/>
      <c r="H2865" s="121"/>
    </row>
    <row r="2866" spans="1:8" s="65" customFormat="1" ht="16.5">
      <c r="A2866" s="150"/>
      <c r="B2866" s="161"/>
      <c r="C2866" s="148"/>
      <c r="D2866" s="84"/>
      <c r="E2866" s="84"/>
      <c r="F2866" s="84"/>
      <c r="G2866" s="154"/>
      <c r="H2866" s="121"/>
    </row>
    <row r="2867" spans="1:8" s="65" customFormat="1" ht="16.5">
      <c r="A2867" s="150"/>
      <c r="B2867" s="161"/>
      <c r="C2867" s="148"/>
      <c r="D2867" s="84"/>
      <c r="E2867" s="84"/>
      <c r="F2867" s="84"/>
      <c r="G2867" s="154"/>
      <c r="H2867" s="145"/>
    </row>
    <row r="2868" spans="1:8" s="65" customFormat="1">
      <c r="A2868" s="84"/>
      <c r="B2868" s="83"/>
      <c r="C2868" s="84"/>
      <c r="D2868" s="84"/>
      <c r="E2868" s="84"/>
      <c r="G2868" s="104"/>
      <c r="H2868" s="140"/>
    </row>
    <row r="2869" spans="1:8" s="65" customFormat="1">
      <c r="A2869" s="120"/>
      <c r="B2869" s="73"/>
      <c r="C2869" s="73"/>
      <c r="D2869" s="73"/>
      <c r="E2869" s="73"/>
      <c r="G2869" s="121"/>
      <c r="H2869" s="140"/>
    </row>
    <row r="2870" spans="1:8" s="65" customFormat="1">
      <c r="A2870" s="128"/>
      <c r="B2870" s="141"/>
      <c r="C2870" s="141"/>
      <c r="D2870" s="141"/>
      <c r="E2870" s="141"/>
      <c r="F2870" s="141"/>
      <c r="G2870" s="141"/>
      <c r="H2870" s="140"/>
    </row>
    <row r="2871" spans="1:8" s="65" customFormat="1">
      <c r="A2871" s="142"/>
      <c r="B2871" s="143"/>
      <c r="C2871" s="143"/>
      <c r="D2871" s="143"/>
      <c r="E2871" s="143"/>
      <c r="F2871" s="84"/>
      <c r="G2871" s="144"/>
      <c r="H2871" s="145"/>
    </row>
    <row r="2872" spans="1:8" s="65" customFormat="1">
      <c r="A2872" s="91"/>
      <c r="B2872" s="91"/>
      <c r="C2872" s="91"/>
      <c r="D2872" s="91"/>
      <c r="E2872" s="91"/>
      <c r="G2872" s="104"/>
      <c r="H2872" s="140"/>
    </row>
    <row r="2873" spans="1:8" s="65" customFormat="1">
      <c r="A2873" s="120"/>
      <c r="B2873" s="73"/>
      <c r="C2873" s="73"/>
      <c r="D2873" s="73"/>
      <c r="E2873" s="73"/>
      <c r="G2873" s="121"/>
      <c r="H2873" s="140"/>
    </row>
    <row r="2874" spans="1:8" s="65" customFormat="1">
      <c r="A2874" s="128"/>
      <c r="B2874" s="141"/>
      <c r="C2874" s="141"/>
      <c r="D2874" s="141"/>
      <c r="E2874" s="141"/>
      <c r="F2874" s="141"/>
      <c r="G2874" s="141"/>
      <c r="H2874" s="140"/>
    </row>
    <row r="2875" spans="1:8" s="65" customFormat="1">
      <c r="A2875" s="142"/>
      <c r="B2875" s="143"/>
      <c r="C2875" s="143"/>
      <c r="D2875" s="143"/>
      <c r="E2875" s="143"/>
      <c r="F2875" s="84"/>
      <c r="G2875" s="144"/>
      <c r="H2875" s="145"/>
    </row>
    <row r="2876" spans="1:8" s="65" customFormat="1">
      <c r="A2876" s="91"/>
      <c r="B2876" s="91"/>
      <c r="C2876" s="91"/>
      <c r="D2876" s="91"/>
      <c r="E2876" s="91"/>
      <c r="G2876" s="104"/>
      <c r="H2876" s="140"/>
    </row>
    <row r="2877" spans="1:8" s="65" customFormat="1">
      <c r="A2877" s="120"/>
      <c r="B2877" s="73"/>
      <c r="C2877" s="73"/>
      <c r="D2877" s="73"/>
      <c r="E2877" s="73"/>
      <c r="G2877" s="121"/>
      <c r="H2877" s="140"/>
    </row>
    <row r="2878" spans="1:8" s="65" customFormat="1">
      <c r="A2878" s="128"/>
      <c r="B2878" s="141"/>
      <c r="C2878" s="141"/>
      <c r="D2878" s="141"/>
      <c r="E2878" s="141"/>
      <c r="F2878" s="141"/>
      <c r="G2878" s="141"/>
      <c r="H2878" s="140"/>
    </row>
    <row r="2879" spans="1:8" s="65" customFormat="1">
      <c r="A2879" s="142"/>
      <c r="B2879" s="143"/>
      <c r="C2879" s="143"/>
      <c r="D2879" s="143"/>
      <c r="E2879" s="143"/>
      <c r="F2879" s="84"/>
      <c r="G2879" s="144"/>
      <c r="H2879" s="145"/>
    </row>
    <row r="2880" spans="1:8" s="65" customFormat="1">
      <c r="A2880" s="123"/>
      <c r="B2880" s="95"/>
      <c r="C2880" s="95"/>
      <c r="D2880" s="95"/>
      <c r="E2880" s="95"/>
      <c r="G2880" s="104"/>
      <c r="H2880" s="121"/>
    </row>
    <row r="2881" spans="1:9" s="65" customFormat="1">
      <c r="A2881" s="123"/>
      <c r="B2881" s="95"/>
      <c r="C2881" s="95"/>
      <c r="D2881" s="95"/>
      <c r="E2881" s="95"/>
      <c r="G2881" s="121"/>
      <c r="H2881" s="133"/>
    </row>
    <row r="2882" spans="1:9" s="65" customFormat="1">
      <c r="B2882" s="97"/>
      <c r="C2882" s="98"/>
      <c r="D2882" s="98"/>
      <c r="E2882" s="98"/>
      <c r="G2882" s="128"/>
    </row>
    <row r="2883" spans="1:9" s="65" customFormat="1">
      <c r="B2883" s="97"/>
      <c r="C2883" s="98"/>
      <c r="D2883" s="98"/>
      <c r="E2883" s="98"/>
      <c r="F2883" s="128"/>
      <c r="G2883" s="133"/>
      <c r="H2883" s="134"/>
    </row>
    <row r="2884" spans="1:9" s="65" customFormat="1">
      <c r="A2884" s="633"/>
      <c r="B2884" s="633"/>
      <c r="C2884" s="633"/>
      <c r="D2884" s="633"/>
      <c r="E2884" s="633"/>
      <c r="F2884" s="633"/>
      <c r="G2884" s="633"/>
    </row>
    <row r="2885" spans="1:9" s="65" customFormat="1">
      <c r="H2885" s="156"/>
      <c r="I2885" s="151"/>
    </row>
    <row r="2886" spans="1:9" s="65" customFormat="1">
      <c r="A2886" s="645"/>
      <c r="B2886" s="156"/>
      <c r="C2886" s="156"/>
      <c r="D2886" s="156"/>
      <c r="E2886" s="156"/>
      <c r="F2886" s="156"/>
      <c r="G2886" s="156"/>
      <c r="H2886" s="156"/>
      <c r="I2886" s="152"/>
    </row>
    <row r="2887" spans="1:9" s="65" customFormat="1">
      <c r="A2887" s="645"/>
      <c r="B2887" s="156"/>
      <c r="C2887" s="156"/>
      <c r="D2887" s="156"/>
      <c r="E2887" s="156"/>
      <c r="F2887" s="156"/>
      <c r="G2887" s="156"/>
    </row>
    <row r="2888" spans="1:9" s="65" customFormat="1">
      <c r="A2888" s="69"/>
      <c r="B2888" s="69"/>
      <c r="C2888" s="69"/>
      <c r="D2888" s="69"/>
      <c r="E2888" s="69"/>
    </row>
    <row r="2889" spans="1:9" s="65" customFormat="1">
      <c r="A2889" s="120"/>
      <c r="B2889" s="73"/>
      <c r="C2889" s="73"/>
      <c r="D2889" s="73"/>
      <c r="E2889" s="73"/>
      <c r="F2889" s="121"/>
      <c r="G2889" s="121"/>
      <c r="H2889" s="121"/>
    </row>
    <row r="2890" spans="1:9" s="65" customFormat="1">
      <c r="A2890" s="128"/>
      <c r="B2890" s="141"/>
      <c r="C2890" s="141"/>
      <c r="D2890" s="141"/>
      <c r="E2890" s="141"/>
      <c r="F2890" s="141"/>
      <c r="G2890" s="141"/>
      <c r="H2890" s="121"/>
    </row>
    <row r="2891" spans="1:9" s="65" customFormat="1" ht="16.5">
      <c r="A2891" s="150"/>
      <c r="B2891" s="161"/>
      <c r="C2891" s="148"/>
      <c r="D2891" s="84"/>
      <c r="E2891" s="84"/>
      <c r="F2891" s="84"/>
      <c r="G2891" s="154"/>
      <c r="H2891" s="145"/>
    </row>
    <row r="2892" spans="1:9" s="65" customFormat="1">
      <c r="A2892" s="84"/>
      <c r="B2892" s="83"/>
      <c r="C2892" s="84"/>
      <c r="D2892" s="84"/>
      <c r="E2892" s="84"/>
      <c r="G2892" s="104"/>
      <c r="H2892" s="140"/>
    </row>
    <row r="2893" spans="1:9" s="65" customFormat="1">
      <c r="A2893" s="120"/>
      <c r="B2893" s="73"/>
      <c r="C2893" s="73"/>
      <c r="D2893" s="73"/>
      <c r="E2893" s="73"/>
      <c r="G2893" s="121"/>
      <c r="H2893" s="140"/>
    </row>
    <row r="2894" spans="1:9" s="65" customFormat="1">
      <c r="A2894" s="128"/>
      <c r="B2894" s="141"/>
      <c r="C2894" s="141"/>
      <c r="D2894" s="141"/>
      <c r="E2894" s="141"/>
      <c r="F2894" s="141"/>
      <c r="G2894" s="141"/>
      <c r="H2894" s="140"/>
    </row>
    <row r="2895" spans="1:9" s="65" customFormat="1" ht="16.5">
      <c r="A2895" s="150"/>
      <c r="B2895" s="161"/>
      <c r="C2895" s="148"/>
      <c r="D2895" s="84"/>
      <c r="E2895" s="84"/>
      <c r="F2895" s="84"/>
      <c r="G2895" s="154"/>
      <c r="H2895" s="140"/>
    </row>
    <row r="2896" spans="1:9" s="65" customFormat="1" ht="16.5">
      <c r="A2896" s="150"/>
      <c r="B2896" s="161"/>
      <c r="C2896" s="148"/>
      <c r="D2896" s="84"/>
      <c r="E2896" s="84"/>
      <c r="F2896" s="84"/>
      <c r="G2896" s="154"/>
      <c r="H2896" s="140"/>
    </row>
    <row r="2897" spans="1:8" s="65" customFormat="1" ht="16.5">
      <c r="A2897" s="150"/>
      <c r="B2897" s="161"/>
      <c r="C2897" s="148"/>
      <c r="D2897" s="84"/>
      <c r="E2897" s="84"/>
      <c r="F2897" s="84"/>
      <c r="G2897" s="154"/>
      <c r="H2897" s="140"/>
    </row>
    <row r="2898" spans="1:8" s="65" customFormat="1" ht="16.5">
      <c r="A2898" s="150"/>
      <c r="B2898" s="161"/>
      <c r="C2898" s="148"/>
      <c r="D2898" s="84"/>
      <c r="E2898" s="84"/>
      <c r="F2898" s="84"/>
      <c r="G2898" s="154"/>
      <c r="H2898" s="140"/>
    </row>
    <row r="2899" spans="1:8" s="65" customFormat="1" ht="16.5">
      <c r="A2899" s="150"/>
      <c r="B2899" s="161"/>
      <c r="C2899" s="148"/>
      <c r="D2899" s="84"/>
      <c r="E2899" s="84"/>
      <c r="F2899" s="84"/>
      <c r="G2899" s="154"/>
      <c r="H2899" s="145"/>
    </row>
    <row r="2900" spans="1:8" s="65" customFormat="1">
      <c r="A2900" s="91"/>
      <c r="B2900" s="91"/>
      <c r="C2900" s="91"/>
      <c r="D2900" s="91"/>
      <c r="E2900" s="91"/>
      <c r="G2900" s="104"/>
      <c r="H2900" s="140"/>
    </row>
    <row r="2901" spans="1:8" s="65" customFormat="1">
      <c r="A2901" s="120"/>
      <c r="B2901" s="73"/>
      <c r="C2901" s="73"/>
      <c r="D2901" s="73"/>
      <c r="E2901" s="73"/>
      <c r="G2901" s="121"/>
      <c r="H2901" s="140"/>
    </row>
    <row r="2902" spans="1:8" s="65" customFormat="1">
      <c r="A2902" s="128"/>
      <c r="B2902" s="141"/>
      <c r="C2902" s="141"/>
      <c r="D2902" s="141"/>
      <c r="E2902" s="141"/>
      <c r="F2902" s="141"/>
      <c r="G2902" s="141"/>
      <c r="H2902" s="140"/>
    </row>
    <row r="2903" spans="1:8" s="65" customFormat="1" ht="16.5">
      <c r="A2903" s="150"/>
      <c r="B2903" s="161"/>
      <c r="C2903" s="148"/>
      <c r="D2903" s="84"/>
      <c r="E2903" s="84"/>
      <c r="F2903" s="84"/>
      <c r="G2903" s="154"/>
      <c r="H2903" s="145"/>
    </row>
    <row r="2904" spans="1:8" s="65" customFormat="1">
      <c r="A2904" s="91"/>
      <c r="B2904" s="91"/>
      <c r="C2904" s="91"/>
      <c r="D2904" s="91"/>
      <c r="E2904" s="91"/>
      <c r="G2904" s="104"/>
      <c r="H2904" s="140"/>
    </row>
    <row r="2905" spans="1:8" s="65" customFormat="1">
      <c r="A2905" s="120"/>
      <c r="B2905" s="73"/>
      <c r="C2905" s="73"/>
      <c r="D2905" s="73"/>
      <c r="E2905" s="73"/>
      <c r="G2905" s="121"/>
      <c r="H2905" s="140"/>
    </row>
    <row r="2906" spans="1:8" s="65" customFormat="1">
      <c r="A2906" s="128"/>
      <c r="B2906" s="141"/>
      <c r="C2906" s="141"/>
      <c r="D2906" s="141"/>
      <c r="E2906" s="141"/>
      <c r="F2906" s="141"/>
      <c r="G2906" s="141"/>
      <c r="H2906" s="140"/>
    </row>
    <row r="2907" spans="1:8" s="65" customFormat="1">
      <c r="A2907" s="142"/>
      <c r="B2907" s="143"/>
      <c r="C2907" s="143"/>
      <c r="D2907" s="143"/>
      <c r="E2907" s="143"/>
      <c r="F2907" s="84"/>
      <c r="G2907" s="144"/>
      <c r="H2907" s="145"/>
    </row>
    <row r="2908" spans="1:8" s="65" customFormat="1">
      <c r="A2908" s="123"/>
      <c r="B2908" s="95"/>
      <c r="C2908" s="95"/>
      <c r="D2908" s="95"/>
      <c r="E2908" s="95"/>
      <c r="G2908" s="104"/>
      <c r="H2908" s="121"/>
    </row>
    <row r="2909" spans="1:8" s="65" customFormat="1">
      <c r="A2909" s="123"/>
      <c r="B2909" s="95"/>
      <c r="C2909" s="95"/>
      <c r="D2909" s="95"/>
      <c r="E2909" s="95"/>
      <c r="G2909" s="121"/>
      <c r="H2909" s="133"/>
    </row>
    <row r="2910" spans="1:8" s="65" customFormat="1">
      <c r="B2910" s="97"/>
      <c r="C2910" s="98"/>
      <c r="D2910" s="98"/>
      <c r="E2910" s="98"/>
      <c r="G2910" s="128"/>
    </row>
    <row r="2911" spans="1:8" s="65" customFormat="1">
      <c r="B2911" s="97"/>
      <c r="C2911" s="98"/>
      <c r="D2911" s="98"/>
      <c r="E2911" s="98"/>
      <c r="F2911" s="128"/>
      <c r="G2911" s="133"/>
      <c r="H2911" s="134"/>
    </row>
    <row r="2912" spans="1:8" s="65" customFormat="1">
      <c r="A2912" s="633"/>
      <c r="B2912" s="633"/>
      <c r="C2912" s="633"/>
      <c r="D2912" s="633"/>
      <c r="E2912" s="633"/>
      <c r="F2912" s="633"/>
      <c r="G2912" s="633"/>
    </row>
    <row r="2913" spans="1:9" s="65" customFormat="1">
      <c r="H2913" s="156"/>
      <c r="I2913" s="151"/>
    </row>
    <row r="2914" spans="1:9" s="65" customFormat="1">
      <c r="A2914" s="645"/>
      <c r="B2914" s="156"/>
      <c r="C2914" s="156"/>
      <c r="D2914" s="156"/>
      <c r="E2914" s="156"/>
      <c r="F2914" s="156"/>
      <c r="G2914" s="156"/>
      <c r="H2914" s="156"/>
      <c r="I2914" s="152"/>
    </row>
    <row r="2915" spans="1:9" s="65" customFormat="1">
      <c r="A2915" s="645"/>
      <c r="B2915" s="156"/>
      <c r="C2915" s="156"/>
      <c r="D2915" s="156"/>
      <c r="E2915" s="156"/>
      <c r="F2915" s="156"/>
      <c r="G2915" s="156"/>
    </row>
    <row r="2916" spans="1:9" s="65" customFormat="1">
      <c r="A2916" s="69"/>
      <c r="B2916" s="69"/>
      <c r="C2916" s="69"/>
      <c r="D2916" s="69"/>
      <c r="E2916" s="69"/>
    </row>
    <row r="2917" spans="1:9" s="65" customFormat="1">
      <c r="A2917" s="120"/>
      <c r="B2917" s="73"/>
      <c r="C2917" s="73"/>
      <c r="D2917" s="73"/>
      <c r="E2917" s="73"/>
      <c r="F2917" s="121"/>
      <c r="G2917" s="121"/>
      <c r="H2917" s="121"/>
    </row>
    <row r="2918" spans="1:9" s="65" customFormat="1">
      <c r="A2918" s="128"/>
      <c r="B2918" s="141"/>
      <c r="C2918" s="141"/>
      <c r="D2918" s="141"/>
      <c r="E2918" s="141"/>
      <c r="F2918" s="141"/>
      <c r="G2918" s="141"/>
      <c r="H2918" s="121"/>
    </row>
    <row r="2919" spans="1:9" s="65" customFormat="1" ht="16.5">
      <c r="A2919" s="150"/>
      <c r="B2919" s="161"/>
      <c r="C2919" s="148"/>
      <c r="D2919" s="84"/>
      <c r="E2919" s="84"/>
      <c r="F2919" s="84"/>
      <c r="G2919" s="154"/>
      <c r="H2919" s="145"/>
    </row>
    <row r="2920" spans="1:9" s="65" customFormat="1">
      <c r="A2920" s="84"/>
      <c r="B2920" s="83"/>
      <c r="C2920" s="84"/>
      <c r="D2920" s="84"/>
      <c r="E2920" s="84"/>
      <c r="G2920" s="104"/>
      <c r="H2920" s="140"/>
    </row>
    <row r="2921" spans="1:9" s="65" customFormat="1">
      <c r="A2921" s="120"/>
      <c r="B2921" s="73"/>
      <c r="C2921" s="73"/>
      <c r="D2921" s="73"/>
      <c r="E2921" s="73"/>
      <c r="G2921" s="121"/>
      <c r="H2921" s="140"/>
    </row>
    <row r="2922" spans="1:9" s="65" customFormat="1">
      <c r="A2922" s="128"/>
      <c r="B2922" s="141"/>
      <c r="C2922" s="141"/>
      <c r="D2922" s="141"/>
      <c r="E2922" s="141"/>
      <c r="F2922" s="141"/>
      <c r="G2922" s="141"/>
      <c r="H2922" s="140"/>
    </row>
    <row r="2923" spans="1:9" s="65" customFormat="1" ht="16.5">
      <c r="A2923" s="150"/>
      <c r="B2923" s="161"/>
      <c r="C2923" s="148"/>
      <c r="D2923" s="84"/>
      <c r="E2923" s="84"/>
      <c r="F2923" s="84"/>
      <c r="G2923" s="154"/>
      <c r="H2923" s="140"/>
    </row>
    <row r="2924" spans="1:9" s="65" customFormat="1" ht="16.5">
      <c r="A2924" s="150"/>
      <c r="B2924" s="161"/>
      <c r="C2924" s="148"/>
      <c r="D2924" s="84"/>
      <c r="E2924" s="84"/>
      <c r="F2924" s="84"/>
      <c r="G2924" s="154"/>
      <c r="H2924" s="140"/>
    </row>
    <row r="2925" spans="1:9" s="65" customFormat="1" ht="16.5">
      <c r="A2925" s="150"/>
      <c r="B2925" s="161"/>
      <c r="C2925" s="148"/>
      <c r="D2925" s="84"/>
      <c r="E2925" s="84"/>
      <c r="F2925" s="84"/>
      <c r="G2925" s="154"/>
      <c r="H2925" s="140"/>
    </row>
    <row r="2926" spans="1:9" s="65" customFormat="1" ht="16.5">
      <c r="A2926" s="150"/>
      <c r="B2926" s="161"/>
      <c r="C2926" s="148"/>
      <c r="D2926" s="84"/>
      <c r="E2926" s="84"/>
      <c r="F2926" s="84"/>
      <c r="G2926" s="154"/>
      <c r="H2926" s="145"/>
    </row>
    <row r="2927" spans="1:9" s="65" customFormat="1">
      <c r="A2927" s="91"/>
      <c r="B2927" s="91"/>
      <c r="C2927" s="91"/>
      <c r="D2927" s="91"/>
      <c r="E2927" s="91"/>
      <c r="G2927" s="104"/>
      <c r="H2927" s="140"/>
    </row>
    <row r="2928" spans="1:9" s="65" customFormat="1">
      <c r="A2928" s="120"/>
      <c r="B2928" s="73"/>
      <c r="C2928" s="73"/>
      <c r="D2928" s="73"/>
      <c r="E2928" s="73"/>
      <c r="G2928" s="121"/>
      <c r="H2928" s="140"/>
    </row>
    <row r="2929" spans="1:9" s="65" customFormat="1">
      <c r="A2929" s="128"/>
      <c r="B2929" s="141"/>
      <c r="C2929" s="141"/>
      <c r="D2929" s="141"/>
      <c r="E2929" s="141"/>
      <c r="F2929" s="141"/>
      <c r="G2929" s="141"/>
      <c r="H2929" s="140"/>
    </row>
    <row r="2930" spans="1:9" s="65" customFormat="1" ht="16.5">
      <c r="A2930" s="150"/>
      <c r="B2930" s="161"/>
      <c r="C2930" s="148"/>
      <c r="D2930" s="84"/>
      <c r="E2930" s="84"/>
      <c r="F2930" s="84"/>
      <c r="G2930" s="154"/>
      <c r="H2930" s="145"/>
    </row>
    <row r="2931" spans="1:9" s="65" customFormat="1">
      <c r="A2931" s="91"/>
      <c r="B2931" s="91"/>
      <c r="C2931" s="91"/>
      <c r="D2931" s="91"/>
      <c r="E2931" s="91"/>
      <c r="G2931" s="104"/>
      <c r="H2931" s="140"/>
    </row>
    <row r="2932" spans="1:9" s="65" customFormat="1">
      <c r="A2932" s="120"/>
      <c r="B2932" s="73"/>
      <c r="C2932" s="73"/>
      <c r="D2932" s="73"/>
      <c r="E2932" s="73"/>
      <c r="G2932" s="121"/>
      <c r="H2932" s="140"/>
    </row>
    <row r="2933" spans="1:9" s="65" customFormat="1">
      <c r="A2933" s="128"/>
      <c r="B2933" s="141"/>
      <c r="C2933" s="141"/>
      <c r="D2933" s="141"/>
      <c r="E2933" s="141"/>
      <c r="F2933" s="141"/>
      <c r="G2933" s="141"/>
      <c r="H2933" s="140"/>
    </row>
    <row r="2934" spans="1:9" s="65" customFormat="1">
      <c r="A2934" s="142"/>
      <c r="B2934" s="143"/>
      <c r="C2934" s="143"/>
      <c r="D2934" s="143"/>
      <c r="E2934" s="143"/>
      <c r="F2934" s="84"/>
      <c r="G2934" s="144"/>
      <c r="H2934" s="145"/>
    </row>
    <row r="2935" spans="1:9" s="65" customFormat="1">
      <c r="A2935" s="123"/>
      <c r="B2935" s="95"/>
      <c r="C2935" s="95"/>
      <c r="D2935" s="95"/>
      <c r="E2935" s="95"/>
      <c r="G2935" s="104"/>
      <c r="H2935" s="121"/>
    </row>
    <row r="2936" spans="1:9" s="65" customFormat="1">
      <c r="A2936" s="123"/>
      <c r="B2936" s="95"/>
      <c r="C2936" s="95"/>
      <c r="D2936" s="95"/>
      <c r="E2936" s="95"/>
      <c r="G2936" s="121"/>
      <c r="H2936" s="133"/>
    </row>
    <row r="2937" spans="1:9" s="65" customFormat="1">
      <c r="B2937" s="97"/>
      <c r="C2937" s="98"/>
      <c r="D2937" s="98"/>
      <c r="E2937" s="98"/>
      <c r="G2937" s="128"/>
    </row>
    <row r="2938" spans="1:9" s="65" customFormat="1">
      <c r="B2938" s="97"/>
      <c r="C2938" s="98"/>
      <c r="D2938" s="98"/>
      <c r="E2938" s="98"/>
      <c r="F2938" s="128"/>
      <c r="G2938" s="133"/>
      <c r="H2938" s="134"/>
    </row>
    <row r="2939" spans="1:9" s="65" customFormat="1">
      <c r="A2939" s="633"/>
      <c r="B2939" s="633"/>
      <c r="C2939" s="633"/>
      <c r="D2939" s="633"/>
      <c r="E2939" s="633"/>
      <c r="F2939" s="633"/>
      <c r="G2939" s="633"/>
    </row>
    <row r="2940" spans="1:9" s="65" customFormat="1">
      <c r="H2940" s="156"/>
      <c r="I2940" s="151"/>
    </row>
    <row r="2941" spans="1:9" s="65" customFormat="1">
      <c r="A2941" s="645"/>
      <c r="B2941" s="156"/>
      <c r="C2941" s="156"/>
      <c r="D2941" s="156"/>
      <c r="E2941" s="156"/>
      <c r="F2941" s="156"/>
      <c r="G2941" s="156"/>
      <c r="H2941" s="156"/>
      <c r="I2941" s="152"/>
    </row>
    <row r="2942" spans="1:9" s="65" customFormat="1">
      <c r="A2942" s="645"/>
      <c r="B2942" s="156"/>
      <c r="C2942" s="156"/>
      <c r="D2942" s="156"/>
      <c r="E2942" s="156"/>
      <c r="F2942" s="156"/>
      <c r="G2942" s="156"/>
    </row>
    <row r="2943" spans="1:9" s="65" customFormat="1">
      <c r="A2943" s="69"/>
      <c r="B2943" s="69"/>
      <c r="C2943" s="69"/>
      <c r="D2943" s="69"/>
      <c r="E2943" s="69"/>
    </row>
    <row r="2944" spans="1:9" s="65" customFormat="1">
      <c r="A2944" s="120"/>
      <c r="B2944" s="73"/>
      <c r="C2944" s="73"/>
      <c r="D2944" s="73"/>
      <c r="E2944" s="73"/>
      <c r="F2944" s="121"/>
      <c r="G2944" s="121"/>
      <c r="H2944" s="121"/>
    </row>
    <row r="2945" spans="1:8" s="65" customFormat="1">
      <c r="A2945" s="128"/>
      <c r="B2945" s="141"/>
      <c r="C2945" s="141"/>
      <c r="D2945" s="141"/>
      <c r="E2945" s="141"/>
      <c r="F2945" s="141"/>
      <c r="G2945" s="141"/>
      <c r="H2945" s="121"/>
    </row>
    <row r="2946" spans="1:8" s="65" customFormat="1" ht="16.5">
      <c r="A2946" s="150"/>
      <c r="B2946" s="161"/>
      <c r="C2946" s="148"/>
      <c r="D2946" s="84"/>
      <c r="E2946" s="84"/>
      <c r="F2946" s="84"/>
      <c r="G2946" s="154"/>
      <c r="H2946" s="145"/>
    </row>
    <row r="2947" spans="1:8" s="65" customFormat="1">
      <c r="A2947" s="84"/>
      <c r="B2947" s="83"/>
      <c r="C2947" s="84"/>
      <c r="D2947" s="84"/>
      <c r="E2947" s="84"/>
      <c r="G2947" s="104"/>
      <c r="H2947" s="140"/>
    </row>
    <row r="2948" spans="1:8" s="65" customFormat="1">
      <c r="A2948" s="120"/>
      <c r="B2948" s="73"/>
      <c r="C2948" s="73"/>
      <c r="D2948" s="73"/>
      <c r="E2948" s="73"/>
      <c r="G2948" s="121"/>
      <c r="H2948" s="140"/>
    </row>
    <row r="2949" spans="1:8" s="65" customFormat="1">
      <c r="A2949" s="128"/>
      <c r="B2949" s="141"/>
      <c r="C2949" s="141"/>
      <c r="D2949" s="141"/>
      <c r="E2949" s="141"/>
      <c r="F2949" s="141"/>
      <c r="G2949" s="141"/>
      <c r="H2949" s="140"/>
    </row>
    <row r="2950" spans="1:8" s="65" customFormat="1" ht="16.5">
      <c r="A2950" s="150"/>
      <c r="B2950" s="161"/>
      <c r="C2950" s="148"/>
      <c r="D2950" s="84"/>
      <c r="E2950" s="84"/>
      <c r="F2950" s="84"/>
      <c r="G2950" s="154"/>
      <c r="H2950" s="140"/>
    </row>
    <row r="2951" spans="1:8" s="65" customFormat="1" ht="16.5">
      <c r="A2951" s="150"/>
      <c r="B2951" s="161"/>
      <c r="C2951" s="148"/>
      <c r="D2951" s="84"/>
      <c r="E2951" s="84"/>
      <c r="F2951" s="84"/>
      <c r="G2951" s="154"/>
      <c r="H2951" s="140"/>
    </row>
    <row r="2952" spans="1:8" s="65" customFormat="1" ht="16.5">
      <c r="A2952" s="150"/>
      <c r="B2952" s="161"/>
      <c r="C2952" s="148"/>
      <c r="D2952" s="84"/>
      <c r="E2952" s="84"/>
      <c r="F2952" s="84"/>
      <c r="G2952" s="154"/>
      <c r="H2952" s="140"/>
    </row>
    <row r="2953" spans="1:8" s="65" customFormat="1" ht="16.5">
      <c r="A2953" s="150"/>
      <c r="B2953" s="161"/>
      <c r="C2953" s="148"/>
      <c r="D2953" s="84"/>
      <c r="E2953" s="84"/>
      <c r="F2953" s="84"/>
      <c r="G2953" s="154"/>
      <c r="H2953" s="145"/>
    </row>
    <row r="2954" spans="1:8" s="65" customFormat="1">
      <c r="A2954" s="91"/>
      <c r="B2954" s="91"/>
      <c r="C2954" s="91"/>
      <c r="D2954" s="91"/>
      <c r="E2954" s="91"/>
      <c r="G2954" s="104"/>
      <c r="H2954" s="140"/>
    </row>
    <row r="2955" spans="1:8" s="65" customFormat="1">
      <c r="A2955" s="120"/>
      <c r="B2955" s="73"/>
      <c r="C2955" s="73"/>
      <c r="D2955" s="73"/>
      <c r="E2955" s="73"/>
      <c r="G2955" s="121"/>
      <c r="H2955" s="140"/>
    </row>
    <row r="2956" spans="1:8" s="65" customFormat="1">
      <c r="A2956" s="128"/>
      <c r="B2956" s="141"/>
      <c r="C2956" s="141"/>
      <c r="D2956" s="141"/>
      <c r="E2956" s="141"/>
      <c r="F2956" s="141"/>
      <c r="G2956" s="141"/>
      <c r="H2956" s="140"/>
    </row>
    <row r="2957" spans="1:8" s="65" customFormat="1" ht="16.5">
      <c r="A2957" s="150"/>
      <c r="B2957" s="161"/>
      <c r="C2957" s="148"/>
      <c r="D2957" s="84"/>
      <c r="E2957" s="84"/>
      <c r="F2957" s="84"/>
      <c r="G2957" s="154"/>
      <c r="H2957" s="145"/>
    </row>
    <row r="2958" spans="1:8" s="65" customFormat="1">
      <c r="A2958" s="91"/>
      <c r="B2958" s="91"/>
      <c r="C2958" s="91"/>
      <c r="D2958" s="91"/>
      <c r="E2958" s="91"/>
      <c r="G2958" s="104"/>
      <c r="H2958" s="140"/>
    </row>
    <row r="2959" spans="1:8" s="65" customFormat="1">
      <c r="A2959" s="120"/>
      <c r="B2959" s="73"/>
      <c r="C2959" s="73"/>
      <c r="D2959" s="73"/>
      <c r="E2959" s="73"/>
      <c r="G2959" s="121"/>
      <c r="H2959" s="140"/>
    </row>
    <row r="2960" spans="1:8" s="65" customFormat="1">
      <c r="A2960" s="128"/>
      <c r="B2960" s="141"/>
      <c r="C2960" s="141"/>
      <c r="D2960" s="141"/>
      <c r="E2960" s="141"/>
      <c r="F2960" s="141"/>
      <c r="G2960" s="141"/>
      <c r="H2960" s="140"/>
    </row>
    <row r="2961" spans="1:9" s="65" customFormat="1">
      <c r="A2961" s="142"/>
      <c r="B2961" s="143"/>
      <c r="C2961" s="143"/>
      <c r="D2961" s="143"/>
      <c r="E2961" s="143"/>
      <c r="F2961" s="84"/>
      <c r="G2961" s="144"/>
      <c r="H2961" s="145"/>
    </row>
    <row r="2962" spans="1:9" s="65" customFormat="1">
      <c r="A2962" s="123"/>
      <c r="B2962" s="95"/>
      <c r="C2962" s="95"/>
      <c r="D2962" s="95"/>
      <c r="E2962" s="95"/>
      <c r="G2962" s="104"/>
      <c r="H2962" s="121"/>
    </row>
    <row r="2963" spans="1:9" s="65" customFormat="1">
      <c r="A2963" s="123"/>
      <c r="B2963" s="95"/>
      <c r="C2963" s="95"/>
      <c r="D2963" s="95"/>
      <c r="E2963" s="95"/>
      <c r="G2963" s="121"/>
      <c r="H2963" s="133"/>
    </row>
    <row r="2964" spans="1:9" s="65" customFormat="1">
      <c r="B2964" s="97"/>
      <c r="C2964" s="98"/>
      <c r="D2964" s="98"/>
      <c r="E2964" s="98"/>
      <c r="G2964" s="128"/>
    </row>
    <row r="2965" spans="1:9" s="65" customFormat="1">
      <c r="B2965" s="97"/>
      <c r="C2965" s="98"/>
      <c r="D2965" s="98"/>
      <c r="E2965" s="98"/>
      <c r="F2965" s="128"/>
      <c r="G2965" s="133"/>
      <c r="H2965" s="134"/>
    </row>
    <row r="2966" spans="1:9" s="65" customFormat="1">
      <c r="A2966" s="633"/>
      <c r="B2966" s="633"/>
      <c r="C2966" s="633"/>
      <c r="D2966" s="633"/>
      <c r="E2966" s="633"/>
      <c r="F2966" s="633"/>
      <c r="G2966" s="633"/>
    </row>
    <row r="2967" spans="1:9" s="65" customFormat="1">
      <c r="H2967" s="156"/>
      <c r="I2967" s="151"/>
    </row>
    <row r="2968" spans="1:9" s="65" customFormat="1">
      <c r="A2968" s="645"/>
      <c r="B2968" s="156"/>
      <c r="C2968" s="156"/>
      <c r="D2968" s="156"/>
      <c r="E2968" s="156"/>
      <c r="F2968" s="156"/>
      <c r="G2968" s="156"/>
      <c r="H2968" s="156"/>
      <c r="I2968" s="152"/>
    </row>
    <row r="2969" spans="1:9" s="65" customFormat="1">
      <c r="A2969" s="645"/>
      <c r="B2969" s="156"/>
      <c r="C2969" s="156"/>
      <c r="D2969" s="156"/>
      <c r="E2969" s="156"/>
      <c r="F2969" s="156"/>
      <c r="G2969" s="156"/>
    </row>
    <row r="2970" spans="1:9" s="65" customFormat="1">
      <c r="A2970" s="69"/>
      <c r="B2970" s="69"/>
      <c r="C2970" s="69"/>
      <c r="D2970" s="69"/>
      <c r="E2970" s="69"/>
    </row>
    <row r="2971" spans="1:9" s="65" customFormat="1">
      <c r="A2971" s="120"/>
      <c r="B2971" s="73"/>
      <c r="C2971" s="73"/>
      <c r="D2971" s="73"/>
      <c r="E2971" s="73"/>
      <c r="F2971" s="121"/>
      <c r="G2971" s="121"/>
      <c r="H2971" s="121"/>
    </row>
    <row r="2972" spans="1:9" s="65" customFormat="1">
      <c r="A2972" s="128"/>
      <c r="B2972" s="141"/>
      <c r="C2972" s="141"/>
      <c r="D2972" s="141"/>
      <c r="E2972" s="141"/>
      <c r="F2972" s="141"/>
      <c r="G2972" s="141"/>
      <c r="H2972" s="121"/>
    </row>
    <row r="2973" spans="1:9" s="65" customFormat="1" ht="16.5">
      <c r="A2973" s="150"/>
      <c r="B2973" s="161"/>
      <c r="C2973" s="148"/>
      <c r="D2973" s="84"/>
      <c r="E2973" s="84"/>
      <c r="F2973" s="84"/>
      <c r="G2973" s="154"/>
      <c r="H2973" s="121"/>
    </row>
    <row r="2974" spans="1:9" s="65" customFormat="1" ht="16.5">
      <c r="A2974" s="150"/>
      <c r="B2974" s="161"/>
      <c r="C2974" s="148"/>
      <c r="D2974" s="84"/>
      <c r="E2974" s="84"/>
      <c r="F2974" s="84"/>
      <c r="G2974" s="154"/>
      <c r="H2974" s="145"/>
    </row>
    <row r="2975" spans="1:9" s="65" customFormat="1">
      <c r="A2975" s="84"/>
      <c r="B2975" s="83"/>
      <c r="C2975" s="84"/>
      <c r="D2975" s="84"/>
      <c r="E2975" s="84"/>
      <c r="G2975" s="104"/>
      <c r="H2975" s="140"/>
    </row>
    <row r="2976" spans="1:9" s="65" customFormat="1">
      <c r="A2976" s="120"/>
      <c r="B2976" s="73"/>
      <c r="C2976" s="73"/>
      <c r="D2976" s="73"/>
      <c r="E2976" s="73"/>
      <c r="G2976" s="121"/>
      <c r="H2976" s="140"/>
    </row>
    <row r="2977" spans="1:8" s="65" customFormat="1">
      <c r="A2977" s="128"/>
      <c r="B2977" s="141"/>
      <c r="C2977" s="141"/>
      <c r="D2977" s="141"/>
      <c r="E2977" s="141"/>
      <c r="F2977" s="141"/>
      <c r="G2977" s="141"/>
      <c r="H2977" s="140"/>
    </row>
    <row r="2978" spans="1:8" s="65" customFormat="1" ht="16.5">
      <c r="A2978" s="150"/>
      <c r="B2978" s="161"/>
      <c r="C2978" s="148"/>
      <c r="D2978" s="84"/>
      <c r="E2978" s="84"/>
      <c r="F2978" s="84"/>
      <c r="G2978" s="154"/>
      <c r="H2978" s="140"/>
    </row>
    <row r="2979" spans="1:8" s="65" customFormat="1" ht="16.5">
      <c r="A2979" s="150"/>
      <c r="B2979" s="161"/>
      <c r="C2979" s="148"/>
      <c r="D2979" s="84"/>
      <c r="E2979" s="84"/>
      <c r="F2979" s="84"/>
      <c r="G2979" s="154"/>
      <c r="H2979" s="140"/>
    </row>
    <row r="2980" spans="1:8" s="65" customFormat="1" ht="16.5">
      <c r="A2980" s="150"/>
      <c r="B2980" s="161"/>
      <c r="C2980" s="148"/>
      <c r="D2980" s="84"/>
      <c r="E2980" s="84"/>
      <c r="F2980" s="84"/>
      <c r="G2980" s="154"/>
      <c r="H2980" s="140"/>
    </row>
    <row r="2981" spans="1:8" s="65" customFormat="1" ht="16.5">
      <c r="A2981" s="150"/>
      <c r="B2981" s="161"/>
      <c r="C2981" s="148"/>
      <c r="D2981" s="84"/>
      <c r="E2981" s="84"/>
      <c r="F2981" s="84"/>
      <c r="G2981" s="154"/>
      <c r="H2981" s="140"/>
    </row>
    <row r="2982" spans="1:8" s="65" customFormat="1" ht="16.5">
      <c r="A2982" s="150"/>
      <c r="B2982" s="161"/>
      <c r="C2982" s="148"/>
      <c r="D2982" s="84"/>
      <c r="E2982" s="84"/>
      <c r="F2982" s="84"/>
      <c r="G2982" s="154"/>
      <c r="H2982" s="145"/>
    </row>
    <row r="2983" spans="1:8" s="65" customFormat="1">
      <c r="A2983" s="91"/>
      <c r="B2983" s="91"/>
      <c r="C2983" s="91"/>
      <c r="D2983" s="91"/>
      <c r="E2983" s="91"/>
      <c r="G2983" s="104"/>
      <c r="H2983" s="140"/>
    </row>
    <row r="2984" spans="1:8" s="65" customFormat="1">
      <c r="A2984" s="120"/>
      <c r="B2984" s="73"/>
      <c r="C2984" s="73"/>
      <c r="D2984" s="73"/>
      <c r="E2984" s="73"/>
      <c r="G2984" s="121"/>
      <c r="H2984" s="140"/>
    </row>
    <row r="2985" spans="1:8" s="65" customFormat="1">
      <c r="A2985" s="128"/>
      <c r="B2985" s="141"/>
      <c r="C2985" s="141"/>
      <c r="D2985" s="141"/>
      <c r="E2985" s="141"/>
      <c r="F2985" s="141"/>
      <c r="G2985" s="141"/>
      <c r="H2985" s="140"/>
    </row>
    <row r="2986" spans="1:8" s="65" customFormat="1">
      <c r="A2986" s="146"/>
      <c r="B2986" s="83"/>
      <c r="C2986" s="148"/>
      <c r="D2986" s="84"/>
      <c r="E2986" s="84"/>
      <c r="F2986" s="84"/>
      <c r="G2986" s="144"/>
      <c r="H2986" s="145"/>
    </row>
    <row r="2987" spans="1:8" s="65" customFormat="1">
      <c r="A2987" s="91"/>
      <c r="B2987" s="91"/>
      <c r="C2987" s="91"/>
      <c r="D2987" s="91"/>
      <c r="E2987" s="91"/>
      <c r="G2987" s="104"/>
      <c r="H2987" s="140"/>
    </row>
    <row r="2988" spans="1:8" s="65" customFormat="1">
      <c r="A2988" s="120"/>
      <c r="B2988" s="73"/>
      <c r="C2988" s="73"/>
      <c r="D2988" s="73"/>
      <c r="E2988" s="73"/>
      <c r="G2988" s="121"/>
      <c r="H2988" s="140"/>
    </row>
    <row r="2989" spans="1:8" s="65" customFormat="1">
      <c r="A2989" s="128"/>
      <c r="B2989" s="141"/>
      <c r="C2989" s="141"/>
      <c r="D2989" s="141"/>
      <c r="E2989" s="141"/>
      <c r="F2989" s="141"/>
      <c r="G2989" s="141"/>
      <c r="H2989" s="140"/>
    </row>
    <row r="2990" spans="1:8" s="65" customFormat="1">
      <c r="A2990" s="142"/>
      <c r="B2990" s="143"/>
      <c r="C2990" s="143"/>
      <c r="D2990" s="143"/>
      <c r="E2990" s="143"/>
      <c r="F2990" s="84"/>
      <c r="G2990" s="144"/>
      <c r="H2990" s="145"/>
    </row>
    <row r="2991" spans="1:8" s="65" customFormat="1">
      <c r="A2991" s="123"/>
      <c r="B2991" s="95"/>
      <c r="C2991" s="95"/>
      <c r="D2991" s="95"/>
      <c r="E2991" s="95"/>
      <c r="G2991" s="104"/>
      <c r="H2991" s="121"/>
    </row>
    <row r="2992" spans="1:8" s="65" customFormat="1">
      <c r="A2992" s="123"/>
      <c r="B2992" s="95"/>
      <c r="C2992" s="95"/>
      <c r="D2992" s="95"/>
      <c r="E2992" s="95"/>
      <c r="G2992" s="121"/>
      <c r="H2992" s="133"/>
    </row>
    <row r="2993" spans="1:9" s="65" customFormat="1">
      <c r="B2993" s="97"/>
      <c r="C2993" s="98"/>
      <c r="D2993" s="98"/>
      <c r="E2993" s="98"/>
      <c r="G2993" s="128"/>
    </row>
    <row r="2994" spans="1:9" s="65" customFormat="1">
      <c r="B2994" s="97"/>
      <c r="C2994" s="98"/>
      <c r="D2994" s="98"/>
      <c r="E2994" s="98"/>
      <c r="F2994" s="128"/>
      <c r="G2994" s="133"/>
      <c r="H2994" s="134"/>
    </row>
    <row r="2995" spans="1:9" s="65" customFormat="1">
      <c r="A2995" s="633"/>
      <c r="B2995" s="633"/>
      <c r="C2995" s="633"/>
      <c r="D2995" s="633"/>
      <c r="E2995" s="633"/>
      <c r="F2995" s="633"/>
      <c r="G2995" s="633"/>
    </row>
    <row r="2996" spans="1:9" s="65" customFormat="1">
      <c r="H2996" s="156"/>
      <c r="I2996" s="151"/>
    </row>
    <row r="2997" spans="1:9" s="65" customFormat="1">
      <c r="A2997" s="645"/>
      <c r="B2997" s="156"/>
      <c r="C2997" s="156"/>
      <c r="D2997" s="156"/>
      <c r="E2997" s="156"/>
      <c r="F2997" s="156"/>
      <c r="G2997" s="156"/>
      <c r="H2997" s="156"/>
      <c r="I2997" s="152"/>
    </row>
    <row r="2998" spans="1:9" s="65" customFormat="1">
      <c r="A2998" s="645"/>
      <c r="B2998" s="156"/>
      <c r="C2998" s="156"/>
      <c r="D2998" s="156"/>
      <c r="E2998" s="156"/>
      <c r="F2998" s="156"/>
      <c r="G2998" s="156"/>
    </row>
    <row r="2999" spans="1:9" s="65" customFormat="1">
      <c r="A2999" s="69"/>
      <c r="B2999" s="69"/>
      <c r="C2999" s="69"/>
      <c r="D2999" s="69"/>
      <c r="E2999" s="69"/>
    </row>
    <row r="3000" spans="1:9" s="65" customFormat="1">
      <c r="A3000" s="120"/>
      <c r="B3000" s="73"/>
      <c r="C3000" s="73"/>
      <c r="D3000" s="73"/>
      <c r="E3000" s="73"/>
      <c r="F3000" s="121"/>
      <c r="G3000" s="121"/>
      <c r="H3000" s="121"/>
    </row>
    <row r="3001" spans="1:9" s="65" customFormat="1">
      <c r="A3001" s="128"/>
      <c r="B3001" s="141"/>
      <c r="C3001" s="141"/>
      <c r="D3001" s="141"/>
      <c r="E3001" s="141"/>
      <c r="F3001" s="141"/>
      <c r="G3001" s="141"/>
      <c r="H3001" s="121"/>
    </row>
    <row r="3002" spans="1:9" s="65" customFormat="1" ht="16.5">
      <c r="A3002" s="150"/>
      <c r="B3002" s="161"/>
      <c r="C3002" s="148"/>
      <c r="D3002" s="84"/>
      <c r="E3002" s="84"/>
      <c r="F3002" s="84"/>
      <c r="G3002" s="154"/>
      <c r="H3002" s="121"/>
    </row>
    <row r="3003" spans="1:9" s="65" customFormat="1" ht="16.5">
      <c r="A3003" s="150"/>
      <c r="B3003" s="161"/>
      <c r="C3003" s="148"/>
      <c r="D3003" s="84"/>
      <c r="E3003" s="84"/>
      <c r="F3003" s="84"/>
      <c r="G3003" s="154"/>
      <c r="H3003" s="145"/>
    </row>
    <row r="3004" spans="1:9" s="65" customFormat="1">
      <c r="A3004" s="84"/>
      <c r="B3004" s="83"/>
      <c r="C3004" s="84"/>
      <c r="D3004" s="84"/>
      <c r="E3004" s="84"/>
      <c r="G3004" s="104"/>
      <c r="H3004" s="140"/>
    </row>
    <row r="3005" spans="1:9" s="65" customFormat="1">
      <c r="A3005" s="120"/>
      <c r="B3005" s="73"/>
      <c r="C3005" s="73"/>
      <c r="D3005" s="73"/>
      <c r="E3005" s="73"/>
      <c r="G3005" s="121"/>
      <c r="H3005" s="140"/>
    </row>
    <row r="3006" spans="1:9" s="65" customFormat="1">
      <c r="A3006" s="128"/>
      <c r="B3006" s="141"/>
      <c r="C3006" s="141"/>
      <c r="D3006" s="141"/>
      <c r="E3006" s="141"/>
      <c r="F3006" s="141"/>
      <c r="G3006" s="141"/>
      <c r="H3006" s="140"/>
    </row>
    <row r="3007" spans="1:9" s="65" customFormat="1" ht="16.5">
      <c r="A3007" s="150"/>
      <c r="B3007" s="161"/>
      <c r="C3007" s="148"/>
      <c r="D3007" s="84"/>
      <c r="E3007" s="84"/>
      <c r="F3007" s="84"/>
      <c r="G3007" s="154"/>
      <c r="H3007" s="140"/>
    </row>
    <row r="3008" spans="1:9" s="65" customFormat="1" ht="16.5">
      <c r="A3008" s="150"/>
      <c r="B3008" s="161"/>
      <c r="C3008" s="148"/>
      <c r="D3008" s="84"/>
      <c r="E3008" s="84"/>
      <c r="F3008" s="84"/>
      <c r="G3008" s="154"/>
      <c r="H3008" s="140"/>
    </row>
    <row r="3009" spans="1:8" s="65" customFormat="1" ht="16.5">
      <c r="A3009" s="150"/>
      <c r="B3009" s="161"/>
      <c r="C3009" s="148"/>
      <c r="D3009" s="84"/>
      <c r="E3009" s="84"/>
      <c r="F3009" s="84"/>
      <c r="G3009" s="154"/>
      <c r="H3009" s="140"/>
    </row>
    <row r="3010" spans="1:8" s="65" customFormat="1" ht="16.5">
      <c r="A3010" s="150"/>
      <c r="B3010" s="161"/>
      <c r="C3010" s="148"/>
      <c r="D3010" s="84"/>
      <c r="E3010" s="84"/>
      <c r="F3010" s="84"/>
      <c r="G3010" s="154"/>
      <c r="H3010" s="140"/>
    </row>
    <row r="3011" spans="1:8" s="65" customFormat="1" ht="16.5">
      <c r="A3011" s="150"/>
      <c r="B3011" s="161"/>
      <c r="C3011" s="148"/>
      <c r="D3011" s="84"/>
      <c r="E3011" s="84"/>
      <c r="F3011" s="84"/>
      <c r="G3011" s="154"/>
      <c r="H3011" s="145"/>
    </row>
    <row r="3012" spans="1:8" s="65" customFormat="1">
      <c r="A3012" s="91"/>
      <c r="B3012" s="91"/>
      <c r="C3012" s="91"/>
      <c r="D3012" s="91"/>
      <c r="E3012" s="91"/>
      <c r="G3012" s="104"/>
      <c r="H3012" s="140"/>
    </row>
    <row r="3013" spans="1:8" s="65" customFormat="1">
      <c r="A3013" s="120"/>
      <c r="B3013" s="73"/>
      <c r="C3013" s="73"/>
      <c r="D3013" s="73"/>
      <c r="E3013" s="73"/>
      <c r="G3013" s="121"/>
      <c r="H3013" s="140"/>
    </row>
    <row r="3014" spans="1:8" s="65" customFormat="1">
      <c r="A3014" s="128"/>
      <c r="B3014" s="141"/>
      <c r="C3014" s="141"/>
      <c r="D3014" s="141"/>
      <c r="E3014" s="141"/>
      <c r="F3014" s="141"/>
      <c r="G3014" s="141"/>
      <c r="H3014" s="140"/>
    </row>
    <row r="3015" spans="1:8" s="65" customFormat="1">
      <c r="A3015" s="146"/>
      <c r="B3015" s="83"/>
      <c r="C3015" s="148"/>
      <c r="D3015" s="84"/>
      <c r="E3015" s="84"/>
      <c r="F3015" s="84"/>
      <c r="G3015" s="144"/>
      <c r="H3015" s="140"/>
    </row>
    <row r="3016" spans="1:8" s="65" customFormat="1">
      <c r="A3016" s="146"/>
      <c r="B3016" s="83"/>
      <c r="C3016" s="148"/>
      <c r="D3016" s="84"/>
      <c r="E3016" s="84"/>
      <c r="F3016" s="84"/>
      <c r="G3016" s="144"/>
      <c r="H3016" s="145"/>
    </row>
    <row r="3017" spans="1:8" s="65" customFormat="1">
      <c r="A3017" s="91"/>
      <c r="B3017" s="91"/>
      <c r="C3017" s="91"/>
      <c r="D3017" s="91"/>
      <c r="E3017" s="91"/>
      <c r="G3017" s="104"/>
      <c r="H3017" s="140"/>
    </row>
    <row r="3018" spans="1:8" s="65" customFormat="1">
      <c r="A3018" s="120"/>
      <c r="B3018" s="73"/>
      <c r="C3018" s="73"/>
      <c r="D3018" s="73"/>
      <c r="E3018" s="73"/>
      <c r="G3018" s="121"/>
      <c r="H3018" s="140"/>
    </row>
    <row r="3019" spans="1:8" s="65" customFormat="1">
      <c r="A3019" s="128"/>
      <c r="B3019" s="141"/>
      <c r="C3019" s="141"/>
      <c r="D3019" s="141"/>
      <c r="E3019" s="141"/>
      <c r="F3019" s="141"/>
      <c r="G3019" s="141"/>
      <c r="H3019" s="140"/>
    </row>
    <row r="3020" spans="1:8" s="65" customFormat="1">
      <c r="A3020" s="142"/>
      <c r="B3020" s="143"/>
      <c r="C3020" s="143"/>
      <c r="D3020" s="143"/>
      <c r="E3020" s="143"/>
      <c r="F3020" s="84"/>
      <c r="G3020" s="144"/>
      <c r="H3020" s="145"/>
    </row>
    <row r="3021" spans="1:8" s="65" customFormat="1">
      <c r="A3021" s="123"/>
      <c r="B3021" s="95"/>
      <c r="C3021" s="95"/>
      <c r="D3021" s="95"/>
      <c r="E3021" s="95"/>
      <c r="G3021" s="104"/>
      <c r="H3021" s="121"/>
    </row>
    <row r="3022" spans="1:8" s="65" customFormat="1">
      <c r="A3022" s="123"/>
      <c r="B3022" s="95"/>
      <c r="C3022" s="95"/>
      <c r="D3022" s="95"/>
      <c r="E3022" s="95"/>
      <c r="G3022" s="121"/>
      <c r="H3022" s="133"/>
    </row>
    <row r="3023" spans="1:8" s="65" customFormat="1">
      <c r="B3023" s="97"/>
      <c r="C3023" s="98"/>
      <c r="D3023" s="98"/>
      <c r="E3023" s="98"/>
      <c r="G3023" s="128"/>
    </row>
    <row r="3024" spans="1:8" s="65" customFormat="1">
      <c r="B3024" s="97"/>
      <c r="C3024" s="98"/>
      <c r="D3024" s="98"/>
      <c r="E3024" s="98"/>
      <c r="F3024" s="128"/>
      <c r="G3024" s="133"/>
      <c r="H3024" s="134"/>
    </row>
    <row r="3025" spans="1:9" s="65" customFormat="1">
      <c r="A3025" s="633"/>
      <c r="B3025" s="633"/>
      <c r="C3025" s="633"/>
      <c r="D3025" s="633"/>
      <c r="E3025" s="633"/>
      <c r="F3025" s="633"/>
      <c r="G3025" s="633"/>
    </row>
    <row r="3026" spans="1:9" s="65" customFormat="1">
      <c r="H3026" s="156"/>
      <c r="I3026" s="151"/>
    </row>
    <row r="3027" spans="1:9" s="65" customFormat="1">
      <c r="A3027" s="645"/>
      <c r="B3027" s="156"/>
      <c r="C3027" s="156"/>
      <c r="D3027" s="156"/>
      <c r="E3027" s="156"/>
      <c r="F3027" s="156"/>
      <c r="G3027" s="156"/>
      <c r="H3027" s="156"/>
      <c r="I3027" s="152"/>
    </row>
    <row r="3028" spans="1:9" s="65" customFormat="1">
      <c r="A3028" s="645"/>
      <c r="B3028" s="156"/>
      <c r="C3028" s="156"/>
      <c r="D3028" s="156"/>
      <c r="E3028" s="156"/>
      <c r="F3028" s="156"/>
      <c r="G3028" s="156"/>
    </row>
    <row r="3029" spans="1:9" s="65" customFormat="1">
      <c r="A3029" s="69"/>
      <c r="B3029" s="69"/>
      <c r="C3029" s="69"/>
      <c r="D3029" s="69"/>
      <c r="E3029" s="69"/>
    </row>
    <row r="3030" spans="1:9" s="65" customFormat="1">
      <c r="A3030" s="120"/>
      <c r="B3030" s="73"/>
      <c r="C3030" s="73"/>
      <c r="D3030" s="73"/>
      <c r="E3030" s="73"/>
      <c r="F3030" s="121"/>
      <c r="G3030" s="121"/>
      <c r="H3030" s="121"/>
    </row>
    <row r="3031" spans="1:9" s="65" customFormat="1">
      <c r="A3031" s="128"/>
      <c r="B3031" s="141"/>
      <c r="C3031" s="141"/>
      <c r="D3031" s="141"/>
      <c r="E3031" s="141"/>
      <c r="F3031" s="141"/>
      <c r="G3031" s="141"/>
      <c r="H3031" s="121"/>
    </row>
    <row r="3032" spans="1:9" s="65" customFormat="1" ht="16.5">
      <c r="A3032" s="150"/>
      <c r="B3032" s="161"/>
      <c r="C3032" s="148"/>
      <c r="D3032" s="84"/>
      <c r="E3032" s="84"/>
      <c r="F3032" s="84"/>
      <c r="G3032" s="154"/>
      <c r="H3032" s="145"/>
    </row>
    <row r="3033" spans="1:9" s="65" customFormat="1">
      <c r="A3033" s="84"/>
      <c r="B3033" s="83"/>
      <c r="C3033" s="84"/>
      <c r="D3033" s="84"/>
      <c r="E3033" s="84"/>
      <c r="G3033" s="104"/>
      <c r="H3033" s="140"/>
    </row>
    <row r="3034" spans="1:9" s="65" customFormat="1">
      <c r="A3034" s="120"/>
      <c r="B3034" s="73"/>
      <c r="C3034" s="73"/>
      <c r="D3034" s="73"/>
      <c r="E3034" s="73"/>
      <c r="G3034" s="121"/>
      <c r="H3034" s="140"/>
    </row>
    <row r="3035" spans="1:9" s="65" customFormat="1">
      <c r="A3035" s="128"/>
      <c r="B3035" s="141"/>
      <c r="C3035" s="141"/>
      <c r="D3035" s="141"/>
      <c r="E3035" s="141"/>
      <c r="F3035" s="141"/>
      <c r="G3035" s="141"/>
      <c r="H3035" s="140"/>
    </row>
    <row r="3036" spans="1:9" s="65" customFormat="1">
      <c r="A3036" s="146"/>
      <c r="B3036" s="83"/>
      <c r="C3036" s="148"/>
      <c r="D3036" s="84"/>
      <c r="E3036" s="84"/>
      <c r="F3036" s="84"/>
      <c r="G3036" s="144"/>
      <c r="H3036" s="140"/>
    </row>
    <row r="3037" spans="1:9" s="65" customFormat="1">
      <c r="A3037" s="146"/>
      <c r="B3037" s="83"/>
      <c r="C3037" s="148"/>
      <c r="D3037" s="84"/>
      <c r="E3037" s="84"/>
      <c r="F3037" s="84"/>
      <c r="G3037" s="144"/>
      <c r="H3037" s="140"/>
    </row>
    <row r="3038" spans="1:9" s="65" customFormat="1">
      <c r="A3038" s="146"/>
      <c r="B3038" s="83"/>
      <c r="C3038" s="148"/>
      <c r="D3038" s="84"/>
      <c r="E3038" s="84"/>
      <c r="F3038" s="84"/>
      <c r="G3038" s="144"/>
      <c r="H3038" s="140"/>
    </row>
    <row r="3039" spans="1:9" s="65" customFormat="1">
      <c r="A3039" s="146"/>
      <c r="B3039" s="83"/>
      <c r="C3039" s="148"/>
      <c r="D3039" s="84"/>
      <c r="E3039" s="84"/>
      <c r="F3039" s="84"/>
      <c r="G3039" s="144"/>
      <c r="H3039" s="140"/>
    </row>
    <row r="3040" spans="1:9" s="65" customFormat="1">
      <c r="A3040" s="146"/>
      <c r="B3040" s="83"/>
      <c r="C3040" s="148"/>
      <c r="D3040" s="84"/>
      <c r="E3040" s="84"/>
      <c r="F3040" s="84"/>
      <c r="G3040" s="144"/>
      <c r="H3040" s="140"/>
    </row>
    <row r="3041" spans="1:9" s="65" customFormat="1">
      <c r="A3041" s="146"/>
      <c r="B3041" s="83"/>
      <c r="C3041" s="148"/>
      <c r="D3041" s="84"/>
      <c r="E3041" s="84"/>
      <c r="F3041" s="84"/>
      <c r="G3041" s="144"/>
      <c r="H3041" s="145"/>
    </row>
    <row r="3042" spans="1:9" s="65" customFormat="1">
      <c r="A3042" s="91"/>
      <c r="B3042" s="91"/>
      <c r="C3042" s="91"/>
      <c r="D3042" s="91"/>
      <c r="E3042" s="91"/>
      <c r="G3042" s="104"/>
      <c r="H3042" s="140"/>
    </row>
    <row r="3043" spans="1:9" s="65" customFormat="1">
      <c r="A3043" s="120"/>
      <c r="B3043" s="73"/>
      <c r="C3043" s="73"/>
      <c r="D3043" s="73"/>
      <c r="E3043" s="73"/>
      <c r="G3043" s="121"/>
      <c r="H3043" s="140"/>
    </row>
    <row r="3044" spans="1:9" s="65" customFormat="1">
      <c r="A3044" s="128"/>
      <c r="B3044" s="141"/>
      <c r="C3044" s="141"/>
      <c r="D3044" s="141"/>
      <c r="E3044" s="141"/>
      <c r="F3044" s="141"/>
      <c r="G3044" s="141"/>
      <c r="H3044" s="140"/>
    </row>
    <row r="3045" spans="1:9" s="65" customFormat="1">
      <c r="A3045" s="146"/>
      <c r="B3045" s="83"/>
      <c r="C3045" s="148"/>
      <c r="D3045" s="84"/>
      <c r="E3045" s="84"/>
      <c r="F3045" s="84"/>
      <c r="G3045" s="144"/>
      <c r="H3045" s="145"/>
    </row>
    <row r="3046" spans="1:9" s="65" customFormat="1">
      <c r="A3046" s="91"/>
      <c r="B3046" s="91"/>
      <c r="C3046" s="91"/>
      <c r="D3046" s="91"/>
      <c r="E3046" s="91"/>
      <c r="G3046" s="104"/>
      <c r="H3046" s="140"/>
    </row>
    <row r="3047" spans="1:9" s="65" customFormat="1">
      <c r="A3047" s="120"/>
      <c r="B3047" s="73"/>
      <c r="C3047" s="73"/>
      <c r="D3047" s="73"/>
      <c r="E3047" s="73"/>
      <c r="G3047" s="121"/>
      <c r="H3047" s="140"/>
    </row>
    <row r="3048" spans="1:9" s="65" customFormat="1">
      <c r="A3048" s="128"/>
      <c r="B3048" s="141"/>
      <c r="C3048" s="141"/>
      <c r="D3048" s="141"/>
      <c r="E3048" s="141"/>
      <c r="F3048" s="141"/>
      <c r="G3048" s="141"/>
      <c r="H3048" s="140"/>
    </row>
    <row r="3049" spans="1:9" s="65" customFormat="1">
      <c r="A3049" s="142"/>
      <c r="B3049" s="143"/>
      <c r="C3049" s="143"/>
      <c r="D3049" s="143"/>
      <c r="E3049" s="143"/>
      <c r="F3049" s="84"/>
      <c r="G3049" s="144"/>
      <c r="H3049" s="145"/>
    </row>
    <row r="3050" spans="1:9" s="65" customFormat="1">
      <c r="A3050" s="123"/>
      <c r="B3050" s="95"/>
      <c r="C3050" s="95"/>
      <c r="D3050" s="95"/>
      <c r="E3050" s="95"/>
      <c r="G3050" s="104"/>
      <c r="H3050" s="121"/>
    </row>
    <row r="3051" spans="1:9" s="65" customFormat="1">
      <c r="A3051" s="123"/>
      <c r="B3051" s="95"/>
      <c r="C3051" s="95"/>
      <c r="D3051" s="95"/>
      <c r="E3051" s="95"/>
      <c r="G3051" s="121"/>
      <c r="H3051" s="133"/>
    </row>
    <row r="3052" spans="1:9" s="65" customFormat="1">
      <c r="B3052" s="97"/>
      <c r="C3052" s="98"/>
      <c r="D3052" s="98"/>
      <c r="E3052" s="98"/>
      <c r="G3052" s="128"/>
    </row>
    <row r="3053" spans="1:9" s="65" customFormat="1">
      <c r="B3053" s="97"/>
      <c r="C3053" s="98"/>
      <c r="D3053" s="98"/>
      <c r="E3053" s="98"/>
      <c r="F3053" s="128"/>
      <c r="G3053" s="133"/>
      <c r="H3053" s="134"/>
    </row>
    <row r="3054" spans="1:9" s="65" customFormat="1">
      <c r="A3054" s="633"/>
      <c r="B3054" s="633"/>
      <c r="C3054" s="633"/>
      <c r="D3054" s="633"/>
      <c r="E3054" s="633"/>
      <c r="F3054" s="633"/>
      <c r="G3054" s="633"/>
    </row>
    <row r="3055" spans="1:9" s="65" customFormat="1">
      <c r="H3055" s="156"/>
      <c r="I3055" s="151"/>
    </row>
    <row r="3056" spans="1:9" s="65" customFormat="1">
      <c r="A3056" s="645"/>
      <c r="B3056" s="156"/>
      <c r="C3056" s="156"/>
      <c r="D3056" s="156"/>
      <c r="E3056" s="156"/>
      <c r="F3056" s="156"/>
      <c r="G3056" s="156"/>
      <c r="H3056" s="156"/>
      <c r="I3056" s="152"/>
    </row>
    <row r="3057" spans="1:8" s="65" customFormat="1">
      <c r="A3057" s="645"/>
      <c r="B3057" s="156"/>
      <c r="C3057" s="156"/>
      <c r="D3057" s="156"/>
      <c r="E3057" s="156"/>
      <c r="F3057" s="156"/>
      <c r="G3057" s="156"/>
    </row>
    <row r="3058" spans="1:8" s="65" customFormat="1">
      <c r="A3058" s="69"/>
      <c r="B3058" s="69"/>
      <c r="C3058" s="69"/>
      <c r="D3058" s="69"/>
      <c r="E3058" s="69"/>
    </row>
    <row r="3059" spans="1:8" s="65" customFormat="1">
      <c r="A3059" s="120"/>
      <c r="B3059" s="73"/>
      <c r="C3059" s="73"/>
      <c r="D3059" s="73"/>
      <c r="E3059" s="73"/>
      <c r="F3059" s="121"/>
      <c r="G3059" s="121"/>
      <c r="H3059" s="121"/>
    </row>
    <row r="3060" spans="1:8" s="65" customFormat="1">
      <c r="A3060" s="128"/>
      <c r="B3060" s="141"/>
      <c r="C3060" s="141"/>
      <c r="D3060" s="141"/>
      <c r="E3060" s="141"/>
      <c r="F3060" s="141"/>
      <c r="G3060" s="141"/>
      <c r="H3060" s="121"/>
    </row>
    <row r="3061" spans="1:8" s="65" customFormat="1" ht="16.5">
      <c r="A3061" s="150"/>
      <c r="B3061" s="161"/>
      <c r="C3061" s="148"/>
      <c r="D3061" s="84"/>
      <c r="E3061" s="84"/>
      <c r="F3061" s="84"/>
      <c r="G3061" s="154"/>
      <c r="H3061" s="145"/>
    </row>
    <row r="3062" spans="1:8" s="65" customFormat="1">
      <c r="A3062" s="84"/>
      <c r="B3062" s="83"/>
      <c r="C3062" s="84"/>
      <c r="D3062" s="84"/>
      <c r="E3062" s="84"/>
      <c r="G3062" s="104"/>
      <c r="H3062" s="140"/>
    </row>
    <row r="3063" spans="1:8" s="65" customFormat="1">
      <c r="A3063" s="120"/>
      <c r="B3063" s="73"/>
      <c r="C3063" s="73"/>
      <c r="D3063" s="73"/>
      <c r="E3063" s="73"/>
      <c r="G3063" s="121"/>
      <c r="H3063" s="140"/>
    </row>
    <row r="3064" spans="1:8" s="65" customFormat="1">
      <c r="A3064" s="128"/>
      <c r="B3064" s="141"/>
      <c r="C3064" s="141"/>
      <c r="D3064" s="141"/>
      <c r="E3064" s="141"/>
      <c r="F3064" s="141"/>
      <c r="G3064" s="141"/>
      <c r="H3064" s="140"/>
    </row>
    <row r="3065" spans="1:8" s="65" customFormat="1">
      <c r="A3065" s="146"/>
      <c r="B3065" s="83"/>
      <c r="C3065" s="148"/>
      <c r="D3065" s="84"/>
      <c r="E3065" s="84"/>
      <c r="F3065" s="84"/>
      <c r="G3065" s="144"/>
      <c r="H3065" s="140"/>
    </row>
    <row r="3066" spans="1:8" s="65" customFormat="1">
      <c r="A3066" s="146"/>
      <c r="B3066" s="83"/>
      <c r="C3066" s="148"/>
      <c r="D3066" s="84"/>
      <c r="E3066" s="84"/>
      <c r="F3066" s="84"/>
      <c r="G3066" s="144"/>
      <c r="H3066" s="140"/>
    </row>
    <row r="3067" spans="1:8" s="65" customFormat="1">
      <c r="A3067" s="146"/>
      <c r="B3067" s="83"/>
      <c r="C3067" s="148"/>
      <c r="D3067" s="84"/>
      <c r="E3067" s="84"/>
      <c r="F3067" s="84"/>
      <c r="G3067" s="144"/>
      <c r="H3067" s="145"/>
    </row>
    <row r="3068" spans="1:8" s="65" customFormat="1">
      <c r="A3068" s="91"/>
      <c r="B3068" s="91"/>
      <c r="C3068" s="91"/>
      <c r="D3068" s="91"/>
      <c r="E3068" s="91"/>
      <c r="G3068" s="104"/>
      <c r="H3068" s="140"/>
    </row>
    <row r="3069" spans="1:8" s="65" customFormat="1">
      <c r="A3069" s="120"/>
      <c r="B3069" s="73"/>
      <c r="C3069" s="73"/>
      <c r="D3069" s="73"/>
      <c r="E3069" s="73"/>
      <c r="G3069" s="121"/>
      <c r="H3069" s="140"/>
    </row>
    <row r="3070" spans="1:8" s="65" customFormat="1">
      <c r="A3070" s="128"/>
      <c r="B3070" s="141"/>
      <c r="C3070" s="141"/>
      <c r="D3070" s="141"/>
      <c r="E3070" s="141"/>
      <c r="F3070" s="141"/>
      <c r="G3070" s="141"/>
      <c r="H3070" s="140"/>
    </row>
    <row r="3071" spans="1:8" s="65" customFormat="1">
      <c r="A3071" s="146"/>
      <c r="B3071" s="83"/>
      <c r="C3071" s="148"/>
      <c r="D3071" s="84"/>
      <c r="E3071" s="84"/>
      <c r="F3071" s="84"/>
      <c r="G3071" s="144"/>
      <c r="H3071" s="145"/>
    </row>
    <row r="3072" spans="1:8" s="65" customFormat="1">
      <c r="A3072" s="91"/>
      <c r="B3072" s="91"/>
      <c r="C3072" s="91"/>
      <c r="D3072" s="91"/>
      <c r="E3072" s="91"/>
      <c r="G3072" s="104"/>
      <c r="H3072" s="140"/>
    </row>
    <row r="3073" spans="1:9" s="65" customFormat="1">
      <c r="A3073" s="120"/>
      <c r="B3073" s="73"/>
      <c r="C3073" s="73"/>
      <c r="D3073" s="73"/>
      <c r="E3073" s="73"/>
      <c r="G3073" s="121"/>
      <c r="H3073" s="140"/>
    </row>
    <row r="3074" spans="1:9" s="65" customFormat="1">
      <c r="A3074" s="128"/>
      <c r="B3074" s="141"/>
      <c r="C3074" s="141"/>
      <c r="D3074" s="141"/>
      <c r="E3074" s="141"/>
      <c r="F3074" s="141"/>
      <c r="G3074" s="141"/>
      <c r="H3074" s="140"/>
    </row>
    <row r="3075" spans="1:9" s="65" customFormat="1">
      <c r="A3075" s="142"/>
      <c r="B3075" s="143"/>
      <c r="C3075" s="143"/>
      <c r="D3075" s="143"/>
      <c r="E3075" s="143"/>
      <c r="F3075" s="84"/>
      <c r="G3075" s="144"/>
      <c r="H3075" s="145"/>
    </row>
    <row r="3076" spans="1:9" s="65" customFormat="1">
      <c r="A3076" s="123"/>
      <c r="B3076" s="95"/>
      <c r="C3076" s="95"/>
      <c r="D3076" s="95"/>
      <c r="E3076" s="95"/>
      <c r="G3076" s="104"/>
      <c r="H3076" s="121"/>
    </row>
    <row r="3077" spans="1:9" s="65" customFormat="1">
      <c r="A3077" s="123"/>
      <c r="B3077" s="95"/>
      <c r="C3077" s="95"/>
      <c r="D3077" s="95"/>
      <c r="E3077" s="95"/>
      <c r="G3077" s="121"/>
      <c r="H3077" s="133"/>
    </row>
    <row r="3078" spans="1:9" s="65" customFormat="1">
      <c r="B3078" s="97"/>
      <c r="C3078" s="98"/>
      <c r="D3078" s="98"/>
      <c r="E3078" s="98"/>
      <c r="G3078" s="128"/>
    </row>
    <row r="3079" spans="1:9" s="65" customFormat="1">
      <c r="B3079" s="97"/>
      <c r="C3079" s="98"/>
      <c r="D3079" s="98"/>
      <c r="E3079" s="98"/>
      <c r="F3079" s="128"/>
      <c r="G3079" s="133"/>
      <c r="H3079" s="134"/>
    </row>
    <row r="3080" spans="1:9" s="65" customFormat="1">
      <c r="A3080" s="633"/>
      <c r="B3080" s="633"/>
      <c r="C3080" s="633"/>
      <c r="D3080" s="633"/>
      <c r="E3080" s="633"/>
      <c r="F3080" s="633"/>
      <c r="G3080" s="633"/>
    </row>
    <row r="3081" spans="1:9" s="65" customFormat="1">
      <c r="H3081" s="156"/>
      <c r="I3081" s="151"/>
    </row>
    <row r="3082" spans="1:9" s="65" customFormat="1">
      <c r="A3082" s="645"/>
      <c r="B3082" s="156"/>
      <c r="C3082" s="156"/>
      <c r="D3082" s="156"/>
      <c r="E3082" s="156"/>
      <c r="F3082" s="156"/>
      <c r="G3082" s="156"/>
      <c r="H3082" s="156"/>
      <c r="I3082" s="152"/>
    </row>
    <row r="3083" spans="1:9" s="65" customFormat="1">
      <c r="A3083" s="645"/>
      <c r="B3083" s="156"/>
      <c r="C3083" s="156"/>
      <c r="D3083" s="156"/>
      <c r="E3083" s="156"/>
      <c r="F3083" s="156"/>
      <c r="G3083" s="156"/>
    </row>
    <row r="3084" spans="1:9" s="65" customFormat="1">
      <c r="A3084" s="69"/>
      <c r="B3084" s="69"/>
      <c r="C3084" s="69"/>
      <c r="D3084" s="69"/>
      <c r="E3084" s="69"/>
    </row>
    <row r="3085" spans="1:9" s="65" customFormat="1">
      <c r="A3085" s="120"/>
      <c r="B3085" s="73"/>
      <c r="C3085" s="73"/>
      <c r="D3085" s="73"/>
      <c r="E3085" s="73"/>
      <c r="F3085" s="121"/>
      <c r="G3085" s="121"/>
      <c r="H3085" s="121"/>
    </row>
    <row r="3086" spans="1:9" s="65" customFormat="1">
      <c r="A3086" s="128"/>
      <c r="B3086" s="141"/>
      <c r="C3086" s="141"/>
      <c r="D3086" s="141"/>
      <c r="E3086" s="141"/>
      <c r="F3086" s="141"/>
      <c r="G3086" s="141"/>
      <c r="H3086" s="121"/>
    </row>
    <row r="3087" spans="1:9" s="65" customFormat="1" ht="16.5">
      <c r="A3087" s="150"/>
      <c r="B3087" s="161"/>
      <c r="C3087" s="148"/>
      <c r="D3087" s="84"/>
      <c r="E3087" s="84"/>
      <c r="F3087" s="84"/>
      <c r="G3087" s="154"/>
      <c r="H3087" s="121"/>
    </row>
    <row r="3088" spans="1:9" s="65" customFormat="1" ht="16.5">
      <c r="A3088" s="150"/>
      <c r="B3088" s="161"/>
      <c r="C3088" s="148"/>
      <c r="D3088" s="84"/>
      <c r="E3088" s="84"/>
      <c r="F3088" s="84"/>
      <c r="G3088" s="154"/>
      <c r="H3088" s="145"/>
    </row>
    <row r="3089" spans="1:8" s="65" customFormat="1">
      <c r="A3089" s="84"/>
      <c r="B3089" s="83"/>
      <c r="C3089" s="84"/>
      <c r="D3089" s="84"/>
      <c r="E3089" s="84"/>
      <c r="G3089" s="104"/>
      <c r="H3089" s="140"/>
    </row>
    <row r="3090" spans="1:8" s="65" customFormat="1">
      <c r="A3090" s="120"/>
      <c r="B3090" s="73"/>
      <c r="C3090" s="73"/>
      <c r="D3090" s="73"/>
      <c r="E3090" s="73"/>
      <c r="G3090" s="121"/>
      <c r="H3090" s="140"/>
    </row>
    <row r="3091" spans="1:8" s="65" customFormat="1">
      <c r="A3091" s="128"/>
      <c r="B3091" s="141"/>
      <c r="C3091" s="141"/>
      <c r="D3091" s="141"/>
      <c r="E3091" s="141"/>
      <c r="F3091" s="141"/>
      <c r="G3091" s="141"/>
      <c r="H3091" s="140"/>
    </row>
    <row r="3092" spans="1:8" s="65" customFormat="1">
      <c r="A3092" s="146"/>
      <c r="B3092" s="83"/>
      <c r="C3092" s="148"/>
      <c r="D3092" s="84"/>
      <c r="E3092" s="84"/>
      <c r="F3092" s="84"/>
      <c r="G3092" s="144"/>
      <c r="H3092" s="140"/>
    </row>
    <row r="3093" spans="1:8" s="65" customFormat="1">
      <c r="A3093" s="146"/>
      <c r="B3093" s="83"/>
      <c r="C3093" s="148"/>
      <c r="D3093" s="84"/>
      <c r="E3093" s="84"/>
      <c r="F3093" s="84"/>
      <c r="G3093" s="144"/>
      <c r="H3093" s="140"/>
    </row>
    <row r="3094" spans="1:8" s="65" customFormat="1">
      <c r="A3094" s="146"/>
      <c r="B3094" s="83"/>
      <c r="C3094" s="148"/>
      <c r="D3094" s="84"/>
      <c r="E3094" s="84"/>
      <c r="F3094" s="84"/>
      <c r="G3094" s="144"/>
      <c r="H3094" s="145"/>
    </row>
    <row r="3095" spans="1:8" s="65" customFormat="1">
      <c r="A3095" s="91"/>
      <c r="B3095" s="91"/>
      <c r="C3095" s="91"/>
      <c r="D3095" s="91"/>
      <c r="E3095" s="91"/>
      <c r="G3095" s="104"/>
      <c r="H3095" s="140"/>
    </row>
    <row r="3096" spans="1:8" s="65" customFormat="1">
      <c r="A3096" s="120"/>
      <c r="B3096" s="73"/>
      <c r="C3096" s="73"/>
      <c r="D3096" s="73"/>
      <c r="E3096" s="73"/>
      <c r="G3096" s="121"/>
      <c r="H3096" s="140"/>
    </row>
    <row r="3097" spans="1:8" s="65" customFormat="1">
      <c r="A3097" s="128"/>
      <c r="B3097" s="141"/>
      <c r="C3097" s="141"/>
      <c r="D3097" s="141"/>
      <c r="E3097" s="141"/>
      <c r="F3097" s="141"/>
      <c r="G3097" s="141"/>
      <c r="H3097" s="140"/>
    </row>
    <row r="3098" spans="1:8" s="65" customFormat="1">
      <c r="A3098" s="146"/>
      <c r="B3098" s="83"/>
      <c r="C3098" s="148"/>
      <c r="D3098" s="148"/>
      <c r="E3098" s="84"/>
      <c r="F3098" s="84"/>
      <c r="G3098" s="144"/>
      <c r="H3098" s="145"/>
    </row>
    <row r="3099" spans="1:8" s="65" customFormat="1">
      <c r="A3099" s="91"/>
      <c r="B3099" s="91"/>
      <c r="C3099" s="91"/>
      <c r="D3099" s="91"/>
      <c r="E3099" s="91"/>
      <c r="G3099" s="104"/>
      <c r="H3099" s="140"/>
    </row>
    <row r="3100" spans="1:8" s="65" customFormat="1">
      <c r="A3100" s="120"/>
      <c r="B3100" s="73"/>
      <c r="C3100" s="73"/>
      <c r="D3100" s="73"/>
      <c r="E3100" s="73"/>
      <c r="G3100" s="121"/>
      <c r="H3100" s="140"/>
    </row>
    <row r="3101" spans="1:8" s="65" customFormat="1">
      <c r="A3101" s="128"/>
      <c r="B3101" s="141"/>
      <c r="C3101" s="141"/>
      <c r="D3101" s="141"/>
      <c r="E3101" s="141"/>
      <c r="F3101" s="141"/>
      <c r="G3101" s="141"/>
      <c r="H3101" s="140"/>
    </row>
    <row r="3102" spans="1:8" s="65" customFormat="1">
      <c r="A3102" s="142"/>
      <c r="B3102" s="143"/>
      <c r="C3102" s="143"/>
      <c r="D3102" s="143"/>
      <c r="E3102" s="143"/>
      <c r="F3102" s="84"/>
      <c r="G3102" s="144"/>
      <c r="H3102" s="145"/>
    </row>
    <row r="3103" spans="1:8" s="65" customFormat="1">
      <c r="A3103" s="123"/>
      <c r="B3103" s="95"/>
      <c r="C3103" s="95"/>
      <c r="D3103" s="95"/>
      <c r="E3103" s="95"/>
      <c r="G3103" s="104"/>
      <c r="H3103" s="121"/>
    </row>
    <row r="3104" spans="1:8" s="65" customFormat="1">
      <c r="A3104" s="123"/>
      <c r="B3104" s="95"/>
      <c r="C3104" s="95"/>
      <c r="D3104" s="95"/>
      <c r="E3104" s="95"/>
      <c r="G3104" s="121"/>
      <c r="H3104" s="133"/>
    </row>
    <row r="3105" spans="1:9" s="65" customFormat="1">
      <c r="B3105" s="97"/>
      <c r="C3105" s="98"/>
      <c r="D3105" s="98"/>
      <c r="E3105" s="98"/>
      <c r="G3105" s="128"/>
    </row>
    <row r="3106" spans="1:9" s="65" customFormat="1">
      <c r="B3106" s="97"/>
      <c r="C3106" s="98"/>
      <c r="D3106" s="98"/>
      <c r="E3106" s="98"/>
      <c r="F3106" s="128"/>
      <c r="G3106" s="133"/>
      <c r="H3106" s="134"/>
    </row>
    <row r="3107" spans="1:9" s="65" customFormat="1">
      <c r="A3107" s="633"/>
      <c r="B3107" s="633"/>
      <c r="C3107" s="633"/>
      <c r="D3107" s="633"/>
      <c r="E3107" s="633"/>
      <c r="F3107" s="633"/>
      <c r="G3107" s="633"/>
    </row>
    <row r="3108" spans="1:9" s="65" customFormat="1">
      <c r="H3108" s="156"/>
      <c r="I3108" s="151"/>
    </row>
    <row r="3109" spans="1:9" s="65" customFormat="1">
      <c r="A3109" s="645"/>
      <c r="B3109" s="156"/>
      <c r="C3109" s="156"/>
      <c r="D3109" s="156"/>
      <c r="E3109" s="156"/>
      <c r="F3109" s="156"/>
      <c r="G3109" s="156"/>
      <c r="H3109" s="156"/>
      <c r="I3109" s="152"/>
    </row>
    <row r="3110" spans="1:9" s="65" customFormat="1">
      <c r="A3110" s="645"/>
      <c r="B3110" s="156"/>
      <c r="C3110" s="156"/>
      <c r="D3110" s="156"/>
      <c r="E3110" s="156"/>
      <c r="F3110" s="156"/>
      <c r="G3110" s="156"/>
    </row>
    <row r="3111" spans="1:9" s="65" customFormat="1">
      <c r="A3111" s="69"/>
      <c r="B3111" s="69"/>
      <c r="C3111" s="69"/>
      <c r="D3111" s="69"/>
      <c r="E3111" s="69"/>
    </row>
    <row r="3112" spans="1:9" s="65" customFormat="1">
      <c r="A3112" s="120"/>
      <c r="B3112" s="73"/>
      <c r="C3112" s="73"/>
      <c r="D3112" s="73"/>
      <c r="E3112" s="73"/>
      <c r="F3112" s="121"/>
      <c r="G3112" s="121"/>
      <c r="H3112" s="121"/>
    </row>
    <row r="3113" spans="1:9" s="65" customFormat="1">
      <c r="A3113" s="128"/>
      <c r="B3113" s="141"/>
      <c r="C3113" s="141"/>
      <c r="D3113" s="141"/>
      <c r="E3113" s="141"/>
      <c r="F3113" s="141"/>
      <c r="G3113" s="141"/>
      <c r="H3113" s="121"/>
    </row>
    <row r="3114" spans="1:9" s="65" customFormat="1" ht="16.5">
      <c r="A3114" s="150"/>
      <c r="B3114" s="161"/>
      <c r="C3114" s="148"/>
      <c r="D3114" s="84"/>
      <c r="E3114" s="84"/>
      <c r="F3114" s="84"/>
      <c r="G3114" s="154"/>
      <c r="H3114" s="121"/>
    </row>
    <row r="3115" spans="1:9" s="65" customFormat="1" ht="16.5">
      <c r="A3115" s="150"/>
      <c r="B3115" s="161"/>
      <c r="C3115" s="148"/>
      <c r="D3115" s="84"/>
      <c r="E3115" s="84"/>
      <c r="F3115" s="84"/>
      <c r="G3115" s="154"/>
      <c r="H3115" s="145"/>
    </row>
    <row r="3116" spans="1:9" s="65" customFormat="1">
      <c r="A3116" s="84"/>
      <c r="B3116" s="83"/>
      <c r="C3116" s="84"/>
      <c r="D3116" s="84"/>
      <c r="E3116" s="84"/>
      <c r="G3116" s="104"/>
      <c r="H3116" s="140"/>
    </row>
    <row r="3117" spans="1:9" s="65" customFormat="1">
      <c r="A3117" s="120"/>
      <c r="B3117" s="73"/>
      <c r="C3117" s="73"/>
      <c r="D3117" s="73"/>
      <c r="E3117" s="73"/>
      <c r="G3117" s="121"/>
      <c r="H3117" s="140"/>
    </row>
    <row r="3118" spans="1:9" s="65" customFormat="1">
      <c r="A3118" s="128"/>
      <c r="B3118" s="141"/>
      <c r="C3118" s="141"/>
      <c r="D3118" s="141"/>
      <c r="E3118" s="141"/>
      <c r="F3118" s="141"/>
      <c r="G3118" s="141"/>
      <c r="H3118" s="140"/>
    </row>
    <row r="3119" spans="1:9" s="65" customFormat="1">
      <c r="A3119" s="146"/>
      <c r="B3119" s="83"/>
      <c r="C3119" s="148"/>
      <c r="D3119" s="84"/>
      <c r="E3119" s="84"/>
      <c r="F3119" s="84"/>
      <c r="G3119" s="144"/>
      <c r="H3119" s="140"/>
    </row>
    <row r="3120" spans="1:9" s="65" customFormat="1">
      <c r="A3120" s="146"/>
      <c r="B3120" s="83"/>
      <c r="C3120" s="148"/>
      <c r="D3120" s="84"/>
      <c r="E3120" s="84"/>
      <c r="F3120" s="84"/>
      <c r="G3120" s="144"/>
      <c r="H3120" s="145"/>
    </row>
    <row r="3121" spans="1:9" s="65" customFormat="1">
      <c r="A3121" s="91"/>
      <c r="B3121" s="91"/>
      <c r="C3121" s="91"/>
      <c r="D3121" s="91"/>
      <c r="E3121" s="91"/>
      <c r="G3121" s="104"/>
      <c r="H3121" s="140"/>
    </row>
    <row r="3122" spans="1:9" s="65" customFormat="1">
      <c r="A3122" s="120"/>
      <c r="B3122" s="73"/>
      <c r="C3122" s="73"/>
      <c r="D3122" s="73"/>
      <c r="E3122" s="73"/>
      <c r="G3122" s="121"/>
      <c r="H3122" s="140"/>
    </row>
    <row r="3123" spans="1:9" s="65" customFormat="1">
      <c r="A3123" s="128"/>
      <c r="B3123" s="141"/>
      <c r="C3123" s="141"/>
      <c r="D3123" s="141"/>
      <c r="E3123" s="141"/>
      <c r="F3123" s="141"/>
      <c r="G3123" s="141"/>
      <c r="H3123" s="140"/>
    </row>
    <row r="3124" spans="1:9" s="65" customFormat="1">
      <c r="A3124" s="146"/>
      <c r="B3124" s="83"/>
      <c r="C3124" s="148"/>
      <c r="D3124" s="148"/>
      <c r="E3124" s="84"/>
      <c r="F3124" s="84"/>
      <c r="G3124" s="144"/>
      <c r="H3124" s="145"/>
    </row>
    <row r="3125" spans="1:9" s="65" customFormat="1">
      <c r="A3125" s="91"/>
      <c r="B3125" s="91"/>
      <c r="C3125" s="91"/>
      <c r="D3125" s="91"/>
      <c r="E3125" s="91"/>
      <c r="G3125" s="104"/>
      <c r="H3125" s="140"/>
    </row>
    <row r="3126" spans="1:9" s="65" customFormat="1">
      <c r="A3126" s="120"/>
      <c r="B3126" s="73"/>
      <c r="C3126" s="73"/>
      <c r="D3126" s="73"/>
      <c r="E3126" s="73"/>
      <c r="G3126" s="121"/>
      <c r="H3126" s="140"/>
    </row>
    <row r="3127" spans="1:9" s="65" customFormat="1">
      <c r="A3127" s="128"/>
      <c r="B3127" s="141"/>
      <c r="C3127" s="141"/>
      <c r="D3127" s="141"/>
      <c r="E3127" s="141"/>
      <c r="F3127" s="141"/>
      <c r="G3127" s="141"/>
      <c r="H3127" s="140"/>
    </row>
    <row r="3128" spans="1:9" s="65" customFormat="1">
      <c r="A3128" s="142"/>
      <c r="B3128" s="143"/>
      <c r="C3128" s="143"/>
      <c r="D3128" s="143"/>
      <c r="E3128" s="143"/>
      <c r="F3128" s="84"/>
      <c r="G3128" s="144"/>
      <c r="H3128" s="145"/>
    </row>
    <row r="3129" spans="1:9" s="65" customFormat="1">
      <c r="A3129" s="123"/>
      <c r="B3129" s="95"/>
      <c r="C3129" s="95"/>
      <c r="D3129" s="95"/>
      <c r="E3129" s="95"/>
      <c r="G3129" s="104"/>
      <c r="H3129" s="121"/>
    </row>
    <row r="3130" spans="1:9" s="65" customFormat="1">
      <c r="A3130" s="123"/>
      <c r="B3130" s="95"/>
      <c r="C3130" s="95"/>
      <c r="D3130" s="95"/>
      <c r="E3130" s="95"/>
      <c r="G3130" s="121"/>
      <c r="H3130" s="133"/>
    </row>
    <row r="3131" spans="1:9" s="65" customFormat="1">
      <c r="B3131" s="97"/>
      <c r="C3131" s="98"/>
      <c r="D3131" s="98"/>
      <c r="E3131" s="98"/>
      <c r="G3131" s="128"/>
    </row>
    <row r="3132" spans="1:9" s="65" customFormat="1">
      <c r="B3132" s="97"/>
      <c r="C3132" s="98"/>
      <c r="D3132" s="98"/>
      <c r="E3132" s="98"/>
      <c r="F3132" s="128"/>
      <c r="G3132" s="133"/>
      <c r="H3132" s="134"/>
    </row>
    <row r="3133" spans="1:9" s="65" customFormat="1">
      <c r="A3133" s="633"/>
      <c r="B3133" s="633"/>
      <c r="C3133" s="633"/>
      <c r="D3133" s="633"/>
      <c r="E3133" s="633"/>
      <c r="F3133" s="633"/>
      <c r="G3133" s="633"/>
    </row>
    <row r="3134" spans="1:9" s="65" customFormat="1">
      <c r="H3134" s="156"/>
      <c r="I3134" s="151"/>
    </row>
    <row r="3135" spans="1:9" s="65" customFormat="1">
      <c r="A3135" s="645"/>
      <c r="B3135" s="156"/>
      <c r="C3135" s="156"/>
      <c r="D3135" s="156"/>
      <c r="E3135" s="156"/>
      <c r="F3135" s="156"/>
      <c r="G3135" s="156"/>
      <c r="H3135" s="156"/>
      <c r="I3135" s="152"/>
    </row>
    <row r="3136" spans="1:9" s="65" customFormat="1">
      <c r="A3136" s="645"/>
      <c r="B3136" s="156"/>
      <c r="C3136" s="156"/>
      <c r="D3136" s="156"/>
      <c r="E3136" s="156"/>
      <c r="F3136" s="156"/>
      <c r="G3136" s="156"/>
    </row>
    <row r="3137" spans="1:8" s="65" customFormat="1">
      <c r="A3137" s="69"/>
      <c r="B3137" s="69"/>
      <c r="C3137" s="69"/>
      <c r="D3137" s="69"/>
      <c r="E3137" s="69"/>
    </row>
    <row r="3138" spans="1:8" s="65" customFormat="1">
      <c r="A3138" s="120"/>
      <c r="B3138" s="73"/>
      <c r="C3138" s="73"/>
      <c r="D3138" s="73"/>
      <c r="E3138" s="73"/>
      <c r="F3138" s="121"/>
      <c r="G3138" s="121"/>
      <c r="H3138" s="121"/>
    </row>
    <row r="3139" spans="1:8" s="65" customFormat="1">
      <c r="A3139" s="128"/>
      <c r="B3139" s="141"/>
      <c r="C3139" s="141"/>
      <c r="D3139" s="141"/>
      <c r="E3139" s="141"/>
      <c r="F3139" s="141"/>
      <c r="G3139" s="141"/>
      <c r="H3139" s="121"/>
    </row>
    <row r="3140" spans="1:8" s="65" customFormat="1" ht="16.5">
      <c r="A3140" s="150"/>
      <c r="B3140" s="161"/>
      <c r="C3140" s="148"/>
      <c r="D3140" s="84"/>
      <c r="E3140" s="84"/>
      <c r="F3140" s="84"/>
      <c r="G3140" s="154"/>
      <c r="H3140" s="121"/>
    </row>
    <row r="3141" spans="1:8" s="65" customFormat="1" ht="16.5">
      <c r="A3141" s="150"/>
      <c r="B3141" s="161"/>
      <c r="C3141" s="148"/>
      <c r="D3141" s="84"/>
      <c r="E3141" s="84"/>
      <c r="F3141" s="84"/>
      <c r="G3141" s="154"/>
      <c r="H3141" s="145"/>
    </row>
    <row r="3142" spans="1:8" s="65" customFormat="1">
      <c r="A3142" s="84"/>
      <c r="B3142" s="83"/>
      <c r="C3142" s="84"/>
      <c r="D3142" s="84"/>
      <c r="E3142" s="84"/>
      <c r="G3142" s="104"/>
      <c r="H3142" s="140"/>
    </row>
    <row r="3143" spans="1:8" s="65" customFormat="1">
      <c r="A3143" s="120"/>
      <c r="B3143" s="73"/>
      <c r="C3143" s="73"/>
      <c r="D3143" s="73"/>
      <c r="E3143" s="73"/>
      <c r="G3143" s="121"/>
      <c r="H3143" s="140"/>
    </row>
    <row r="3144" spans="1:8" s="65" customFormat="1">
      <c r="A3144" s="128"/>
      <c r="B3144" s="141"/>
      <c r="C3144" s="141"/>
      <c r="D3144" s="141"/>
      <c r="E3144" s="141"/>
      <c r="F3144" s="141"/>
      <c r="G3144" s="141"/>
      <c r="H3144" s="140"/>
    </row>
    <row r="3145" spans="1:8" s="65" customFormat="1">
      <c r="A3145" s="146"/>
      <c r="B3145" s="83"/>
      <c r="C3145" s="148"/>
      <c r="D3145" s="84"/>
      <c r="E3145" s="84"/>
      <c r="F3145" s="84"/>
      <c r="G3145" s="144"/>
      <c r="H3145" s="140"/>
    </row>
    <row r="3146" spans="1:8" s="65" customFormat="1">
      <c r="A3146" s="146"/>
      <c r="B3146" s="83"/>
      <c r="C3146" s="148"/>
      <c r="D3146" s="84"/>
      <c r="E3146" s="84"/>
      <c r="F3146" s="84"/>
      <c r="G3146" s="144"/>
      <c r="H3146" s="140"/>
    </row>
    <row r="3147" spans="1:8" s="65" customFormat="1">
      <c r="A3147" s="146"/>
      <c r="B3147" s="83"/>
      <c r="C3147" s="148"/>
      <c r="D3147" s="84"/>
      <c r="E3147" s="84"/>
      <c r="F3147" s="84"/>
      <c r="G3147" s="144"/>
      <c r="H3147" s="140"/>
    </row>
    <row r="3148" spans="1:8" s="65" customFormat="1">
      <c r="A3148" s="146"/>
      <c r="B3148" s="83"/>
      <c r="C3148" s="148"/>
      <c r="D3148" s="84"/>
      <c r="E3148" s="84"/>
      <c r="F3148" s="84"/>
      <c r="G3148" s="144"/>
      <c r="H3148" s="145"/>
    </row>
    <row r="3149" spans="1:8" s="65" customFormat="1">
      <c r="A3149" s="91"/>
      <c r="B3149" s="91"/>
      <c r="C3149" s="91"/>
      <c r="D3149" s="91"/>
      <c r="E3149" s="91"/>
      <c r="G3149" s="104"/>
      <c r="H3149" s="140"/>
    </row>
    <row r="3150" spans="1:8" s="65" customFormat="1">
      <c r="A3150" s="120"/>
      <c r="B3150" s="73"/>
      <c r="C3150" s="73"/>
      <c r="D3150" s="73"/>
      <c r="E3150" s="73"/>
      <c r="G3150" s="121"/>
      <c r="H3150" s="140"/>
    </row>
    <row r="3151" spans="1:8" s="65" customFormat="1">
      <c r="A3151" s="128"/>
      <c r="B3151" s="141"/>
      <c r="C3151" s="141"/>
      <c r="D3151" s="141"/>
      <c r="E3151" s="141"/>
      <c r="F3151" s="141"/>
      <c r="G3151" s="141"/>
      <c r="H3151" s="140"/>
    </row>
    <row r="3152" spans="1:8" s="65" customFormat="1">
      <c r="A3152" s="146"/>
      <c r="B3152" s="83"/>
      <c r="C3152" s="148"/>
      <c r="D3152" s="148"/>
      <c r="E3152" s="84"/>
      <c r="F3152" s="84"/>
      <c r="G3152" s="144"/>
      <c r="H3152" s="145"/>
    </row>
    <row r="3153" spans="1:9" s="65" customFormat="1">
      <c r="A3153" s="91"/>
      <c r="B3153" s="91"/>
      <c r="C3153" s="91"/>
      <c r="D3153" s="91"/>
      <c r="E3153" s="91"/>
      <c r="G3153" s="104"/>
      <c r="H3153" s="140"/>
    </row>
    <row r="3154" spans="1:9" s="65" customFormat="1">
      <c r="A3154" s="120"/>
      <c r="B3154" s="73"/>
      <c r="C3154" s="73"/>
      <c r="D3154" s="73"/>
      <c r="E3154" s="73"/>
      <c r="G3154" s="121"/>
      <c r="H3154" s="140"/>
    </row>
    <row r="3155" spans="1:9" s="65" customFormat="1">
      <c r="A3155" s="128"/>
      <c r="B3155" s="141"/>
      <c r="C3155" s="141"/>
      <c r="D3155" s="141"/>
      <c r="E3155" s="141"/>
      <c r="F3155" s="141"/>
      <c r="G3155" s="141"/>
      <c r="H3155" s="140"/>
    </row>
    <row r="3156" spans="1:9" s="65" customFormat="1">
      <c r="A3156" s="142"/>
      <c r="B3156" s="143"/>
      <c r="C3156" s="143"/>
      <c r="D3156" s="143"/>
      <c r="E3156" s="143"/>
      <c r="F3156" s="84"/>
      <c r="G3156" s="144"/>
      <c r="H3156" s="145"/>
    </row>
    <row r="3157" spans="1:9" s="65" customFormat="1">
      <c r="A3157" s="123"/>
      <c r="B3157" s="95"/>
      <c r="C3157" s="95"/>
      <c r="D3157" s="95"/>
      <c r="E3157" s="95"/>
      <c r="G3157" s="104"/>
      <c r="H3157" s="121"/>
    </row>
    <row r="3158" spans="1:9" s="65" customFormat="1">
      <c r="A3158" s="123"/>
      <c r="B3158" s="95"/>
      <c r="C3158" s="95"/>
      <c r="D3158" s="95"/>
      <c r="E3158" s="95"/>
      <c r="G3158" s="121"/>
      <c r="H3158" s="133"/>
    </row>
    <row r="3159" spans="1:9" s="65" customFormat="1">
      <c r="B3159" s="97"/>
      <c r="C3159" s="98"/>
      <c r="D3159" s="98"/>
      <c r="E3159" s="98"/>
      <c r="G3159" s="128"/>
    </row>
    <row r="3160" spans="1:9" s="65" customFormat="1">
      <c r="B3160" s="97"/>
      <c r="C3160" s="98"/>
      <c r="D3160" s="98"/>
      <c r="E3160" s="98"/>
      <c r="F3160" s="128"/>
      <c r="G3160" s="133"/>
      <c r="H3160" s="134"/>
    </row>
    <row r="3161" spans="1:9" s="65" customFormat="1">
      <c r="A3161" s="633"/>
      <c r="B3161" s="633"/>
      <c r="C3161" s="633"/>
      <c r="D3161" s="633"/>
      <c r="E3161" s="633"/>
      <c r="F3161" s="633"/>
      <c r="G3161" s="633"/>
    </row>
    <row r="3162" spans="1:9" s="65" customFormat="1">
      <c r="H3162" s="156"/>
      <c r="I3162" s="151"/>
    </row>
    <row r="3163" spans="1:9" s="65" customFormat="1">
      <c r="A3163" s="645"/>
      <c r="B3163" s="156"/>
      <c r="C3163" s="156"/>
      <c r="D3163" s="156"/>
      <c r="E3163" s="156"/>
      <c r="F3163" s="156"/>
      <c r="G3163" s="156"/>
      <c r="H3163" s="156"/>
      <c r="I3163" s="152"/>
    </row>
    <row r="3164" spans="1:9" s="65" customFormat="1">
      <c r="A3164" s="645"/>
      <c r="B3164" s="156"/>
      <c r="C3164" s="156"/>
      <c r="D3164" s="156"/>
      <c r="E3164" s="156"/>
      <c r="F3164" s="156"/>
      <c r="G3164" s="156"/>
    </row>
    <row r="3165" spans="1:9" s="65" customFormat="1">
      <c r="A3165" s="69"/>
      <c r="B3165" s="69"/>
      <c r="C3165" s="69"/>
      <c r="D3165" s="69"/>
      <c r="E3165" s="69"/>
    </row>
    <row r="3166" spans="1:9" s="65" customFormat="1">
      <c r="A3166" s="120"/>
      <c r="B3166" s="73"/>
      <c r="C3166" s="73"/>
      <c r="D3166" s="73"/>
      <c r="E3166" s="73"/>
      <c r="F3166" s="121"/>
      <c r="G3166" s="121"/>
      <c r="H3166" s="121"/>
    </row>
    <row r="3167" spans="1:9" s="65" customFormat="1">
      <c r="A3167" s="128"/>
      <c r="B3167" s="141"/>
      <c r="C3167" s="141"/>
      <c r="D3167" s="141"/>
      <c r="E3167" s="141"/>
      <c r="F3167" s="141"/>
      <c r="G3167" s="141"/>
      <c r="H3167" s="121"/>
    </row>
    <row r="3168" spans="1:9" s="65" customFormat="1" ht="16.5">
      <c r="A3168" s="150"/>
      <c r="B3168" s="161"/>
      <c r="C3168" s="148"/>
      <c r="D3168" s="84"/>
      <c r="E3168" s="84"/>
      <c r="F3168" s="84"/>
      <c r="G3168" s="154"/>
      <c r="H3168" s="121"/>
    </row>
    <row r="3169" spans="1:8" s="65" customFormat="1" ht="16.5">
      <c r="A3169" s="150"/>
      <c r="B3169" s="161"/>
      <c r="C3169" s="148"/>
      <c r="D3169" s="84"/>
      <c r="E3169" s="84"/>
      <c r="F3169" s="84"/>
      <c r="G3169" s="154"/>
      <c r="H3169" s="121"/>
    </row>
    <row r="3170" spans="1:8" s="65" customFormat="1" ht="16.5">
      <c r="A3170" s="150"/>
      <c r="B3170" s="161"/>
      <c r="C3170" s="148"/>
      <c r="D3170" s="84"/>
      <c r="E3170" s="84"/>
      <c r="F3170" s="84"/>
      <c r="G3170" s="154"/>
      <c r="H3170" s="121"/>
    </row>
    <row r="3171" spans="1:8" s="65" customFormat="1" ht="16.5">
      <c r="A3171" s="150"/>
      <c r="B3171" s="161"/>
      <c r="C3171" s="148"/>
      <c r="D3171" s="84"/>
      <c r="E3171" s="84"/>
      <c r="F3171" s="84"/>
      <c r="G3171" s="154"/>
      <c r="H3171" s="121"/>
    </row>
    <row r="3172" spans="1:8" s="65" customFormat="1" ht="16.5">
      <c r="A3172" s="150"/>
      <c r="B3172" s="161"/>
      <c r="C3172" s="148"/>
      <c r="D3172" s="84"/>
      <c r="E3172" s="84"/>
      <c r="F3172" s="84"/>
      <c r="G3172" s="154"/>
      <c r="H3172" s="145"/>
    </row>
    <row r="3173" spans="1:8" s="65" customFormat="1">
      <c r="A3173" s="84"/>
      <c r="B3173" s="83"/>
      <c r="C3173" s="84"/>
      <c r="D3173" s="84"/>
      <c r="E3173" s="84"/>
      <c r="G3173" s="104"/>
      <c r="H3173" s="140"/>
    </row>
    <row r="3174" spans="1:8" s="65" customFormat="1">
      <c r="A3174" s="120"/>
      <c r="B3174" s="73"/>
      <c r="C3174" s="73"/>
      <c r="D3174" s="73"/>
      <c r="E3174" s="73"/>
      <c r="G3174" s="121"/>
      <c r="H3174" s="140"/>
    </row>
    <row r="3175" spans="1:8" s="65" customFormat="1">
      <c r="A3175" s="128"/>
      <c r="B3175" s="141"/>
      <c r="C3175" s="141"/>
      <c r="D3175" s="141"/>
      <c r="E3175" s="141"/>
      <c r="F3175" s="141"/>
      <c r="G3175" s="141"/>
      <c r="H3175" s="140"/>
    </row>
    <row r="3176" spans="1:8" s="65" customFormat="1">
      <c r="A3176" s="146"/>
      <c r="B3176" s="83"/>
      <c r="C3176" s="148"/>
      <c r="D3176" s="84"/>
      <c r="E3176" s="84"/>
      <c r="F3176" s="84"/>
      <c r="G3176" s="144"/>
      <c r="H3176" s="140"/>
    </row>
    <row r="3177" spans="1:8" s="65" customFormat="1">
      <c r="A3177" s="146"/>
      <c r="B3177" s="83"/>
      <c r="C3177" s="148"/>
      <c r="D3177" s="84"/>
      <c r="E3177" s="84"/>
      <c r="F3177" s="84"/>
      <c r="G3177" s="144"/>
      <c r="H3177" s="140"/>
    </row>
    <row r="3178" spans="1:8" s="65" customFormat="1">
      <c r="A3178" s="146"/>
      <c r="B3178" s="83"/>
      <c r="C3178" s="148"/>
      <c r="D3178" s="84"/>
      <c r="E3178" s="84"/>
      <c r="F3178" s="84"/>
      <c r="G3178" s="164"/>
      <c r="H3178" s="145"/>
    </row>
    <row r="3179" spans="1:8" s="65" customFormat="1">
      <c r="A3179" s="91"/>
      <c r="B3179" s="91"/>
      <c r="C3179" s="91"/>
      <c r="D3179" s="91"/>
      <c r="E3179" s="91"/>
      <c r="G3179" s="104"/>
      <c r="H3179" s="140"/>
    </row>
    <row r="3180" spans="1:8" s="65" customFormat="1">
      <c r="A3180" s="120"/>
      <c r="B3180" s="73"/>
      <c r="C3180" s="73"/>
      <c r="D3180" s="73"/>
      <c r="E3180" s="73"/>
      <c r="G3180" s="121"/>
      <c r="H3180" s="140"/>
    </row>
    <row r="3181" spans="1:8" s="65" customFormat="1">
      <c r="A3181" s="128"/>
      <c r="B3181" s="141"/>
      <c r="C3181" s="141"/>
      <c r="D3181" s="141"/>
      <c r="E3181" s="141"/>
      <c r="F3181" s="141"/>
      <c r="G3181" s="141"/>
      <c r="H3181" s="140"/>
    </row>
    <row r="3182" spans="1:8" s="65" customFormat="1">
      <c r="A3182" s="146"/>
      <c r="B3182" s="83"/>
      <c r="C3182" s="148"/>
      <c r="D3182" s="148"/>
      <c r="E3182" s="84"/>
      <c r="F3182" s="84"/>
      <c r="G3182" s="144"/>
      <c r="H3182" s="145"/>
    </row>
    <row r="3183" spans="1:8" s="65" customFormat="1">
      <c r="A3183" s="91"/>
      <c r="B3183" s="91"/>
      <c r="C3183" s="91"/>
      <c r="D3183" s="91"/>
      <c r="E3183" s="91"/>
      <c r="G3183" s="104"/>
      <c r="H3183" s="140"/>
    </row>
    <row r="3184" spans="1:8" s="65" customFormat="1">
      <c r="A3184" s="120"/>
      <c r="B3184" s="73"/>
      <c r="C3184" s="73"/>
      <c r="D3184" s="73"/>
      <c r="E3184" s="73"/>
      <c r="G3184" s="121"/>
      <c r="H3184" s="140"/>
    </row>
    <row r="3185" spans="1:9" s="65" customFormat="1">
      <c r="A3185" s="128"/>
      <c r="B3185" s="141"/>
      <c r="C3185" s="141"/>
      <c r="D3185" s="141"/>
      <c r="E3185" s="141"/>
      <c r="F3185" s="141"/>
      <c r="G3185" s="141"/>
      <c r="H3185" s="140"/>
    </row>
    <row r="3186" spans="1:9" s="65" customFormat="1">
      <c r="A3186" s="142"/>
      <c r="B3186" s="143"/>
      <c r="C3186" s="143"/>
      <c r="D3186" s="143"/>
      <c r="E3186" s="143"/>
      <c r="F3186" s="84"/>
      <c r="G3186" s="144"/>
      <c r="H3186" s="145"/>
    </row>
    <row r="3187" spans="1:9" s="65" customFormat="1">
      <c r="A3187" s="123"/>
      <c r="B3187" s="95"/>
      <c r="C3187" s="95"/>
      <c r="D3187" s="95"/>
      <c r="E3187" s="95"/>
      <c r="G3187" s="104"/>
      <c r="H3187" s="121"/>
    </row>
    <row r="3188" spans="1:9" s="65" customFormat="1">
      <c r="A3188" s="123"/>
      <c r="B3188" s="95"/>
      <c r="C3188" s="95"/>
      <c r="D3188" s="95"/>
      <c r="E3188" s="95"/>
      <c r="G3188" s="121"/>
      <c r="H3188" s="133"/>
    </row>
    <row r="3189" spans="1:9" s="65" customFormat="1">
      <c r="B3189" s="97"/>
      <c r="C3189" s="98"/>
      <c r="D3189" s="98"/>
      <c r="E3189" s="98"/>
      <c r="G3189" s="128"/>
    </row>
    <row r="3190" spans="1:9" s="65" customFormat="1">
      <c r="B3190" s="97"/>
      <c r="C3190" s="98"/>
      <c r="D3190" s="98"/>
      <c r="E3190" s="98"/>
      <c r="F3190" s="128"/>
      <c r="G3190" s="133"/>
      <c r="H3190" s="134"/>
    </row>
    <row r="3191" spans="1:9" s="65" customFormat="1">
      <c r="A3191" s="633"/>
      <c r="B3191" s="633"/>
      <c r="C3191" s="633"/>
      <c r="D3191" s="633"/>
      <c r="E3191" s="633"/>
      <c r="F3191" s="633"/>
      <c r="G3191" s="633"/>
    </row>
    <row r="3192" spans="1:9" s="65" customFormat="1">
      <c r="H3192" s="156"/>
      <c r="I3192" s="151"/>
    </row>
    <row r="3193" spans="1:9" s="65" customFormat="1">
      <c r="A3193" s="645"/>
      <c r="B3193" s="156"/>
      <c r="C3193" s="156"/>
      <c r="D3193" s="156"/>
      <c r="E3193" s="156"/>
      <c r="F3193" s="156"/>
      <c r="G3193" s="156"/>
      <c r="H3193" s="156"/>
      <c r="I3193" s="152"/>
    </row>
    <row r="3194" spans="1:9" s="65" customFormat="1">
      <c r="A3194" s="645"/>
      <c r="B3194" s="156"/>
      <c r="C3194" s="156"/>
      <c r="D3194" s="156"/>
      <c r="E3194" s="156"/>
      <c r="F3194" s="156"/>
      <c r="G3194" s="156"/>
    </row>
    <row r="3195" spans="1:9" s="65" customFormat="1">
      <c r="A3195" s="69"/>
      <c r="B3195" s="69"/>
      <c r="C3195" s="69"/>
      <c r="D3195" s="69"/>
      <c r="E3195" s="69"/>
    </row>
    <row r="3196" spans="1:9" s="65" customFormat="1">
      <c r="A3196" s="120"/>
      <c r="B3196" s="73"/>
      <c r="C3196" s="73"/>
      <c r="D3196" s="73"/>
      <c r="E3196" s="73"/>
      <c r="F3196" s="121"/>
      <c r="G3196" s="121"/>
      <c r="H3196" s="121"/>
    </row>
    <row r="3197" spans="1:9" s="65" customFormat="1">
      <c r="A3197" s="128"/>
      <c r="B3197" s="141"/>
      <c r="C3197" s="141"/>
      <c r="D3197" s="141"/>
      <c r="E3197" s="141"/>
      <c r="F3197" s="141"/>
      <c r="G3197" s="141"/>
      <c r="H3197" s="121"/>
    </row>
    <row r="3198" spans="1:9" s="65" customFormat="1" ht="16.5">
      <c r="A3198" s="150"/>
      <c r="B3198" s="161"/>
      <c r="C3198" s="148"/>
      <c r="D3198" s="84"/>
      <c r="E3198" s="84"/>
      <c r="F3198" s="84"/>
      <c r="G3198" s="154"/>
      <c r="H3198" s="121"/>
    </row>
    <row r="3199" spans="1:9" s="65" customFormat="1" ht="16.5">
      <c r="A3199" s="150"/>
      <c r="B3199" s="161"/>
      <c r="C3199" s="148"/>
      <c r="D3199" s="84"/>
      <c r="E3199" s="84"/>
      <c r="F3199" s="84"/>
      <c r="G3199" s="154"/>
      <c r="H3199" s="145"/>
    </row>
    <row r="3200" spans="1:9" s="65" customFormat="1">
      <c r="A3200" s="84"/>
      <c r="B3200" s="83"/>
      <c r="C3200" s="84"/>
      <c r="D3200" s="84"/>
      <c r="E3200" s="84"/>
      <c r="G3200" s="104"/>
      <c r="H3200" s="140"/>
    </row>
    <row r="3201" spans="1:8" s="65" customFormat="1">
      <c r="A3201" s="120"/>
      <c r="B3201" s="73"/>
      <c r="C3201" s="73"/>
      <c r="D3201" s="73"/>
      <c r="E3201" s="73"/>
      <c r="G3201" s="121"/>
      <c r="H3201" s="140"/>
    </row>
    <row r="3202" spans="1:8" s="65" customFormat="1">
      <c r="A3202" s="128"/>
      <c r="B3202" s="141"/>
      <c r="C3202" s="141"/>
      <c r="D3202" s="141"/>
      <c r="E3202" s="141"/>
      <c r="F3202" s="141"/>
      <c r="G3202" s="141"/>
      <c r="H3202" s="140"/>
    </row>
    <row r="3203" spans="1:8" s="65" customFormat="1">
      <c r="A3203" s="146"/>
      <c r="B3203" s="83"/>
      <c r="C3203" s="148"/>
      <c r="D3203" s="84"/>
      <c r="E3203" s="84"/>
      <c r="F3203" s="84"/>
      <c r="G3203" s="144"/>
      <c r="H3203" s="140"/>
    </row>
    <row r="3204" spans="1:8" s="65" customFormat="1">
      <c r="A3204" s="146"/>
      <c r="B3204" s="83"/>
      <c r="C3204" s="148"/>
      <c r="D3204" s="84"/>
      <c r="E3204" s="84"/>
      <c r="F3204" s="84"/>
      <c r="G3204" s="170"/>
      <c r="H3204" s="145"/>
    </row>
    <row r="3205" spans="1:8" s="65" customFormat="1">
      <c r="A3205" s="91"/>
      <c r="B3205" s="91"/>
      <c r="C3205" s="91"/>
      <c r="D3205" s="91"/>
      <c r="E3205" s="91"/>
      <c r="G3205" s="104"/>
      <c r="H3205" s="140"/>
    </row>
    <row r="3206" spans="1:8" s="65" customFormat="1">
      <c r="A3206" s="120"/>
      <c r="B3206" s="73"/>
      <c r="C3206" s="73"/>
      <c r="D3206" s="73"/>
      <c r="E3206" s="73"/>
      <c r="G3206" s="121"/>
      <c r="H3206" s="140"/>
    </row>
    <row r="3207" spans="1:8" s="65" customFormat="1">
      <c r="A3207" s="128"/>
      <c r="B3207" s="141"/>
      <c r="C3207" s="141"/>
      <c r="D3207" s="141"/>
      <c r="E3207" s="141"/>
      <c r="F3207" s="141"/>
      <c r="G3207" s="141"/>
      <c r="H3207" s="140"/>
    </row>
    <row r="3208" spans="1:8" s="65" customFormat="1">
      <c r="A3208" s="146"/>
      <c r="B3208" s="83"/>
      <c r="C3208" s="148"/>
      <c r="D3208" s="148"/>
      <c r="E3208" s="84"/>
      <c r="F3208" s="84"/>
      <c r="G3208" s="144"/>
      <c r="H3208" s="145"/>
    </row>
    <row r="3209" spans="1:8" s="65" customFormat="1">
      <c r="A3209" s="91"/>
      <c r="B3209" s="91"/>
      <c r="C3209" s="91"/>
      <c r="D3209" s="91"/>
      <c r="E3209" s="91"/>
      <c r="G3209" s="104"/>
      <c r="H3209" s="140"/>
    </row>
    <row r="3210" spans="1:8" s="65" customFormat="1">
      <c r="A3210" s="120"/>
      <c r="B3210" s="73"/>
      <c r="C3210" s="73"/>
      <c r="D3210" s="73"/>
      <c r="E3210" s="73"/>
      <c r="G3210" s="121"/>
      <c r="H3210" s="140"/>
    </row>
    <row r="3211" spans="1:8" s="65" customFormat="1">
      <c r="A3211" s="128"/>
      <c r="B3211" s="141"/>
      <c r="C3211" s="141"/>
      <c r="D3211" s="141"/>
      <c r="E3211" s="141"/>
      <c r="F3211" s="141"/>
      <c r="G3211" s="141"/>
      <c r="H3211" s="140"/>
    </row>
    <row r="3212" spans="1:8" s="65" customFormat="1">
      <c r="A3212" s="142"/>
      <c r="B3212" s="143"/>
      <c r="C3212" s="143"/>
      <c r="D3212" s="143"/>
      <c r="E3212" s="143"/>
      <c r="F3212" s="84"/>
      <c r="G3212" s="144"/>
      <c r="H3212" s="145"/>
    </row>
    <row r="3213" spans="1:8" s="65" customFormat="1">
      <c r="A3213" s="123"/>
      <c r="B3213" s="95"/>
      <c r="C3213" s="95"/>
      <c r="D3213" s="95"/>
      <c r="E3213" s="95"/>
      <c r="G3213" s="104"/>
      <c r="H3213" s="121"/>
    </row>
    <row r="3214" spans="1:8" s="65" customFormat="1">
      <c r="A3214" s="123"/>
      <c r="B3214" s="95"/>
      <c r="C3214" s="95"/>
      <c r="D3214" s="95"/>
      <c r="E3214" s="95"/>
      <c r="G3214" s="121"/>
      <c r="H3214" s="133"/>
    </row>
    <row r="3215" spans="1:8" s="65" customFormat="1">
      <c r="B3215" s="97"/>
      <c r="C3215" s="98"/>
      <c r="D3215" s="98"/>
      <c r="E3215" s="98"/>
      <c r="G3215" s="128"/>
    </row>
    <row r="3216" spans="1:8" s="65" customFormat="1">
      <c r="B3216" s="97"/>
      <c r="C3216" s="98"/>
      <c r="D3216" s="98"/>
      <c r="E3216" s="98"/>
      <c r="F3216" s="128"/>
      <c r="G3216" s="133"/>
      <c r="H3216" s="134"/>
    </row>
    <row r="3217" spans="1:9" s="65" customFormat="1">
      <c r="A3217" s="633"/>
      <c r="B3217" s="633"/>
      <c r="C3217" s="633"/>
      <c r="D3217" s="633"/>
      <c r="E3217" s="633"/>
      <c r="F3217" s="633"/>
      <c r="G3217" s="633"/>
    </row>
    <row r="3218" spans="1:9" s="65" customFormat="1">
      <c r="H3218" s="156"/>
      <c r="I3218" s="151"/>
    </row>
    <row r="3219" spans="1:9" s="65" customFormat="1">
      <c r="A3219" s="645"/>
      <c r="B3219" s="156"/>
      <c r="C3219" s="156"/>
      <c r="D3219" s="156"/>
      <c r="E3219" s="156"/>
      <c r="F3219" s="156"/>
      <c r="G3219" s="156"/>
      <c r="H3219" s="156"/>
      <c r="I3219" s="152"/>
    </row>
    <row r="3220" spans="1:9" s="65" customFormat="1">
      <c r="A3220" s="645"/>
      <c r="B3220" s="156"/>
      <c r="C3220" s="156"/>
      <c r="D3220" s="156"/>
      <c r="E3220" s="156"/>
      <c r="F3220" s="156"/>
      <c r="G3220" s="156"/>
    </row>
    <row r="3221" spans="1:9" s="65" customFormat="1">
      <c r="A3221" s="69"/>
      <c r="B3221" s="69"/>
      <c r="C3221" s="69"/>
      <c r="D3221" s="69"/>
      <c r="E3221" s="69"/>
    </row>
    <row r="3222" spans="1:9" s="65" customFormat="1">
      <c r="A3222" s="120"/>
      <c r="B3222" s="73"/>
      <c r="C3222" s="73"/>
      <c r="D3222" s="73"/>
      <c r="E3222" s="73"/>
      <c r="F3222" s="121"/>
      <c r="G3222" s="121"/>
      <c r="H3222" s="121"/>
    </row>
    <row r="3223" spans="1:9" s="65" customFormat="1">
      <c r="A3223" s="128"/>
      <c r="B3223" s="141"/>
      <c r="C3223" s="141"/>
      <c r="D3223" s="141"/>
      <c r="E3223" s="141"/>
      <c r="F3223" s="141"/>
      <c r="G3223" s="141"/>
      <c r="H3223" s="121"/>
    </row>
    <row r="3224" spans="1:9" s="65" customFormat="1" ht="16.5">
      <c r="A3224" s="150"/>
      <c r="B3224" s="161"/>
      <c r="C3224" s="148"/>
      <c r="D3224" s="84"/>
      <c r="E3224" s="84"/>
      <c r="F3224" s="84"/>
      <c r="G3224" s="154"/>
      <c r="H3224" s="121"/>
    </row>
    <row r="3225" spans="1:9" s="65" customFormat="1" ht="16.5">
      <c r="A3225" s="150"/>
      <c r="B3225" s="161"/>
      <c r="C3225" s="148"/>
      <c r="D3225" s="84"/>
      <c r="E3225" s="84"/>
      <c r="F3225" s="84"/>
      <c r="G3225" s="154"/>
      <c r="H3225" s="121"/>
    </row>
    <row r="3226" spans="1:9" s="65" customFormat="1" ht="16.5">
      <c r="A3226" s="150"/>
      <c r="B3226" s="161"/>
      <c r="C3226" s="148"/>
      <c r="D3226" s="84"/>
      <c r="E3226" s="84"/>
      <c r="F3226" s="84"/>
      <c r="G3226" s="154"/>
      <c r="H3226" s="121"/>
    </row>
    <row r="3227" spans="1:9" s="65" customFormat="1" ht="16.5">
      <c r="A3227" s="150"/>
      <c r="B3227" s="161"/>
      <c r="C3227" s="148"/>
      <c r="D3227" s="84"/>
      <c r="E3227" s="84"/>
      <c r="F3227" s="84"/>
      <c r="G3227" s="154"/>
      <c r="H3227" s="121"/>
    </row>
    <row r="3228" spans="1:9" s="65" customFormat="1" ht="16.5">
      <c r="A3228" s="150"/>
      <c r="B3228" s="161"/>
      <c r="C3228" s="148"/>
      <c r="D3228" s="84"/>
      <c r="E3228" s="84"/>
      <c r="F3228" s="84"/>
      <c r="G3228" s="154"/>
      <c r="H3228" s="145"/>
    </row>
    <row r="3229" spans="1:9" s="65" customFormat="1">
      <c r="A3229" s="84"/>
      <c r="B3229" s="83"/>
      <c r="C3229" s="84"/>
      <c r="D3229" s="84"/>
      <c r="E3229" s="84"/>
      <c r="G3229" s="104"/>
      <c r="H3229" s="140"/>
    </row>
    <row r="3230" spans="1:9" s="65" customFormat="1">
      <c r="A3230" s="120"/>
      <c r="B3230" s="73"/>
      <c r="C3230" s="73"/>
      <c r="D3230" s="73"/>
      <c r="E3230" s="73"/>
      <c r="G3230" s="121"/>
      <c r="H3230" s="140"/>
    </row>
    <row r="3231" spans="1:9" s="65" customFormat="1">
      <c r="A3231" s="128"/>
      <c r="B3231" s="141"/>
      <c r="C3231" s="141"/>
      <c r="D3231" s="141"/>
      <c r="E3231" s="141"/>
      <c r="F3231" s="141"/>
      <c r="G3231" s="141"/>
      <c r="H3231" s="140"/>
    </row>
    <row r="3232" spans="1:9" s="65" customFormat="1">
      <c r="A3232" s="146"/>
      <c r="B3232" s="83"/>
      <c r="C3232" s="148"/>
      <c r="D3232" s="84"/>
      <c r="E3232" s="84"/>
      <c r="F3232" s="84"/>
      <c r="G3232" s="144"/>
      <c r="H3232" s="140"/>
    </row>
    <row r="3233" spans="1:9" s="65" customFormat="1">
      <c r="A3233" s="146"/>
      <c r="B3233" s="83"/>
      <c r="C3233" s="148"/>
      <c r="D3233" s="84"/>
      <c r="E3233" s="84"/>
      <c r="F3233" s="84"/>
      <c r="G3233" s="170"/>
      <c r="H3233" s="140"/>
    </row>
    <row r="3234" spans="1:9" s="65" customFormat="1">
      <c r="A3234" s="146"/>
      <c r="B3234" s="83"/>
      <c r="C3234" s="148"/>
      <c r="D3234" s="84"/>
      <c r="E3234" s="84"/>
      <c r="F3234" s="84"/>
      <c r="G3234" s="170"/>
      <c r="H3234" s="145"/>
    </row>
    <row r="3235" spans="1:9" s="65" customFormat="1">
      <c r="A3235" s="91"/>
      <c r="B3235" s="91"/>
      <c r="C3235" s="91"/>
      <c r="D3235" s="91"/>
      <c r="E3235" s="91"/>
      <c r="G3235" s="104"/>
      <c r="H3235" s="140"/>
    </row>
    <row r="3236" spans="1:9" s="65" customFormat="1">
      <c r="A3236" s="120"/>
      <c r="B3236" s="73"/>
      <c r="C3236" s="73"/>
      <c r="D3236" s="73"/>
      <c r="E3236" s="73"/>
      <c r="G3236" s="121"/>
      <c r="H3236" s="140"/>
    </row>
    <row r="3237" spans="1:9" s="65" customFormat="1">
      <c r="A3237" s="128"/>
      <c r="B3237" s="141"/>
      <c r="C3237" s="141"/>
      <c r="D3237" s="141"/>
      <c r="E3237" s="141"/>
      <c r="F3237" s="141"/>
      <c r="G3237" s="141"/>
      <c r="H3237" s="140"/>
    </row>
    <row r="3238" spans="1:9" s="65" customFormat="1">
      <c r="A3238" s="146"/>
      <c r="B3238" s="83"/>
      <c r="C3238" s="148"/>
      <c r="D3238" s="148"/>
      <c r="E3238" s="84"/>
      <c r="F3238" s="84"/>
      <c r="G3238" s="144"/>
      <c r="H3238" s="145"/>
    </row>
    <row r="3239" spans="1:9" s="65" customFormat="1">
      <c r="A3239" s="91"/>
      <c r="B3239" s="91"/>
      <c r="C3239" s="91"/>
      <c r="D3239" s="91"/>
      <c r="E3239" s="91"/>
      <c r="G3239" s="104"/>
      <c r="H3239" s="140"/>
    </row>
    <row r="3240" spans="1:9" s="65" customFormat="1">
      <c r="A3240" s="120"/>
      <c r="B3240" s="73"/>
      <c r="C3240" s="73"/>
      <c r="D3240" s="73"/>
      <c r="E3240" s="73"/>
      <c r="G3240" s="121"/>
      <c r="H3240" s="140"/>
    </row>
    <row r="3241" spans="1:9" s="65" customFormat="1">
      <c r="A3241" s="128"/>
      <c r="B3241" s="141"/>
      <c r="C3241" s="141"/>
      <c r="D3241" s="141"/>
      <c r="E3241" s="141"/>
      <c r="F3241" s="141"/>
      <c r="G3241" s="141"/>
      <c r="H3241" s="140"/>
    </row>
    <row r="3242" spans="1:9" s="65" customFormat="1">
      <c r="A3242" s="142"/>
      <c r="B3242" s="143"/>
      <c r="C3242" s="143"/>
      <c r="D3242" s="143"/>
      <c r="E3242" s="143"/>
      <c r="F3242" s="84"/>
      <c r="G3242" s="144"/>
      <c r="H3242" s="145"/>
    </row>
    <row r="3243" spans="1:9" s="65" customFormat="1">
      <c r="A3243" s="123"/>
      <c r="B3243" s="95"/>
      <c r="C3243" s="95"/>
      <c r="D3243" s="95"/>
      <c r="E3243" s="95"/>
      <c r="G3243" s="104"/>
      <c r="H3243" s="121"/>
    </row>
    <row r="3244" spans="1:9" s="65" customFormat="1">
      <c r="A3244" s="123"/>
      <c r="B3244" s="95"/>
      <c r="C3244" s="95"/>
      <c r="D3244" s="95"/>
      <c r="E3244" s="95"/>
      <c r="G3244" s="121"/>
      <c r="H3244" s="133"/>
    </row>
    <row r="3245" spans="1:9" s="65" customFormat="1">
      <c r="B3245" s="97"/>
      <c r="C3245" s="98"/>
      <c r="D3245" s="98"/>
      <c r="E3245" s="98"/>
      <c r="G3245" s="128"/>
    </row>
    <row r="3246" spans="1:9" s="65" customFormat="1">
      <c r="B3246" s="97"/>
      <c r="C3246" s="98"/>
      <c r="D3246" s="98"/>
      <c r="E3246" s="98"/>
      <c r="F3246" s="128"/>
      <c r="G3246" s="133"/>
      <c r="H3246" s="134"/>
    </row>
    <row r="3247" spans="1:9" s="65" customFormat="1">
      <c r="A3247" s="633"/>
      <c r="B3247" s="633"/>
      <c r="C3247" s="633"/>
      <c r="D3247" s="633"/>
      <c r="E3247" s="633"/>
      <c r="F3247" s="633"/>
      <c r="G3247" s="633"/>
    </row>
    <row r="3248" spans="1:9" s="65" customFormat="1">
      <c r="H3248" s="156"/>
      <c r="I3248" s="151"/>
    </row>
    <row r="3249" spans="1:9" s="65" customFormat="1">
      <c r="A3249" s="645"/>
      <c r="B3249" s="156"/>
      <c r="C3249" s="156"/>
      <c r="D3249" s="156"/>
      <c r="E3249" s="156"/>
      <c r="F3249" s="156"/>
      <c r="G3249" s="156"/>
      <c r="H3249" s="156"/>
      <c r="I3249" s="152"/>
    </row>
    <row r="3250" spans="1:9" s="65" customFormat="1">
      <c r="A3250" s="645"/>
      <c r="B3250" s="156"/>
      <c r="C3250" s="156"/>
      <c r="D3250" s="156"/>
      <c r="E3250" s="156"/>
      <c r="F3250" s="156"/>
      <c r="G3250" s="156"/>
    </row>
    <row r="3251" spans="1:9" s="65" customFormat="1">
      <c r="A3251" s="69"/>
      <c r="B3251" s="69"/>
      <c r="C3251" s="69"/>
      <c r="D3251" s="69"/>
      <c r="E3251" s="69"/>
    </row>
    <row r="3252" spans="1:9" s="65" customFormat="1">
      <c r="A3252" s="120"/>
      <c r="B3252" s="73"/>
      <c r="C3252" s="73"/>
      <c r="D3252" s="73"/>
      <c r="E3252" s="73"/>
      <c r="F3252" s="121"/>
      <c r="G3252" s="121"/>
      <c r="H3252" s="121"/>
    </row>
    <row r="3253" spans="1:9" s="65" customFormat="1">
      <c r="A3253" s="128"/>
      <c r="B3253" s="141"/>
      <c r="C3253" s="141"/>
      <c r="D3253" s="141"/>
      <c r="E3253" s="141"/>
      <c r="F3253" s="141"/>
      <c r="G3253" s="141"/>
      <c r="H3253" s="121"/>
    </row>
    <row r="3254" spans="1:9" s="65" customFormat="1">
      <c r="A3254" s="150"/>
      <c r="B3254" s="83"/>
      <c r="C3254" s="148"/>
      <c r="D3254" s="84"/>
      <c r="E3254" s="84"/>
      <c r="F3254" s="84"/>
      <c r="G3254" s="154"/>
      <c r="H3254" s="145"/>
    </row>
    <row r="3255" spans="1:9" s="65" customFormat="1">
      <c r="A3255" s="84"/>
      <c r="B3255" s="83"/>
      <c r="C3255" s="84"/>
      <c r="D3255" s="84"/>
      <c r="E3255" s="84"/>
      <c r="G3255" s="104"/>
      <c r="H3255" s="140"/>
    </row>
    <row r="3256" spans="1:9" s="65" customFormat="1">
      <c r="A3256" s="120"/>
      <c r="B3256" s="73"/>
      <c r="C3256" s="73"/>
      <c r="D3256" s="73"/>
      <c r="E3256" s="73"/>
      <c r="G3256" s="121"/>
      <c r="H3256" s="140"/>
    </row>
    <row r="3257" spans="1:9" s="65" customFormat="1">
      <c r="A3257" s="128"/>
      <c r="B3257" s="141"/>
      <c r="C3257" s="141"/>
      <c r="D3257" s="141"/>
      <c r="E3257" s="141"/>
      <c r="F3257" s="141"/>
      <c r="G3257" s="141"/>
      <c r="H3257" s="140"/>
    </row>
    <row r="3258" spans="1:9" s="65" customFormat="1">
      <c r="A3258" s="150"/>
      <c r="B3258" s="83"/>
      <c r="C3258" s="148"/>
      <c r="D3258" s="84"/>
      <c r="E3258" s="84"/>
      <c r="F3258" s="84"/>
      <c r="G3258" s="154"/>
      <c r="H3258" s="140"/>
    </row>
    <row r="3259" spans="1:9" s="65" customFormat="1">
      <c r="A3259" s="150"/>
      <c r="B3259" s="83"/>
      <c r="C3259" s="148"/>
      <c r="D3259" s="84"/>
      <c r="E3259" s="84"/>
      <c r="F3259" s="84"/>
      <c r="G3259" s="154"/>
      <c r="H3259" s="140"/>
    </row>
    <row r="3260" spans="1:9" s="65" customFormat="1">
      <c r="A3260" s="150"/>
      <c r="B3260" s="83"/>
      <c r="C3260" s="148"/>
      <c r="D3260" s="84"/>
      <c r="E3260" s="84"/>
      <c r="F3260" s="84"/>
      <c r="G3260" s="154"/>
      <c r="H3260" s="140"/>
    </row>
    <row r="3261" spans="1:9" s="65" customFormat="1">
      <c r="A3261" s="150"/>
      <c r="B3261" s="83"/>
      <c r="C3261" s="148"/>
      <c r="D3261" s="84"/>
      <c r="E3261" s="84"/>
      <c r="F3261" s="84"/>
      <c r="G3261" s="154"/>
      <c r="H3261" s="140"/>
    </row>
    <row r="3262" spans="1:9" s="65" customFormat="1">
      <c r="A3262" s="150"/>
      <c r="B3262" s="83"/>
      <c r="C3262" s="148"/>
      <c r="D3262" s="84"/>
      <c r="E3262" s="84"/>
      <c r="F3262" s="84"/>
      <c r="G3262" s="154"/>
      <c r="H3262" s="140"/>
    </row>
    <row r="3263" spans="1:9" s="65" customFormat="1">
      <c r="A3263" s="150"/>
      <c r="B3263" s="83"/>
      <c r="C3263" s="148"/>
      <c r="D3263" s="84"/>
      <c r="E3263" s="84"/>
      <c r="F3263" s="84"/>
      <c r="G3263" s="154"/>
      <c r="H3263" s="145"/>
    </row>
    <row r="3264" spans="1:9" s="65" customFormat="1">
      <c r="A3264" s="91"/>
      <c r="B3264" s="91"/>
      <c r="C3264" s="91"/>
      <c r="D3264" s="91"/>
      <c r="E3264" s="91"/>
      <c r="G3264" s="104"/>
      <c r="H3264" s="140"/>
    </row>
    <row r="3265" spans="1:9" s="65" customFormat="1">
      <c r="A3265" s="120"/>
      <c r="B3265" s="73"/>
      <c r="C3265" s="73"/>
      <c r="D3265" s="73"/>
      <c r="E3265" s="73"/>
      <c r="G3265" s="121"/>
      <c r="H3265" s="140"/>
    </row>
    <row r="3266" spans="1:9" s="65" customFormat="1">
      <c r="A3266" s="128"/>
      <c r="B3266" s="141"/>
      <c r="C3266" s="141"/>
      <c r="D3266" s="141"/>
      <c r="E3266" s="141"/>
      <c r="F3266" s="141"/>
      <c r="G3266" s="141"/>
      <c r="H3266" s="140"/>
    </row>
    <row r="3267" spans="1:9" s="65" customFormat="1">
      <c r="A3267" s="146"/>
      <c r="B3267" s="83"/>
      <c r="C3267" s="148"/>
      <c r="D3267" s="84"/>
      <c r="E3267" s="84"/>
      <c r="F3267" s="84"/>
      <c r="G3267" s="144"/>
      <c r="H3267" s="145"/>
    </row>
    <row r="3268" spans="1:9" s="65" customFormat="1">
      <c r="A3268" s="91"/>
      <c r="B3268" s="91"/>
      <c r="C3268" s="91"/>
      <c r="D3268" s="91"/>
      <c r="E3268" s="91"/>
      <c r="G3268" s="104"/>
      <c r="H3268" s="140"/>
    </row>
    <row r="3269" spans="1:9" s="65" customFormat="1">
      <c r="A3269" s="120"/>
      <c r="B3269" s="73"/>
      <c r="C3269" s="73"/>
      <c r="D3269" s="73"/>
      <c r="E3269" s="73"/>
      <c r="G3269" s="121"/>
      <c r="H3269" s="140"/>
    </row>
    <row r="3270" spans="1:9" s="65" customFormat="1">
      <c r="A3270" s="128"/>
      <c r="B3270" s="141"/>
      <c r="C3270" s="141"/>
      <c r="D3270" s="141"/>
      <c r="E3270" s="141"/>
      <c r="F3270" s="141"/>
      <c r="G3270" s="141"/>
      <c r="H3270" s="140"/>
    </row>
    <row r="3271" spans="1:9" s="65" customFormat="1">
      <c r="A3271" s="142"/>
      <c r="B3271" s="143"/>
      <c r="C3271" s="143"/>
      <c r="D3271" s="143"/>
      <c r="E3271" s="143"/>
      <c r="F3271" s="84"/>
      <c r="G3271" s="144"/>
      <c r="H3271" s="145"/>
    </row>
    <row r="3272" spans="1:9" s="65" customFormat="1">
      <c r="A3272" s="123"/>
      <c r="B3272" s="95"/>
      <c r="C3272" s="95"/>
      <c r="D3272" s="95"/>
      <c r="E3272" s="95"/>
      <c r="G3272" s="104"/>
      <c r="H3272" s="121"/>
    </row>
    <row r="3273" spans="1:9" s="65" customFormat="1">
      <c r="A3273" s="123"/>
      <c r="B3273" s="95"/>
      <c r="C3273" s="95"/>
      <c r="D3273" s="95"/>
      <c r="E3273" s="95"/>
      <c r="G3273" s="121"/>
      <c r="H3273" s="133"/>
    </row>
    <row r="3274" spans="1:9" s="65" customFormat="1">
      <c r="B3274" s="97"/>
      <c r="C3274" s="98"/>
      <c r="D3274" s="98"/>
      <c r="E3274" s="98"/>
      <c r="G3274" s="128"/>
    </row>
    <row r="3275" spans="1:9" s="65" customFormat="1">
      <c r="B3275" s="97"/>
      <c r="C3275" s="98"/>
      <c r="D3275" s="98"/>
      <c r="E3275" s="98"/>
      <c r="F3275" s="128"/>
      <c r="G3275" s="133"/>
      <c r="H3275" s="134"/>
    </row>
    <row r="3276" spans="1:9" s="65" customFormat="1">
      <c r="A3276" s="633"/>
      <c r="B3276" s="633"/>
      <c r="C3276" s="633"/>
      <c r="D3276" s="633"/>
      <c r="E3276" s="633"/>
      <c r="F3276" s="633"/>
      <c r="G3276" s="633"/>
    </row>
    <row r="3277" spans="1:9" s="65" customFormat="1">
      <c r="H3277" s="156"/>
      <c r="I3277" s="151"/>
    </row>
    <row r="3278" spans="1:9" s="65" customFormat="1">
      <c r="A3278" s="645"/>
      <c r="B3278" s="156"/>
      <c r="C3278" s="156"/>
      <c r="D3278" s="156"/>
      <c r="E3278" s="156"/>
      <c r="F3278" s="156"/>
      <c r="G3278" s="156"/>
      <c r="H3278" s="156"/>
      <c r="I3278" s="152"/>
    </row>
    <row r="3279" spans="1:9" s="65" customFormat="1">
      <c r="A3279" s="645"/>
      <c r="B3279" s="156"/>
      <c r="C3279" s="156"/>
      <c r="D3279" s="156"/>
      <c r="E3279" s="156"/>
      <c r="F3279" s="156"/>
      <c r="G3279" s="156"/>
    </row>
    <row r="3280" spans="1:9" s="65" customFormat="1">
      <c r="A3280" s="69"/>
      <c r="B3280" s="69"/>
      <c r="C3280" s="69"/>
      <c r="D3280" s="69"/>
      <c r="E3280" s="69"/>
    </row>
    <row r="3281" spans="1:8" s="65" customFormat="1">
      <c r="A3281" s="120"/>
      <c r="B3281" s="73"/>
      <c r="C3281" s="73"/>
      <c r="D3281" s="73"/>
      <c r="E3281" s="73"/>
      <c r="F3281" s="121"/>
      <c r="G3281" s="121"/>
      <c r="H3281" s="121"/>
    </row>
    <row r="3282" spans="1:8" s="65" customFormat="1">
      <c r="A3282" s="128"/>
      <c r="B3282" s="141"/>
      <c r="C3282" s="141"/>
      <c r="D3282" s="141"/>
      <c r="E3282" s="141"/>
      <c r="F3282" s="141"/>
      <c r="G3282" s="141"/>
      <c r="H3282" s="121"/>
    </row>
    <row r="3283" spans="1:8" s="65" customFormat="1">
      <c r="A3283" s="150"/>
      <c r="B3283" s="83"/>
      <c r="C3283" s="148"/>
      <c r="D3283" s="84"/>
      <c r="E3283" s="84"/>
      <c r="F3283" s="84"/>
      <c r="G3283" s="154"/>
      <c r="H3283" s="121"/>
    </row>
    <row r="3284" spans="1:8" s="65" customFormat="1">
      <c r="A3284" s="150"/>
      <c r="B3284" s="83"/>
      <c r="C3284" s="148"/>
      <c r="D3284" s="84"/>
      <c r="E3284" s="84"/>
      <c r="F3284" s="84"/>
      <c r="G3284" s="154"/>
      <c r="H3284" s="121"/>
    </row>
    <row r="3285" spans="1:8" s="65" customFormat="1">
      <c r="A3285" s="150"/>
      <c r="B3285" s="83"/>
      <c r="C3285" s="148"/>
      <c r="D3285" s="84"/>
      <c r="E3285" s="84"/>
      <c r="F3285" s="84"/>
      <c r="G3285" s="154"/>
      <c r="H3285" s="145"/>
    </row>
    <row r="3286" spans="1:8" s="65" customFormat="1">
      <c r="A3286" s="84"/>
      <c r="B3286" s="83"/>
      <c r="C3286" s="84"/>
      <c r="D3286" s="84"/>
      <c r="E3286" s="84"/>
      <c r="G3286" s="104"/>
      <c r="H3286" s="140"/>
    </row>
    <row r="3287" spans="1:8" s="65" customFormat="1">
      <c r="A3287" s="120"/>
      <c r="B3287" s="73"/>
      <c r="C3287" s="73"/>
      <c r="D3287" s="73"/>
      <c r="E3287" s="73"/>
      <c r="G3287" s="121"/>
      <c r="H3287" s="140"/>
    </row>
    <row r="3288" spans="1:8" s="65" customFormat="1">
      <c r="A3288" s="128"/>
      <c r="B3288" s="141"/>
      <c r="C3288" s="141"/>
      <c r="D3288" s="141"/>
      <c r="E3288" s="141"/>
      <c r="F3288" s="141"/>
      <c r="G3288" s="141"/>
      <c r="H3288" s="140"/>
    </row>
    <row r="3289" spans="1:8" s="65" customFormat="1">
      <c r="A3289" s="150"/>
      <c r="B3289" s="83"/>
      <c r="C3289" s="148"/>
      <c r="D3289" s="84"/>
      <c r="E3289" s="84"/>
      <c r="F3289" s="84"/>
      <c r="G3289" s="154"/>
      <c r="H3289" s="140"/>
    </row>
    <row r="3290" spans="1:8" s="65" customFormat="1">
      <c r="A3290" s="150"/>
      <c r="B3290" s="83"/>
      <c r="C3290" s="148"/>
      <c r="D3290" s="84"/>
      <c r="E3290" s="84"/>
      <c r="F3290" s="84"/>
      <c r="G3290" s="154"/>
      <c r="H3290" s="140"/>
    </row>
    <row r="3291" spans="1:8" s="65" customFormat="1">
      <c r="A3291" s="150"/>
      <c r="B3291" s="83"/>
      <c r="C3291" s="148"/>
      <c r="D3291" s="84"/>
      <c r="E3291" s="84"/>
      <c r="F3291" s="84"/>
      <c r="G3291" s="154"/>
      <c r="H3291" s="140"/>
    </row>
    <row r="3292" spans="1:8" s="65" customFormat="1">
      <c r="A3292" s="150"/>
      <c r="B3292" s="83"/>
      <c r="C3292" s="148"/>
      <c r="D3292" s="84"/>
      <c r="E3292" s="84"/>
      <c r="F3292" s="84"/>
      <c r="G3292" s="154"/>
      <c r="H3292" s="145"/>
    </row>
    <row r="3293" spans="1:8" s="65" customFormat="1">
      <c r="A3293" s="91"/>
      <c r="B3293" s="91"/>
      <c r="C3293" s="91"/>
      <c r="D3293" s="91"/>
      <c r="E3293" s="91"/>
      <c r="G3293" s="104"/>
      <c r="H3293" s="140"/>
    </row>
    <row r="3294" spans="1:8" s="65" customFormat="1">
      <c r="A3294" s="120"/>
      <c r="B3294" s="73"/>
      <c r="C3294" s="73"/>
      <c r="D3294" s="73"/>
      <c r="E3294" s="73"/>
      <c r="G3294" s="121"/>
      <c r="H3294" s="140"/>
    </row>
    <row r="3295" spans="1:8" s="65" customFormat="1">
      <c r="A3295" s="128"/>
      <c r="B3295" s="141"/>
      <c r="C3295" s="141"/>
      <c r="D3295" s="141"/>
      <c r="E3295" s="141"/>
      <c r="F3295" s="141"/>
      <c r="G3295" s="141"/>
      <c r="H3295" s="140"/>
    </row>
    <row r="3296" spans="1:8" s="65" customFormat="1">
      <c r="A3296" s="146"/>
      <c r="B3296" s="83"/>
      <c r="C3296" s="148"/>
      <c r="D3296" s="84"/>
      <c r="E3296" s="84"/>
      <c r="F3296" s="84"/>
      <c r="G3296" s="144"/>
      <c r="H3296" s="145"/>
    </row>
    <row r="3297" spans="1:9" s="65" customFormat="1">
      <c r="A3297" s="91"/>
      <c r="B3297" s="91"/>
      <c r="C3297" s="91"/>
      <c r="D3297" s="91"/>
      <c r="E3297" s="91"/>
      <c r="G3297" s="104"/>
      <c r="H3297" s="140"/>
    </row>
    <row r="3298" spans="1:9" s="65" customFormat="1">
      <c r="A3298" s="120"/>
      <c r="B3298" s="73"/>
      <c r="C3298" s="73"/>
      <c r="D3298" s="73"/>
      <c r="E3298" s="73"/>
      <c r="G3298" s="121"/>
      <c r="H3298" s="140"/>
    </row>
    <row r="3299" spans="1:9" s="65" customFormat="1">
      <c r="A3299" s="128"/>
      <c r="B3299" s="141"/>
      <c r="C3299" s="141"/>
      <c r="D3299" s="141"/>
      <c r="E3299" s="141"/>
      <c r="F3299" s="141"/>
      <c r="G3299" s="141"/>
      <c r="H3299" s="140"/>
    </row>
    <row r="3300" spans="1:9" s="65" customFormat="1">
      <c r="A3300" s="142"/>
      <c r="B3300" s="143"/>
      <c r="C3300" s="143"/>
      <c r="D3300" s="143"/>
      <c r="E3300" s="143"/>
      <c r="F3300" s="84"/>
      <c r="G3300" s="144"/>
      <c r="H3300" s="145"/>
    </row>
    <row r="3301" spans="1:9" s="65" customFormat="1">
      <c r="A3301" s="123"/>
      <c r="B3301" s="95"/>
      <c r="C3301" s="95"/>
      <c r="D3301" s="95"/>
      <c r="E3301" s="95"/>
      <c r="G3301" s="104"/>
      <c r="H3301" s="121"/>
    </row>
    <row r="3302" spans="1:9" s="65" customFormat="1">
      <c r="A3302" s="123"/>
      <c r="B3302" s="95"/>
      <c r="C3302" s="95"/>
      <c r="D3302" s="95"/>
      <c r="E3302" s="95"/>
      <c r="G3302" s="121"/>
      <c r="H3302" s="133"/>
    </row>
    <row r="3303" spans="1:9" s="65" customFormat="1">
      <c r="B3303" s="97"/>
      <c r="C3303" s="98"/>
      <c r="D3303" s="98"/>
      <c r="E3303" s="98"/>
      <c r="G3303" s="128"/>
    </row>
    <row r="3304" spans="1:9" s="65" customFormat="1">
      <c r="B3304" s="97"/>
      <c r="C3304" s="98"/>
      <c r="D3304" s="98"/>
      <c r="E3304" s="98"/>
      <c r="F3304" s="128"/>
      <c r="G3304" s="133"/>
      <c r="H3304" s="134"/>
    </row>
    <row r="3305" spans="1:9" s="65" customFormat="1">
      <c r="A3305" s="633"/>
      <c r="B3305" s="633"/>
      <c r="C3305" s="633"/>
      <c r="D3305" s="633"/>
      <c r="E3305" s="633"/>
      <c r="F3305" s="633"/>
      <c r="G3305" s="633"/>
    </row>
    <row r="3306" spans="1:9" s="65" customFormat="1">
      <c r="H3306" s="156"/>
      <c r="I3306" s="151"/>
    </row>
    <row r="3307" spans="1:9" s="65" customFormat="1">
      <c r="A3307" s="645"/>
      <c r="B3307" s="156"/>
      <c r="C3307" s="156"/>
      <c r="D3307" s="156"/>
      <c r="E3307" s="156"/>
      <c r="F3307" s="156"/>
      <c r="G3307" s="156"/>
      <c r="H3307" s="156"/>
      <c r="I3307" s="152"/>
    </row>
    <row r="3308" spans="1:9" s="65" customFormat="1">
      <c r="A3308" s="645"/>
      <c r="B3308" s="156"/>
      <c r="C3308" s="156"/>
      <c r="D3308" s="156"/>
      <c r="E3308" s="156"/>
      <c r="F3308" s="156"/>
      <c r="G3308" s="156"/>
    </row>
    <row r="3309" spans="1:9" s="65" customFormat="1">
      <c r="A3309" s="69"/>
      <c r="B3309" s="69"/>
      <c r="C3309" s="69"/>
      <c r="D3309" s="69"/>
      <c r="E3309" s="69"/>
    </row>
    <row r="3310" spans="1:9" s="65" customFormat="1">
      <c r="A3310" s="120"/>
      <c r="B3310" s="73"/>
      <c r="C3310" s="73"/>
      <c r="D3310" s="73"/>
      <c r="E3310" s="73"/>
      <c r="F3310" s="121"/>
      <c r="G3310" s="121"/>
      <c r="H3310" s="121"/>
    </row>
    <row r="3311" spans="1:9" s="65" customFormat="1">
      <c r="A3311" s="128"/>
      <c r="B3311" s="141"/>
      <c r="C3311" s="141"/>
      <c r="D3311" s="141"/>
      <c r="E3311" s="141"/>
      <c r="F3311" s="141"/>
      <c r="G3311" s="141"/>
      <c r="H3311" s="121"/>
    </row>
    <row r="3312" spans="1:9" s="65" customFormat="1">
      <c r="A3312" s="150"/>
      <c r="B3312" s="83"/>
      <c r="C3312" s="148"/>
      <c r="D3312" s="84"/>
      <c r="E3312" s="84"/>
      <c r="F3312" s="84"/>
      <c r="G3312" s="154"/>
      <c r="H3312" s="145"/>
    </row>
    <row r="3313" spans="1:8" s="65" customFormat="1">
      <c r="A3313" s="84"/>
      <c r="B3313" s="83"/>
      <c r="C3313" s="84"/>
      <c r="D3313" s="84"/>
      <c r="E3313" s="84"/>
      <c r="G3313" s="104"/>
      <c r="H3313" s="140"/>
    </row>
    <row r="3314" spans="1:8" s="65" customFormat="1">
      <c r="A3314" s="120"/>
      <c r="B3314" s="73"/>
      <c r="C3314" s="73"/>
      <c r="D3314" s="73"/>
      <c r="E3314" s="73"/>
      <c r="G3314" s="121"/>
      <c r="H3314" s="140"/>
    </row>
    <row r="3315" spans="1:8" s="65" customFormat="1">
      <c r="A3315" s="128"/>
      <c r="B3315" s="141"/>
      <c r="C3315" s="141"/>
      <c r="D3315" s="141"/>
      <c r="E3315" s="141"/>
      <c r="F3315" s="141"/>
      <c r="G3315" s="141"/>
      <c r="H3315" s="140"/>
    </row>
    <row r="3316" spans="1:8" s="65" customFormat="1">
      <c r="A3316" s="150"/>
      <c r="B3316" s="83"/>
      <c r="C3316" s="148"/>
      <c r="D3316" s="84"/>
      <c r="E3316" s="84"/>
      <c r="F3316" s="84"/>
      <c r="G3316" s="154"/>
      <c r="H3316" s="140"/>
    </row>
    <row r="3317" spans="1:8" s="65" customFormat="1">
      <c r="A3317" s="150"/>
      <c r="B3317" s="83"/>
      <c r="C3317" s="148"/>
      <c r="D3317" s="84"/>
      <c r="E3317" s="84"/>
      <c r="F3317" s="84"/>
      <c r="G3317" s="154"/>
      <c r="H3317" s="140"/>
    </row>
    <row r="3318" spans="1:8" s="65" customFormat="1">
      <c r="A3318" s="150"/>
      <c r="B3318" s="83"/>
      <c r="C3318" s="148"/>
      <c r="D3318" s="84"/>
      <c r="E3318" s="84"/>
      <c r="F3318" s="84"/>
      <c r="G3318" s="154"/>
      <c r="H3318" s="140"/>
    </row>
    <row r="3319" spans="1:8" s="65" customFormat="1">
      <c r="A3319" s="150"/>
      <c r="B3319" s="83"/>
      <c r="C3319" s="148"/>
      <c r="D3319" s="84"/>
      <c r="E3319" s="84"/>
      <c r="F3319" s="84"/>
      <c r="G3319" s="154"/>
      <c r="H3319" s="145"/>
    </row>
    <row r="3320" spans="1:8" s="65" customFormat="1">
      <c r="A3320" s="91"/>
      <c r="B3320" s="91"/>
      <c r="C3320" s="91"/>
      <c r="D3320" s="91"/>
      <c r="E3320" s="91"/>
      <c r="G3320" s="104"/>
      <c r="H3320" s="140"/>
    </row>
    <row r="3321" spans="1:8" s="65" customFormat="1">
      <c r="A3321" s="120"/>
      <c r="B3321" s="73"/>
      <c r="C3321" s="73"/>
      <c r="D3321" s="73"/>
      <c r="E3321" s="73"/>
      <c r="G3321" s="121"/>
      <c r="H3321" s="140"/>
    </row>
    <row r="3322" spans="1:8" s="65" customFormat="1">
      <c r="A3322" s="128"/>
      <c r="B3322" s="141"/>
      <c r="C3322" s="141"/>
      <c r="D3322" s="141"/>
      <c r="E3322" s="141"/>
      <c r="F3322" s="141"/>
      <c r="G3322" s="141"/>
      <c r="H3322" s="140"/>
    </row>
    <row r="3323" spans="1:8" s="65" customFormat="1">
      <c r="A3323" s="146"/>
      <c r="B3323" s="83"/>
      <c r="C3323" s="148"/>
      <c r="D3323" s="84"/>
      <c r="E3323" s="84"/>
      <c r="F3323" s="84"/>
      <c r="G3323" s="144"/>
      <c r="H3323" s="145"/>
    </row>
    <row r="3324" spans="1:8" s="65" customFormat="1">
      <c r="A3324" s="91"/>
      <c r="B3324" s="91"/>
      <c r="C3324" s="91"/>
      <c r="D3324" s="91"/>
      <c r="E3324" s="91"/>
      <c r="G3324" s="104"/>
      <c r="H3324" s="140"/>
    </row>
    <row r="3325" spans="1:8" s="65" customFormat="1">
      <c r="A3325" s="120"/>
      <c r="B3325" s="73"/>
      <c r="C3325" s="73"/>
      <c r="D3325" s="73"/>
      <c r="E3325" s="73"/>
      <c r="G3325" s="121"/>
      <c r="H3325" s="140"/>
    </row>
    <row r="3326" spans="1:8" s="65" customFormat="1">
      <c r="A3326" s="128"/>
      <c r="B3326" s="141"/>
      <c r="C3326" s="141"/>
      <c r="D3326" s="141"/>
      <c r="E3326" s="141"/>
      <c r="F3326" s="141"/>
      <c r="G3326" s="141"/>
      <c r="H3326" s="140"/>
    </row>
    <row r="3327" spans="1:8" s="65" customFormat="1">
      <c r="A3327" s="142"/>
      <c r="B3327" s="143"/>
      <c r="C3327" s="143"/>
      <c r="D3327" s="143"/>
      <c r="E3327" s="143"/>
      <c r="F3327" s="84"/>
      <c r="G3327" s="144"/>
      <c r="H3327" s="145"/>
    </row>
    <row r="3328" spans="1:8" s="65" customFormat="1">
      <c r="A3328" s="123"/>
      <c r="B3328" s="95"/>
      <c r="C3328" s="95"/>
      <c r="D3328" s="95"/>
      <c r="E3328" s="95"/>
      <c r="G3328" s="104"/>
      <c r="H3328" s="121"/>
    </row>
    <row r="3329" spans="1:9" s="65" customFormat="1">
      <c r="A3329" s="123"/>
      <c r="B3329" s="95"/>
      <c r="C3329" s="95"/>
      <c r="D3329" s="95"/>
      <c r="E3329" s="95"/>
      <c r="G3329" s="121"/>
      <c r="H3329" s="133"/>
    </row>
    <row r="3330" spans="1:9" s="65" customFormat="1">
      <c r="B3330" s="97"/>
      <c r="C3330" s="98"/>
      <c r="D3330" s="98"/>
      <c r="E3330" s="98"/>
      <c r="G3330" s="128"/>
    </row>
    <row r="3331" spans="1:9" s="65" customFormat="1">
      <c r="B3331" s="97"/>
      <c r="C3331" s="98"/>
      <c r="D3331" s="98"/>
      <c r="E3331" s="98"/>
      <c r="F3331" s="128"/>
      <c r="G3331" s="133"/>
      <c r="H3331" s="134"/>
    </row>
    <row r="3332" spans="1:9" s="65" customFormat="1">
      <c r="A3332" s="633"/>
      <c r="B3332" s="633"/>
      <c r="C3332" s="633"/>
      <c r="D3332" s="633"/>
      <c r="E3332" s="633"/>
      <c r="F3332" s="633"/>
      <c r="G3332" s="633"/>
    </row>
    <row r="3333" spans="1:9" s="65" customFormat="1">
      <c r="H3333" s="156"/>
      <c r="I3333" s="151"/>
    </row>
    <row r="3334" spans="1:9" s="65" customFormat="1">
      <c r="A3334" s="645"/>
      <c r="B3334" s="156"/>
      <c r="C3334" s="156"/>
      <c r="D3334" s="156"/>
      <c r="E3334" s="156"/>
      <c r="F3334" s="156"/>
      <c r="G3334" s="156"/>
      <c r="H3334" s="156"/>
      <c r="I3334" s="152"/>
    </row>
    <row r="3335" spans="1:9" s="65" customFormat="1">
      <c r="A3335" s="645"/>
      <c r="B3335" s="156"/>
      <c r="C3335" s="156"/>
      <c r="D3335" s="156"/>
      <c r="E3335" s="156"/>
      <c r="F3335" s="156"/>
      <c r="G3335" s="156"/>
    </row>
    <row r="3336" spans="1:9" s="65" customFormat="1">
      <c r="A3336" s="69"/>
      <c r="B3336" s="69"/>
      <c r="C3336" s="69"/>
      <c r="D3336" s="69"/>
      <c r="E3336" s="69"/>
    </row>
    <row r="3337" spans="1:9" s="65" customFormat="1">
      <c r="A3337" s="120"/>
      <c r="B3337" s="73"/>
      <c r="C3337" s="73"/>
      <c r="D3337" s="73"/>
      <c r="E3337" s="73"/>
      <c r="F3337" s="121"/>
      <c r="G3337" s="121"/>
      <c r="H3337" s="121"/>
    </row>
    <row r="3338" spans="1:9" s="65" customFormat="1">
      <c r="A3338" s="128"/>
      <c r="B3338" s="141"/>
      <c r="C3338" s="141"/>
      <c r="D3338" s="141"/>
      <c r="E3338" s="141"/>
      <c r="F3338" s="141"/>
      <c r="G3338" s="141"/>
      <c r="H3338" s="121"/>
    </row>
    <row r="3339" spans="1:9" s="65" customFormat="1">
      <c r="A3339" s="150"/>
      <c r="B3339" s="83"/>
      <c r="C3339" s="148"/>
      <c r="D3339" s="84"/>
      <c r="E3339" s="84"/>
      <c r="F3339" s="84"/>
      <c r="G3339" s="154"/>
      <c r="H3339" s="121"/>
    </row>
    <row r="3340" spans="1:9" s="65" customFormat="1">
      <c r="A3340" s="150"/>
      <c r="B3340" s="83"/>
      <c r="C3340" s="148"/>
      <c r="D3340" s="84"/>
      <c r="E3340" s="84"/>
      <c r="F3340" s="84"/>
      <c r="G3340" s="154"/>
      <c r="H3340" s="145"/>
    </row>
    <row r="3341" spans="1:9" s="65" customFormat="1">
      <c r="A3341" s="84"/>
      <c r="B3341" s="83"/>
      <c r="C3341" s="84"/>
      <c r="D3341" s="84"/>
      <c r="E3341" s="84"/>
      <c r="G3341" s="104"/>
      <c r="H3341" s="140"/>
    </row>
    <row r="3342" spans="1:9" s="65" customFormat="1">
      <c r="A3342" s="120"/>
      <c r="B3342" s="73"/>
      <c r="C3342" s="73"/>
      <c r="D3342" s="73"/>
      <c r="E3342" s="73"/>
      <c r="G3342" s="121"/>
      <c r="H3342" s="140"/>
    </row>
    <row r="3343" spans="1:9" s="65" customFormat="1">
      <c r="A3343" s="128"/>
      <c r="B3343" s="141"/>
      <c r="C3343" s="141"/>
      <c r="D3343" s="141"/>
      <c r="E3343" s="141"/>
      <c r="F3343" s="141"/>
      <c r="G3343" s="141"/>
      <c r="H3343" s="140"/>
    </row>
    <row r="3344" spans="1:9" s="65" customFormat="1">
      <c r="A3344" s="150"/>
      <c r="B3344" s="83"/>
      <c r="C3344" s="148"/>
      <c r="D3344" s="84"/>
      <c r="E3344" s="84"/>
      <c r="F3344" s="84"/>
      <c r="G3344" s="154"/>
      <c r="H3344" s="140"/>
    </row>
    <row r="3345" spans="1:9" s="65" customFormat="1">
      <c r="A3345" s="150"/>
      <c r="B3345" s="83"/>
      <c r="C3345" s="148"/>
      <c r="D3345" s="84"/>
      <c r="E3345" s="84"/>
      <c r="F3345" s="84"/>
      <c r="G3345" s="154"/>
      <c r="H3345" s="140"/>
    </row>
    <row r="3346" spans="1:9" s="65" customFormat="1">
      <c r="A3346" s="150"/>
      <c r="B3346" s="83"/>
      <c r="C3346" s="148"/>
      <c r="D3346" s="84"/>
      <c r="E3346" s="84"/>
      <c r="F3346" s="84"/>
      <c r="G3346" s="154"/>
      <c r="H3346" s="145"/>
    </row>
    <row r="3347" spans="1:9" s="65" customFormat="1">
      <c r="A3347" s="91"/>
      <c r="B3347" s="91"/>
      <c r="C3347" s="91"/>
      <c r="D3347" s="91"/>
      <c r="E3347" s="91"/>
      <c r="G3347" s="104"/>
      <c r="H3347" s="140"/>
    </row>
    <row r="3348" spans="1:9" s="65" customFormat="1">
      <c r="A3348" s="120"/>
      <c r="B3348" s="73"/>
      <c r="C3348" s="73"/>
      <c r="D3348" s="73"/>
      <c r="E3348" s="73"/>
      <c r="G3348" s="121"/>
      <c r="H3348" s="140"/>
    </row>
    <row r="3349" spans="1:9" s="65" customFormat="1">
      <c r="A3349" s="128"/>
      <c r="B3349" s="141"/>
      <c r="C3349" s="141"/>
      <c r="D3349" s="141"/>
      <c r="E3349" s="141"/>
      <c r="F3349" s="141"/>
      <c r="G3349" s="141"/>
      <c r="H3349" s="140"/>
    </row>
    <row r="3350" spans="1:9" s="65" customFormat="1">
      <c r="A3350" s="146"/>
      <c r="B3350" s="83"/>
      <c r="C3350" s="148"/>
      <c r="D3350" s="84"/>
      <c r="E3350" s="84"/>
      <c r="F3350" s="84"/>
      <c r="G3350" s="144"/>
      <c r="H3350" s="145"/>
    </row>
    <row r="3351" spans="1:9" s="65" customFormat="1">
      <c r="A3351" s="91"/>
      <c r="B3351" s="91"/>
      <c r="C3351" s="91"/>
      <c r="D3351" s="91"/>
      <c r="E3351" s="91"/>
      <c r="G3351" s="104"/>
      <c r="H3351" s="140"/>
    </row>
    <row r="3352" spans="1:9" s="65" customFormat="1">
      <c r="A3352" s="120"/>
      <c r="B3352" s="73"/>
      <c r="C3352" s="73"/>
      <c r="D3352" s="73"/>
      <c r="E3352" s="73"/>
      <c r="G3352" s="121"/>
      <c r="H3352" s="140"/>
    </row>
    <row r="3353" spans="1:9" s="65" customFormat="1">
      <c r="A3353" s="128"/>
      <c r="B3353" s="141"/>
      <c r="C3353" s="141"/>
      <c r="D3353" s="141"/>
      <c r="E3353" s="141"/>
      <c r="F3353" s="141"/>
      <c r="G3353" s="141"/>
      <c r="H3353" s="140"/>
    </row>
    <row r="3354" spans="1:9" s="65" customFormat="1">
      <c r="A3354" s="142"/>
      <c r="B3354" s="143"/>
      <c r="C3354" s="143"/>
      <c r="D3354" s="143"/>
      <c r="E3354" s="143"/>
      <c r="F3354" s="84"/>
      <c r="G3354" s="144"/>
      <c r="H3354" s="145"/>
    </row>
    <row r="3355" spans="1:9" s="65" customFormat="1">
      <c r="A3355" s="123"/>
      <c r="B3355" s="95"/>
      <c r="C3355" s="95"/>
      <c r="D3355" s="95"/>
      <c r="E3355" s="95"/>
      <c r="G3355" s="104"/>
      <c r="H3355" s="121"/>
    </row>
    <row r="3356" spans="1:9" s="65" customFormat="1">
      <c r="A3356" s="123"/>
      <c r="B3356" s="95"/>
      <c r="C3356" s="95"/>
      <c r="D3356" s="95"/>
      <c r="E3356" s="95"/>
      <c r="G3356" s="121"/>
      <c r="H3356" s="133"/>
    </row>
    <row r="3357" spans="1:9" s="65" customFormat="1">
      <c r="B3357" s="97"/>
      <c r="C3357" s="98"/>
      <c r="D3357" s="98"/>
      <c r="E3357" s="98"/>
      <c r="G3357" s="128"/>
    </row>
    <row r="3358" spans="1:9" s="65" customFormat="1">
      <c r="B3358" s="97"/>
      <c r="C3358" s="98"/>
      <c r="D3358" s="98"/>
      <c r="E3358" s="98"/>
      <c r="F3358" s="128"/>
      <c r="G3358" s="133"/>
      <c r="H3358" s="134"/>
    </row>
    <row r="3359" spans="1:9" s="65" customFormat="1">
      <c r="A3359" s="633"/>
      <c r="B3359" s="633"/>
      <c r="C3359" s="633"/>
      <c r="D3359" s="633"/>
      <c r="E3359" s="633"/>
      <c r="F3359" s="633"/>
      <c r="G3359" s="633"/>
    </row>
    <row r="3360" spans="1:9" s="65" customFormat="1">
      <c r="H3360" s="156"/>
      <c r="I3360" s="151"/>
    </row>
    <row r="3361" spans="1:9" s="65" customFormat="1">
      <c r="A3361" s="645"/>
      <c r="B3361" s="156"/>
      <c r="C3361" s="156"/>
      <c r="D3361" s="156"/>
      <c r="E3361" s="156"/>
      <c r="F3361" s="156"/>
      <c r="G3361" s="156"/>
      <c r="H3361" s="156"/>
      <c r="I3361" s="152"/>
    </row>
    <row r="3362" spans="1:9" s="65" customFormat="1">
      <c r="A3362" s="645"/>
      <c r="B3362" s="156"/>
      <c r="C3362" s="156"/>
      <c r="D3362" s="156"/>
      <c r="E3362" s="156"/>
      <c r="F3362" s="156"/>
      <c r="G3362" s="156"/>
    </row>
    <row r="3363" spans="1:9" s="65" customFormat="1">
      <c r="A3363" s="69"/>
      <c r="B3363" s="69"/>
      <c r="C3363" s="69"/>
      <c r="D3363" s="69"/>
      <c r="E3363" s="69"/>
    </row>
    <row r="3364" spans="1:9" s="65" customFormat="1">
      <c r="A3364" s="120"/>
      <c r="B3364" s="73"/>
      <c r="C3364" s="73"/>
      <c r="D3364" s="73"/>
      <c r="E3364" s="73"/>
      <c r="F3364" s="121"/>
      <c r="G3364" s="121"/>
      <c r="H3364" s="121"/>
    </row>
    <row r="3365" spans="1:9" s="65" customFormat="1">
      <c r="A3365" s="128"/>
      <c r="B3365" s="141"/>
      <c r="C3365" s="141"/>
      <c r="D3365" s="141"/>
      <c r="E3365" s="141"/>
      <c r="F3365" s="141"/>
      <c r="G3365" s="141"/>
      <c r="H3365" s="121"/>
    </row>
    <row r="3366" spans="1:9" s="65" customFormat="1">
      <c r="A3366" s="150"/>
      <c r="B3366" s="83"/>
      <c r="C3366" s="148"/>
      <c r="D3366" s="84"/>
      <c r="E3366" s="84"/>
      <c r="F3366" s="84"/>
      <c r="G3366" s="154"/>
      <c r="H3366" s="145"/>
    </row>
    <row r="3367" spans="1:9" s="65" customFormat="1">
      <c r="A3367" s="84"/>
      <c r="B3367" s="83"/>
      <c r="C3367" s="84"/>
      <c r="D3367" s="84"/>
      <c r="E3367" s="84"/>
      <c r="G3367" s="104"/>
      <c r="H3367" s="140"/>
    </row>
    <row r="3368" spans="1:9" s="65" customFormat="1">
      <c r="A3368" s="120"/>
      <c r="B3368" s="73"/>
      <c r="C3368" s="73"/>
      <c r="D3368" s="73"/>
      <c r="E3368" s="73"/>
      <c r="G3368" s="121"/>
      <c r="H3368" s="140"/>
    </row>
    <row r="3369" spans="1:9" s="65" customFormat="1">
      <c r="A3369" s="128"/>
      <c r="B3369" s="141"/>
      <c r="C3369" s="141"/>
      <c r="D3369" s="141"/>
      <c r="E3369" s="141"/>
      <c r="F3369" s="141"/>
      <c r="G3369" s="141"/>
      <c r="H3369" s="140"/>
    </row>
    <row r="3370" spans="1:9" s="65" customFormat="1">
      <c r="A3370" s="150"/>
      <c r="B3370" s="83"/>
      <c r="C3370" s="148"/>
      <c r="D3370" s="84"/>
      <c r="E3370" s="84"/>
      <c r="F3370" s="84"/>
      <c r="G3370" s="154"/>
      <c r="H3370" s="140"/>
    </row>
    <row r="3371" spans="1:9" s="65" customFormat="1">
      <c r="A3371" s="150"/>
      <c r="B3371" s="83"/>
      <c r="C3371" s="148"/>
      <c r="D3371" s="84"/>
      <c r="E3371" s="84"/>
      <c r="F3371" s="84"/>
      <c r="G3371" s="154"/>
      <c r="H3371" s="140"/>
    </row>
    <row r="3372" spans="1:9" s="65" customFormat="1">
      <c r="A3372" s="150"/>
      <c r="B3372" s="83"/>
      <c r="C3372" s="148"/>
      <c r="D3372" s="84"/>
      <c r="E3372" s="84"/>
      <c r="F3372" s="84"/>
      <c r="G3372" s="154"/>
      <c r="H3372" s="140"/>
    </row>
    <row r="3373" spans="1:9" s="65" customFormat="1">
      <c r="A3373" s="150"/>
      <c r="B3373" s="83"/>
      <c r="C3373" s="148"/>
      <c r="D3373" s="84"/>
      <c r="E3373" s="84"/>
      <c r="F3373" s="84"/>
      <c r="G3373" s="154"/>
      <c r="H3373" s="140"/>
    </row>
    <row r="3374" spans="1:9" s="65" customFormat="1">
      <c r="A3374" s="150"/>
      <c r="B3374" s="83"/>
      <c r="C3374" s="148"/>
      <c r="D3374" s="84"/>
      <c r="E3374" s="84"/>
      <c r="F3374" s="84"/>
      <c r="G3374" s="154"/>
      <c r="H3374" s="145"/>
    </row>
    <row r="3375" spans="1:9" s="65" customFormat="1">
      <c r="A3375" s="91"/>
      <c r="B3375" s="91"/>
      <c r="C3375" s="91"/>
      <c r="D3375" s="91"/>
      <c r="E3375" s="91"/>
      <c r="G3375" s="104"/>
      <c r="H3375" s="140"/>
    </row>
    <row r="3376" spans="1:9" s="65" customFormat="1">
      <c r="A3376" s="120"/>
      <c r="B3376" s="73"/>
      <c r="C3376" s="73"/>
      <c r="D3376" s="73"/>
      <c r="E3376" s="73"/>
      <c r="G3376" s="121"/>
      <c r="H3376" s="140"/>
    </row>
    <row r="3377" spans="1:9" s="65" customFormat="1">
      <c r="A3377" s="128"/>
      <c r="B3377" s="141"/>
      <c r="C3377" s="141"/>
      <c r="D3377" s="141"/>
      <c r="E3377" s="141"/>
      <c r="F3377" s="141"/>
      <c r="G3377" s="141"/>
      <c r="H3377" s="140"/>
    </row>
    <row r="3378" spans="1:9" s="65" customFormat="1">
      <c r="A3378" s="146"/>
      <c r="B3378" s="83"/>
      <c r="C3378" s="148"/>
      <c r="D3378" s="84"/>
      <c r="E3378" s="84"/>
      <c r="F3378" s="84"/>
      <c r="G3378" s="144"/>
      <c r="H3378" s="145"/>
    </row>
    <row r="3379" spans="1:9" s="65" customFormat="1">
      <c r="A3379" s="91"/>
      <c r="B3379" s="91"/>
      <c r="C3379" s="91"/>
      <c r="D3379" s="91"/>
      <c r="E3379" s="91"/>
      <c r="G3379" s="104"/>
      <c r="H3379" s="140"/>
    </row>
    <row r="3380" spans="1:9" s="65" customFormat="1">
      <c r="A3380" s="120"/>
      <c r="B3380" s="73"/>
      <c r="C3380" s="73"/>
      <c r="D3380" s="73"/>
      <c r="E3380" s="73"/>
      <c r="G3380" s="121"/>
      <c r="H3380" s="140"/>
    </row>
    <row r="3381" spans="1:9" s="65" customFormat="1">
      <c r="A3381" s="128"/>
      <c r="B3381" s="141"/>
      <c r="C3381" s="141"/>
      <c r="D3381" s="141"/>
      <c r="E3381" s="141"/>
      <c r="F3381" s="141"/>
      <c r="G3381" s="141"/>
      <c r="H3381" s="140"/>
    </row>
    <row r="3382" spans="1:9" s="65" customFormat="1">
      <c r="A3382" s="142"/>
      <c r="B3382" s="143"/>
      <c r="C3382" s="143"/>
      <c r="D3382" s="143"/>
      <c r="E3382" s="143"/>
      <c r="F3382" s="84"/>
      <c r="G3382" s="144"/>
      <c r="H3382" s="145"/>
    </row>
    <row r="3383" spans="1:9" s="65" customFormat="1">
      <c r="A3383" s="123"/>
      <c r="B3383" s="95"/>
      <c r="C3383" s="95"/>
      <c r="D3383" s="95"/>
      <c r="E3383" s="95"/>
      <c r="G3383" s="104"/>
      <c r="H3383" s="121"/>
    </row>
    <row r="3384" spans="1:9" s="65" customFormat="1">
      <c r="A3384" s="123"/>
      <c r="B3384" s="95"/>
      <c r="C3384" s="95"/>
      <c r="D3384" s="95"/>
      <c r="E3384" s="95"/>
      <c r="G3384" s="121"/>
      <c r="H3384" s="133"/>
    </row>
    <row r="3385" spans="1:9" s="65" customFormat="1">
      <c r="B3385" s="97"/>
      <c r="C3385" s="98"/>
      <c r="D3385" s="98"/>
      <c r="E3385" s="98"/>
      <c r="G3385" s="128"/>
    </row>
    <row r="3386" spans="1:9" s="65" customFormat="1">
      <c r="B3386" s="97"/>
      <c r="C3386" s="98"/>
      <c r="D3386" s="98"/>
      <c r="E3386" s="98"/>
      <c r="F3386" s="128"/>
      <c r="G3386" s="133"/>
      <c r="H3386" s="134"/>
    </row>
    <row r="3387" spans="1:9" s="65" customFormat="1">
      <c r="A3387" s="633"/>
      <c r="B3387" s="633"/>
      <c r="C3387" s="633"/>
      <c r="D3387" s="633"/>
      <c r="E3387" s="633"/>
      <c r="F3387" s="633"/>
      <c r="G3387" s="633"/>
    </row>
    <row r="3388" spans="1:9" s="65" customFormat="1">
      <c r="H3388" s="156"/>
      <c r="I3388" s="151"/>
    </row>
    <row r="3389" spans="1:9" s="65" customFormat="1">
      <c r="A3389" s="645"/>
      <c r="B3389" s="156"/>
      <c r="C3389" s="156"/>
      <c r="D3389" s="156"/>
      <c r="E3389" s="156"/>
      <c r="F3389" s="156"/>
      <c r="G3389" s="156"/>
      <c r="H3389" s="156"/>
      <c r="I3389" s="152"/>
    </row>
    <row r="3390" spans="1:9" s="65" customFormat="1">
      <c r="A3390" s="645"/>
      <c r="B3390" s="156"/>
      <c r="C3390" s="156"/>
      <c r="D3390" s="156"/>
      <c r="E3390" s="156"/>
      <c r="F3390" s="156"/>
      <c r="G3390" s="156"/>
    </row>
    <row r="3391" spans="1:9" s="65" customFormat="1">
      <c r="A3391" s="69"/>
      <c r="B3391" s="69"/>
      <c r="C3391" s="69"/>
      <c r="D3391" s="69"/>
      <c r="E3391" s="69"/>
    </row>
    <row r="3392" spans="1:9" s="65" customFormat="1">
      <c r="A3392" s="120"/>
      <c r="B3392" s="73"/>
      <c r="C3392" s="73"/>
      <c r="D3392" s="73"/>
      <c r="E3392" s="73"/>
      <c r="F3392" s="121"/>
      <c r="G3392" s="121"/>
      <c r="H3392" s="121"/>
    </row>
    <row r="3393" spans="1:8" s="65" customFormat="1">
      <c r="A3393" s="128"/>
      <c r="B3393" s="141"/>
      <c r="C3393" s="141"/>
      <c r="D3393" s="141"/>
      <c r="E3393" s="141"/>
      <c r="F3393" s="141"/>
      <c r="G3393" s="141"/>
      <c r="H3393" s="121"/>
    </row>
    <row r="3394" spans="1:8" s="65" customFormat="1">
      <c r="A3394" s="150"/>
      <c r="B3394" s="83"/>
      <c r="C3394" s="148"/>
      <c r="D3394" s="84"/>
      <c r="E3394" s="84"/>
      <c r="F3394" s="84"/>
      <c r="G3394" s="154"/>
      <c r="H3394" s="121"/>
    </row>
    <row r="3395" spans="1:8" s="65" customFormat="1">
      <c r="A3395" s="150"/>
      <c r="B3395" s="83"/>
      <c r="C3395" s="148"/>
      <c r="D3395" s="84"/>
      <c r="E3395" s="84"/>
      <c r="F3395" s="84"/>
      <c r="G3395" s="154"/>
      <c r="H3395" s="121"/>
    </row>
    <row r="3396" spans="1:8" s="65" customFormat="1">
      <c r="A3396" s="150"/>
      <c r="B3396" s="83"/>
      <c r="C3396" s="148"/>
      <c r="D3396" s="84"/>
      <c r="E3396" s="84"/>
      <c r="F3396" s="84"/>
      <c r="G3396" s="154"/>
      <c r="H3396" s="145"/>
    </row>
    <row r="3397" spans="1:8" s="65" customFormat="1">
      <c r="A3397" s="84"/>
      <c r="B3397" s="83"/>
      <c r="C3397" s="84"/>
      <c r="D3397" s="84"/>
      <c r="E3397" s="84"/>
      <c r="G3397" s="104"/>
      <c r="H3397" s="140"/>
    </row>
    <row r="3398" spans="1:8" s="65" customFormat="1">
      <c r="A3398" s="120"/>
      <c r="B3398" s="73"/>
      <c r="C3398" s="73"/>
      <c r="D3398" s="73"/>
      <c r="E3398" s="73"/>
      <c r="G3398" s="121"/>
      <c r="H3398" s="140"/>
    </row>
    <row r="3399" spans="1:8" s="65" customFormat="1">
      <c r="A3399" s="128"/>
      <c r="B3399" s="141"/>
      <c r="C3399" s="141"/>
      <c r="D3399" s="141"/>
      <c r="E3399" s="141"/>
      <c r="F3399" s="141"/>
      <c r="G3399" s="141"/>
      <c r="H3399" s="140"/>
    </row>
    <row r="3400" spans="1:8" s="65" customFormat="1">
      <c r="A3400" s="150"/>
      <c r="B3400" s="83"/>
      <c r="C3400" s="148"/>
      <c r="D3400" s="84"/>
      <c r="E3400" s="84"/>
      <c r="F3400" s="84"/>
      <c r="G3400" s="154"/>
      <c r="H3400" s="140"/>
    </row>
    <row r="3401" spans="1:8" s="65" customFormat="1">
      <c r="A3401" s="150"/>
      <c r="B3401" s="83"/>
      <c r="C3401" s="148"/>
      <c r="D3401" s="84"/>
      <c r="E3401" s="84"/>
      <c r="F3401" s="84"/>
      <c r="G3401" s="154"/>
      <c r="H3401" s="140"/>
    </row>
    <row r="3402" spans="1:8" s="65" customFormat="1">
      <c r="A3402" s="150"/>
      <c r="B3402" s="83"/>
      <c r="C3402" s="148"/>
      <c r="D3402" s="84"/>
      <c r="E3402" s="84"/>
      <c r="F3402" s="84"/>
      <c r="G3402" s="154"/>
      <c r="H3402" s="140"/>
    </row>
    <row r="3403" spans="1:8" s="65" customFormat="1">
      <c r="A3403" s="150"/>
      <c r="B3403" s="83"/>
      <c r="C3403" s="148"/>
      <c r="D3403" s="84"/>
      <c r="E3403" s="84"/>
      <c r="F3403" s="84"/>
      <c r="G3403" s="154"/>
      <c r="H3403" s="140"/>
    </row>
    <row r="3404" spans="1:8" s="65" customFormat="1">
      <c r="A3404" s="150"/>
      <c r="B3404" s="83"/>
      <c r="C3404" s="148"/>
      <c r="D3404" s="84"/>
      <c r="E3404" s="84"/>
      <c r="F3404" s="84"/>
      <c r="G3404" s="154"/>
      <c r="H3404" s="140"/>
    </row>
    <row r="3405" spans="1:8" s="65" customFormat="1">
      <c r="A3405" s="150"/>
      <c r="B3405" s="83"/>
      <c r="C3405" s="148"/>
      <c r="D3405" s="84"/>
      <c r="E3405" s="84"/>
      <c r="F3405" s="84"/>
      <c r="G3405" s="154"/>
      <c r="H3405" s="140"/>
    </row>
    <row r="3406" spans="1:8" s="65" customFormat="1">
      <c r="A3406" s="150"/>
      <c r="B3406" s="83"/>
      <c r="C3406" s="148"/>
      <c r="D3406" s="84"/>
      <c r="E3406" s="84"/>
      <c r="F3406" s="84"/>
      <c r="G3406" s="154"/>
      <c r="H3406" s="140"/>
    </row>
    <row r="3407" spans="1:8" s="65" customFormat="1">
      <c r="A3407" s="150"/>
      <c r="B3407" s="83"/>
      <c r="C3407" s="148"/>
      <c r="D3407" s="84"/>
      <c r="E3407" s="84"/>
      <c r="F3407" s="84"/>
      <c r="G3407" s="154"/>
      <c r="H3407" s="145"/>
    </row>
    <row r="3408" spans="1:8" s="65" customFormat="1">
      <c r="A3408" s="91"/>
      <c r="B3408" s="91"/>
      <c r="C3408" s="91"/>
      <c r="D3408" s="91"/>
      <c r="E3408" s="91"/>
      <c r="G3408" s="104"/>
      <c r="H3408" s="140"/>
    </row>
    <row r="3409" spans="1:9" s="65" customFormat="1">
      <c r="A3409" s="120"/>
      <c r="B3409" s="73"/>
      <c r="C3409" s="73"/>
      <c r="D3409" s="73"/>
      <c r="E3409" s="73"/>
      <c r="G3409" s="121"/>
      <c r="H3409" s="140"/>
    </row>
    <row r="3410" spans="1:9" s="65" customFormat="1">
      <c r="A3410" s="128"/>
      <c r="B3410" s="141"/>
      <c r="C3410" s="141"/>
      <c r="D3410" s="141"/>
      <c r="E3410" s="141"/>
      <c r="F3410" s="141"/>
      <c r="G3410" s="141"/>
      <c r="H3410" s="140"/>
    </row>
    <row r="3411" spans="1:9" s="65" customFormat="1">
      <c r="A3411" s="146"/>
      <c r="B3411" s="83"/>
      <c r="C3411" s="148"/>
      <c r="D3411" s="84"/>
      <c r="E3411" s="84"/>
      <c r="F3411" s="84"/>
      <c r="G3411" s="144"/>
      <c r="H3411" s="140"/>
    </row>
    <row r="3412" spans="1:9" s="65" customFormat="1">
      <c r="A3412" s="146"/>
      <c r="B3412" s="83"/>
      <c r="C3412" s="148"/>
      <c r="D3412" s="84"/>
      <c r="E3412" s="84"/>
      <c r="F3412" s="84"/>
      <c r="G3412" s="144"/>
      <c r="H3412" s="140"/>
    </row>
    <row r="3413" spans="1:9" s="65" customFormat="1">
      <c r="A3413" s="146"/>
      <c r="B3413" s="83"/>
      <c r="C3413" s="148"/>
      <c r="D3413" s="84"/>
      <c r="E3413" s="84"/>
      <c r="F3413" s="84"/>
      <c r="G3413" s="144"/>
      <c r="H3413" s="145"/>
    </row>
    <row r="3414" spans="1:9" s="65" customFormat="1">
      <c r="A3414" s="91"/>
      <c r="B3414" s="91"/>
      <c r="C3414" s="91"/>
      <c r="D3414" s="91"/>
      <c r="E3414" s="91"/>
      <c r="G3414" s="104"/>
      <c r="H3414" s="140"/>
    </row>
    <row r="3415" spans="1:9" s="65" customFormat="1">
      <c r="A3415" s="120"/>
      <c r="B3415" s="73"/>
      <c r="C3415" s="73"/>
      <c r="D3415" s="73"/>
      <c r="E3415" s="73"/>
      <c r="G3415" s="121"/>
      <c r="H3415" s="140"/>
    </row>
    <row r="3416" spans="1:9" s="65" customFormat="1">
      <c r="A3416" s="128"/>
      <c r="B3416" s="141"/>
      <c r="C3416" s="141"/>
      <c r="D3416" s="141"/>
      <c r="E3416" s="141"/>
      <c r="F3416" s="141"/>
      <c r="G3416" s="141"/>
      <c r="H3416" s="140"/>
    </row>
    <row r="3417" spans="1:9" s="65" customFormat="1">
      <c r="A3417" s="142"/>
      <c r="B3417" s="143"/>
      <c r="C3417" s="143"/>
      <c r="D3417" s="143"/>
      <c r="E3417" s="143"/>
      <c r="F3417" s="84"/>
      <c r="G3417" s="144"/>
      <c r="H3417" s="145"/>
    </row>
    <row r="3418" spans="1:9" s="65" customFormat="1">
      <c r="A3418" s="123"/>
      <c r="B3418" s="95"/>
      <c r="C3418" s="95"/>
      <c r="D3418" s="95"/>
      <c r="E3418" s="95"/>
      <c r="G3418" s="104"/>
      <c r="H3418" s="121"/>
    </row>
    <row r="3419" spans="1:9" s="65" customFormat="1">
      <c r="A3419" s="123"/>
      <c r="B3419" s="95"/>
      <c r="C3419" s="95"/>
      <c r="D3419" s="95"/>
      <c r="E3419" s="95"/>
      <c r="G3419" s="121"/>
      <c r="H3419" s="133"/>
    </row>
    <row r="3420" spans="1:9" s="65" customFormat="1">
      <c r="B3420" s="97"/>
      <c r="C3420" s="98"/>
      <c r="D3420" s="98"/>
      <c r="E3420" s="98"/>
      <c r="G3420" s="128"/>
    </row>
    <row r="3421" spans="1:9" s="65" customFormat="1">
      <c r="B3421" s="97"/>
      <c r="C3421" s="98"/>
      <c r="D3421" s="98"/>
      <c r="E3421" s="98"/>
      <c r="F3421" s="128"/>
      <c r="G3421" s="133"/>
      <c r="H3421" s="134"/>
    </row>
    <row r="3422" spans="1:9" s="65" customFormat="1">
      <c r="A3422" s="633"/>
      <c r="B3422" s="633"/>
      <c r="C3422" s="633"/>
      <c r="D3422" s="633"/>
      <c r="E3422" s="633"/>
      <c r="F3422" s="633"/>
      <c r="G3422" s="633"/>
    </row>
    <row r="3423" spans="1:9" s="65" customFormat="1">
      <c r="H3423" s="156"/>
      <c r="I3423" s="151"/>
    </row>
    <row r="3424" spans="1:9" s="65" customFormat="1">
      <c r="A3424" s="645"/>
      <c r="B3424" s="156"/>
      <c r="C3424" s="156"/>
      <c r="D3424" s="156"/>
      <c r="E3424" s="156"/>
      <c r="F3424" s="156"/>
      <c r="G3424" s="156"/>
      <c r="H3424" s="156"/>
      <c r="I3424" s="152"/>
    </row>
    <row r="3425" spans="1:8" s="65" customFormat="1">
      <c r="A3425" s="645"/>
      <c r="B3425" s="156"/>
      <c r="C3425" s="156"/>
      <c r="D3425" s="156"/>
      <c r="E3425" s="156"/>
      <c r="F3425" s="156"/>
      <c r="G3425" s="156"/>
    </row>
    <row r="3426" spans="1:8" s="65" customFormat="1">
      <c r="A3426" s="69"/>
      <c r="B3426" s="69"/>
      <c r="C3426" s="69"/>
      <c r="D3426" s="69"/>
      <c r="E3426" s="69"/>
    </row>
    <row r="3427" spans="1:8" s="65" customFormat="1">
      <c r="A3427" s="120"/>
      <c r="B3427" s="73"/>
      <c r="C3427" s="73"/>
      <c r="D3427" s="73"/>
      <c r="E3427" s="73"/>
      <c r="F3427" s="121"/>
      <c r="G3427" s="121"/>
      <c r="H3427" s="121"/>
    </row>
    <row r="3428" spans="1:8" s="65" customFormat="1">
      <c r="A3428" s="128"/>
      <c r="B3428" s="141"/>
      <c r="C3428" s="141"/>
      <c r="D3428" s="141"/>
      <c r="E3428" s="141"/>
      <c r="F3428" s="141"/>
      <c r="G3428" s="141"/>
      <c r="H3428" s="121"/>
    </row>
    <row r="3429" spans="1:8" s="65" customFormat="1">
      <c r="A3429" s="150"/>
      <c r="B3429" s="83"/>
      <c r="C3429" s="148"/>
      <c r="D3429" s="84"/>
      <c r="E3429" s="84"/>
      <c r="F3429" s="84"/>
      <c r="G3429" s="154"/>
      <c r="H3429" s="145"/>
    </row>
    <row r="3430" spans="1:8" s="65" customFormat="1">
      <c r="A3430" s="84"/>
      <c r="B3430" s="83"/>
      <c r="C3430" s="84"/>
      <c r="D3430" s="84"/>
      <c r="E3430" s="84"/>
      <c r="G3430" s="104"/>
      <c r="H3430" s="140"/>
    </row>
    <row r="3431" spans="1:8" s="65" customFormat="1">
      <c r="A3431" s="120"/>
      <c r="B3431" s="73"/>
      <c r="C3431" s="73"/>
      <c r="D3431" s="73"/>
      <c r="E3431" s="73"/>
      <c r="G3431" s="121"/>
      <c r="H3431" s="140"/>
    </row>
    <row r="3432" spans="1:8" s="65" customFormat="1">
      <c r="A3432" s="128"/>
      <c r="B3432" s="141"/>
      <c r="C3432" s="141"/>
      <c r="D3432" s="141"/>
      <c r="E3432" s="141"/>
      <c r="F3432" s="141"/>
      <c r="G3432" s="141"/>
      <c r="H3432" s="140"/>
    </row>
    <row r="3433" spans="1:8" s="65" customFormat="1">
      <c r="A3433" s="150"/>
      <c r="B3433" s="83"/>
      <c r="C3433" s="148"/>
      <c r="D3433" s="84"/>
      <c r="E3433" s="84"/>
      <c r="F3433" s="84"/>
      <c r="G3433" s="154"/>
      <c r="H3433" s="140"/>
    </row>
    <row r="3434" spans="1:8" s="65" customFormat="1">
      <c r="A3434" s="150"/>
      <c r="B3434" s="83"/>
      <c r="C3434" s="148"/>
      <c r="D3434" s="84"/>
      <c r="E3434" s="84"/>
      <c r="F3434" s="84"/>
      <c r="G3434" s="154"/>
      <c r="H3434" s="145"/>
    </row>
    <row r="3435" spans="1:8" s="65" customFormat="1">
      <c r="A3435" s="91"/>
      <c r="B3435" s="91"/>
      <c r="C3435" s="91"/>
      <c r="D3435" s="91"/>
      <c r="E3435" s="91"/>
      <c r="G3435" s="104"/>
      <c r="H3435" s="140"/>
    </row>
    <row r="3436" spans="1:8" s="65" customFormat="1">
      <c r="A3436" s="120"/>
      <c r="B3436" s="73"/>
      <c r="C3436" s="73"/>
      <c r="D3436" s="73"/>
      <c r="E3436" s="73"/>
      <c r="G3436" s="121"/>
      <c r="H3436" s="140"/>
    </row>
    <row r="3437" spans="1:8" s="65" customFormat="1">
      <c r="A3437" s="128"/>
      <c r="B3437" s="141"/>
      <c r="C3437" s="141"/>
      <c r="D3437" s="141"/>
      <c r="E3437" s="141"/>
      <c r="F3437" s="141"/>
      <c r="G3437" s="141"/>
      <c r="H3437" s="140"/>
    </row>
    <row r="3438" spans="1:8" s="65" customFormat="1">
      <c r="A3438" s="146"/>
      <c r="B3438" s="83"/>
      <c r="C3438" s="148"/>
      <c r="D3438" s="84"/>
      <c r="E3438" s="84"/>
      <c r="F3438" s="84"/>
      <c r="G3438" s="144"/>
      <c r="H3438" s="145"/>
    </row>
    <row r="3439" spans="1:8" s="65" customFormat="1">
      <c r="A3439" s="91"/>
      <c r="B3439" s="91"/>
      <c r="C3439" s="91"/>
      <c r="D3439" s="91"/>
      <c r="E3439" s="91"/>
      <c r="G3439" s="104"/>
      <c r="H3439" s="140"/>
    </row>
    <row r="3440" spans="1:8" s="65" customFormat="1">
      <c r="A3440" s="120"/>
      <c r="B3440" s="73"/>
      <c r="C3440" s="73"/>
      <c r="D3440" s="73"/>
      <c r="E3440" s="73"/>
      <c r="G3440" s="121"/>
      <c r="H3440" s="140"/>
    </row>
    <row r="3441" spans="1:9" s="65" customFormat="1">
      <c r="A3441" s="128"/>
      <c r="B3441" s="141"/>
      <c r="C3441" s="141"/>
      <c r="D3441" s="141"/>
      <c r="E3441" s="141"/>
      <c r="F3441" s="141"/>
      <c r="G3441" s="141"/>
      <c r="H3441" s="140"/>
    </row>
    <row r="3442" spans="1:9" s="65" customFormat="1">
      <c r="A3442" s="142"/>
      <c r="B3442" s="143"/>
      <c r="C3442" s="143"/>
      <c r="D3442" s="143"/>
      <c r="E3442" s="143"/>
      <c r="F3442" s="84"/>
      <c r="G3442" s="144"/>
      <c r="H3442" s="145"/>
    </row>
    <row r="3443" spans="1:9" s="65" customFormat="1">
      <c r="A3443" s="123"/>
      <c r="B3443" s="95"/>
      <c r="C3443" s="95"/>
      <c r="D3443" s="95"/>
      <c r="E3443" s="95"/>
      <c r="G3443" s="104"/>
      <c r="H3443" s="121"/>
    </row>
    <row r="3444" spans="1:9" s="65" customFormat="1">
      <c r="A3444" s="123"/>
      <c r="B3444" s="95"/>
      <c r="C3444" s="95"/>
      <c r="D3444" s="95"/>
      <c r="E3444" s="95"/>
      <c r="G3444" s="121"/>
      <c r="H3444" s="133"/>
    </row>
    <row r="3445" spans="1:9" s="65" customFormat="1">
      <c r="B3445" s="97"/>
      <c r="C3445" s="98"/>
      <c r="D3445" s="98"/>
      <c r="E3445" s="98"/>
      <c r="G3445" s="128"/>
    </row>
    <row r="3446" spans="1:9" s="65" customFormat="1">
      <c r="B3446" s="97"/>
      <c r="C3446" s="98"/>
      <c r="D3446" s="98"/>
      <c r="E3446" s="98"/>
      <c r="F3446" s="128"/>
      <c r="G3446" s="133"/>
      <c r="H3446" s="134"/>
    </row>
    <row r="3447" spans="1:9" s="65" customFormat="1">
      <c r="A3447" s="633"/>
      <c r="B3447" s="633"/>
      <c r="C3447" s="633"/>
      <c r="D3447" s="633"/>
      <c r="E3447" s="633"/>
      <c r="F3447" s="633"/>
      <c r="G3447" s="633"/>
    </row>
    <row r="3448" spans="1:9" s="65" customFormat="1">
      <c r="H3448" s="156"/>
      <c r="I3448" s="151"/>
    </row>
    <row r="3449" spans="1:9" s="65" customFormat="1">
      <c r="A3449" s="645"/>
      <c r="B3449" s="156"/>
      <c r="C3449" s="156"/>
      <c r="D3449" s="156"/>
      <c r="E3449" s="156"/>
      <c r="F3449" s="156"/>
      <c r="G3449" s="156"/>
      <c r="H3449" s="156"/>
      <c r="I3449" s="152"/>
    </row>
    <row r="3450" spans="1:9" s="65" customFormat="1">
      <c r="A3450" s="645"/>
      <c r="B3450" s="156"/>
      <c r="C3450" s="156"/>
      <c r="D3450" s="156"/>
      <c r="E3450" s="156"/>
      <c r="F3450" s="156"/>
      <c r="G3450" s="156"/>
    </row>
    <row r="3451" spans="1:9" s="65" customFormat="1">
      <c r="A3451" s="69"/>
      <c r="B3451" s="69"/>
      <c r="C3451" s="69"/>
      <c r="D3451" s="69"/>
      <c r="E3451" s="69"/>
    </row>
    <row r="3452" spans="1:9" s="65" customFormat="1">
      <c r="A3452" s="120"/>
      <c r="B3452" s="73"/>
      <c r="C3452" s="73"/>
      <c r="D3452" s="73"/>
      <c r="E3452" s="73"/>
      <c r="F3452" s="121"/>
      <c r="G3452" s="121"/>
      <c r="H3452" s="121"/>
    </row>
    <row r="3453" spans="1:9" s="65" customFormat="1">
      <c r="A3453" s="128"/>
      <c r="B3453" s="141"/>
      <c r="C3453" s="141"/>
      <c r="D3453" s="141"/>
      <c r="E3453" s="141"/>
      <c r="F3453" s="141"/>
      <c r="G3453" s="141"/>
      <c r="H3453" s="121"/>
    </row>
    <row r="3454" spans="1:9" s="65" customFormat="1">
      <c r="A3454" s="150"/>
      <c r="B3454" s="83"/>
      <c r="C3454" s="148"/>
      <c r="D3454" s="84"/>
      <c r="E3454" s="84"/>
      <c r="F3454" s="84"/>
      <c r="G3454" s="154"/>
      <c r="H3454" s="145"/>
    </row>
    <row r="3455" spans="1:9" s="65" customFormat="1">
      <c r="A3455" s="84"/>
      <c r="B3455" s="83"/>
      <c r="C3455" s="84"/>
      <c r="D3455" s="84"/>
      <c r="E3455" s="84"/>
      <c r="G3455" s="104"/>
      <c r="H3455" s="140"/>
    </row>
    <row r="3456" spans="1:9" s="65" customFormat="1">
      <c r="A3456" s="120"/>
      <c r="B3456" s="73"/>
      <c r="C3456" s="73"/>
      <c r="D3456" s="73"/>
      <c r="E3456" s="73"/>
      <c r="G3456" s="121"/>
      <c r="H3456" s="140"/>
    </row>
    <row r="3457" spans="1:8" s="65" customFormat="1">
      <c r="A3457" s="128"/>
      <c r="B3457" s="141"/>
      <c r="C3457" s="141"/>
      <c r="D3457" s="141"/>
      <c r="E3457" s="141"/>
      <c r="F3457" s="141"/>
      <c r="G3457" s="141"/>
      <c r="H3457" s="140"/>
    </row>
    <row r="3458" spans="1:8" s="65" customFormat="1">
      <c r="A3458" s="150"/>
      <c r="B3458" s="83"/>
      <c r="C3458" s="148"/>
      <c r="D3458" s="84"/>
      <c r="E3458" s="84"/>
      <c r="F3458" s="84"/>
      <c r="G3458" s="154"/>
      <c r="H3458" s="140"/>
    </row>
    <row r="3459" spans="1:8" s="65" customFormat="1">
      <c r="A3459" s="150"/>
      <c r="B3459" s="83"/>
      <c r="C3459" s="148"/>
      <c r="D3459" s="84"/>
      <c r="E3459" s="84"/>
      <c r="F3459" s="84"/>
      <c r="G3459" s="154"/>
      <c r="H3459" s="145"/>
    </row>
    <row r="3460" spans="1:8" s="65" customFormat="1">
      <c r="A3460" s="91"/>
      <c r="B3460" s="91"/>
      <c r="C3460" s="91"/>
      <c r="D3460" s="91"/>
      <c r="E3460" s="91"/>
      <c r="G3460" s="104"/>
      <c r="H3460" s="140"/>
    </row>
    <row r="3461" spans="1:8" s="65" customFormat="1">
      <c r="A3461" s="120"/>
      <c r="B3461" s="73"/>
      <c r="C3461" s="73"/>
      <c r="D3461" s="73"/>
      <c r="E3461" s="73"/>
      <c r="G3461" s="121"/>
      <c r="H3461" s="140"/>
    </row>
    <row r="3462" spans="1:8" s="65" customFormat="1">
      <c r="A3462" s="128"/>
      <c r="B3462" s="141"/>
      <c r="C3462" s="141"/>
      <c r="D3462" s="141"/>
      <c r="E3462" s="141"/>
      <c r="F3462" s="141"/>
      <c r="G3462" s="141"/>
      <c r="H3462" s="140"/>
    </row>
    <row r="3463" spans="1:8" s="65" customFormat="1">
      <c r="A3463" s="146"/>
      <c r="B3463" s="83"/>
      <c r="C3463" s="148"/>
      <c r="D3463" s="84"/>
      <c r="E3463" s="84"/>
      <c r="F3463" s="84"/>
      <c r="G3463" s="144"/>
      <c r="H3463" s="145"/>
    </row>
    <row r="3464" spans="1:8" s="65" customFormat="1">
      <c r="A3464" s="91"/>
      <c r="B3464" s="91"/>
      <c r="C3464" s="91"/>
      <c r="D3464" s="91"/>
      <c r="E3464" s="91"/>
      <c r="G3464" s="104"/>
      <c r="H3464" s="140"/>
    </row>
    <row r="3465" spans="1:8" s="65" customFormat="1">
      <c r="A3465" s="120"/>
      <c r="B3465" s="73"/>
      <c r="C3465" s="73"/>
      <c r="D3465" s="73"/>
      <c r="E3465" s="73"/>
      <c r="G3465" s="121"/>
      <c r="H3465" s="140"/>
    </row>
    <row r="3466" spans="1:8" s="65" customFormat="1">
      <c r="A3466" s="128"/>
      <c r="B3466" s="141"/>
      <c r="C3466" s="141"/>
      <c r="D3466" s="141"/>
      <c r="E3466" s="141"/>
      <c r="F3466" s="141"/>
      <c r="G3466" s="141"/>
      <c r="H3466" s="140"/>
    </row>
    <row r="3467" spans="1:8" s="65" customFormat="1">
      <c r="A3467" s="142"/>
      <c r="B3467" s="143"/>
      <c r="C3467" s="143"/>
      <c r="D3467" s="143"/>
      <c r="E3467" s="143"/>
      <c r="F3467" s="84"/>
      <c r="G3467" s="144"/>
      <c r="H3467" s="145"/>
    </row>
    <row r="3468" spans="1:8" s="65" customFormat="1">
      <c r="A3468" s="123"/>
      <c r="B3468" s="95"/>
      <c r="C3468" s="95"/>
      <c r="D3468" s="95"/>
      <c r="E3468" s="95"/>
      <c r="G3468" s="104"/>
      <c r="H3468" s="121"/>
    </row>
    <row r="3469" spans="1:8" s="65" customFormat="1">
      <c r="A3469" s="123"/>
      <c r="B3469" s="95"/>
      <c r="C3469" s="95"/>
      <c r="D3469" s="95"/>
      <c r="E3469" s="95"/>
      <c r="G3469" s="121"/>
      <c r="H3469" s="133"/>
    </row>
    <row r="3470" spans="1:8" s="65" customFormat="1">
      <c r="B3470" s="97"/>
      <c r="C3470" s="98"/>
      <c r="D3470" s="98"/>
      <c r="E3470" s="98"/>
      <c r="G3470" s="128"/>
    </row>
    <row r="3471" spans="1:8" s="65" customFormat="1">
      <c r="B3471" s="97"/>
      <c r="C3471" s="98"/>
      <c r="D3471" s="98"/>
      <c r="E3471" s="98"/>
      <c r="F3471" s="128"/>
      <c r="G3471" s="133"/>
      <c r="H3471" s="134"/>
    </row>
    <row r="3472" spans="1:8" s="65" customFormat="1">
      <c r="A3472" s="633"/>
      <c r="B3472" s="633"/>
      <c r="C3472" s="633"/>
      <c r="D3472" s="633"/>
      <c r="E3472" s="633"/>
      <c r="F3472" s="633"/>
      <c r="G3472" s="633"/>
    </row>
    <row r="3473" spans="1:9" s="65" customFormat="1">
      <c r="H3473" s="156"/>
      <c r="I3473" s="151"/>
    </row>
    <row r="3474" spans="1:9" s="65" customFormat="1">
      <c r="A3474" s="645"/>
      <c r="B3474" s="156"/>
      <c r="C3474" s="156"/>
      <c r="D3474" s="156"/>
      <c r="E3474" s="156"/>
      <c r="F3474" s="156"/>
      <c r="G3474" s="156"/>
      <c r="H3474" s="156"/>
      <c r="I3474" s="152"/>
    </row>
    <row r="3475" spans="1:9" s="65" customFormat="1">
      <c r="A3475" s="645"/>
      <c r="B3475" s="156"/>
      <c r="C3475" s="156"/>
      <c r="D3475" s="156"/>
      <c r="E3475" s="156"/>
      <c r="F3475" s="156"/>
      <c r="G3475" s="156"/>
    </row>
    <row r="3476" spans="1:9" s="65" customFormat="1">
      <c r="A3476" s="69"/>
      <c r="B3476" s="69"/>
      <c r="C3476" s="69"/>
      <c r="D3476" s="69"/>
      <c r="E3476" s="69"/>
    </row>
    <row r="3477" spans="1:9" s="65" customFormat="1">
      <c r="A3477" s="120"/>
      <c r="B3477" s="73"/>
      <c r="C3477" s="73"/>
      <c r="D3477" s="73"/>
      <c r="E3477" s="73"/>
      <c r="F3477" s="121"/>
      <c r="G3477" s="121"/>
      <c r="H3477" s="121"/>
    </row>
    <row r="3478" spans="1:9" s="65" customFormat="1">
      <c r="A3478" s="128"/>
      <c r="B3478" s="141"/>
      <c r="C3478" s="141"/>
      <c r="D3478" s="141"/>
      <c r="E3478" s="141"/>
      <c r="F3478" s="141"/>
      <c r="G3478" s="141"/>
      <c r="H3478" s="121"/>
    </row>
    <row r="3479" spans="1:9" s="65" customFormat="1">
      <c r="A3479" s="150"/>
      <c r="B3479" s="83"/>
      <c r="C3479" s="148"/>
      <c r="D3479" s="84"/>
      <c r="E3479" s="84"/>
      <c r="F3479" s="84"/>
      <c r="G3479" s="154"/>
      <c r="H3479" s="145"/>
    </row>
    <row r="3480" spans="1:9" s="65" customFormat="1">
      <c r="A3480" s="84"/>
      <c r="B3480" s="83"/>
      <c r="C3480" s="84"/>
      <c r="D3480" s="84"/>
      <c r="E3480" s="84"/>
      <c r="G3480" s="104"/>
      <c r="H3480" s="140"/>
    </row>
    <row r="3481" spans="1:9" s="65" customFormat="1">
      <c r="A3481" s="120"/>
      <c r="B3481" s="73"/>
      <c r="C3481" s="73"/>
      <c r="D3481" s="73"/>
      <c r="E3481" s="73"/>
      <c r="G3481" s="121"/>
      <c r="H3481" s="140"/>
    </row>
    <row r="3482" spans="1:9" s="65" customFormat="1">
      <c r="A3482" s="128"/>
      <c r="B3482" s="141"/>
      <c r="C3482" s="141"/>
      <c r="D3482" s="141"/>
      <c r="E3482" s="141"/>
      <c r="F3482" s="141"/>
      <c r="G3482" s="141"/>
      <c r="H3482" s="140"/>
    </row>
    <row r="3483" spans="1:9" s="65" customFormat="1">
      <c r="A3483" s="150"/>
      <c r="B3483" s="83"/>
      <c r="C3483" s="148"/>
      <c r="D3483" s="84"/>
      <c r="E3483" s="84"/>
      <c r="F3483" s="84"/>
      <c r="G3483" s="154"/>
      <c r="H3483" s="140"/>
    </row>
    <row r="3484" spans="1:9" s="65" customFormat="1">
      <c r="A3484" s="150"/>
      <c r="B3484" s="83"/>
      <c r="C3484" s="148"/>
      <c r="D3484" s="84"/>
      <c r="E3484" s="84"/>
      <c r="F3484" s="84"/>
      <c r="G3484" s="154"/>
      <c r="H3484" s="140"/>
    </row>
    <row r="3485" spans="1:9" s="65" customFormat="1">
      <c r="A3485" s="150"/>
      <c r="B3485" s="83"/>
      <c r="C3485" s="148"/>
      <c r="D3485" s="84"/>
      <c r="E3485" s="84"/>
      <c r="F3485" s="84"/>
      <c r="G3485" s="154"/>
      <c r="H3485" s="140"/>
    </row>
    <row r="3486" spans="1:9" s="65" customFormat="1">
      <c r="A3486" s="150"/>
      <c r="B3486" s="83"/>
      <c r="C3486" s="148"/>
      <c r="D3486" s="84"/>
      <c r="E3486" s="84"/>
      <c r="F3486" s="84"/>
      <c r="G3486" s="154"/>
      <c r="H3486" s="140"/>
    </row>
    <row r="3487" spans="1:9" s="65" customFormat="1">
      <c r="A3487" s="150"/>
      <c r="B3487" s="83"/>
      <c r="C3487" s="148"/>
      <c r="D3487" s="84"/>
      <c r="E3487" s="84"/>
      <c r="F3487" s="84"/>
      <c r="G3487" s="154"/>
      <c r="H3487" s="140"/>
    </row>
    <row r="3488" spans="1:9" s="65" customFormat="1">
      <c r="A3488" s="150"/>
      <c r="B3488" s="83"/>
      <c r="C3488" s="148"/>
      <c r="D3488" s="84"/>
      <c r="E3488" s="84"/>
      <c r="F3488" s="84"/>
      <c r="G3488" s="154"/>
      <c r="H3488" s="140"/>
    </row>
    <row r="3489" spans="1:8" s="65" customFormat="1">
      <c r="A3489" s="150"/>
      <c r="B3489" s="83"/>
      <c r="C3489" s="148"/>
      <c r="D3489" s="84"/>
      <c r="E3489" s="84"/>
      <c r="F3489" s="84"/>
      <c r="G3489" s="154"/>
      <c r="H3489" s="140"/>
    </row>
    <row r="3490" spans="1:8" s="65" customFormat="1">
      <c r="A3490" s="150"/>
      <c r="B3490" s="83"/>
      <c r="C3490" s="148"/>
      <c r="D3490" s="84"/>
      <c r="E3490" s="84"/>
      <c r="F3490" s="84"/>
      <c r="G3490" s="154"/>
      <c r="H3490" s="140"/>
    </row>
    <row r="3491" spans="1:8" s="65" customFormat="1">
      <c r="A3491" s="150"/>
      <c r="B3491" s="83"/>
      <c r="C3491" s="148"/>
      <c r="D3491" s="84"/>
      <c r="E3491" s="84"/>
      <c r="F3491" s="84"/>
      <c r="G3491" s="154"/>
      <c r="H3491" s="140"/>
    </row>
    <row r="3492" spans="1:8" s="65" customFormat="1">
      <c r="A3492" s="150"/>
      <c r="B3492" s="83"/>
      <c r="C3492" s="148"/>
      <c r="D3492" s="84"/>
      <c r="E3492" s="84"/>
      <c r="F3492" s="84"/>
      <c r="G3492" s="154"/>
      <c r="H3492" s="145"/>
    </row>
    <row r="3493" spans="1:8" s="65" customFormat="1">
      <c r="A3493" s="91"/>
      <c r="B3493" s="91"/>
      <c r="C3493" s="91"/>
      <c r="D3493" s="91"/>
      <c r="E3493" s="91"/>
      <c r="G3493" s="104"/>
      <c r="H3493" s="140"/>
    </row>
    <row r="3494" spans="1:8" s="65" customFormat="1">
      <c r="A3494" s="120"/>
      <c r="B3494" s="73"/>
      <c r="C3494" s="73"/>
      <c r="D3494" s="73"/>
      <c r="E3494" s="73"/>
      <c r="G3494" s="121"/>
      <c r="H3494" s="140"/>
    </row>
    <row r="3495" spans="1:8" s="65" customFormat="1">
      <c r="A3495" s="128"/>
      <c r="B3495" s="141"/>
      <c r="C3495" s="141"/>
      <c r="D3495" s="141"/>
      <c r="E3495" s="141"/>
      <c r="F3495" s="141"/>
      <c r="G3495" s="141"/>
      <c r="H3495" s="140"/>
    </row>
    <row r="3496" spans="1:8" s="65" customFormat="1">
      <c r="A3496" s="146"/>
      <c r="B3496" s="83"/>
      <c r="C3496" s="148"/>
      <c r="D3496" s="84"/>
      <c r="E3496" s="84"/>
      <c r="F3496" s="84"/>
      <c r="G3496" s="144"/>
      <c r="H3496" s="145"/>
    </row>
    <row r="3497" spans="1:8" s="65" customFormat="1">
      <c r="A3497" s="91"/>
      <c r="B3497" s="91"/>
      <c r="C3497" s="91"/>
      <c r="D3497" s="91"/>
      <c r="E3497" s="91"/>
      <c r="G3497" s="104"/>
      <c r="H3497" s="140"/>
    </row>
    <row r="3498" spans="1:8" s="65" customFormat="1">
      <c r="A3498" s="120"/>
      <c r="B3498" s="73"/>
      <c r="C3498" s="73"/>
      <c r="D3498" s="73"/>
      <c r="E3498" s="73"/>
      <c r="G3498" s="121"/>
      <c r="H3498" s="140"/>
    </row>
    <row r="3499" spans="1:8" s="65" customFormat="1">
      <c r="A3499" s="128"/>
      <c r="B3499" s="141"/>
      <c r="C3499" s="141"/>
      <c r="D3499" s="141"/>
      <c r="E3499" s="141"/>
      <c r="F3499" s="141"/>
      <c r="G3499" s="141"/>
      <c r="H3499" s="140"/>
    </row>
    <row r="3500" spans="1:8" s="65" customFormat="1">
      <c r="A3500" s="142"/>
      <c r="B3500" s="143"/>
      <c r="C3500" s="143"/>
      <c r="D3500" s="143"/>
      <c r="E3500" s="143"/>
      <c r="F3500" s="84"/>
      <c r="G3500" s="144"/>
      <c r="H3500" s="145"/>
    </row>
    <row r="3501" spans="1:8" s="65" customFormat="1">
      <c r="A3501" s="123"/>
      <c r="B3501" s="95"/>
      <c r="C3501" s="95"/>
      <c r="D3501" s="95"/>
      <c r="E3501" s="95"/>
      <c r="G3501" s="104"/>
      <c r="H3501" s="121"/>
    </row>
    <row r="3502" spans="1:8" s="65" customFormat="1">
      <c r="A3502" s="123"/>
      <c r="B3502" s="95"/>
      <c r="C3502" s="95"/>
      <c r="D3502" s="95"/>
      <c r="E3502" s="95"/>
      <c r="G3502" s="121"/>
      <c r="H3502" s="133"/>
    </row>
    <row r="3503" spans="1:8" s="65" customFormat="1">
      <c r="B3503" s="97"/>
      <c r="C3503" s="98"/>
      <c r="D3503" s="98"/>
      <c r="E3503" s="98"/>
      <c r="G3503" s="128"/>
    </row>
    <row r="3504" spans="1:8" s="65" customFormat="1">
      <c r="B3504" s="97"/>
      <c r="C3504" s="98"/>
      <c r="D3504" s="98"/>
      <c r="E3504" s="98"/>
      <c r="F3504" s="128"/>
      <c r="G3504" s="133"/>
      <c r="H3504" s="134"/>
    </row>
    <row r="3505" spans="1:9" s="65" customFormat="1">
      <c r="A3505" s="633"/>
      <c r="B3505" s="633"/>
      <c r="C3505" s="633"/>
      <c r="D3505" s="633"/>
      <c r="E3505" s="633"/>
      <c r="F3505" s="633"/>
      <c r="G3505" s="633"/>
    </row>
    <row r="3506" spans="1:9" s="65" customFormat="1">
      <c r="H3506" s="156"/>
      <c r="I3506" s="151"/>
    </row>
    <row r="3507" spans="1:9" s="65" customFormat="1">
      <c r="A3507" s="645"/>
      <c r="B3507" s="156"/>
      <c r="C3507" s="156"/>
      <c r="D3507" s="156"/>
      <c r="E3507" s="156"/>
      <c r="F3507" s="156"/>
      <c r="G3507" s="156"/>
      <c r="H3507" s="156"/>
      <c r="I3507" s="152"/>
    </row>
    <row r="3508" spans="1:9" s="65" customFormat="1">
      <c r="A3508" s="645"/>
      <c r="B3508" s="156"/>
      <c r="C3508" s="156"/>
      <c r="D3508" s="156"/>
      <c r="E3508" s="156"/>
      <c r="F3508" s="156"/>
      <c r="G3508" s="156"/>
    </row>
    <row r="3509" spans="1:9" s="65" customFormat="1">
      <c r="A3509" s="69"/>
      <c r="B3509" s="69"/>
      <c r="C3509" s="69"/>
      <c r="D3509" s="69"/>
      <c r="E3509" s="69"/>
    </row>
    <row r="3510" spans="1:9" s="65" customFormat="1">
      <c r="A3510" s="120"/>
      <c r="B3510" s="73"/>
      <c r="C3510" s="73"/>
      <c r="D3510" s="73"/>
      <c r="E3510" s="73"/>
      <c r="F3510" s="121"/>
      <c r="G3510" s="121"/>
      <c r="H3510" s="121"/>
    </row>
    <row r="3511" spans="1:9" s="65" customFormat="1">
      <c r="A3511" s="128"/>
      <c r="B3511" s="141"/>
      <c r="C3511" s="141"/>
      <c r="D3511" s="141"/>
      <c r="E3511" s="141"/>
      <c r="F3511" s="141"/>
      <c r="G3511" s="141"/>
      <c r="H3511" s="121"/>
    </row>
    <row r="3512" spans="1:9" s="65" customFormat="1">
      <c r="A3512" s="150"/>
      <c r="B3512" s="83"/>
      <c r="C3512" s="148"/>
      <c r="D3512" s="84"/>
      <c r="E3512" s="84"/>
      <c r="F3512" s="84"/>
      <c r="G3512" s="154"/>
      <c r="H3512" s="145"/>
    </row>
    <row r="3513" spans="1:9" s="65" customFormat="1">
      <c r="A3513" s="84"/>
      <c r="B3513" s="83"/>
      <c r="C3513" s="84"/>
      <c r="D3513" s="84"/>
      <c r="E3513" s="84"/>
      <c r="G3513" s="104"/>
      <c r="H3513" s="140"/>
    </row>
    <row r="3514" spans="1:9" s="65" customFormat="1">
      <c r="A3514" s="120"/>
      <c r="B3514" s="73"/>
      <c r="C3514" s="73"/>
      <c r="D3514" s="73"/>
      <c r="E3514" s="73"/>
      <c r="G3514" s="121"/>
      <c r="H3514" s="140"/>
    </row>
    <row r="3515" spans="1:9" s="65" customFormat="1">
      <c r="A3515" s="128"/>
      <c r="B3515" s="141"/>
      <c r="C3515" s="141"/>
      <c r="D3515" s="141"/>
      <c r="E3515" s="141"/>
      <c r="F3515" s="141"/>
      <c r="G3515" s="141"/>
      <c r="H3515" s="140"/>
    </row>
    <row r="3516" spans="1:9" s="65" customFormat="1">
      <c r="A3516" s="150"/>
      <c r="B3516" s="83"/>
      <c r="C3516" s="148"/>
      <c r="D3516" s="84"/>
      <c r="E3516" s="84"/>
      <c r="F3516" s="84"/>
      <c r="G3516" s="154"/>
      <c r="H3516" s="140"/>
    </row>
    <row r="3517" spans="1:9" s="65" customFormat="1">
      <c r="A3517" s="150"/>
      <c r="B3517" s="83"/>
      <c r="C3517" s="148"/>
      <c r="D3517" s="84"/>
      <c r="E3517" s="84"/>
      <c r="F3517" s="84"/>
      <c r="G3517" s="154"/>
      <c r="H3517" s="140"/>
    </row>
    <row r="3518" spans="1:9" s="65" customFormat="1">
      <c r="A3518" s="150"/>
      <c r="B3518" s="83"/>
      <c r="C3518" s="148"/>
      <c r="D3518" s="84"/>
      <c r="E3518" s="84"/>
      <c r="F3518" s="84"/>
      <c r="G3518" s="154"/>
      <c r="H3518" s="140"/>
    </row>
    <row r="3519" spans="1:9" s="65" customFormat="1">
      <c r="A3519" s="150"/>
      <c r="B3519" s="83"/>
      <c r="C3519" s="148"/>
      <c r="D3519" s="84"/>
      <c r="E3519" s="84"/>
      <c r="F3519" s="84"/>
      <c r="G3519" s="154"/>
      <c r="H3519" s="140"/>
    </row>
    <row r="3520" spans="1:9" s="65" customFormat="1">
      <c r="A3520" s="150"/>
      <c r="B3520" s="83"/>
      <c r="C3520" s="148"/>
      <c r="D3520" s="84"/>
      <c r="E3520" s="84"/>
      <c r="F3520" s="84"/>
      <c r="G3520" s="154"/>
      <c r="H3520" s="140"/>
    </row>
    <row r="3521" spans="1:8" s="65" customFormat="1">
      <c r="A3521" s="150"/>
      <c r="B3521" s="83"/>
      <c r="C3521" s="148"/>
      <c r="D3521" s="84"/>
      <c r="E3521" s="84"/>
      <c r="F3521" s="84"/>
      <c r="G3521" s="154"/>
      <c r="H3521" s="140"/>
    </row>
    <row r="3522" spans="1:8" s="65" customFormat="1">
      <c r="A3522" s="150"/>
      <c r="B3522" s="83"/>
      <c r="C3522" s="148"/>
      <c r="D3522" s="84"/>
      <c r="E3522" s="84"/>
      <c r="F3522" s="84"/>
      <c r="G3522" s="154"/>
      <c r="H3522" s="140"/>
    </row>
    <row r="3523" spans="1:8" s="65" customFormat="1">
      <c r="A3523" s="150"/>
      <c r="B3523" s="83"/>
      <c r="C3523" s="148"/>
      <c r="D3523" s="84"/>
      <c r="E3523" s="84"/>
      <c r="F3523" s="84"/>
      <c r="G3523" s="154"/>
      <c r="H3523" s="140"/>
    </row>
    <row r="3524" spans="1:8" s="65" customFormat="1">
      <c r="A3524" s="150"/>
      <c r="B3524" s="83"/>
      <c r="C3524" s="148"/>
      <c r="D3524" s="84"/>
      <c r="E3524" s="84"/>
      <c r="F3524" s="84"/>
      <c r="G3524" s="154"/>
      <c r="H3524" s="140"/>
    </row>
    <row r="3525" spans="1:8" s="65" customFormat="1">
      <c r="A3525" s="150"/>
      <c r="B3525" s="83"/>
      <c r="C3525" s="148"/>
      <c r="D3525" s="84"/>
      <c r="E3525" s="84"/>
      <c r="F3525" s="84"/>
      <c r="G3525" s="154"/>
      <c r="H3525" s="145"/>
    </row>
    <row r="3526" spans="1:8" s="65" customFormat="1" ht="15" customHeight="1">
      <c r="A3526" s="91"/>
      <c r="B3526" s="91"/>
      <c r="C3526" s="91"/>
      <c r="D3526" s="91"/>
      <c r="E3526" s="91"/>
      <c r="G3526" s="104"/>
      <c r="H3526" s="140"/>
    </row>
    <row r="3527" spans="1:8" s="65" customFormat="1">
      <c r="A3527" s="120"/>
      <c r="B3527" s="73"/>
      <c r="C3527" s="73"/>
      <c r="D3527" s="73"/>
      <c r="E3527" s="73"/>
      <c r="G3527" s="121"/>
      <c r="H3527" s="140"/>
    </row>
    <row r="3528" spans="1:8" s="65" customFormat="1">
      <c r="A3528" s="128"/>
      <c r="B3528" s="141"/>
      <c r="C3528" s="141"/>
      <c r="D3528" s="141"/>
      <c r="E3528" s="141"/>
      <c r="F3528" s="141"/>
      <c r="G3528" s="141"/>
      <c r="H3528" s="140"/>
    </row>
    <row r="3529" spans="1:8" s="65" customFormat="1">
      <c r="A3529" s="146"/>
      <c r="B3529" s="83"/>
      <c r="C3529" s="148"/>
      <c r="D3529" s="84"/>
      <c r="E3529" s="84"/>
      <c r="F3529" s="84"/>
      <c r="G3529" s="144"/>
      <c r="H3529" s="145"/>
    </row>
    <row r="3530" spans="1:8" s="65" customFormat="1">
      <c r="A3530" s="91"/>
      <c r="B3530" s="91"/>
      <c r="C3530" s="91"/>
      <c r="D3530" s="91"/>
      <c r="E3530" s="91"/>
      <c r="G3530" s="104"/>
      <c r="H3530" s="140"/>
    </row>
    <row r="3531" spans="1:8" s="65" customFormat="1">
      <c r="A3531" s="120"/>
      <c r="B3531" s="73"/>
      <c r="C3531" s="73"/>
      <c r="D3531" s="73"/>
      <c r="E3531" s="73"/>
      <c r="G3531" s="121"/>
      <c r="H3531" s="140"/>
    </row>
    <row r="3532" spans="1:8" s="65" customFormat="1">
      <c r="A3532" s="128"/>
      <c r="B3532" s="141"/>
      <c r="C3532" s="141"/>
      <c r="D3532" s="141"/>
      <c r="E3532" s="141"/>
      <c r="F3532" s="141"/>
      <c r="G3532" s="141"/>
      <c r="H3532" s="140"/>
    </row>
    <row r="3533" spans="1:8" s="65" customFormat="1">
      <c r="A3533" s="142"/>
      <c r="B3533" s="143"/>
      <c r="C3533" s="143"/>
      <c r="D3533" s="143"/>
      <c r="E3533" s="143"/>
      <c r="F3533" s="84"/>
      <c r="G3533" s="144"/>
      <c r="H3533" s="145"/>
    </row>
    <row r="3534" spans="1:8" s="65" customFormat="1">
      <c r="A3534" s="123"/>
      <c r="B3534" s="95"/>
      <c r="C3534" s="95"/>
      <c r="D3534" s="95"/>
      <c r="E3534" s="95"/>
      <c r="G3534" s="104"/>
      <c r="H3534" s="121"/>
    </row>
    <row r="3535" spans="1:8" s="65" customFormat="1">
      <c r="A3535" s="123"/>
      <c r="B3535" s="95"/>
      <c r="C3535" s="95"/>
      <c r="D3535" s="95"/>
      <c r="E3535" s="95"/>
      <c r="G3535" s="121"/>
      <c r="H3535" s="133"/>
    </row>
    <row r="3536" spans="1:8" s="65" customFormat="1">
      <c r="B3536" s="97"/>
      <c r="C3536" s="98"/>
      <c r="D3536" s="98"/>
      <c r="E3536" s="98"/>
      <c r="G3536" s="128"/>
    </row>
    <row r="3537" spans="1:9" s="65" customFormat="1">
      <c r="B3537" s="97"/>
      <c r="C3537" s="98"/>
      <c r="D3537" s="98"/>
      <c r="E3537" s="98"/>
      <c r="F3537" s="128"/>
      <c r="G3537" s="133"/>
      <c r="H3537" s="134"/>
    </row>
    <row r="3538" spans="1:9" s="65" customFormat="1">
      <c r="A3538" s="633"/>
      <c r="B3538" s="633"/>
      <c r="C3538" s="633"/>
      <c r="D3538" s="633"/>
      <c r="E3538" s="633"/>
      <c r="F3538" s="633"/>
      <c r="G3538" s="633"/>
    </row>
    <row r="3539" spans="1:9" s="65" customFormat="1">
      <c r="H3539" s="156"/>
      <c r="I3539" s="151"/>
    </row>
    <row r="3540" spans="1:9" s="65" customFormat="1">
      <c r="A3540" s="645"/>
      <c r="B3540" s="156"/>
      <c r="C3540" s="156"/>
      <c r="D3540" s="156"/>
      <c r="E3540" s="156"/>
      <c r="F3540" s="156"/>
      <c r="G3540" s="156"/>
      <c r="H3540" s="156"/>
      <c r="I3540" s="152"/>
    </row>
    <row r="3541" spans="1:9" s="65" customFormat="1">
      <c r="A3541" s="645"/>
      <c r="B3541" s="156"/>
      <c r="C3541" s="156"/>
      <c r="D3541" s="156"/>
      <c r="E3541" s="156"/>
      <c r="F3541" s="156"/>
      <c r="G3541" s="156"/>
    </row>
    <row r="3542" spans="1:9" s="65" customFormat="1">
      <c r="A3542" s="69"/>
      <c r="B3542" s="69"/>
      <c r="C3542" s="69"/>
      <c r="D3542" s="69"/>
      <c r="E3542" s="69"/>
    </row>
    <row r="3543" spans="1:9" s="65" customFormat="1">
      <c r="A3543" s="120"/>
      <c r="B3543" s="73"/>
      <c r="C3543" s="73"/>
      <c r="D3543" s="73"/>
      <c r="E3543" s="73"/>
      <c r="F3543" s="121"/>
      <c r="G3543" s="121"/>
      <c r="H3543" s="121"/>
    </row>
    <row r="3544" spans="1:9" s="65" customFormat="1">
      <c r="A3544" s="128"/>
      <c r="B3544" s="141"/>
      <c r="C3544" s="141"/>
      <c r="D3544" s="141"/>
      <c r="E3544" s="141"/>
      <c r="F3544" s="141"/>
      <c r="G3544" s="141"/>
      <c r="H3544" s="121"/>
    </row>
    <row r="3545" spans="1:9" s="65" customFormat="1">
      <c r="A3545" s="150"/>
      <c r="B3545" s="83"/>
      <c r="C3545" s="148"/>
      <c r="D3545" s="84"/>
      <c r="E3545" s="84"/>
      <c r="F3545" s="84"/>
      <c r="G3545" s="154"/>
      <c r="H3545" s="145"/>
    </row>
    <row r="3546" spans="1:9" s="65" customFormat="1">
      <c r="A3546" s="84"/>
      <c r="B3546" s="83"/>
      <c r="C3546" s="84"/>
      <c r="D3546" s="84"/>
      <c r="E3546" s="84"/>
      <c r="G3546" s="104"/>
      <c r="H3546" s="140"/>
    </row>
    <row r="3547" spans="1:9" s="65" customFormat="1">
      <c r="A3547" s="120"/>
      <c r="B3547" s="73"/>
      <c r="C3547" s="73"/>
      <c r="D3547" s="73"/>
      <c r="E3547" s="73"/>
      <c r="G3547" s="121"/>
      <c r="H3547" s="140"/>
    </row>
    <row r="3548" spans="1:9" s="65" customFormat="1">
      <c r="A3548" s="128"/>
      <c r="B3548" s="141"/>
      <c r="C3548" s="141"/>
      <c r="D3548" s="141"/>
      <c r="E3548" s="141"/>
      <c r="F3548" s="141"/>
      <c r="G3548" s="141"/>
      <c r="H3548" s="140"/>
    </row>
    <row r="3549" spans="1:9" s="65" customFormat="1">
      <c r="A3549" s="150"/>
      <c r="B3549" s="83"/>
      <c r="C3549" s="148"/>
      <c r="D3549" s="84"/>
      <c r="E3549" s="84"/>
      <c r="F3549" s="84"/>
      <c r="G3549" s="154"/>
      <c r="H3549" s="140"/>
    </row>
    <row r="3550" spans="1:9" s="65" customFormat="1">
      <c r="A3550" s="150"/>
      <c r="B3550" s="83"/>
      <c r="C3550" s="148"/>
      <c r="D3550" s="84"/>
      <c r="E3550" s="84"/>
      <c r="F3550" s="84"/>
      <c r="G3550" s="154"/>
      <c r="H3550" s="140"/>
    </row>
    <row r="3551" spans="1:9" s="65" customFormat="1">
      <c r="A3551" s="150"/>
      <c r="B3551" s="83"/>
      <c r="C3551" s="148"/>
      <c r="D3551" s="84"/>
      <c r="E3551" s="84"/>
      <c r="F3551" s="84"/>
      <c r="G3551" s="154"/>
      <c r="H3551" s="140"/>
    </row>
    <row r="3552" spans="1:9" s="65" customFormat="1">
      <c r="A3552" s="150"/>
      <c r="B3552" s="83"/>
      <c r="C3552" s="148"/>
      <c r="D3552" s="84"/>
      <c r="E3552" s="84"/>
      <c r="F3552" s="84"/>
      <c r="G3552" s="154"/>
      <c r="H3552" s="140"/>
    </row>
    <row r="3553" spans="1:8" s="65" customFormat="1">
      <c r="A3553" s="150"/>
      <c r="B3553" s="83"/>
      <c r="C3553" s="148"/>
      <c r="D3553" s="84"/>
      <c r="E3553" s="84"/>
      <c r="F3553" s="84"/>
      <c r="G3553" s="154"/>
      <c r="H3553" s="140"/>
    </row>
    <row r="3554" spans="1:8" s="65" customFormat="1">
      <c r="A3554" s="150"/>
      <c r="B3554" s="83"/>
      <c r="C3554" s="148"/>
      <c r="D3554" s="84"/>
      <c r="E3554" s="84"/>
      <c r="F3554" s="84"/>
      <c r="G3554" s="154"/>
      <c r="H3554" s="140"/>
    </row>
    <row r="3555" spans="1:8" s="65" customFormat="1">
      <c r="A3555" s="150"/>
      <c r="B3555" s="83"/>
      <c r="C3555" s="148"/>
      <c r="D3555" s="84"/>
      <c r="E3555" s="84"/>
      <c r="F3555" s="84"/>
      <c r="G3555" s="154"/>
      <c r="H3555" s="140"/>
    </row>
    <row r="3556" spans="1:8" s="65" customFormat="1">
      <c r="A3556" s="150"/>
      <c r="B3556" s="83"/>
      <c r="C3556" s="148"/>
      <c r="D3556" s="84"/>
      <c r="E3556" s="84"/>
      <c r="F3556" s="84"/>
      <c r="G3556" s="154"/>
      <c r="H3556" s="140"/>
    </row>
    <row r="3557" spans="1:8" s="65" customFormat="1">
      <c r="A3557" s="150"/>
      <c r="B3557" s="83"/>
      <c r="C3557" s="148"/>
      <c r="D3557" s="84"/>
      <c r="E3557" s="84"/>
      <c r="F3557" s="84"/>
      <c r="G3557" s="154"/>
      <c r="H3557" s="140"/>
    </row>
    <row r="3558" spans="1:8" s="65" customFormat="1">
      <c r="A3558" s="150"/>
      <c r="B3558" s="83"/>
      <c r="C3558" s="148"/>
      <c r="D3558" s="84"/>
      <c r="E3558" s="84"/>
      <c r="F3558" s="84"/>
      <c r="G3558" s="154"/>
      <c r="H3558" s="145"/>
    </row>
    <row r="3559" spans="1:8" s="65" customFormat="1">
      <c r="A3559" s="91"/>
      <c r="B3559" s="91"/>
      <c r="C3559" s="91"/>
      <c r="D3559" s="91"/>
      <c r="E3559" s="91"/>
      <c r="G3559" s="104"/>
      <c r="H3559" s="140"/>
    </row>
    <row r="3560" spans="1:8" s="65" customFormat="1">
      <c r="A3560" s="120"/>
      <c r="B3560" s="73"/>
      <c r="C3560" s="73"/>
      <c r="D3560" s="73"/>
      <c r="E3560" s="73"/>
      <c r="G3560" s="121"/>
      <c r="H3560" s="140"/>
    </row>
    <row r="3561" spans="1:8" s="65" customFormat="1">
      <c r="A3561" s="128"/>
      <c r="B3561" s="141"/>
      <c r="C3561" s="141"/>
      <c r="D3561" s="141"/>
      <c r="E3561" s="141"/>
      <c r="F3561" s="141"/>
      <c r="G3561" s="141"/>
      <c r="H3561" s="140"/>
    </row>
    <row r="3562" spans="1:8" s="65" customFormat="1">
      <c r="A3562" s="146"/>
      <c r="B3562" s="83"/>
      <c r="C3562" s="148"/>
      <c r="D3562" s="84"/>
      <c r="E3562" s="84"/>
      <c r="F3562" s="84"/>
      <c r="G3562" s="144"/>
      <c r="H3562" s="145"/>
    </row>
    <row r="3563" spans="1:8" s="65" customFormat="1">
      <c r="A3563" s="91"/>
      <c r="B3563" s="91"/>
      <c r="C3563" s="91"/>
      <c r="D3563" s="91"/>
      <c r="E3563" s="91"/>
      <c r="G3563" s="104"/>
      <c r="H3563" s="140"/>
    </row>
    <row r="3564" spans="1:8" s="65" customFormat="1">
      <c r="A3564" s="120"/>
      <c r="B3564" s="73"/>
      <c r="C3564" s="73"/>
      <c r="D3564" s="73"/>
      <c r="E3564" s="73"/>
      <c r="G3564" s="121"/>
      <c r="H3564" s="140"/>
    </row>
    <row r="3565" spans="1:8" s="65" customFormat="1">
      <c r="A3565" s="128"/>
      <c r="B3565" s="141"/>
      <c r="C3565" s="141"/>
      <c r="D3565" s="141"/>
      <c r="E3565" s="141"/>
      <c r="F3565" s="141"/>
      <c r="G3565" s="141"/>
      <c r="H3565" s="140"/>
    </row>
    <row r="3566" spans="1:8" s="65" customFormat="1">
      <c r="A3566" s="142"/>
      <c r="B3566" s="143"/>
      <c r="C3566" s="143"/>
      <c r="D3566" s="143"/>
      <c r="E3566" s="143"/>
      <c r="F3566" s="84"/>
      <c r="G3566" s="144"/>
      <c r="H3566" s="145"/>
    </row>
    <row r="3567" spans="1:8" s="65" customFormat="1">
      <c r="A3567" s="123"/>
      <c r="B3567" s="95"/>
      <c r="C3567" s="95"/>
      <c r="D3567" s="95"/>
      <c r="E3567" s="95"/>
      <c r="G3567" s="104"/>
      <c r="H3567" s="121"/>
    </row>
    <row r="3568" spans="1:8" s="65" customFormat="1">
      <c r="A3568" s="123"/>
      <c r="B3568" s="95"/>
      <c r="C3568" s="95"/>
      <c r="D3568" s="95"/>
      <c r="E3568" s="95"/>
      <c r="G3568" s="121"/>
      <c r="H3568" s="133"/>
    </row>
    <row r="3569" spans="1:9" s="65" customFormat="1">
      <c r="B3569" s="97"/>
      <c r="C3569" s="98"/>
      <c r="D3569" s="98"/>
      <c r="E3569" s="98"/>
      <c r="G3569" s="128"/>
    </row>
    <row r="3570" spans="1:9" s="65" customFormat="1">
      <c r="B3570" s="97"/>
      <c r="C3570" s="98"/>
      <c r="D3570" s="98"/>
      <c r="E3570" s="98"/>
      <c r="F3570" s="128"/>
      <c r="G3570" s="133"/>
      <c r="H3570" s="134"/>
    </row>
    <row r="3571" spans="1:9" s="65" customFormat="1">
      <c r="A3571" s="633"/>
      <c r="B3571" s="633"/>
      <c r="C3571" s="633"/>
      <c r="D3571" s="633"/>
      <c r="E3571" s="633"/>
      <c r="F3571" s="633"/>
      <c r="G3571" s="633"/>
    </row>
    <row r="3572" spans="1:9" s="65" customFormat="1">
      <c r="H3572" s="156"/>
      <c r="I3572" s="151"/>
    </row>
    <row r="3573" spans="1:9" s="65" customFormat="1">
      <c r="A3573" s="645"/>
      <c r="B3573" s="156"/>
      <c r="C3573" s="156"/>
      <c r="D3573" s="156"/>
      <c r="E3573" s="156"/>
      <c r="F3573" s="156"/>
      <c r="G3573" s="156"/>
      <c r="H3573" s="156"/>
      <c r="I3573" s="152"/>
    </row>
    <row r="3574" spans="1:9" s="65" customFormat="1">
      <c r="A3574" s="645"/>
      <c r="B3574" s="156"/>
      <c r="C3574" s="156"/>
      <c r="D3574" s="156"/>
      <c r="E3574" s="156"/>
      <c r="F3574" s="156"/>
      <c r="G3574" s="156"/>
    </row>
    <row r="3575" spans="1:9" s="65" customFormat="1">
      <c r="A3575" s="69"/>
      <c r="B3575" s="69"/>
      <c r="C3575" s="69"/>
      <c r="D3575" s="69"/>
      <c r="E3575" s="69"/>
    </row>
    <row r="3576" spans="1:9" s="65" customFormat="1">
      <c r="A3576" s="120"/>
      <c r="B3576" s="73"/>
      <c r="C3576" s="73"/>
      <c r="D3576" s="73"/>
      <c r="E3576" s="73"/>
      <c r="F3576" s="121"/>
      <c r="G3576" s="121"/>
      <c r="H3576" s="121"/>
    </row>
    <row r="3577" spans="1:9" s="65" customFormat="1">
      <c r="A3577" s="128"/>
      <c r="B3577" s="141"/>
      <c r="C3577" s="141"/>
      <c r="D3577" s="141"/>
      <c r="E3577" s="141"/>
      <c r="F3577" s="141"/>
      <c r="G3577" s="141"/>
      <c r="H3577" s="121"/>
    </row>
    <row r="3578" spans="1:9" s="65" customFormat="1">
      <c r="A3578" s="150"/>
      <c r="B3578" s="83"/>
      <c r="C3578" s="148"/>
      <c r="D3578" s="84"/>
      <c r="E3578" s="84"/>
      <c r="F3578" s="84"/>
      <c r="G3578" s="154"/>
      <c r="H3578" s="121"/>
    </row>
    <row r="3579" spans="1:9" s="65" customFormat="1">
      <c r="A3579" s="150"/>
      <c r="B3579" s="83"/>
      <c r="C3579" s="148"/>
      <c r="D3579" s="84"/>
      <c r="E3579" s="84"/>
      <c r="F3579" s="84"/>
      <c r="G3579" s="154"/>
      <c r="H3579" s="121"/>
    </row>
    <row r="3580" spans="1:9" s="65" customFormat="1">
      <c r="A3580" s="150"/>
      <c r="B3580" s="83"/>
      <c r="C3580" s="148"/>
      <c r="D3580" s="84"/>
      <c r="E3580" s="84"/>
      <c r="F3580" s="84"/>
      <c r="G3580" s="154"/>
      <c r="H3580" s="121"/>
    </row>
    <row r="3581" spans="1:9" s="65" customFormat="1">
      <c r="A3581" s="150"/>
      <c r="B3581" s="83"/>
      <c r="C3581" s="148"/>
      <c r="D3581" s="84"/>
      <c r="E3581" s="84"/>
      <c r="F3581" s="84"/>
      <c r="G3581" s="154"/>
      <c r="H3581" s="121"/>
    </row>
    <row r="3582" spans="1:9" s="65" customFormat="1">
      <c r="A3582" s="150"/>
      <c r="B3582" s="83"/>
      <c r="C3582" s="148"/>
      <c r="D3582" s="84"/>
      <c r="E3582" s="84"/>
      <c r="F3582" s="84"/>
      <c r="G3582" s="154"/>
      <c r="H3582" s="145"/>
    </row>
    <row r="3583" spans="1:9" s="65" customFormat="1">
      <c r="A3583" s="84"/>
      <c r="B3583" s="83"/>
      <c r="C3583" s="84"/>
      <c r="D3583" s="84"/>
      <c r="E3583" s="84"/>
      <c r="G3583" s="104"/>
      <c r="H3583" s="140"/>
    </row>
    <row r="3584" spans="1:9" s="65" customFormat="1">
      <c r="A3584" s="120"/>
      <c r="B3584" s="73"/>
      <c r="C3584" s="73"/>
      <c r="D3584" s="73"/>
      <c r="E3584" s="73"/>
      <c r="G3584" s="121"/>
      <c r="H3584" s="140"/>
    </row>
    <row r="3585" spans="1:8" s="65" customFormat="1">
      <c r="A3585" s="128"/>
      <c r="B3585" s="141"/>
      <c r="C3585" s="141"/>
      <c r="D3585" s="141"/>
      <c r="E3585" s="141"/>
      <c r="F3585" s="141"/>
      <c r="G3585" s="141"/>
      <c r="H3585" s="140"/>
    </row>
    <row r="3586" spans="1:8" s="65" customFormat="1">
      <c r="A3586" s="150"/>
      <c r="B3586" s="83"/>
      <c r="C3586" s="148"/>
      <c r="D3586" s="84"/>
      <c r="E3586" s="84"/>
      <c r="F3586" s="84"/>
      <c r="G3586" s="154"/>
      <c r="H3586" s="140"/>
    </row>
    <row r="3587" spans="1:8" s="65" customFormat="1">
      <c r="A3587" s="150"/>
      <c r="B3587" s="83"/>
      <c r="C3587" s="148"/>
      <c r="D3587" s="84"/>
      <c r="E3587" s="84"/>
      <c r="F3587" s="84"/>
      <c r="G3587" s="154"/>
      <c r="H3587" s="140"/>
    </row>
    <row r="3588" spans="1:8" s="65" customFormat="1">
      <c r="A3588" s="150"/>
      <c r="B3588" s="83"/>
      <c r="C3588" s="148"/>
      <c r="D3588" s="84"/>
      <c r="E3588" s="84"/>
      <c r="F3588" s="84"/>
      <c r="G3588" s="154"/>
      <c r="H3588" s="140"/>
    </row>
    <row r="3589" spans="1:8" s="65" customFormat="1">
      <c r="A3589" s="150"/>
      <c r="B3589" s="83"/>
      <c r="C3589" s="148"/>
      <c r="D3589" s="84"/>
      <c r="E3589" s="84"/>
      <c r="F3589" s="84"/>
      <c r="G3589" s="154"/>
      <c r="H3589" s="140"/>
    </row>
    <row r="3590" spans="1:8" s="65" customFormat="1">
      <c r="A3590" s="150"/>
      <c r="B3590" s="83"/>
      <c r="C3590" s="148"/>
      <c r="D3590" s="84"/>
      <c r="E3590" s="84"/>
      <c r="F3590" s="84"/>
      <c r="G3590" s="154"/>
      <c r="H3590" s="140"/>
    </row>
    <row r="3591" spans="1:8" s="65" customFormat="1">
      <c r="A3591" s="150"/>
      <c r="B3591" s="83"/>
      <c r="C3591" s="148"/>
      <c r="D3591" s="84"/>
      <c r="E3591" s="84"/>
      <c r="F3591" s="84"/>
      <c r="G3591" s="154"/>
      <c r="H3591" s="140"/>
    </row>
    <row r="3592" spans="1:8" s="65" customFormat="1">
      <c r="A3592" s="150"/>
      <c r="B3592" s="83"/>
      <c r="C3592" s="148"/>
      <c r="D3592" s="84"/>
      <c r="E3592" s="84"/>
      <c r="F3592" s="84"/>
      <c r="G3592" s="154"/>
      <c r="H3592" s="145"/>
    </row>
    <row r="3593" spans="1:8" s="65" customFormat="1">
      <c r="A3593" s="91"/>
      <c r="B3593" s="91"/>
      <c r="C3593" s="91"/>
      <c r="D3593" s="91"/>
      <c r="E3593" s="91"/>
      <c r="G3593" s="104"/>
      <c r="H3593" s="140"/>
    </row>
    <row r="3594" spans="1:8" s="65" customFormat="1">
      <c r="A3594" s="120"/>
      <c r="B3594" s="73"/>
      <c r="C3594" s="73"/>
      <c r="D3594" s="73"/>
      <c r="E3594" s="73"/>
      <c r="G3594" s="121"/>
      <c r="H3594" s="140"/>
    </row>
    <row r="3595" spans="1:8" s="65" customFormat="1">
      <c r="A3595" s="128"/>
      <c r="B3595" s="141"/>
      <c r="C3595" s="141"/>
      <c r="D3595" s="141"/>
      <c r="E3595" s="141"/>
      <c r="F3595" s="141"/>
      <c r="G3595" s="141"/>
      <c r="H3595" s="140"/>
    </row>
    <row r="3596" spans="1:8" s="65" customFormat="1">
      <c r="A3596" s="146"/>
      <c r="B3596" s="83"/>
      <c r="C3596" s="148"/>
      <c r="D3596" s="84"/>
      <c r="E3596" s="84"/>
      <c r="F3596" s="84"/>
      <c r="G3596" s="144"/>
      <c r="H3596" s="140"/>
    </row>
    <row r="3597" spans="1:8" s="65" customFormat="1">
      <c r="A3597" s="146"/>
      <c r="B3597" s="83"/>
      <c r="C3597" s="148"/>
      <c r="D3597" s="84"/>
      <c r="E3597" s="84"/>
      <c r="F3597" s="84"/>
      <c r="G3597" s="144"/>
      <c r="H3597" s="145"/>
    </row>
    <row r="3598" spans="1:8" s="65" customFormat="1">
      <c r="A3598" s="91"/>
      <c r="B3598" s="91"/>
      <c r="C3598" s="91"/>
      <c r="D3598" s="91"/>
      <c r="E3598" s="91"/>
      <c r="G3598" s="104"/>
      <c r="H3598" s="140"/>
    </row>
    <row r="3599" spans="1:8" s="65" customFormat="1">
      <c r="A3599" s="120"/>
      <c r="B3599" s="73"/>
      <c r="C3599" s="73"/>
      <c r="D3599" s="73"/>
      <c r="E3599" s="73"/>
      <c r="G3599" s="121"/>
      <c r="H3599" s="140"/>
    </row>
    <row r="3600" spans="1:8" s="65" customFormat="1">
      <c r="A3600" s="128"/>
      <c r="B3600" s="141"/>
      <c r="C3600" s="141"/>
      <c r="D3600" s="141"/>
      <c r="E3600" s="141"/>
      <c r="F3600" s="141"/>
      <c r="G3600" s="141"/>
      <c r="H3600" s="140"/>
    </row>
    <row r="3601" spans="1:9" s="65" customFormat="1">
      <c r="A3601" s="142"/>
      <c r="B3601" s="143"/>
      <c r="C3601" s="143"/>
      <c r="D3601" s="143"/>
      <c r="E3601" s="143"/>
      <c r="F3601" s="84"/>
      <c r="G3601" s="144"/>
      <c r="H3601" s="145"/>
    </row>
    <row r="3602" spans="1:9" s="65" customFormat="1">
      <c r="A3602" s="123"/>
      <c r="B3602" s="95"/>
      <c r="C3602" s="95"/>
      <c r="D3602" s="95"/>
      <c r="E3602" s="95"/>
      <c r="G3602" s="104"/>
      <c r="H3602" s="121"/>
    </row>
    <row r="3603" spans="1:9" s="65" customFormat="1">
      <c r="A3603" s="123"/>
      <c r="B3603" s="95"/>
      <c r="C3603" s="95"/>
      <c r="D3603" s="95"/>
      <c r="E3603" s="95"/>
      <c r="G3603" s="121"/>
      <c r="H3603" s="133"/>
    </row>
    <row r="3604" spans="1:9" s="65" customFormat="1">
      <c r="B3604" s="97"/>
      <c r="C3604" s="98"/>
      <c r="D3604" s="98"/>
      <c r="E3604" s="98"/>
      <c r="G3604" s="128"/>
    </row>
    <row r="3605" spans="1:9" s="65" customFormat="1">
      <c r="B3605" s="97"/>
      <c r="C3605" s="98"/>
      <c r="D3605" s="98"/>
      <c r="E3605" s="98"/>
      <c r="F3605" s="128"/>
      <c r="G3605" s="133"/>
      <c r="H3605" s="134"/>
    </row>
    <row r="3606" spans="1:9" s="65" customFormat="1">
      <c r="A3606" s="633"/>
      <c r="B3606" s="633"/>
      <c r="C3606" s="633"/>
      <c r="D3606" s="633"/>
      <c r="E3606" s="633"/>
      <c r="F3606" s="633"/>
      <c r="G3606" s="633"/>
    </row>
    <row r="3607" spans="1:9" s="65" customFormat="1">
      <c r="H3607" s="156"/>
      <c r="I3607" s="151"/>
    </row>
    <row r="3608" spans="1:9" s="65" customFormat="1">
      <c r="A3608" s="645"/>
      <c r="B3608" s="156"/>
      <c r="C3608" s="156"/>
      <c r="D3608" s="156"/>
      <c r="E3608" s="156"/>
      <c r="F3608" s="156"/>
      <c r="G3608" s="156"/>
      <c r="H3608" s="156"/>
      <c r="I3608" s="152"/>
    </row>
    <row r="3609" spans="1:9" s="65" customFormat="1">
      <c r="A3609" s="645"/>
      <c r="B3609" s="156"/>
      <c r="C3609" s="156"/>
      <c r="D3609" s="156"/>
      <c r="E3609" s="156"/>
      <c r="F3609" s="156"/>
      <c r="G3609" s="156"/>
    </row>
    <row r="3610" spans="1:9" s="65" customFormat="1">
      <c r="A3610" s="69"/>
      <c r="B3610" s="69"/>
      <c r="C3610" s="69"/>
      <c r="D3610" s="69"/>
      <c r="E3610" s="69"/>
    </row>
    <row r="3611" spans="1:9" s="65" customFormat="1">
      <c r="A3611" s="120"/>
      <c r="B3611" s="73"/>
      <c r="C3611" s="73"/>
      <c r="D3611" s="73"/>
      <c r="E3611" s="73"/>
      <c r="F3611" s="121"/>
      <c r="G3611" s="121"/>
      <c r="H3611" s="121"/>
    </row>
    <row r="3612" spans="1:9" s="65" customFormat="1">
      <c r="A3612" s="128"/>
      <c r="B3612" s="141"/>
      <c r="C3612" s="141"/>
      <c r="D3612" s="141"/>
      <c r="E3612" s="141"/>
      <c r="F3612" s="141"/>
      <c r="G3612" s="141"/>
      <c r="H3612" s="121"/>
    </row>
    <row r="3613" spans="1:9" s="65" customFormat="1">
      <c r="A3613" s="150"/>
      <c r="B3613" s="83"/>
      <c r="C3613" s="148"/>
      <c r="D3613" s="84"/>
      <c r="E3613" s="84"/>
      <c r="F3613" s="84"/>
      <c r="G3613" s="154"/>
      <c r="H3613" s="121"/>
    </row>
    <row r="3614" spans="1:9" s="65" customFormat="1">
      <c r="A3614" s="150"/>
      <c r="B3614" s="83"/>
      <c r="C3614" s="148"/>
      <c r="D3614" s="84"/>
      <c r="E3614" s="84"/>
      <c r="F3614" s="84"/>
      <c r="G3614" s="154"/>
      <c r="H3614" s="121"/>
    </row>
    <row r="3615" spans="1:9" s="65" customFormat="1">
      <c r="A3615" s="150"/>
      <c r="B3615" s="83"/>
      <c r="C3615" s="148"/>
      <c r="D3615" s="84"/>
      <c r="E3615" s="84"/>
      <c r="F3615" s="84"/>
      <c r="G3615" s="154"/>
      <c r="H3615" s="145"/>
    </row>
    <row r="3616" spans="1:9" s="65" customFormat="1">
      <c r="A3616" s="84"/>
      <c r="B3616" s="83"/>
      <c r="C3616" s="84"/>
      <c r="D3616" s="84"/>
      <c r="E3616" s="84"/>
      <c r="G3616" s="104"/>
      <c r="H3616" s="140"/>
    </row>
    <row r="3617" spans="1:8" s="65" customFormat="1">
      <c r="A3617" s="120"/>
      <c r="B3617" s="73"/>
      <c r="C3617" s="73"/>
      <c r="D3617" s="73"/>
      <c r="E3617" s="73"/>
      <c r="G3617" s="121"/>
      <c r="H3617" s="140"/>
    </row>
    <row r="3618" spans="1:8" s="65" customFormat="1">
      <c r="A3618" s="128"/>
      <c r="B3618" s="141"/>
      <c r="C3618" s="141"/>
      <c r="D3618" s="141"/>
      <c r="E3618" s="141"/>
      <c r="F3618" s="141"/>
      <c r="G3618" s="141"/>
      <c r="H3618" s="140"/>
    </row>
    <row r="3619" spans="1:8" s="65" customFormat="1">
      <c r="A3619" s="150"/>
      <c r="B3619" s="83"/>
      <c r="C3619" s="148"/>
      <c r="D3619" s="84"/>
      <c r="E3619" s="84"/>
      <c r="F3619" s="84"/>
      <c r="G3619" s="154"/>
      <c r="H3619" s="140"/>
    </row>
    <row r="3620" spans="1:8" s="65" customFormat="1">
      <c r="A3620" s="150"/>
      <c r="B3620" s="83"/>
      <c r="C3620" s="148"/>
      <c r="D3620" s="84"/>
      <c r="E3620" s="84"/>
      <c r="F3620" s="84"/>
      <c r="G3620" s="154"/>
      <c r="H3620" s="145"/>
    </row>
    <row r="3621" spans="1:8" s="65" customFormat="1">
      <c r="A3621" s="91"/>
      <c r="B3621" s="91"/>
      <c r="C3621" s="91"/>
      <c r="D3621" s="91"/>
      <c r="E3621" s="91"/>
      <c r="G3621" s="104"/>
      <c r="H3621" s="140"/>
    </row>
    <row r="3622" spans="1:8" s="65" customFormat="1">
      <c r="A3622" s="120"/>
      <c r="B3622" s="73"/>
      <c r="C3622" s="73"/>
      <c r="D3622" s="73"/>
      <c r="E3622" s="73"/>
      <c r="G3622" s="121"/>
      <c r="H3622" s="140"/>
    </row>
    <row r="3623" spans="1:8" s="65" customFormat="1">
      <c r="A3623" s="128"/>
      <c r="B3623" s="141"/>
      <c r="C3623" s="141"/>
      <c r="D3623" s="141"/>
      <c r="E3623" s="141"/>
      <c r="F3623" s="141"/>
      <c r="G3623" s="141"/>
      <c r="H3623" s="140"/>
    </row>
    <row r="3624" spans="1:8" s="65" customFormat="1">
      <c r="A3624" s="146"/>
      <c r="B3624" s="83"/>
      <c r="C3624" s="148"/>
      <c r="D3624" s="84"/>
      <c r="E3624" s="84"/>
      <c r="F3624" s="84"/>
      <c r="G3624" s="144"/>
      <c r="H3624" s="145"/>
    </row>
    <row r="3625" spans="1:8" s="65" customFormat="1">
      <c r="A3625" s="91"/>
      <c r="B3625" s="91"/>
      <c r="C3625" s="91"/>
      <c r="D3625" s="91"/>
      <c r="E3625" s="91"/>
      <c r="G3625" s="104"/>
      <c r="H3625" s="140"/>
    </row>
    <row r="3626" spans="1:8" s="65" customFormat="1">
      <c r="A3626" s="120"/>
      <c r="B3626" s="73"/>
      <c r="C3626" s="73"/>
      <c r="D3626" s="73"/>
      <c r="E3626" s="73"/>
      <c r="G3626" s="121"/>
      <c r="H3626" s="140"/>
    </row>
    <row r="3627" spans="1:8" s="65" customFormat="1">
      <c r="A3627" s="128"/>
      <c r="B3627" s="141"/>
      <c r="C3627" s="141"/>
      <c r="D3627" s="141"/>
      <c r="E3627" s="141"/>
      <c r="F3627" s="141"/>
      <c r="G3627" s="141"/>
      <c r="H3627" s="140"/>
    </row>
    <row r="3628" spans="1:8" s="65" customFormat="1">
      <c r="A3628" s="142"/>
      <c r="B3628" s="143"/>
      <c r="C3628" s="143"/>
      <c r="D3628" s="143"/>
      <c r="E3628" s="143"/>
      <c r="F3628" s="84"/>
      <c r="G3628" s="144"/>
      <c r="H3628" s="145"/>
    </row>
    <row r="3629" spans="1:8" s="65" customFormat="1">
      <c r="A3629" s="123"/>
      <c r="B3629" s="95"/>
      <c r="C3629" s="95"/>
      <c r="D3629" s="95"/>
      <c r="E3629" s="95"/>
      <c r="G3629" s="104"/>
      <c r="H3629" s="121"/>
    </row>
    <row r="3630" spans="1:8" s="65" customFormat="1">
      <c r="A3630" s="123"/>
      <c r="B3630" s="95"/>
      <c r="C3630" s="95"/>
      <c r="D3630" s="95"/>
      <c r="E3630" s="95"/>
      <c r="G3630" s="121"/>
      <c r="H3630" s="133"/>
    </row>
    <row r="3631" spans="1:8" s="65" customFormat="1">
      <c r="B3631" s="97"/>
      <c r="C3631" s="98"/>
      <c r="D3631" s="98"/>
      <c r="E3631" s="98"/>
      <c r="G3631" s="128"/>
    </row>
    <row r="3632" spans="1:8" s="65" customFormat="1">
      <c r="B3632" s="97"/>
      <c r="C3632" s="98"/>
      <c r="D3632" s="98"/>
      <c r="E3632" s="98"/>
      <c r="F3632" s="128"/>
      <c r="G3632" s="133"/>
      <c r="H3632" s="134"/>
    </row>
    <row r="3633" spans="1:9" s="65" customFormat="1">
      <c r="A3633" s="633"/>
      <c r="B3633" s="633"/>
      <c r="C3633" s="633"/>
      <c r="D3633" s="633"/>
      <c r="E3633" s="633"/>
      <c r="F3633" s="633"/>
      <c r="G3633" s="633"/>
    </row>
    <row r="3634" spans="1:9" s="65" customFormat="1">
      <c r="H3634" s="156"/>
      <c r="I3634" s="151"/>
    </row>
    <row r="3635" spans="1:9" s="65" customFormat="1">
      <c r="A3635" s="645"/>
      <c r="B3635" s="156"/>
      <c r="C3635" s="156"/>
      <c r="D3635" s="156"/>
      <c r="E3635" s="156"/>
      <c r="F3635" s="156"/>
      <c r="G3635" s="156"/>
      <c r="H3635" s="156"/>
      <c r="I3635" s="152"/>
    </row>
    <row r="3636" spans="1:9" s="65" customFormat="1">
      <c r="A3636" s="645"/>
      <c r="B3636" s="156"/>
      <c r="C3636" s="156"/>
      <c r="D3636" s="156"/>
      <c r="E3636" s="156"/>
      <c r="F3636" s="156"/>
      <c r="G3636" s="156"/>
    </row>
    <row r="3637" spans="1:9" s="65" customFormat="1">
      <c r="A3637" s="69"/>
      <c r="B3637" s="69"/>
      <c r="C3637" s="69"/>
      <c r="D3637" s="69"/>
      <c r="E3637" s="69"/>
    </row>
    <row r="3638" spans="1:9" s="65" customFormat="1">
      <c r="A3638" s="120"/>
      <c r="B3638" s="73"/>
      <c r="C3638" s="73"/>
      <c r="D3638" s="73"/>
      <c r="E3638" s="73"/>
      <c r="F3638" s="121"/>
      <c r="G3638" s="121"/>
      <c r="H3638" s="121"/>
    </row>
    <row r="3639" spans="1:9" s="65" customFormat="1">
      <c r="A3639" s="128"/>
      <c r="B3639" s="141"/>
      <c r="C3639" s="141"/>
      <c r="D3639" s="141"/>
      <c r="E3639" s="141"/>
      <c r="F3639" s="141"/>
      <c r="G3639" s="141"/>
      <c r="H3639" s="121"/>
    </row>
    <row r="3640" spans="1:9" s="65" customFormat="1">
      <c r="A3640" s="150"/>
      <c r="B3640" s="83"/>
      <c r="C3640" s="148"/>
      <c r="D3640" s="84"/>
      <c r="E3640" s="84"/>
      <c r="F3640" s="84"/>
      <c r="G3640" s="154"/>
      <c r="H3640" s="145"/>
    </row>
    <row r="3641" spans="1:9" s="65" customFormat="1">
      <c r="A3641" s="84"/>
      <c r="B3641" s="83"/>
      <c r="C3641" s="84"/>
      <c r="D3641" s="84"/>
      <c r="E3641" s="84"/>
      <c r="G3641" s="104"/>
      <c r="H3641" s="140"/>
    </row>
    <row r="3642" spans="1:9" s="65" customFormat="1">
      <c r="A3642" s="120"/>
      <c r="B3642" s="73"/>
      <c r="C3642" s="73"/>
      <c r="D3642" s="73"/>
      <c r="E3642" s="73"/>
      <c r="G3642" s="121"/>
      <c r="H3642" s="140"/>
    </row>
    <row r="3643" spans="1:9" s="65" customFormat="1">
      <c r="A3643" s="128"/>
      <c r="B3643" s="141"/>
      <c r="C3643" s="141"/>
      <c r="D3643" s="141"/>
      <c r="E3643" s="141"/>
      <c r="F3643" s="141"/>
      <c r="G3643" s="141"/>
      <c r="H3643" s="140"/>
    </row>
    <row r="3644" spans="1:9" s="65" customFormat="1">
      <c r="A3644" s="150"/>
      <c r="B3644" s="83"/>
      <c r="C3644" s="148"/>
      <c r="D3644" s="84"/>
      <c r="E3644" s="84"/>
      <c r="F3644" s="84"/>
      <c r="G3644" s="154"/>
      <c r="H3644" s="140"/>
    </row>
    <row r="3645" spans="1:9" s="65" customFormat="1">
      <c r="A3645" s="150"/>
      <c r="B3645" s="83"/>
      <c r="C3645" s="148"/>
      <c r="D3645" s="84"/>
      <c r="E3645" s="84"/>
      <c r="F3645" s="84"/>
      <c r="G3645" s="154"/>
      <c r="H3645" s="140"/>
    </row>
    <row r="3646" spans="1:9" s="65" customFormat="1">
      <c r="A3646" s="150"/>
      <c r="B3646" s="83"/>
      <c r="C3646" s="148"/>
      <c r="D3646" s="84"/>
      <c r="E3646" s="84"/>
      <c r="F3646" s="84"/>
      <c r="G3646" s="154"/>
      <c r="H3646" s="145"/>
    </row>
    <row r="3647" spans="1:9" s="65" customFormat="1">
      <c r="A3647" s="91"/>
      <c r="B3647" s="91"/>
      <c r="C3647" s="91"/>
      <c r="D3647" s="91"/>
      <c r="E3647" s="91"/>
      <c r="G3647" s="104"/>
      <c r="H3647" s="140"/>
    </row>
    <row r="3648" spans="1:9" s="65" customFormat="1">
      <c r="A3648" s="120"/>
      <c r="B3648" s="73"/>
      <c r="C3648" s="73"/>
      <c r="D3648" s="73"/>
      <c r="E3648" s="73"/>
      <c r="G3648" s="121"/>
      <c r="H3648" s="140"/>
    </row>
    <row r="3649" spans="1:9" s="65" customFormat="1">
      <c r="A3649" s="128"/>
      <c r="B3649" s="141"/>
      <c r="C3649" s="141"/>
      <c r="D3649" s="141"/>
      <c r="E3649" s="141"/>
      <c r="F3649" s="141"/>
      <c r="G3649" s="141"/>
      <c r="H3649" s="140"/>
    </row>
    <row r="3650" spans="1:9" s="65" customFormat="1">
      <c r="A3650" s="146"/>
      <c r="B3650" s="83"/>
      <c r="C3650" s="148"/>
      <c r="D3650" s="84"/>
      <c r="E3650" s="84"/>
      <c r="F3650" s="84"/>
      <c r="G3650" s="144"/>
      <c r="H3650" s="145"/>
    </row>
    <row r="3651" spans="1:9" s="65" customFormat="1">
      <c r="A3651" s="91"/>
      <c r="B3651" s="91"/>
      <c r="C3651" s="91"/>
      <c r="D3651" s="91"/>
      <c r="E3651" s="91"/>
      <c r="G3651" s="104"/>
      <c r="H3651" s="140"/>
    </row>
    <row r="3652" spans="1:9" s="65" customFormat="1">
      <c r="A3652" s="120"/>
      <c r="B3652" s="73"/>
      <c r="C3652" s="73"/>
      <c r="D3652" s="73"/>
      <c r="E3652" s="73"/>
      <c r="G3652" s="121"/>
      <c r="H3652" s="140"/>
    </row>
    <row r="3653" spans="1:9" s="65" customFormat="1">
      <c r="A3653" s="128"/>
      <c r="B3653" s="141"/>
      <c r="C3653" s="141"/>
      <c r="D3653" s="141"/>
      <c r="E3653" s="141"/>
      <c r="F3653" s="141"/>
      <c r="G3653" s="141"/>
      <c r="H3653" s="140"/>
    </row>
    <row r="3654" spans="1:9" s="65" customFormat="1">
      <c r="A3654" s="142"/>
      <c r="B3654" s="143"/>
      <c r="C3654" s="143"/>
      <c r="D3654" s="143"/>
      <c r="E3654" s="143"/>
      <c r="F3654" s="84"/>
      <c r="G3654" s="144"/>
      <c r="H3654" s="145"/>
    </row>
    <row r="3655" spans="1:9" s="65" customFormat="1">
      <c r="A3655" s="123"/>
      <c r="B3655" s="95"/>
      <c r="C3655" s="95"/>
      <c r="D3655" s="95"/>
      <c r="E3655" s="95"/>
      <c r="G3655" s="104"/>
      <c r="H3655" s="121"/>
    </row>
    <row r="3656" spans="1:9" s="65" customFormat="1">
      <c r="A3656" s="123"/>
      <c r="B3656" s="95"/>
      <c r="C3656" s="95"/>
      <c r="D3656" s="95"/>
      <c r="E3656" s="95"/>
      <c r="G3656" s="121"/>
      <c r="H3656" s="133"/>
    </row>
    <row r="3657" spans="1:9" s="65" customFormat="1">
      <c r="B3657" s="97"/>
      <c r="C3657" s="98"/>
      <c r="D3657" s="98"/>
      <c r="E3657" s="98"/>
      <c r="G3657" s="128"/>
    </row>
    <row r="3658" spans="1:9" s="65" customFormat="1">
      <c r="B3658" s="97"/>
      <c r="C3658" s="98"/>
      <c r="D3658" s="98"/>
      <c r="E3658" s="98"/>
      <c r="F3658" s="128"/>
      <c r="G3658" s="133"/>
      <c r="H3658" s="134"/>
    </row>
    <row r="3659" spans="1:9" s="65" customFormat="1">
      <c r="A3659" s="633"/>
      <c r="B3659" s="633"/>
      <c r="C3659" s="633"/>
      <c r="D3659" s="633"/>
      <c r="E3659" s="633"/>
      <c r="F3659" s="633"/>
      <c r="G3659" s="633"/>
    </row>
    <row r="3660" spans="1:9" s="65" customFormat="1">
      <c r="H3660" s="156"/>
      <c r="I3660" s="151"/>
    </row>
    <row r="3661" spans="1:9" s="65" customFormat="1">
      <c r="A3661" s="645"/>
      <c r="B3661" s="156"/>
      <c r="C3661" s="156"/>
      <c r="D3661" s="156"/>
      <c r="E3661" s="156"/>
      <c r="F3661" s="156"/>
      <c r="G3661" s="156"/>
      <c r="H3661" s="156"/>
      <c r="I3661" s="152"/>
    </row>
    <row r="3662" spans="1:9" s="65" customFormat="1">
      <c r="A3662" s="645"/>
      <c r="B3662" s="156"/>
      <c r="C3662" s="156"/>
      <c r="D3662" s="156"/>
      <c r="E3662" s="156"/>
      <c r="F3662" s="156"/>
      <c r="G3662" s="156"/>
    </row>
    <row r="3663" spans="1:9" s="65" customFormat="1">
      <c r="A3663" s="69"/>
      <c r="B3663" s="69"/>
      <c r="C3663" s="69"/>
      <c r="D3663" s="69"/>
      <c r="E3663" s="69"/>
    </row>
    <row r="3664" spans="1:9" s="65" customFormat="1">
      <c r="A3664" s="120"/>
      <c r="B3664" s="73"/>
      <c r="C3664" s="73"/>
      <c r="D3664" s="73"/>
      <c r="E3664" s="73"/>
      <c r="F3664" s="121"/>
      <c r="G3664" s="121"/>
      <c r="H3664" s="121"/>
    </row>
    <row r="3665" spans="1:8" s="65" customFormat="1">
      <c r="A3665" s="128"/>
      <c r="B3665" s="141"/>
      <c r="C3665" s="141"/>
      <c r="D3665" s="141"/>
      <c r="E3665" s="141"/>
      <c r="F3665" s="141"/>
      <c r="G3665" s="141"/>
      <c r="H3665" s="121"/>
    </row>
    <row r="3666" spans="1:8" s="65" customFormat="1">
      <c r="A3666" s="150"/>
      <c r="B3666" s="83"/>
      <c r="C3666" s="148"/>
      <c r="D3666" s="84"/>
      <c r="E3666" s="84"/>
      <c r="F3666" s="84"/>
      <c r="G3666" s="154"/>
      <c r="H3666" s="121"/>
    </row>
    <row r="3667" spans="1:8" s="65" customFormat="1">
      <c r="A3667" s="150"/>
      <c r="B3667" s="83"/>
      <c r="C3667" s="148"/>
      <c r="D3667" s="84"/>
      <c r="E3667" s="84"/>
      <c r="F3667" s="84"/>
      <c r="G3667" s="154"/>
      <c r="H3667" s="145"/>
    </row>
    <row r="3668" spans="1:8" s="65" customFormat="1">
      <c r="A3668" s="84"/>
      <c r="B3668" s="83"/>
      <c r="C3668" s="84"/>
      <c r="D3668" s="84"/>
      <c r="E3668" s="84"/>
      <c r="G3668" s="104"/>
      <c r="H3668" s="140"/>
    </row>
    <row r="3669" spans="1:8" s="65" customFormat="1">
      <c r="A3669" s="120"/>
      <c r="B3669" s="73"/>
      <c r="C3669" s="73"/>
      <c r="D3669" s="73"/>
      <c r="E3669" s="73"/>
      <c r="G3669" s="121"/>
      <c r="H3669" s="140"/>
    </row>
    <row r="3670" spans="1:8" s="65" customFormat="1">
      <c r="A3670" s="128"/>
      <c r="B3670" s="141"/>
      <c r="C3670" s="141"/>
      <c r="D3670" s="141"/>
      <c r="E3670" s="141"/>
      <c r="F3670" s="141"/>
      <c r="G3670" s="141"/>
      <c r="H3670" s="140"/>
    </row>
    <row r="3671" spans="1:8" s="65" customFormat="1">
      <c r="A3671" s="150"/>
      <c r="B3671" s="83"/>
      <c r="C3671" s="148"/>
      <c r="D3671" s="84"/>
      <c r="E3671" s="84"/>
      <c r="F3671" s="84"/>
      <c r="G3671" s="154"/>
      <c r="H3671" s="140"/>
    </row>
    <row r="3672" spans="1:8" s="65" customFormat="1">
      <c r="A3672" s="150"/>
      <c r="B3672" s="83"/>
      <c r="C3672" s="148"/>
      <c r="D3672" s="84"/>
      <c r="E3672" s="84"/>
      <c r="F3672" s="84"/>
      <c r="G3672" s="154"/>
      <c r="H3672" s="145"/>
    </row>
    <row r="3673" spans="1:8" s="65" customFormat="1">
      <c r="A3673" s="91"/>
      <c r="B3673" s="91"/>
      <c r="C3673" s="91"/>
      <c r="D3673" s="91"/>
      <c r="E3673" s="91"/>
      <c r="G3673" s="104"/>
      <c r="H3673" s="140"/>
    </row>
    <row r="3674" spans="1:8" s="65" customFormat="1">
      <c r="A3674" s="120"/>
      <c r="B3674" s="73"/>
      <c r="C3674" s="73"/>
      <c r="D3674" s="73"/>
      <c r="E3674" s="73"/>
      <c r="G3674" s="121"/>
      <c r="H3674" s="140"/>
    </row>
    <row r="3675" spans="1:8" s="65" customFormat="1">
      <c r="A3675" s="128"/>
      <c r="B3675" s="141"/>
      <c r="C3675" s="141"/>
      <c r="D3675" s="141"/>
      <c r="E3675" s="141"/>
      <c r="F3675" s="141"/>
      <c r="G3675" s="141"/>
      <c r="H3675" s="140"/>
    </row>
    <row r="3676" spans="1:8" s="65" customFormat="1">
      <c r="A3676" s="146"/>
      <c r="B3676" s="83"/>
      <c r="C3676" s="148"/>
      <c r="D3676" s="84"/>
      <c r="E3676" s="84"/>
      <c r="F3676" s="84"/>
      <c r="G3676" s="144"/>
      <c r="H3676" s="145"/>
    </row>
    <row r="3677" spans="1:8" s="65" customFormat="1">
      <c r="A3677" s="91"/>
      <c r="B3677" s="91"/>
      <c r="C3677" s="91"/>
      <c r="D3677" s="91"/>
      <c r="E3677" s="91"/>
      <c r="G3677" s="104"/>
      <c r="H3677" s="140"/>
    </row>
    <row r="3678" spans="1:8" s="65" customFormat="1">
      <c r="A3678" s="120"/>
      <c r="B3678" s="73"/>
      <c r="C3678" s="73"/>
      <c r="D3678" s="73"/>
      <c r="E3678" s="73"/>
      <c r="G3678" s="121"/>
      <c r="H3678" s="140"/>
    </row>
    <row r="3679" spans="1:8" s="65" customFormat="1">
      <c r="A3679" s="128"/>
      <c r="B3679" s="141"/>
      <c r="C3679" s="141"/>
      <c r="D3679" s="141"/>
      <c r="E3679" s="141"/>
      <c r="F3679" s="141"/>
      <c r="G3679" s="141"/>
      <c r="H3679" s="140"/>
    </row>
    <row r="3680" spans="1:8" s="65" customFormat="1">
      <c r="A3680" s="142"/>
      <c r="B3680" s="143"/>
      <c r="C3680" s="143"/>
      <c r="D3680" s="143"/>
      <c r="E3680" s="143"/>
      <c r="F3680" s="84"/>
      <c r="G3680" s="144"/>
      <c r="H3680" s="145"/>
    </row>
    <row r="3681" spans="1:9" s="65" customFormat="1">
      <c r="A3681" s="123"/>
      <c r="B3681" s="95"/>
      <c r="C3681" s="95"/>
      <c r="D3681" s="95"/>
      <c r="E3681" s="95"/>
      <c r="G3681" s="104"/>
      <c r="H3681" s="121"/>
    </row>
    <row r="3682" spans="1:9" s="65" customFormat="1">
      <c r="A3682" s="123"/>
      <c r="B3682" s="95"/>
      <c r="C3682" s="95"/>
      <c r="D3682" s="95"/>
      <c r="E3682" s="95"/>
      <c r="G3682" s="121"/>
      <c r="H3682" s="133"/>
    </row>
    <row r="3683" spans="1:9" s="65" customFormat="1">
      <c r="B3683" s="97"/>
      <c r="C3683" s="98"/>
      <c r="D3683" s="98"/>
      <c r="E3683" s="98"/>
      <c r="G3683" s="128"/>
    </row>
    <row r="3684" spans="1:9" s="65" customFormat="1">
      <c r="B3684" s="97"/>
      <c r="C3684" s="98"/>
      <c r="D3684" s="98"/>
      <c r="E3684" s="98"/>
      <c r="F3684" s="128"/>
      <c r="G3684" s="133"/>
      <c r="H3684" s="134"/>
    </row>
    <row r="3685" spans="1:9" s="65" customFormat="1">
      <c r="A3685" s="633"/>
      <c r="B3685" s="633"/>
      <c r="C3685" s="633"/>
      <c r="D3685" s="633"/>
      <c r="E3685" s="633"/>
      <c r="F3685" s="633"/>
      <c r="G3685" s="633"/>
    </row>
    <row r="3686" spans="1:9" s="65" customFormat="1">
      <c r="H3686" s="156"/>
      <c r="I3686" s="151"/>
    </row>
    <row r="3687" spans="1:9" s="65" customFormat="1">
      <c r="A3687" s="645"/>
      <c r="B3687" s="156"/>
      <c r="C3687" s="156"/>
      <c r="D3687" s="156"/>
      <c r="E3687" s="156"/>
      <c r="F3687" s="156"/>
      <c r="G3687" s="156"/>
      <c r="H3687" s="156"/>
      <c r="I3687" s="152"/>
    </row>
    <row r="3688" spans="1:9" s="65" customFormat="1">
      <c r="A3688" s="645"/>
      <c r="B3688" s="156"/>
      <c r="C3688" s="156"/>
      <c r="D3688" s="156"/>
      <c r="E3688" s="156"/>
      <c r="F3688" s="156"/>
      <c r="G3688" s="156"/>
    </row>
    <row r="3689" spans="1:9" s="65" customFormat="1">
      <c r="A3689" s="69"/>
      <c r="B3689" s="69"/>
      <c r="C3689" s="69"/>
      <c r="D3689" s="69"/>
      <c r="E3689" s="69"/>
    </row>
    <row r="3690" spans="1:9" s="65" customFormat="1">
      <c r="A3690" s="120"/>
      <c r="B3690" s="73"/>
      <c r="C3690" s="73"/>
      <c r="D3690" s="73"/>
      <c r="E3690" s="73"/>
      <c r="F3690" s="121"/>
      <c r="G3690" s="121"/>
      <c r="H3690" s="121"/>
    </row>
    <row r="3691" spans="1:9" s="65" customFormat="1">
      <c r="A3691" s="128"/>
      <c r="B3691" s="141"/>
      <c r="C3691" s="141"/>
      <c r="D3691" s="141"/>
      <c r="E3691" s="141"/>
      <c r="F3691" s="141"/>
      <c r="G3691" s="141"/>
      <c r="H3691" s="121"/>
    </row>
    <row r="3692" spans="1:9" s="65" customFormat="1">
      <c r="A3692" s="150"/>
      <c r="B3692" s="83"/>
      <c r="C3692" s="148"/>
      <c r="D3692" s="84"/>
      <c r="E3692" s="84"/>
      <c r="F3692" s="84"/>
      <c r="G3692" s="154"/>
      <c r="H3692" s="121"/>
    </row>
    <row r="3693" spans="1:9" s="65" customFormat="1">
      <c r="A3693" s="150"/>
      <c r="B3693" s="83"/>
      <c r="C3693" s="148"/>
      <c r="D3693" s="84"/>
      <c r="E3693" s="84"/>
      <c r="F3693" s="84"/>
      <c r="G3693" s="154"/>
      <c r="H3693" s="145"/>
    </row>
    <row r="3694" spans="1:9" s="65" customFormat="1">
      <c r="A3694" s="84"/>
      <c r="B3694" s="83"/>
      <c r="C3694" s="84"/>
      <c r="D3694" s="84"/>
      <c r="E3694" s="84"/>
      <c r="G3694" s="104"/>
      <c r="H3694" s="140"/>
    </row>
    <row r="3695" spans="1:9" s="65" customFormat="1">
      <c r="A3695" s="120"/>
      <c r="B3695" s="73"/>
      <c r="C3695" s="73"/>
      <c r="D3695" s="73"/>
      <c r="E3695" s="73"/>
      <c r="G3695" s="121"/>
      <c r="H3695" s="140"/>
    </row>
    <row r="3696" spans="1:9" s="65" customFormat="1">
      <c r="A3696" s="128"/>
      <c r="B3696" s="141"/>
      <c r="C3696" s="141"/>
      <c r="D3696" s="141"/>
      <c r="E3696" s="141"/>
      <c r="F3696" s="141"/>
      <c r="G3696" s="141"/>
      <c r="H3696" s="140"/>
    </row>
    <row r="3697" spans="1:9" s="65" customFormat="1">
      <c r="A3697" s="150"/>
      <c r="B3697" s="83"/>
      <c r="C3697" s="148"/>
      <c r="D3697" s="84"/>
      <c r="E3697" s="84"/>
      <c r="F3697" s="84"/>
      <c r="G3697" s="154"/>
      <c r="H3697" s="145"/>
    </row>
    <row r="3698" spans="1:9" s="65" customFormat="1">
      <c r="A3698" s="91"/>
      <c r="B3698" s="91"/>
      <c r="C3698" s="91"/>
      <c r="D3698" s="91"/>
      <c r="E3698" s="91"/>
      <c r="G3698" s="104"/>
      <c r="H3698" s="140"/>
    </row>
    <row r="3699" spans="1:9" s="65" customFormat="1">
      <c r="A3699" s="120"/>
      <c r="B3699" s="73"/>
      <c r="C3699" s="73"/>
      <c r="D3699" s="73"/>
      <c r="E3699" s="73"/>
      <c r="G3699" s="121"/>
      <c r="H3699" s="140"/>
    </row>
    <row r="3700" spans="1:9" s="65" customFormat="1">
      <c r="A3700" s="128"/>
      <c r="B3700" s="141"/>
      <c r="C3700" s="141"/>
      <c r="D3700" s="141"/>
      <c r="E3700" s="141"/>
      <c r="F3700" s="141"/>
      <c r="G3700" s="141"/>
      <c r="H3700" s="140"/>
    </row>
    <row r="3701" spans="1:9" s="65" customFormat="1">
      <c r="A3701" s="146"/>
      <c r="B3701" s="83"/>
      <c r="C3701" s="148"/>
      <c r="D3701" s="84"/>
      <c r="E3701" s="84"/>
      <c r="F3701" s="84"/>
      <c r="G3701" s="144"/>
      <c r="H3701" s="145"/>
    </row>
    <row r="3702" spans="1:9" s="65" customFormat="1">
      <c r="A3702" s="91"/>
      <c r="B3702" s="91"/>
      <c r="C3702" s="91"/>
      <c r="D3702" s="91"/>
      <c r="E3702" s="91"/>
      <c r="G3702" s="104"/>
      <c r="H3702" s="140"/>
    </row>
    <row r="3703" spans="1:9" s="65" customFormat="1">
      <c r="A3703" s="120"/>
      <c r="B3703" s="73"/>
      <c r="C3703" s="73"/>
      <c r="D3703" s="73"/>
      <c r="E3703" s="73"/>
      <c r="G3703" s="121"/>
      <c r="H3703" s="140"/>
    </row>
    <row r="3704" spans="1:9" s="65" customFormat="1">
      <c r="A3704" s="128"/>
      <c r="B3704" s="141"/>
      <c r="C3704" s="141"/>
      <c r="D3704" s="141"/>
      <c r="E3704" s="141"/>
      <c r="F3704" s="141"/>
      <c r="G3704" s="141"/>
      <c r="H3704" s="140"/>
    </row>
    <row r="3705" spans="1:9" s="65" customFormat="1">
      <c r="A3705" s="142"/>
      <c r="B3705" s="143"/>
      <c r="C3705" s="143"/>
      <c r="D3705" s="143"/>
      <c r="E3705" s="143"/>
      <c r="F3705" s="84"/>
      <c r="G3705" s="144"/>
      <c r="H3705" s="145"/>
    </row>
    <row r="3706" spans="1:9" s="65" customFormat="1">
      <c r="A3706" s="123"/>
      <c r="B3706" s="95"/>
      <c r="C3706" s="95"/>
      <c r="D3706" s="95"/>
      <c r="E3706" s="95"/>
      <c r="G3706" s="104"/>
      <c r="H3706" s="121"/>
    </row>
    <row r="3707" spans="1:9" s="65" customFormat="1">
      <c r="A3707" s="123"/>
      <c r="B3707" s="95"/>
      <c r="C3707" s="95"/>
      <c r="D3707" s="95"/>
      <c r="E3707" s="95"/>
      <c r="G3707" s="121"/>
      <c r="H3707" s="133"/>
    </row>
    <row r="3708" spans="1:9" s="65" customFormat="1">
      <c r="B3708" s="97"/>
      <c r="C3708" s="98"/>
      <c r="D3708" s="98"/>
      <c r="E3708" s="98"/>
      <c r="G3708" s="128"/>
    </row>
    <row r="3709" spans="1:9" s="65" customFormat="1">
      <c r="B3709" s="97"/>
      <c r="C3709" s="98"/>
      <c r="D3709" s="98"/>
      <c r="E3709" s="98"/>
      <c r="F3709" s="128"/>
      <c r="G3709" s="133"/>
      <c r="H3709" s="134"/>
    </row>
    <row r="3710" spans="1:9" s="65" customFormat="1">
      <c r="A3710" s="633"/>
      <c r="B3710" s="633"/>
      <c r="C3710" s="633"/>
      <c r="D3710" s="633"/>
      <c r="E3710" s="633"/>
      <c r="F3710" s="633"/>
      <c r="G3710" s="633"/>
    </row>
    <row r="3711" spans="1:9" s="65" customFormat="1">
      <c r="H3711" s="156"/>
      <c r="I3711" s="151"/>
    </row>
    <row r="3712" spans="1:9" s="65" customFormat="1">
      <c r="A3712" s="645"/>
      <c r="B3712" s="156"/>
      <c r="C3712" s="156"/>
      <c r="D3712" s="156"/>
      <c r="E3712" s="156"/>
      <c r="F3712" s="156"/>
      <c r="G3712" s="156"/>
      <c r="H3712" s="156"/>
      <c r="I3712" s="152"/>
    </row>
    <row r="3713" spans="1:8" s="65" customFormat="1">
      <c r="A3713" s="645"/>
      <c r="B3713" s="156"/>
      <c r="C3713" s="156"/>
      <c r="D3713" s="156"/>
      <c r="E3713" s="156"/>
      <c r="F3713" s="156"/>
      <c r="G3713" s="156"/>
    </row>
    <row r="3714" spans="1:8" s="65" customFormat="1">
      <c r="A3714" s="69"/>
      <c r="B3714" s="69"/>
      <c r="C3714" s="69"/>
      <c r="D3714" s="69"/>
      <c r="E3714" s="69"/>
    </row>
    <row r="3715" spans="1:8" s="65" customFormat="1">
      <c r="A3715" s="120"/>
      <c r="B3715" s="73"/>
      <c r="C3715" s="73"/>
      <c r="D3715" s="73"/>
      <c r="E3715" s="73"/>
      <c r="F3715" s="121"/>
      <c r="G3715" s="121"/>
      <c r="H3715" s="121"/>
    </row>
    <row r="3716" spans="1:8" s="65" customFormat="1">
      <c r="A3716" s="128"/>
      <c r="B3716" s="141"/>
      <c r="C3716" s="141"/>
      <c r="D3716" s="141"/>
      <c r="E3716" s="141"/>
      <c r="F3716" s="141"/>
      <c r="G3716" s="141"/>
      <c r="H3716" s="121"/>
    </row>
    <row r="3717" spans="1:8" s="65" customFormat="1">
      <c r="A3717" s="150"/>
      <c r="B3717" s="83"/>
      <c r="C3717" s="148"/>
      <c r="D3717" s="84"/>
      <c r="E3717" s="84"/>
      <c r="F3717" s="84"/>
      <c r="G3717" s="154"/>
      <c r="H3717" s="121"/>
    </row>
    <row r="3718" spans="1:8" s="65" customFormat="1">
      <c r="A3718" s="150"/>
      <c r="B3718" s="83"/>
      <c r="C3718" s="148"/>
      <c r="D3718" s="84"/>
      <c r="E3718" s="84"/>
      <c r="F3718" s="84"/>
      <c r="G3718" s="154"/>
      <c r="H3718" s="145"/>
    </row>
    <row r="3719" spans="1:8" s="65" customFormat="1">
      <c r="A3719" s="84"/>
      <c r="B3719" s="83"/>
      <c r="C3719" s="84"/>
      <c r="D3719" s="84"/>
      <c r="E3719" s="84"/>
      <c r="G3719" s="104"/>
      <c r="H3719" s="140"/>
    </row>
    <row r="3720" spans="1:8" s="65" customFormat="1">
      <c r="A3720" s="120"/>
      <c r="B3720" s="73"/>
      <c r="C3720" s="73"/>
      <c r="D3720" s="73"/>
      <c r="E3720" s="73"/>
      <c r="G3720" s="121"/>
      <c r="H3720" s="140"/>
    </row>
    <row r="3721" spans="1:8" s="65" customFormat="1">
      <c r="A3721" s="128"/>
      <c r="B3721" s="141"/>
      <c r="C3721" s="141"/>
      <c r="D3721" s="141"/>
      <c r="E3721" s="141"/>
      <c r="F3721" s="141"/>
      <c r="G3721" s="141"/>
      <c r="H3721" s="140"/>
    </row>
    <row r="3722" spans="1:8" s="65" customFormat="1">
      <c r="A3722" s="150"/>
      <c r="B3722" s="83"/>
      <c r="C3722" s="148"/>
      <c r="D3722" s="84"/>
      <c r="E3722" s="84"/>
      <c r="F3722" s="84"/>
      <c r="G3722" s="154"/>
      <c r="H3722" s="140"/>
    </row>
    <row r="3723" spans="1:8" s="65" customFormat="1">
      <c r="A3723" s="150"/>
      <c r="B3723" s="83"/>
      <c r="C3723" s="148"/>
      <c r="D3723" s="84"/>
      <c r="E3723" s="84"/>
      <c r="F3723" s="84"/>
      <c r="G3723" s="154"/>
      <c r="H3723" s="145"/>
    </row>
    <row r="3724" spans="1:8" s="65" customFormat="1">
      <c r="A3724" s="91"/>
      <c r="B3724" s="91"/>
      <c r="C3724" s="91"/>
      <c r="D3724" s="91"/>
      <c r="E3724" s="91"/>
      <c r="G3724" s="104"/>
      <c r="H3724" s="140"/>
    </row>
    <row r="3725" spans="1:8" s="65" customFormat="1">
      <c r="A3725" s="120"/>
      <c r="B3725" s="73"/>
      <c r="C3725" s="73"/>
      <c r="D3725" s="73"/>
      <c r="E3725" s="73"/>
      <c r="G3725" s="121"/>
      <c r="H3725" s="140"/>
    </row>
    <row r="3726" spans="1:8" s="65" customFormat="1">
      <c r="A3726" s="128"/>
      <c r="B3726" s="141"/>
      <c r="C3726" s="141"/>
      <c r="D3726" s="141"/>
      <c r="E3726" s="141"/>
      <c r="F3726" s="141"/>
      <c r="G3726" s="141"/>
      <c r="H3726" s="140"/>
    </row>
    <row r="3727" spans="1:8" s="65" customFormat="1">
      <c r="A3727" s="146"/>
      <c r="B3727" s="83"/>
      <c r="C3727" s="148"/>
      <c r="D3727" s="84"/>
      <c r="E3727" s="84"/>
      <c r="F3727" s="84"/>
      <c r="G3727" s="144"/>
      <c r="H3727" s="145"/>
    </row>
    <row r="3728" spans="1:8" s="65" customFormat="1">
      <c r="A3728" s="91"/>
      <c r="B3728" s="91"/>
      <c r="C3728" s="91"/>
      <c r="D3728" s="91"/>
      <c r="E3728" s="91"/>
      <c r="G3728" s="104"/>
      <c r="H3728" s="140"/>
    </row>
    <row r="3729" spans="1:9" s="65" customFormat="1">
      <c r="A3729" s="120"/>
      <c r="B3729" s="73"/>
      <c r="C3729" s="73"/>
      <c r="D3729" s="73"/>
      <c r="E3729" s="73"/>
      <c r="G3729" s="121"/>
      <c r="H3729" s="140"/>
    </row>
    <row r="3730" spans="1:9" s="65" customFormat="1">
      <c r="A3730" s="128"/>
      <c r="B3730" s="141"/>
      <c r="C3730" s="141"/>
      <c r="D3730" s="141"/>
      <c r="E3730" s="141"/>
      <c r="F3730" s="141"/>
      <c r="G3730" s="141"/>
      <c r="H3730" s="140"/>
    </row>
    <row r="3731" spans="1:9" s="65" customFormat="1">
      <c r="A3731" s="142"/>
      <c r="B3731" s="143"/>
      <c r="C3731" s="143"/>
      <c r="D3731" s="143"/>
      <c r="E3731" s="143"/>
      <c r="F3731" s="84"/>
      <c r="G3731" s="144"/>
      <c r="H3731" s="145"/>
    </row>
    <row r="3732" spans="1:9" s="65" customFormat="1">
      <c r="A3732" s="123"/>
      <c r="B3732" s="95"/>
      <c r="C3732" s="95"/>
      <c r="D3732" s="95"/>
      <c r="E3732" s="95"/>
      <c r="G3732" s="104"/>
      <c r="H3732" s="121"/>
    </row>
    <row r="3733" spans="1:9" s="65" customFormat="1">
      <c r="A3733" s="123"/>
      <c r="B3733" s="95"/>
      <c r="C3733" s="95"/>
      <c r="D3733" s="95"/>
      <c r="E3733" s="95"/>
      <c r="G3733" s="121"/>
      <c r="H3733" s="133"/>
    </row>
    <row r="3734" spans="1:9" s="65" customFormat="1">
      <c r="B3734" s="97"/>
      <c r="C3734" s="98"/>
      <c r="D3734" s="98"/>
      <c r="E3734" s="98"/>
      <c r="G3734" s="128"/>
    </row>
    <row r="3735" spans="1:9" s="65" customFormat="1">
      <c r="B3735" s="97"/>
      <c r="C3735" s="98"/>
      <c r="D3735" s="98"/>
      <c r="E3735" s="98"/>
      <c r="F3735" s="128"/>
      <c r="G3735" s="133"/>
      <c r="H3735" s="134"/>
    </row>
    <row r="3736" spans="1:9" s="65" customFormat="1">
      <c r="A3736" s="633"/>
      <c r="B3736" s="633"/>
      <c r="C3736" s="633"/>
      <c r="D3736" s="633"/>
      <c r="E3736" s="633"/>
      <c r="F3736" s="633"/>
      <c r="G3736" s="633"/>
    </row>
    <row r="3737" spans="1:9" s="65" customFormat="1">
      <c r="H3737" s="156"/>
      <c r="I3737" s="151"/>
    </row>
    <row r="3738" spans="1:9" s="65" customFormat="1">
      <c r="A3738" s="645"/>
      <c r="B3738" s="156"/>
      <c r="C3738" s="156"/>
      <c r="D3738" s="156"/>
      <c r="E3738" s="156"/>
      <c r="F3738" s="156"/>
      <c r="G3738" s="156"/>
      <c r="H3738" s="156"/>
      <c r="I3738" s="152"/>
    </row>
    <row r="3739" spans="1:9" s="65" customFormat="1">
      <c r="A3739" s="645"/>
      <c r="B3739" s="156"/>
      <c r="C3739" s="156"/>
      <c r="D3739" s="156"/>
      <c r="E3739" s="156"/>
      <c r="F3739" s="156"/>
      <c r="G3739" s="156"/>
    </row>
    <row r="3740" spans="1:9" s="65" customFormat="1">
      <c r="A3740" s="69"/>
      <c r="B3740" s="69"/>
      <c r="C3740" s="69"/>
      <c r="D3740" s="69"/>
      <c r="E3740" s="69"/>
    </row>
    <row r="3741" spans="1:9" s="65" customFormat="1">
      <c r="A3741" s="120"/>
      <c r="B3741" s="73"/>
      <c r="C3741" s="73"/>
      <c r="D3741" s="73"/>
      <c r="E3741" s="73"/>
      <c r="F3741" s="121"/>
      <c r="G3741" s="121"/>
      <c r="H3741" s="121"/>
    </row>
    <row r="3742" spans="1:9" s="65" customFormat="1">
      <c r="A3742" s="128"/>
      <c r="B3742" s="141"/>
      <c r="C3742" s="141"/>
      <c r="D3742" s="141"/>
      <c r="E3742" s="141"/>
      <c r="F3742" s="141"/>
      <c r="G3742" s="141"/>
      <c r="H3742" s="121"/>
    </row>
    <row r="3743" spans="1:9" s="65" customFormat="1">
      <c r="A3743" s="150"/>
      <c r="B3743" s="83"/>
      <c r="C3743" s="148"/>
      <c r="D3743" s="84"/>
      <c r="E3743" s="84"/>
      <c r="F3743" s="84"/>
      <c r="G3743" s="154"/>
      <c r="H3743" s="145"/>
    </row>
    <row r="3744" spans="1:9" s="65" customFormat="1">
      <c r="A3744" s="84"/>
      <c r="B3744" s="83"/>
      <c r="C3744" s="84"/>
      <c r="D3744" s="84"/>
      <c r="E3744" s="84"/>
      <c r="G3744" s="104"/>
      <c r="H3744" s="140"/>
    </row>
    <row r="3745" spans="1:8" s="65" customFormat="1">
      <c r="A3745" s="120"/>
      <c r="B3745" s="73"/>
      <c r="C3745" s="73"/>
      <c r="D3745" s="73"/>
      <c r="E3745" s="73"/>
      <c r="G3745" s="121"/>
      <c r="H3745" s="140"/>
    </row>
    <row r="3746" spans="1:8" s="65" customFormat="1">
      <c r="A3746" s="128"/>
      <c r="B3746" s="141"/>
      <c r="C3746" s="141"/>
      <c r="D3746" s="141"/>
      <c r="E3746" s="141"/>
      <c r="F3746" s="141"/>
      <c r="G3746" s="141"/>
      <c r="H3746" s="140"/>
    </row>
    <row r="3747" spans="1:8" s="65" customFormat="1">
      <c r="A3747" s="150"/>
      <c r="B3747" s="83"/>
      <c r="C3747" s="148"/>
      <c r="D3747" s="84"/>
      <c r="E3747" s="84"/>
      <c r="F3747" s="84"/>
      <c r="G3747" s="154"/>
      <c r="H3747" s="140"/>
    </row>
    <row r="3748" spans="1:8" s="65" customFormat="1">
      <c r="A3748" s="150"/>
      <c r="B3748" s="83"/>
      <c r="C3748" s="148"/>
      <c r="D3748" s="84"/>
      <c r="E3748" s="84"/>
      <c r="F3748" s="84"/>
      <c r="G3748" s="154"/>
      <c r="H3748" s="140"/>
    </row>
    <row r="3749" spans="1:8" s="65" customFormat="1">
      <c r="A3749" s="150"/>
      <c r="B3749" s="83"/>
      <c r="C3749" s="148"/>
      <c r="D3749" s="84"/>
      <c r="E3749" s="84"/>
      <c r="F3749" s="84"/>
      <c r="G3749" s="154"/>
      <c r="H3749" s="140"/>
    </row>
    <row r="3750" spans="1:8" s="65" customFormat="1">
      <c r="A3750" s="150"/>
      <c r="B3750" s="83"/>
      <c r="C3750" s="148"/>
      <c r="D3750" s="84"/>
      <c r="E3750" s="84"/>
      <c r="F3750" s="84"/>
      <c r="G3750" s="154"/>
      <c r="H3750" s="140"/>
    </row>
    <row r="3751" spans="1:8" s="65" customFormat="1">
      <c r="A3751" s="150"/>
      <c r="B3751" s="83"/>
      <c r="C3751" s="148"/>
      <c r="D3751" s="84"/>
      <c r="E3751" s="84"/>
      <c r="F3751" s="84"/>
      <c r="G3751" s="154"/>
      <c r="H3751" s="145"/>
    </row>
    <row r="3752" spans="1:8" s="65" customFormat="1">
      <c r="A3752" s="91"/>
      <c r="B3752" s="91"/>
      <c r="C3752" s="91"/>
      <c r="D3752" s="91"/>
      <c r="E3752" s="91"/>
      <c r="G3752" s="104"/>
      <c r="H3752" s="140"/>
    </row>
    <row r="3753" spans="1:8" s="65" customFormat="1">
      <c r="A3753" s="120"/>
      <c r="B3753" s="73"/>
      <c r="C3753" s="73"/>
      <c r="D3753" s="73"/>
      <c r="E3753" s="73"/>
      <c r="G3753" s="121"/>
      <c r="H3753" s="140"/>
    </row>
    <row r="3754" spans="1:8" s="65" customFormat="1">
      <c r="A3754" s="128"/>
      <c r="B3754" s="141"/>
      <c r="C3754" s="141"/>
      <c r="D3754" s="141"/>
      <c r="E3754" s="141"/>
      <c r="F3754" s="141"/>
      <c r="G3754" s="141"/>
      <c r="H3754" s="140"/>
    </row>
    <row r="3755" spans="1:8" s="65" customFormat="1">
      <c r="A3755" s="146"/>
      <c r="B3755" s="83"/>
      <c r="C3755" s="148"/>
      <c r="D3755" s="84"/>
      <c r="E3755" s="84"/>
      <c r="F3755" s="84"/>
      <c r="G3755" s="144"/>
      <c r="H3755" s="145"/>
    </row>
    <row r="3756" spans="1:8" s="65" customFormat="1">
      <c r="A3756" s="91"/>
      <c r="B3756" s="91"/>
      <c r="C3756" s="91"/>
      <c r="D3756" s="91"/>
      <c r="E3756" s="91"/>
      <c r="G3756" s="104"/>
      <c r="H3756" s="140"/>
    </row>
    <row r="3757" spans="1:8" s="65" customFormat="1">
      <c r="A3757" s="120"/>
      <c r="B3757" s="73"/>
      <c r="C3757" s="73"/>
      <c r="D3757" s="73"/>
      <c r="E3757" s="73"/>
      <c r="G3757" s="121"/>
      <c r="H3757" s="140"/>
    </row>
    <row r="3758" spans="1:8" s="65" customFormat="1">
      <c r="A3758" s="128"/>
      <c r="B3758" s="141"/>
      <c r="C3758" s="141"/>
      <c r="D3758" s="141"/>
      <c r="E3758" s="141"/>
      <c r="F3758" s="141"/>
      <c r="G3758" s="141"/>
      <c r="H3758" s="140"/>
    </row>
    <row r="3759" spans="1:8" s="65" customFormat="1">
      <c r="A3759" s="142"/>
      <c r="B3759" s="143"/>
      <c r="C3759" s="143"/>
      <c r="D3759" s="143"/>
      <c r="E3759" s="143"/>
      <c r="F3759" s="84"/>
      <c r="G3759" s="144"/>
      <c r="H3759" s="145"/>
    </row>
    <row r="3760" spans="1:8" s="65" customFormat="1">
      <c r="A3760" s="123"/>
      <c r="B3760" s="95"/>
      <c r="C3760" s="95"/>
      <c r="D3760" s="95"/>
      <c r="E3760" s="95"/>
      <c r="G3760" s="104"/>
      <c r="H3760" s="121"/>
    </row>
    <row r="3761" spans="1:9" s="65" customFormat="1">
      <c r="A3761" s="123"/>
      <c r="B3761" s="95"/>
      <c r="C3761" s="95"/>
      <c r="D3761" s="95"/>
      <c r="E3761" s="95"/>
      <c r="G3761" s="121"/>
      <c r="H3761" s="133"/>
    </row>
    <row r="3762" spans="1:9" s="65" customFormat="1">
      <c r="B3762" s="97"/>
      <c r="C3762" s="98"/>
      <c r="D3762" s="98"/>
      <c r="E3762" s="98"/>
      <c r="G3762" s="128"/>
    </row>
    <row r="3763" spans="1:9" s="65" customFormat="1">
      <c r="B3763" s="97"/>
      <c r="C3763" s="98"/>
      <c r="D3763" s="98"/>
      <c r="E3763" s="98"/>
      <c r="F3763" s="128"/>
      <c r="G3763" s="133"/>
      <c r="H3763" s="134"/>
    </row>
    <row r="3764" spans="1:9" s="65" customFormat="1">
      <c r="A3764" s="633"/>
      <c r="B3764" s="633"/>
      <c r="C3764" s="633"/>
      <c r="D3764" s="633"/>
      <c r="E3764" s="633"/>
      <c r="F3764" s="633"/>
      <c r="G3764" s="633"/>
    </row>
    <row r="3765" spans="1:9" s="65" customFormat="1">
      <c r="H3765" s="156"/>
      <c r="I3765" s="151"/>
    </row>
    <row r="3766" spans="1:9" s="65" customFormat="1">
      <c r="A3766" s="645"/>
      <c r="B3766" s="156"/>
      <c r="C3766" s="156"/>
      <c r="D3766" s="156"/>
      <c r="E3766" s="156"/>
      <c r="F3766" s="156"/>
      <c r="G3766" s="156"/>
      <c r="H3766" s="156"/>
      <c r="I3766" s="152"/>
    </row>
    <row r="3767" spans="1:9" s="65" customFormat="1">
      <c r="A3767" s="645"/>
      <c r="B3767" s="156"/>
      <c r="C3767" s="156"/>
      <c r="D3767" s="156"/>
      <c r="E3767" s="156"/>
      <c r="F3767" s="156"/>
      <c r="G3767" s="156"/>
    </row>
    <row r="3768" spans="1:9" s="65" customFormat="1">
      <c r="A3768" s="69"/>
      <c r="B3768" s="69"/>
      <c r="C3768" s="69"/>
      <c r="D3768" s="69"/>
      <c r="E3768" s="69"/>
    </row>
    <row r="3769" spans="1:9" s="65" customFormat="1">
      <c r="A3769" s="120"/>
      <c r="B3769" s="73"/>
      <c r="C3769" s="73"/>
      <c r="D3769" s="73"/>
      <c r="E3769" s="73"/>
      <c r="F3769" s="121"/>
      <c r="G3769" s="121"/>
      <c r="H3769" s="121"/>
    </row>
    <row r="3770" spans="1:9" s="65" customFormat="1">
      <c r="A3770" s="128"/>
      <c r="B3770" s="141"/>
      <c r="C3770" s="141"/>
      <c r="D3770" s="141"/>
      <c r="E3770" s="141"/>
      <c r="F3770" s="141"/>
      <c r="G3770" s="141"/>
      <c r="H3770" s="121"/>
    </row>
    <row r="3771" spans="1:9" s="65" customFormat="1">
      <c r="A3771" s="150"/>
      <c r="B3771" s="83"/>
      <c r="C3771" s="148"/>
      <c r="D3771" s="84"/>
      <c r="E3771" s="84"/>
      <c r="F3771" s="84"/>
      <c r="G3771" s="154"/>
      <c r="H3771" s="145"/>
    </row>
    <row r="3772" spans="1:9" s="65" customFormat="1">
      <c r="A3772" s="84"/>
      <c r="B3772" s="83"/>
      <c r="C3772" s="84"/>
      <c r="D3772" s="84"/>
      <c r="E3772" s="84"/>
      <c r="G3772" s="104"/>
      <c r="H3772" s="140"/>
    </row>
    <row r="3773" spans="1:9" s="65" customFormat="1">
      <c r="A3773" s="120"/>
      <c r="B3773" s="73"/>
      <c r="C3773" s="73"/>
      <c r="D3773" s="73"/>
      <c r="E3773" s="73"/>
      <c r="G3773" s="121"/>
      <c r="H3773" s="140"/>
    </row>
    <row r="3774" spans="1:9" s="65" customFormat="1">
      <c r="A3774" s="128"/>
      <c r="B3774" s="141"/>
      <c r="C3774" s="141"/>
      <c r="D3774" s="141"/>
      <c r="E3774" s="141"/>
      <c r="F3774" s="141"/>
      <c r="G3774" s="141"/>
      <c r="H3774" s="140"/>
    </row>
    <row r="3775" spans="1:9" s="65" customFormat="1">
      <c r="A3775" s="150"/>
      <c r="B3775" s="83"/>
      <c r="C3775" s="148"/>
      <c r="D3775" s="84"/>
      <c r="E3775" s="84"/>
      <c r="F3775" s="84"/>
      <c r="G3775" s="154"/>
      <c r="H3775" s="140"/>
    </row>
    <row r="3776" spans="1:9" s="65" customFormat="1">
      <c r="A3776" s="150"/>
      <c r="B3776" s="83"/>
      <c r="C3776" s="148"/>
      <c r="D3776" s="84"/>
      <c r="E3776" s="84"/>
      <c r="F3776" s="84"/>
      <c r="G3776" s="154"/>
      <c r="H3776" s="140"/>
    </row>
    <row r="3777" spans="1:8" s="65" customFormat="1">
      <c r="A3777" s="150"/>
      <c r="B3777" s="83"/>
      <c r="C3777" s="148"/>
      <c r="D3777" s="84"/>
      <c r="E3777" s="84"/>
      <c r="F3777" s="84"/>
      <c r="G3777" s="154"/>
      <c r="H3777" s="140"/>
    </row>
    <row r="3778" spans="1:8" s="65" customFormat="1">
      <c r="A3778" s="150"/>
      <c r="B3778" s="83"/>
      <c r="C3778" s="148"/>
      <c r="D3778" s="84"/>
      <c r="E3778" s="84"/>
      <c r="F3778" s="84"/>
      <c r="G3778" s="154"/>
      <c r="H3778" s="140"/>
    </row>
    <row r="3779" spans="1:8" s="65" customFormat="1">
      <c r="A3779" s="150"/>
      <c r="B3779" s="83"/>
      <c r="C3779" s="148"/>
      <c r="D3779" s="84"/>
      <c r="E3779" s="84"/>
      <c r="F3779" s="84"/>
      <c r="G3779" s="154"/>
      <c r="H3779" s="140"/>
    </row>
    <row r="3780" spans="1:8" s="65" customFormat="1">
      <c r="A3780" s="150"/>
      <c r="B3780" s="83"/>
      <c r="C3780" s="148"/>
      <c r="D3780" s="84"/>
      <c r="E3780" s="84"/>
      <c r="F3780" s="84"/>
      <c r="G3780" s="154"/>
      <c r="H3780" s="140"/>
    </row>
    <row r="3781" spans="1:8" s="65" customFormat="1">
      <c r="A3781" s="150"/>
      <c r="B3781" s="83"/>
      <c r="C3781" s="148"/>
      <c r="D3781" s="84"/>
      <c r="E3781" s="84"/>
      <c r="F3781" s="84"/>
      <c r="G3781" s="154"/>
      <c r="H3781" s="140"/>
    </row>
    <row r="3782" spans="1:8" s="65" customFormat="1">
      <c r="A3782" s="150"/>
      <c r="B3782" s="83"/>
      <c r="C3782" s="148"/>
      <c r="D3782" s="84"/>
      <c r="E3782" s="84"/>
      <c r="F3782" s="84"/>
      <c r="G3782" s="154"/>
      <c r="H3782" s="140"/>
    </row>
    <row r="3783" spans="1:8" s="65" customFormat="1">
      <c r="A3783" s="150"/>
      <c r="B3783" s="83"/>
      <c r="C3783" s="148"/>
      <c r="D3783" s="84"/>
      <c r="E3783" s="84"/>
      <c r="F3783" s="84"/>
      <c r="G3783" s="154"/>
      <c r="H3783" s="145"/>
    </row>
    <row r="3784" spans="1:8" s="65" customFormat="1">
      <c r="A3784" s="91"/>
      <c r="B3784" s="91"/>
      <c r="C3784" s="91"/>
      <c r="D3784" s="91"/>
      <c r="E3784" s="91"/>
      <c r="G3784" s="104"/>
      <c r="H3784" s="140"/>
    </row>
    <row r="3785" spans="1:8" s="65" customFormat="1">
      <c r="A3785" s="120"/>
      <c r="B3785" s="73"/>
      <c r="C3785" s="73"/>
      <c r="D3785" s="73"/>
      <c r="E3785" s="73"/>
      <c r="G3785" s="121"/>
      <c r="H3785" s="140"/>
    </row>
    <row r="3786" spans="1:8" s="65" customFormat="1">
      <c r="A3786" s="128"/>
      <c r="B3786" s="141"/>
      <c r="C3786" s="141"/>
      <c r="D3786" s="141"/>
      <c r="E3786" s="141"/>
      <c r="F3786" s="141"/>
      <c r="G3786" s="141"/>
      <c r="H3786" s="140"/>
    </row>
    <row r="3787" spans="1:8" s="65" customFormat="1">
      <c r="A3787" s="146"/>
      <c r="B3787" s="83"/>
      <c r="C3787" s="148"/>
      <c r="D3787" s="84"/>
      <c r="E3787" s="84"/>
      <c r="F3787" s="84"/>
      <c r="G3787" s="144"/>
      <c r="H3787" s="140"/>
    </row>
    <row r="3788" spans="1:8" s="65" customFormat="1">
      <c r="A3788" s="146"/>
      <c r="B3788" s="83"/>
      <c r="C3788" s="148"/>
      <c r="D3788" s="84"/>
      <c r="E3788" s="84"/>
      <c r="F3788" s="84"/>
      <c r="G3788" s="144"/>
      <c r="H3788" s="145"/>
    </row>
    <row r="3789" spans="1:8" s="65" customFormat="1">
      <c r="A3789" s="91"/>
      <c r="B3789" s="91"/>
      <c r="C3789" s="91"/>
      <c r="D3789" s="91"/>
      <c r="E3789" s="91"/>
      <c r="G3789" s="104"/>
      <c r="H3789" s="140"/>
    </row>
    <row r="3790" spans="1:8" s="65" customFormat="1">
      <c r="A3790" s="120"/>
      <c r="B3790" s="73"/>
      <c r="C3790" s="73"/>
      <c r="D3790" s="73"/>
      <c r="E3790" s="73"/>
      <c r="G3790" s="121"/>
      <c r="H3790" s="140"/>
    </row>
    <row r="3791" spans="1:8" s="65" customFormat="1">
      <c r="A3791" s="128"/>
      <c r="B3791" s="141"/>
      <c r="C3791" s="141"/>
      <c r="D3791" s="141"/>
      <c r="E3791" s="141"/>
      <c r="F3791" s="141"/>
      <c r="G3791" s="141"/>
      <c r="H3791" s="140"/>
    </row>
    <row r="3792" spans="1:8" s="65" customFormat="1">
      <c r="A3792" s="142"/>
      <c r="B3792" s="143"/>
      <c r="C3792" s="143"/>
      <c r="D3792" s="143"/>
      <c r="E3792" s="143"/>
      <c r="F3792" s="84"/>
      <c r="G3792" s="144"/>
      <c r="H3792" s="145"/>
    </row>
    <row r="3793" spans="1:9" s="65" customFormat="1">
      <c r="A3793" s="123"/>
      <c r="B3793" s="95"/>
      <c r="C3793" s="95"/>
      <c r="D3793" s="95"/>
      <c r="E3793" s="95"/>
      <c r="G3793" s="104"/>
      <c r="H3793" s="121"/>
    </row>
    <row r="3794" spans="1:9" s="65" customFormat="1">
      <c r="A3794" s="123"/>
      <c r="B3794" s="95"/>
      <c r="C3794" s="95"/>
      <c r="D3794" s="95"/>
      <c r="E3794" s="95"/>
      <c r="G3794" s="121"/>
      <c r="H3794" s="133"/>
    </row>
    <row r="3795" spans="1:9" s="65" customFormat="1">
      <c r="B3795" s="97"/>
      <c r="C3795" s="98"/>
      <c r="D3795" s="98"/>
      <c r="E3795" s="98"/>
      <c r="G3795" s="128"/>
    </row>
    <row r="3796" spans="1:9" s="65" customFormat="1">
      <c r="B3796" s="97"/>
      <c r="C3796" s="98"/>
      <c r="D3796" s="98"/>
      <c r="E3796" s="98"/>
      <c r="F3796" s="128"/>
      <c r="G3796" s="133"/>
      <c r="H3796" s="134"/>
    </row>
    <row r="3797" spans="1:9" s="65" customFormat="1">
      <c r="A3797" s="633"/>
      <c r="B3797" s="633"/>
      <c r="C3797" s="633"/>
      <c r="D3797" s="633"/>
      <c r="E3797" s="633"/>
      <c r="F3797" s="633"/>
      <c r="G3797" s="633"/>
    </row>
    <row r="3798" spans="1:9" s="65" customFormat="1">
      <c r="H3798" s="156"/>
      <c r="I3798" s="151"/>
    </row>
    <row r="3799" spans="1:9" s="65" customFormat="1">
      <c r="A3799" s="645"/>
      <c r="B3799" s="156"/>
      <c r="C3799" s="156"/>
      <c r="D3799" s="156"/>
      <c r="E3799" s="156"/>
      <c r="F3799" s="156"/>
      <c r="G3799" s="156"/>
      <c r="H3799" s="156"/>
      <c r="I3799" s="152"/>
    </row>
    <row r="3800" spans="1:9" s="65" customFormat="1">
      <c r="A3800" s="645"/>
      <c r="B3800" s="156"/>
      <c r="C3800" s="156"/>
      <c r="D3800" s="156"/>
      <c r="E3800" s="156"/>
      <c r="F3800" s="156"/>
      <c r="G3800" s="156"/>
    </row>
    <row r="3801" spans="1:9" s="65" customFormat="1">
      <c r="A3801" s="69"/>
      <c r="B3801" s="69"/>
      <c r="C3801" s="69"/>
      <c r="D3801" s="69"/>
      <c r="E3801" s="69"/>
    </row>
    <row r="3802" spans="1:9" s="65" customFormat="1">
      <c r="A3802" s="120"/>
      <c r="B3802" s="73"/>
      <c r="C3802" s="73"/>
      <c r="D3802" s="73"/>
      <c r="E3802" s="73"/>
      <c r="F3802" s="121"/>
      <c r="G3802" s="121"/>
      <c r="H3802" s="121"/>
    </row>
    <row r="3803" spans="1:9" s="65" customFormat="1">
      <c r="A3803" s="128"/>
      <c r="B3803" s="141"/>
      <c r="C3803" s="141"/>
      <c r="D3803" s="141"/>
      <c r="E3803" s="141"/>
      <c r="F3803" s="141"/>
      <c r="G3803" s="141"/>
      <c r="H3803" s="121"/>
    </row>
    <row r="3804" spans="1:9" s="65" customFormat="1">
      <c r="A3804" s="150"/>
      <c r="B3804" s="83"/>
      <c r="C3804" s="148"/>
      <c r="D3804" s="84"/>
      <c r="E3804" s="84"/>
      <c r="F3804" s="84"/>
      <c r="G3804" s="154"/>
      <c r="H3804" s="145"/>
    </row>
    <row r="3805" spans="1:9" s="65" customFormat="1">
      <c r="A3805" s="84"/>
      <c r="B3805" s="83"/>
      <c r="C3805" s="84"/>
      <c r="D3805" s="84"/>
      <c r="E3805" s="84"/>
      <c r="G3805" s="104"/>
      <c r="H3805" s="140"/>
    </row>
    <row r="3806" spans="1:9" s="65" customFormat="1">
      <c r="A3806" s="120"/>
      <c r="B3806" s="73"/>
      <c r="C3806" s="73"/>
      <c r="D3806" s="73"/>
      <c r="E3806" s="73"/>
      <c r="G3806" s="121"/>
      <c r="H3806" s="140"/>
    </row>
    <row r="3807" spans="1:9" s="65" customFormat="1">
      <c r="A3807" s="128"/>
      <c r="B3807" s="141"/>
      <c r="C3807" s="141"/>
      <c r="D3807" s="141"/>
      <c r="E3807" s="141"/>
      <c r="F3807" s="141"/>
      <c r="G3807" s="141"/>
      <c r="H3807" s="140"/>
    </row>
    <row r="3808" spans="1:9" s="65" customFormat="1">
      <c r="A3808" s="150"/>
      <c r="B3808" s="83"/>
      <c r="C3808" s="148"/>
      <c r="D3808" s="84"/>
      <c r="E3808" s="84"/>
      <c r="F3808" s="84"/>
      <c r="G3808" s="154"/>
      <c r="H3808" s="140"/>
    </row>
    <row r="3809" spans="1:8" s="65" customFormat="1">
      <c r="A3809" s="150"/>
      <c r="B3809" s="83"/>
      <c r="C3809" s="148"/>
      <c r="D3809" s="84"/>
      <c r="E3809" s="84"/>
      <c r="F3809" s="84"/>
      <c r="G3809" s="154"/>
      <c r="H3809" s="140"/>
    </row>
    <row r="3810" spans="1:8" s="65" customFormat="1">
      <c r="A3810" s="150"/>
      <c r="B3810" s="83"/>
      <c r="C3810" s="148"/>
      <c r="D3810" s="84"/>
      <c r="E3810" s="84"/>
      <c r="F3810" s="84"/>
      <c r="G3810" s="154"/>
      <c r="H3810" s="140"/>
    </row>
    <row r="3811" spans="1:8" s="65" customFormat="1">
      <c r="A3811" s="150"/>
      <c r="B3811" s="83"/>
      <c r="C3811" s="148"/>
      <c r="D3811" s="84"/>
      <c r="E3811" s="84"/>
      <c r="F3811" s="84"/>
      <c r="G3811" s="154"/>
      <c r="H3811" s="140"/>
    </row>
    <row r="3812" spans="1:8" s="65" customFormat="1">
      <c r="A3812" s="150"/>
      <c r="B3812" s="83"/>
      <c r="C3812" s="148"/>
      <c r="D3812" s="84"/>
      <c r="E3812" s="84"/>
      <c r="F3812" s="84"/>
      <c r="G3812" s="154"/>
      <c r="H3812" s="140"/>
    </row>
    <row r="3813" spans="1:8" s="65" customFormat="1">
      <c r="A3813" s="150"/>
      <c r="B3813" s="83"/>
      <c r="C3813" s="148"/>
      <c r="D3813" s="84"/>
      <c r="E3813" s="84"/>
      <c r="F3813" s="84"/>
      <c r="G3813" s="154"/>
      <c r="H3813" s="145"/>
    </row>
    <row r="3814" spans="1:8" s="65" customFormat="1">
      <c r="A3814" s="91"/>
      <c r="B3814" s="91"/>
      <c r="C3814" s="91"/>
      <c r="D3814" s="91"/>
      <c r="E3814" s="91"/>
      <c r="G3814" s="104"/>
      <c r="H3814" s="140"/>
    </row>
    <row r="3815" spans="1:8" s="65" customFormat="1">
      <c r="A3815" s="120"/>
      <c r="B3815" s="73"/>
      <c r="C3815" s="73"/>
      <c r="D3815" s="73"/>
      <c r="E3815" s="73"/>
      <c r="G3815" s="121"/>
      <c r="H3815" s="140"/>
    </row>
    <row r="3816" spans="1:8" s="65" customFormat="1">
      <c r="A3816" s="128"/>
      <c r="B3816" s="141"/>
      <c r="C3816" s="141"/>
      <c r="D3816" s="141"/>
      <c r="E3816" s="141"/>
      <c r="F3816" s="141"/>
      <c r="G3816" s="141"/>
      <c r="H3816" s="140"/>
    </row>
    <row r="3817" spans="1:8" s="65" customFormat="1">
      <c r="A3817" s="146"/>
      <c r="B3817" s="83"/>
      <c r="C3817" s="148"/>
      <c r="D3817" s="84"/>
      <c r="E3817" s="84"/>
      <c r="F3817" s="84"/>
      <c r="G3817" s="144"/>
      <c r="H3817" s="145"/>
    </row>
    <row r="3818" spans="1:8" s="65" customFormat="1">
      <c r="A3818" s="91"/>
      <c r="B3818" s="91"/>
      <c r="C3818" s="91"/>
      <c r="D3818" s="91"/>
      <c r="E3818" s="91"/>
      <c r="G3818" s="104"/>
      <c r="H3818" s="140"/>
    </row>
    <row r="3819" spans="1:8" s="65" customFormat="1">
      <c r="A3819" s="120"/>
      <c r="B3819" s="73"/>
      <c r="C3819" s="73"/>
      <c r="D3819" s="73"/>
      <c r="E3819" s="73"/>
      <c r="G3819" s="121"/>
      <c r="H3819" s="140"/>
    </row>
    <row r="3820" spans="1:8" s="65" customFormat="1">
      <c r="A3820" s="128"/>
      <c r="B3820" s="141"/>
      <c r="C3820" s="141"/>
      <c r="D3820" s="141"/>
      <c r="E3820" s="141"/>
      <c r="F3820" s="141"/>
      <c r="G3820" s="141"/>
      <c r="H3820" s="140"/>
    </row>
    <row r="3821" spans="1:8" s="65" customFormat="1">
      <c r="A3821" s="142"/>
      <c r="B3821" s="143"/>
      <c r="C3821" s="143"/>
      <c r="D3821" s="143"/>
      <c r="E3821" s="143"/>
      <c r="F3821" s="84"/>
      <c r="G3821" s="144"/>
      <c r="H3821" s="145"/>
    </row>
    <row r="3822" spans="1:8" s="65" customFormat="1">
      <c r="A3822" s="123"/>
      <c r="B3822" s="95"/>
      <c r="C3822" s="95"/>
      <c r="D3822" s="95"/>
      <c r="E3822" s="95"/>
      <c r="G3822" s="104"/>
      <c r="H3822" s="121"/>
    </row>
    <row r="3823" spans="1:8" s="65" customFormat="1">
      <c r="A3823" s="123"/>
      <c r="B3823" s="95"/>
      <c r="C3823" s="95"/>
      <c r="D3823" s="95"/>
      <c r="E3823" s="95"/>
      <c r="G3823" s="121"/>
      <c r="H3823" s="133"/>
    </row>
    <row r="3824" spans="1:8" s="65" customFormat="1">
      <c r="B3824" s="97"/>
      <c r="C3824" s="98"/>
      <c r="D3824" s="98"/>
      <c r="E3824" s="98"/>
      <c r="G3824" s="128"/>
    </row>
    <row r="3825" spans="1:9" s="65" customFormat="1">
      <c r="B3825" s="97"/>
      <c r="C3825" s="98"/>
      <c r="D3825" s="98"/>
      <c r="E3825" s="98"/>
      <c r="F3825" s="128"/>
      <c r="G3825" s="133"/>
      <c r="H3825" s="134"/>
    </row>
    <row r="3826" spans="1:9" s="65" customFormat="1">
      <c r="A3826" s="633"/>
      <c r="B3826" s="633"/>
      <c r="C3826" s="633"/>
      <c r="D3826" s="633"/>
      <c r="E3826" s="633"/>
      <c r="F3826" s="633"/>
      <c r="G3826" s="633"/>
    </row>
    <row r="3827" spans="1:9" s="65" customFormat="1">
      <c r="H3827" s="156"/>
      <c r="I3827" s="151"/>
    </row>
    <row r="3828" spans="1:9" s="65" customFormat="1">
      <c r="A3828" s="645"/>
      <c r="B3828" s="156"/>
      <c r="C3828" s="156"/>
      <c r="D3828" s="156"/>
      <c r="E3828" s="156"/>
      <c r="F3828" s="156"/>
      <c r="G3828" s="156"/>
      <c r="H3828" s="156"/>
      <c r="I3828" s="152"/>
    </row>
    <row r="3829" spans="1:9" s="65" customFormat="1">
      <c r="A3829" s="645"/>
      <c r="B3829" s="156"/>
      <c r="C3829" s="156"/>
      <c r="D3829" s="156"/>
      <c r="E3829" s="156"/>
      <c r="F3829" s="156"/>
      <c r="G3829" s="156"/>
    </row>
    <row r="3830" spans="1:9" s="65" customFormat="1">
      <c r="A3830" s="69"/>
      <c r="B3830" s="69"/>
      <c r="C3830" s="69"/>
      <c r="D3830" s="69"/>
      <c r="E3830" s="69"/>
    </row>
    <row r="3831" spans="1:9" s="65" customFormat="1">
      <c r="A3831" s="120"/>
      <c r="B3831" s="73"/>
      <c r="C3831" s="73"/>
      <c r="D3831" s="73"/>
      <c r="E3831" s="73"/>
      <c r="F3831" s="121"/>
      <c r="G3831" s="121"/>
      <c r="H3831" s="121"/>
    </row>
    <row r="3832" spans="1:9" s="65" customFormat="1">
      <c r="A3832" s="128"/>
      <c r="B3832" s="141"/>
      <c r="C3832" s="141"/>
      <c r="D3832" s="141"/>
      <c r="E3832" s="141"/>
      <c r="F3832" s="141"/>
      <c r="G3832" s="141"/>
      <c r="H3832" s="121"/>
    </row>
    <row r="3833" spans="1:9" s="65" customFormat="1">
      <c r="A3833" s="150"/>
      <c r="B3833" s="83"/>
      <c r="C3833" s="148"/>
      <c r="D3833" s="84"/>
      <c r="E3833" s="84"/>
      <c r="F3833" s="84"/>
      <c r="G3833" s="154"/>
      <c r="H3833" s="121"/>
    </row>
    <row r="3834" spans="1:9" s="65" customFormat="1">
      <c r="A3834" s="150"/>
      <c r="B3834" s="83"/>
      <c r="C3834" s="148"/>
      <c r="D3834" s="84"/>
      <c r="E3834" s="84"/>
      <c r="F3834" s="84"/>
      <c r="G3834" s="154"/>
      <c r="H3834" s="121"/>
    </row>
    <row r="3835" spans="1:9" s="65" customFormat="1">
      <c r="A3835" s="150"/>
      <c r="B3835" s="83"/>
      <c r="C3835" s="148"/>
      <c r="D3835" s="84"/>
      <c r="E3835" s="84"/>
      <c r="F3835" s="84"/>
      <c r="G3835" s="154"/>
      <c r="H3835" s="121"/>
    </row>
    <row r="3836" spans="1:9" s="65" customFormat="1">
      <c r="A3836" s="150"/>
      <c r="B3836" s="83"/>
      <c r="C3836" s="148"/>
      <c r="D3836" s="84"/>
      <c r="E3836" s="84"/>
      <c r="F3836" s="84"/>
      <c r="G3836" s="154"/>
      <c r="H3836" s="145"/>
    </row>
    <row r="3837" spans="1:9" s="65" customFormat="1">
      <c r="A3837" s="84"/>
      <c r="B3837" s="83"/>
      <c r="C3837" s="84"/>
      <c r="D3837" s="84"/>
      <c r="E3837" s="84"/>
      <c r="G3837" s="104"/>
      <c r="H3837" s="140"/>
    </row>
    <row r="3838" spans="1:9" s="65" customFormat="1">
      <c r="A3838" s="120"/>
      <c r="B3838" s="73"/>
      <c r="C3838" s="73"/>
      <c r="D3838" s="73"/>
      <c r="E3838" s="73"/>
      <c r="G3838" s="121"/>
      <c r="H3838" s="140"/>
    </row>
    <row r="3839" spans="1:9" s="65" customFormat="1">
      <c r="A3839" s="128"/>
      <c r="B3839" s="141"/>
      <c r="C3839" s="141"/>
      <c r="D3839" s="141"/>
      <c r="E3839" s="141"/>
      <c r="F3839" s="141"/>
      <c r="G3839" s="141"/>
      <c r="H3839" s="140"/>
    </row>
    <row r="3840" spans="1:9" s="65" customFormat="1">
      <c r="A3840" s="150"/>
      <c r="B3840" s="83"/>
      <c r="C3840" s="148"/>
      <c r="D3840" s="84"/>
      <c r="E3840" s="84"/>
      <c r="F3840" s="84"/>
      <c r="G3840" s="154"/>
      <c r="H3840" s="140"/>
    </row>
    <row r="3841" spans="1:8" s="65" customFormat="1">
      <c r="A3841" s="150"/>
      <c r="B3841" s="83"/>
      <c r="C3841" s="148"/>
      <c r="D3841" s="84"/>
      <c r="E3841" s="84"/>
      <c r="F3841" s="84"/>
      <c r="G3841" s="154"/>
      <c r="H3841" s="140"/>
    </row>
    <row r="3842" spans="1:8" s="65" customFormat="1">
      <c r="A3842" s="150"/>
      <c r="B3842" s="83"/>
      <c r="C3842" s="148"/>
      <c r="D3842" s="84"/>
      <c r="E3842" s="84"/>
      <c r="F3842" s="84"/>
      <c r="G3842" s="154"/>
      <c r="H3842" s="140"/>
    </row>
    <row r="3843" spans="1:8" s="65" customFormat="1">
      <c r="A3843" s="150"/>
      <c r="B3843" s="83"/>
      <c r="C3843" s="148"/>
      <c r="D3843" s="84"/>
      <c r="E3843" s="84"/>
      <c r="F3843" s="84"/>
      <c r="G3843" s="154"/>
      <c r="H3843" s="140"/>
    </row>
    <row r="3844" spans="1:8" s="65" customFormat="1">
      <c r="A3844" s="150"/>
      <c r="B3844" s="83"/>
      <c r="C3844" s="148"/>
      <c r="D3844" s="84"/>
      <c r="E3844" s="84"/>
      <c r="F3844" s="84"/>
      <c r="G3844" s="154"/>
      <c r="H3844" s="140"/>
    </row>
    <row r="3845" spans="1:8" s="65" customFormat="1">
      <c r="A3845" s="150"/>
      <c r="B3845" s="83"/>
      <c r="C3845" s="148"/>
      <c r="D3845" s="84"/>
      <c r="E3845" s="84"/>
      <c r="F3845" s="84"/>
      <c r="G3845" s="154"/>
      <c r="H3845" s="140"/>
    </row>
    <row r="3846" spans="1:8" s="65" customFormat="1">
      <c r="A3846" s="150"/>
      <c r="B3846" s="83"/>
      <c r="C3846" s="148"/>
      <c r="D3846" s="84"/>
      <c r="E3846" s="84"/>
      <c r="F3846" s="84"/>
      <c r="G3846" s="154"/>
      <c r="H3846" s="140"/>
    </row>
    <row r="3847" spans="1:8" s="65" customFormat="1">
      <c r="A3847" s="150"/>
      <c r="B3847" s="83"/>
      <c r="C3847" s="148"/>
      <c r="D3847" s="84"/>
      <c r="E3847" s="84"/>
      <c r="F3847" s="84"/>
      <c r="G3847" s="154"/>
      <c r="H3847" s="145"/>
    </row>
    <row r="3848" spans="1:8" s="65" customFormat="1">
      <c r="A3848" s="91"/>
      <c r="B3848" s="91"/>
      <c r="C3848" s="91"/>
      <c r="D3848" s="91"/>
      <c r="E3848" s="91"/>
      <c r="G3848" s="104"/>
      <c r="H3848" s="140"/>
    </row>
    <row r="3849" spans="1:8" s="65" customFormat="1">
      <c r="A3849" s="120"/>
      <c r="B3849" s="73"/>
      <c r="C3849" s="73"/>
      <c r="D3849" s="73"/>
      <c r="E3849" s="73"/>
      <c r="G3849" s="121"/>
      <c r="H3849" s="140"/>
    </row>
    <row r="3850" spans="1:8" s="65" customFormat="1">
      <c r="A3850" s="128"/>
      <c r="B3850" s="141"/>
      <c r="C3850" s="141"/>
      <c r="D3850" s="141"/>
      <c r="E3850" s="141"/>
      <c r="F3850" s="141"/>
      <c r="G3850" s="141"/>
      <c r="H3850" s="140"/>
    </row>
    <row r="3851" spans="1:8" s="65" customFormat="1">
      <c r="A3851" s="146"/>
      <c r="B3851" s="83"/>
      <c r="C3851" s="148"/>
      <c r="D3851" s="84"/>
      <c r="E3851" s="84"/>
      <c r="F3851" s="84"/>
      <c r="G3851" s="144"/>
      <c r="H3851" s="140"/>
    </row>
    <row r="3852" spans="1:8" s="65" customFormat="1">
      <c r="A3852" s="146"/>
      <c r="B3852" s="83"/>
      <c r="C3852" s="148"/>
      <c r="D3852" s="84"/>
      <c r="E3852" s="84"/>
      <c r="F3852" s="84"/>
      <c r="G3852" s="144"/>
      <c r="H3852" s="145"/>
    </row>
    <row r="3853" spans="1:8" s="65" customFormat="1">
      <c r="A3853" s="91"/>
      <c r="B3853" s="91"/>
      <c r="C3853" s="91"/>
      <c r="D3853" s="91"/>
      <c r="E3853" s="91"/>
      <c r="G3853" s="104"/>
      <c r="H3853" s="140"/>
    </row>
    <row r="3854" spans="1:8" s="65" customFormat="1">
      <c r="A3854" s="120"/>
      <c r="B3854" s="73"/>
      <c r="C3854" s="73"/>
      <c r="D3854" s="73"/>
      <c r="E3854" s="73"/>
      <c r="G3854" s="121"/>
      <c r="H3854" s="140"/>
    </row>
    <row r="3855" spans="1:8" s="65" customFormat="1">
      <c r="A3855" s="128"/>
      <c r="B3855" s="141"/>
      <c r="C3855" s="141"/>
      <c r="D3855" s="141"/>
      <c r="E3855" s="141"/>
      <c r="F3855" s="141"/>
      <c r="G3855" s="141"/>
      <c r="H3855" s="140"/>
    </row>
    <row r="3856" spans="1:8" s="65" customFormat="1">
      <c r="A3856" s="142"/>
      <c r="B3856" s="143"/>
      <c r="C3856" s="143"/>
      <c r="D3856" s="143"/>
      <c r="E3856" s="143"/>
      <c r="F3856" s="84"/>
      <c r="G3856" s="144"/>
      <c r="H3856" s="145"/>
    </row>
    <row r="3857" spans="1:9" s="65" customFormat="1">
      <c r="A3857" s="123"/>
      <c r="B3857" s="95"/>
      <c r="C3857" s="95"/>
      <c r="D3857" s="95"/>
      <c r="E3857" s="95"/>
      <c r="G3857" s="104"/>
      <c r="H3857" s="121"/>
    </row>
    <row r="3858" spans="1:9" s="65" customFormat="1">
      <c r="A3858" s="123"/>
      <c r="B3858" s="95"/>
      <c r="C3858" s="95"/>
      <c r="D3858" s="95"/>
      <c r="E3858" s="95"/>
      <c r="G3858" s="121"/>
      <c r="H3858" s="133"/>
    </row>
    <row r="3859" spans="1:9" s="65" customFormat="1">
      <c r="B3859" s="97"/>
      <c r="C3859" s="98"/>
      <c r="D3859" s="98"/>
      <c r="E3859" s="98"/>
      <c r="G3859" s="128"/>
    </row>
    <row r="3860" spans="1:9" s="65" customFormat="1">
      <c r="B3860" s="97"/>
      <c r="C3860" s="98"/>
      <c r="D3860" s="98"/>
      <c r="E3860" s="98"/>
      <c r="F3860" s="128"/>
      <c r="G3860" s="133"/>
      <c r="H3860" s="134"/>
    </row>
    <row r="3861" spans="1:9" s="65" customFormat="1">
      <c r="A3861" s="633"/>
      <c r="B3861" s="633"/>
      <c r="C3861" s="633"/>
      <c r="D3861" s="633"/>
      <c r="E3861" s="633"/>
      <c r="F3861" s="633"/>
      <c r="G3861" s="633"/>
    </row>
    <row r="3862" spans="1:9" s="65" customFormat="1">
      <c r="H3862" s="156"/>
      <c r="I3862" s="151"/>
    </row>
    <row r="3863" spans="1:9" s="65" customFormat="1">
      <c r="A3863" s="645"/>
      <c r="B3863" s="156"/>
      <c r="C3863" s="156"/>
      <c r="D3863" s="156"/>
      <c r="E3863" s="156"/>
      <c r="F3863" s="156"/>
      <c r="G3863" s="156"/>
      <c r="H3863" s="156"/>
      <c r="I3863" s="152"/>
    </row>
    <row r="3864" spans="1:9" s="65" customFormat="1">
      <c r="A3864" s="645"/>
      <c r="B3864" s="156"/>
      <c r="C3864" s="156"/>
      <c r="D3864" s="156"/>
      <c r="E3864" s="156"/>
      <c r="F3864" s="156"/>
      <c r="G3864" s="156"/>
    </row>
    <row r="3865" spans="1:9" s="65" customFormat="1">
      <c r="A3865" s="69"/>
      <c r="B3865" s="69"/>
      <c r="C3865" s="69"/>
      <c r="D3865" s="69"/>
      <c r="E3865" s="69"/>
    </row>
    <row r="3866" spans="1:9" s="65" customFormat="1">
      <c r="A3866" s="120"/>
      <c r="B3866" s="73"/>
      <c r="C3866" s="73"/>
      <c r="D3866" s="73"/>
      <c r="E3866" s="73"/>
      <c r="F3866" s="121"/>
      <c r="G3866" s="121"/>
      <c r="H3866" s="121"/>
    </row>
    <row r="3867" spans="1:9" s="65" customFormat="1">
      <c r="A3867" s="128"/>
      <c r="B3867" s="141"/>
      <c r="C3867" s="141"/>
      <c r="D3867" s="141"/>
      <c r="E3867" s="141"/>
      <c r="F3867" s="141"/>
      <c r="G3867" s="141"/>
      <c r="H3867" s="121"/>
    </row>
    <row r="3868" spans="1:9" s="65" customFormat="1">
      <c r="A3868" s="150"/>
      <c r="B3868" s="83"/>
      <c r="C3868" s="148"/>
      <c r="D3868" s="84"/>
      <c r="E3868" s="84"/>
      <c r="F3868" s="84"/>
      <c r="G3868" s="154"/>
      <c r="H3868" s="145"/>
    </row>
    <row r="3869" spans="1:9" s="65" customFormat="1">
      <c r="A3869" s="84"/>
      <c r="B3869" s="83"/>
      <c r="C3869" s="84"/>
      <c r="D3869" s="84"/>
      <c r="E3869" s="84"/>
      <c r="G3869" s="104"/>
      <c r="H3869" s="140"/>
    </row>
    <row r="3870" spans="1:9" s="65" customFormat="1">
      <c r="A3870" s="120"/>
      <c r="B3870" s="73"/>
      <c r="C3870" s="73"/>
      <c r="D3870" s="73"/>
      <c r="E3870" s="73"/>
      <c r="G3870" s="121"/>
      <c r="H3870" s="140"/>
    </row>
    <row r="3871" spans="1:9" s="65" customFormat="1">
      <c r="A3871" s="128"/>
      <c r="B3871" s="141"/>
      <c r="C3871" s="141"/>
      <c r="D3871" s="141"/>
      <c r="E3871" s="141"/>
      <c r="F3871" s="141"/>
      <c r="G3871" s="141"/>
      <c r="H3871" s="140"/>
    </row>
    <row r="3872" spans="1:9" s="65" customFormat="1">
      <c r="A3872" s="150"/>
      <c r="B3872" s="83"/>
      <c r="C3872" s="148"/>
      <c r="D3872" s="84"/>
      <c r="E3872" s="84"/>
      <c r="F3872" s="84"/>
      <c r="G3872" s="154"/>
      <c r="H3872" s="145"/>
    </row>
    <row r="3873" spans="1:9" s="65" customFormat="1">
      <c r="A3873" s="91"/>
      <c r="B3873" s="91"/>
      <c r="C3873" s="91"/>
      <c r="D3873" s="91"/>
      <c r="E3873" s="91"/>
      <c r="G3873" s="104"/>
      <c r="H3873" s="140"/>
    </row>
    <row r="3874" spans="1:9" s="65" customFormat="1">
      <c r="A3874" s="120"/>
      <c r="B3874" s="73"/>
      <c r="C3874" s="73"/>
      <c r="D3874" s="73"/>
      <c r="E3874" s="73"/>
      <c r="G3874" s="121"/>
      <c r="H3874" s="140"/>
    </row>
    <row r="3875" spans="1:9" s="65" customFormat="1">
      <c r="A3875" s="128"/>
      <c r="B3875" s="141"/>
      <c r="C3875" s="141"/>
      <c r="D3875" s="141"/>
      <c r="E3875" s="141"/>
      <c r="F3875" s="141"/>
      <c r="G3875" s="141"/>
      <c r="H3875" s="140"/>
    </row>
    <row r="3876" spans="1:9" s="65" customFormat="1">
      <c r="A3876" s="146"/>
      <c r="B3876" s="83"/>
      <c r="C3876" s="148"/>
      <c r="D3876" s="84"/>
      <c r="E3876" s="84"/>
      <c r="F3876" s="84"/>
      <c r="G3876" s="144"/>
      <c r="H3876" s="145"/>
    </row>
    <row r="3877" spans="1:9" s="65" customFormat="1">
      <c r="A3877" s="91"/>
      <c r="B3877" s="91"/>
      <c r="C3877" s="91"/>
      <c r="D3877" s="91"/>
      <c r="E3877" s="91"/>
      <c r="G3877" s="104"/>
      <c r="H3877" s="140"/>
    </row>
    <row r="3878" spans="1:9" s="65" customFormat="1">
      <c r="A3878" s="120"/>
      <c r="B3878" s="73"/>
      <c r="C3878" s="73"/>
      <c r="D3878" s="73"/>
      <c r="E3878" s="73"/>
      <c r="G3878" s="121"/>
      <c r="H3878" s="140"/>
    </row>
    <row r="3879" spans="1:9" s="65" customFormat="1">
      <c r="A3879" s="128"/>
      <c r="B3879" s="141"/>
      <c r="C3879" s="141"/>
      <c r="D3879" s="141"/>
      <c r="E3879" s="141"/>
      <c r="F3879" s="141"/>
      <c r="G3879" s="141"/>
      <c r="H3879" s="140"/>
    </row>
    <row r="3880" spans="1:9" s="65" customFormat="1">
      <c r="A3880" s="142"/>
      <c r="B3880" s="143"/>
      <c r="C3880" s="143"/>
      <c r="D3880" s="143"/>
      <c r="E3880" s="143"/>
      <c r="F3880" s="84"/>
      <c r="G3880" s="144"/>
      <c r="H3880" s="145"/>
    </row>
    <row r="3881" spans="1:9" s="65" customFormat="1">
      <c r="A3881" s="123"/>
      <c r="B3881" s="95"/>
      <c r="C3881" s="95"/>
      <c r="D3881" s="95"/>
      <c r="E3881" s="95"/>
      <c r="G3881" s="104"/>
      <c r="H3881" s="121"/>
    </row>
    <row r="3882" spans="1:9" s="65" customFormat="1">
      <c r="A3882" s="123"/>
      <c r="B3882" s="95"/>
      <c r="C3882" s="95"/>
      <c r="D3882" s="95"/>
      <c r="E3882" s="95"/>
      <c r="G3882" s="121"/>
      <c r="H3882" s="133"/>
    </row>
    <row r="3883" spans="1:9" s="65" customFormat="1">
      <c r="B3883" s="97"/>
      <c r="C3883" s="98"/>
      <c r="D3883" s="98"/>
      <c r="E3883" s="98"/>
      <c r="G3883" s="128"/>
    </row>
    <row r="3884" spans="1:9" s="65" customFormat="1">
      <c r="B3884" s="97"/>
      <c r="C3884" s="98"/>
      <c r="D3884" s="98"/>
      <c r="E3884" s="98"/>
      <c r="F3884" s="128"/>
      <c r="G3884" s="133"/>
      <c r="H3884" s="134"/>
    </row>
    <row r="3885" spans="1:9" s="65" customFormat="1">
      <c r="A3885" s="633"/>
      <c r="B3885" s="633"/>
      <c r="C3885" s="633"/>
      <c r="D3885" s="633"/>
      <c r="E3885" s="633"/>
      <c r="F3885" s="633"/>
      <c r="G3885" s="633"/>
    </row>
    <row r="3886" spans="1:9" s="65" customFormat="1">
      <c r="H3886" s="156"/>
      <c r="I3886" s="151"/>
    </row>
    <row r="3887" spans="1:9" s="65" customFormat="1">
      <c r="A3887" s="645"/>
      <c r="B3887" s="156"/>
      <c r="C3887" s="156"/>
      <c r="D3887" s="156"/>
      <c r="E3887" s="156"/>
      <c r="F3887" s="156"/>
      <c r="G3887" s="156"/>
      <c r="H3887" s="156"/>
      <c r="I3887" s="152"/>
    </row>
    <row r="3888" spans="1:9" s="65" customFormat="1">
      <c r="A3888" s="645"/>
      <c r="B3888" s="156"/>
      <c r="C3888" s="156"/>
      <c r="D3888" s="156"/>
      <c r="E3888" s="156"/>
      <c r="F3888" s="156"/>
      <c r="G3888" s="156"/>
    </row>
    <row r="3889" spans="1:8" s="65" customFormat="1">
      <c r="A3889" s="69"/>
      <c r="B3889" s="69"/>
      <c r="C3889" s="69"/>
      <c r="D3889" s="69"/>
      <c r="E3889" s="69"/>
    </row>
    <row r="3890" spans="1:8" s="65" customFormat="1">
      <c r="A3890" s="120"/>
      <c r="B3890" s="73"/>
      <c r="C3890" s="73"/>
      <c r="D3890" s="73"/>
      <c r="E3890" s="73"/>
      <c r="F3890" s="121"/>
      <c r="G3890" s="121"/>
      <c r="H3890" s="121"/>
    </row>
    <row r="3891" spans="1:8" s="65" customFormat="1">
      <c r="A3891" s="128"/>
      <c r="B3891" s="141"/>
      <c r="C3891" s="141"/>
      <c r="D3891" s="141"/>
      <c r="E3891" s="141"/>
      <c r="F3891" s="141"/>
      <c r="G3891" s="141"/>
      <c r="H3891" s="121"/>
    </row>
    <row r="3892" spans="1:8" s="65" customFormat="1">
      <c r="A3892" s="150"/>
      <c r="B3892" s="83"/>
      <c r="C3892" s="148"/>
      <c r="D3892" s="84"/>
      <c r="E3892" s="84"/>
      <c r="F3892" s="84"/>
      <c r="G3892" s="154"/>
      <c r="H3892" s="145"/>
    </row>
    <row r="3893" spans="1:8" s="65" customFormat="1">
      <c r="A3893" s="84"/>
      <c r="B3893" s="83"/>
      <c r="C3893" s="84"/>
      <c r="D3893" s="84"/>
      <c r="E3893" s="84"/>
      <c r="G3893" s="104"/>
      <c r="H3893" s="140"/>
    </row>
    <row r="3894" spans="1:8" s="65" customFormat="1">
      <c r="A3894" s="120"/>
      <c r="B3894" s="73"/>
      <c r="C3894" s="73"/>
      <c r="D3894" s="73"/>
      <c r="E3894" s="73"/>
      <c r="G3894" s="121"/>
      <c r="H3894" s="140"/>
    </row>
    <row r="3895" spans="1:8" s="65" customFormat="1">
      <c r="A3895" s="128"/>
      <c r="B3895" s="141"/>
      <c r="C3895" s="141"/>
      <c r="D3895" s="141"/>
      <c r="E3895" s="141"/>
      <c r="F3895" s="141"/>
      <c r="G3895" s="141"/>
      <c r="H3895" s="140"/>
    </row>
    <row r="3896" spans="1:8" s="65" customFormat="1">
      <c r="A3896" s="150"/>
      <c r="B3896" s="83"/>
      <c r="C3896" s="148"/>
      <c r="D3896" s="84"/>
      <c r="E3896" s="84"/>
      <c r="F3896" s="84"/>
      <c r="G3896" s="154"/>
      <c r="H3896" s="140"/>
    </row>
    <row r="3897" spans="1:8" s="65" customFormat="1">
      <c r="A3897" s="150"/>
      <c r="B3897" s="83"/>
      <c r="C3897" s="148"/>
      <c r="D3897" s="84"/>
      <c r="E3897" s="84"/>
      <c r="F3897" s="84"/>
      <c r="G3897" s="154"/>
      <c r="H3897" s="140"/>
    </row>
    <row r="3898" spans="1:8" s="65" customFormat="1">
      <c r="A3898" s="150"/>
      <c r="B3898" s="83"/>
      <c r="C3898" s="148"/>
      <c r="D3898" s="84"/>
      <c r="E3898" s="84"/>
      <c r="F3898" s="84"/>
      <c r="G3898" s="154"/>
      <c r="H3898" s="140"/>
    </row>
    <row r="3899" spans="1:8" s="65" customFormat="1">
      <c r="A3899" s="150"/>
      <c r="B3899" s="83"/>
      <c r="C3899" s="148"/>
      <c r="D3899" s="84"/>
      <c r="E3899" s="84"/>
      <c r="F3899" s="84"/>
      <c r="G3899" s="154"/>
      <c r="H3899" s="140"/>
    </row>
    <row r="3900" spans="1:8" s="65" customFormat="1">
      <c r="A3900" s="150"/>
      <c r="B3900" s="83"/>
      <c r="C3900" s="148"/>
      <c r="D3900" s="84"/>
      <c r="E3900" s="84"/>
      <c r="F3900" s="84"/>
      <c r="G3900" s="154"/>
      <c r="H3900" s="140"/>
    </row>
    <row r="3901" spans="1:8" s="65" customFormat="1">
      <c r="A3901" s="150"/>
      <c r="B3901" s="83"/>
      <c r="C3901" s="148"/>
      <c r="D3901" s="84"/>
      <c r="E3901" s="84"/>
      <c r="F3901" s="84"/>
      <c r="G3901" s="154"/>
      <c r="H3901" s="140"/>
    </row>
    <row r="3902" spans="1:8" s="65" customFormat="1">
      <c r="A3902" s="150"/>
      <c r="B3902" s="83"/>
      <c r="C3902" s="148"/>
      <c r="D3902" s="84"/>
      <c r="E3902" s="84"/>
      <c r="F3902" s="84"/>
      <c r="G3902" s="154"/>
      <c r="H3902" s="145"/>
    </row>
    <row r="3903" spans="1:8" s="65" customFormat="1">
      <c r="A3903" s="91"/>
      <c r="B3903" s="91"/>
      <c r="C3903" s="91"/>
      <c r="D3903" s="91"/>
      <c r="E3903" s="91"/>
      <c r="G3903" s="104"/>
      <c r="H3903" s="140"/>
    </row>
    <row r="3904" spans="1:8" s="65" customFormat="1">
      <c r="A3904" s="120"/>
      <c r="B3904" s="73"/>
      <c r="C3904" s="73"/>
      <c r="D3904" s="73"/>
      <c r="E3904" s="73"/>
      <c r="G3904" s="121"/>
      <c r="H3904" s="140"/>
    </row>
    <row r="3905" spans="1:9" s="65" customFormat="1">
      <c r="A3905" s="128"/>
      <c r="B3905" s="141"/>
      <c r="C3905" s="141"/>
      <c r="D3905" s="141"/>
      <c r="E3905" s="141"/>
      <c r="F3905" s="141"/>
      <c r="G3905" s="141"/>
      <c r="H3905" s="140"/>
    </row>
    <row r="3906" spans="1:9" s="65" customFormat="1">
      <c r="A3906" s="146"/>
      <c r="B3906" s="83"/>
      <c r="C3906" s="148"/>
      <c r="D3906" s="84"/>
      <c r="E3906" s="84"/>
      <c r="F3906" s="84"/>
      <c r="G3906" s="144"/>
      <c r="H3906" s="140"/>
    </row>
    <row r="3907" spans="1:9" s="65" customFormat="1">
      <c r="A3907" s="146"/>
      <c r="B3907" s="83"/>
      <c r="C3907" s="148"/>
      <c r="D3907" s="84"/>
      <c r="E3907" s="84"/>
      <c r="F3907" s="84"/>
      <c r="G3907" s="144"/>
      <c r="H3907" s="145"/>
    </row>
    <row r="3908" spans="1:9" s="65" customFormat="1">
      <c r="A3908" s="91"/>
      <c r="B3908" s="91"/>
      <c r="C3908" s="91"/>
      <c r="D3908" s="91"/>
      <c r="E3908" s="91"/>
      <c r="G3908" s="104"/>
      <c r="H3908" s="140"/>
    </row>
    <row r="3909" spans="1:9" s="65" customFormat="1">
      <c r="A3909" s="120"/>
      <c r="B3909" s="73"/>
      <c r="C3909" s="73"/>
      <c r="D3909" s="73"/>
      <c r="E3909" s="73"/>
      <c r="G3909" s="121"/>
      <c r="H3909" s="140"/>
    </row>
    <row r="3910" spans="1:9" s="65" customFormat="1">
      <c r="A3910" s="128"/>
      <c r="B3910" s="141"/>
      <c r="C3910" s="141"/>
      <c r="D3910" s="141"/>
      <c r="E3910" s="141"/>
      <c r="F3910" s="141"/>
      <c r="G3910" s="141"/>
      <c r="H3910" s="140"/>
    </row>
    <row r="3911" spans="1:9" s="65" customFormat="1">
      <c r="A3911" s="142"/>
      <c r="B3911" s="143"/>
      <c r="C3911" s="143"/>
      <c r="D3911" s="143"/>
      <c r="E3911" s="143"/>
      <c r="F3911" s="84"/>
      <c r="G3911" s="144"/>
      <c r="H3911" s="145"/>
    </row>
    <row r="3912" spans="1:9" s="65" customFormat="1">
      <c r="A3912" s="123"/>
      <c r="B3912" s="95"/>
      <c r="C3912" s="95"/>
      <c r="D3912" s="95"/>
      <c r="E3912" s="95"/>
      <c r="G3912" s="104"/>
      <c r="H3912" s="121"/>
    </row>
    <row r="3913" spans="1:9" s="65" customFormat="1">
      <c r="A3913" s="123"/>
      <c r="B3913" s="95"/>
      <c r="C3913" s="95"/>
      <c r="D3913" s="95"/>
      <c r="E3913" s="95"/>
      <c r="G3913" s="121"/>
      <c r="H3913" s="133"/>
    </row>
    <row r="3914" spans="1:9" s="65" customFormat="1">
      <c r="B3914" s="97"/>
      <c r="C3914" s="98"/>
      <c r="D3914" s="98"/>
      <c r="E3914" s="98"/>
      <c r="G3914" s="128"/>
    </row>
    <row r="3915" spans="1:9" s="65" customFormat="1">
      <c r="B3915" s="97"/>
      <c r="C3915" s="98"/>
      <c r="D3915" s="98"/>
      <c r="E3915" s="98"/>
      <c r="F3915" s="128"/>
      <c r="G3915" s="133"/>
      <c r="H3915" s="134"/>
    </row>
    <row r="3916" spans="1:9" s="65" customFormat="1">
      <c r="A3916" s="633"/>
      <c r="B3916" s="633"/>
      <c r="C3916" s="633"/>
      <c r="D3916" s="633"/>
      <c r="E3916" s="633"/>
      <c r="F3916" s="633"/>
      <c r="G3916" s="633"/>
    </row>
    <row r="3917" spans="1:9" s="65" customFormat="1">
      <c r="H3917" s="156"/>
      <c r="I3917" s="151"/>
    </row>
    <row r="3918" spans="1:9" s="65" customFormat="1">
      <c r="A3918" s="645"/>
      <c r="B3918" s="156"/>
      <c r="C3918" s="156"/>
      <c r="D3918" s="156"/>
      <c r="E3918" s="156"/>
      <c r="F3918" s="156"/>
      <c r="G3918" s="156"/>
      <c r="H3918" s="156"/>
      <c r="I3918" s="152"/>
    </row>
    <row r="3919" spans="1:9" s="65" customFormat="1">
      <c r="A3919" s="645"/>
      <c r="B3919" s="156"/>
      <c r="C3919" s="156"/>
      <c r="D3919" s="156"/>
      <c r="E3919" s="156"/>
      <c r="F3919" s="156"/>
      <c r="G3919" s="156"/>
    </row>
    <row r="3920" spans="1:9" s="65" customFormat="1">
      <c r="A3920" s="69"/>
      <c r="B3920" s="69"/>
      <c r="C3920" s="69"/>
      <c r="D3920" s="69"/>
      <c r="E3920" s="69"/>
    </row>
    <row r="3921" spans="1:8" s="65" customFormat="1">
      <c r="A3921" s="120"/>
      <c r="B3921" s="73"/>
      <c r="C3921" s="73"/>
      <c r="D3921" s="73"/>
      <c r="E3921" s="73"/>
      <c r="F3921" s="121"/>
      <c r="G3921" s="121"/>
      <c r="H3921" s="121"/>
    </row>
    <row r="3922" spans="1:8" s="65" customFormat="1">
      <c r="A3922" s="128"/>
      <c r="B3922" s="141"/>
      <c r="C3922" s="141"/>
      <c r="D3922" s="141"/>
      <c r="E3922" s="141"/>
      <c r="F3922" s="141"/>
      <c r="G3922" s="141"/>
      <c r="H3922" s="121"/>
    </row>
    <row r="3923" spans="1:8" s="65" customFormat="1">
      <c r="A3923" s="150"/>
      <c r="B3923" s="83"/>
      <c r="C3923" s="148"/>
      <c r="D3923" s="84"/>
      <c r="E3923" s="84"/>
      <c r="F3923" s="84"/>
      <c r="G3923" s="154"/>
      <c r="H3923" s="145"/>
    </row>
    <row r="3924" spans="1:8" s="65" customFormat="1">
      <c r="A3924" s="84"/>
      <c r="B3924" s="83"/>
      <c r="C3924" s="84"/>
      <c r="D3924" s="84"/>
      <c r="E3924" s="84"/>
      <c r="G3924" s="104"/>
      <c r="H3924" s="140"/>
    </row>
    <row r="3925" spans="1:8" s="65" customFormat="1">
      <c r="A3925" s="120"/>
      <c r="B3925" s="73"/>
      <c r="C3925" s="73"/>
      <c r="D3925" s="73"/>
      <c r="E3925" s="73"/>
      <c r="G3925" s="121"/>
      <c r="H3925" s="140"/>
    </row>
    <row r="3926" spans="1:8" s="65" customFormat="1">
      <c r="A3926" s="128"/>
      <c r="B3926" s="141"/>
      <c r="C3926" s="141"/>
      <c r="D3926" s="141"/>
      <c r="E3926" s="141"/>
      <c r="F3926" s="141"/>
      <c r="G3926" s="141"/>
      <c r="H3926" s="140"/>
    </row>
    <row r="3927" spans="1:8" s="65" customFormat="1">
      <c r="A3927" s="150"/>
      <c r="B3927" s="83"/>
      <c r="C3927" s="148"/>
      <c r="D3927" s="84"/>
      <c r="E3927" s="84"/>
      <c r="F3927" s="84"/>
      <c r="G3927" s="154"/>
      <c r="H3927" s="140"/>
    </row>
    <row r="3928" spans="1:8" s="65" customFormat="1">
      <c r="A3928" s="150"/>
      <c r="B3928" s="83"/>
      <c r="C3928" s="148"/>
      <c r="D3928" s="84"/>
      <c r="E3928" s="84"/>
      <c r="F3928" s="84"/>
      <c r="G3928" s="154"/>
      <c r="H3928" s="145"/>
    </row>
    <row r="3929" spans="1:8" s="65" customFormat="1">
      <c r="A3929" s="91"/>
      <c r="B3929" s="91"/>
      <c r="C3929" s="91"/>
      <c r="D3929" s="91"/>
      <c r="E3929" s="91"/>
      <c r="G3929" s="104"/>
      <c r="H3929" s="140"/>
    </row>
    <row r="3930" spans="1:8" s="65" customFormat="1">
      <c r="A3930" s="120"/>
      <c r="B3930" s="73"/>
      <c r="C3930" s="73"/>
      <c r="D3930" s="73"/>
      <c r="E3930" s="73"/>
      <c r="G3930" s="121"/>
      <c r="H3930" s="140"/>
    </row>
    <row r="3931" spans="1:8" s="65" customFormat="1">
      <c r="A3931" s="128"/>
      <c r="B3931" s="141"/>
      <c r="C3931" s="141"/>
      <c r="D3931" s="141"/>
      <c r="E3931" s="141"/>
      <c r="F3931" s="141"/>
      <c r="G3931" s="141"/>
      <c r="H3931" s="140"/>
    </row>
    <row r="3932" spans="1:8" s="65" customFormat="1">
      <c r="A3932" s="146"/>
      <c r="B3932" s="83"/>
      <c r="C3932" s="148"/>
      <c r="D3932" s="84"/>
      <c r="E3932" s="84"/>
      <c r="F3932" s="84"/>
      <c r="G3932" s="144"/>
      <c r="H3932" s="145"/>
    </row>
    <row r="3933" spans="1:8" s="65" customFormat="1">
      <c r="A3933" s="91"/>
      <c r="B3933" s="91"/>
      <c r="C3933" s="91"/>
      <c r="D3933" s="91"/>
      <c r="E3933" s="91"/>
      <c r="G3933" s="104"/>
      <c r="H3933" s="140"/>
    </row>
    <row r="3934" spans="1:8" s="65" customFormat="1">
      <c r="A3934" s="120"/>
      <c r="B3934" s="73"/>
      <c r="C3934" s="73"/>
      <c r="D3934" s="73"/>
      <c r="E3934" s="73"/>
      <c r="G3934" s="121"/>
      <c r="H3934" s="140"/>
    </row>
    <row r="3935" spans="1:8" s="65" customFormat="1">
      <c r="A3935" s="128"/>
      <c r="B3935" s="141"/>
      <c r="C3935" s="141"/>
      <c r="D3935" s="141"/>
      <c r="E3935" s="141"/>
      <c r="F3935" s="141"/>
      <c r="G3935" s="141"/>
      <c r="H3935" s="140"/>
    </row>
    <row r="3936" spans="1:8" s="65" customFormat="1">
      <c r="A3936" s="142"/>
      <c r="B3936" s="143"/>
      <c r="C3936" s="143"/>
      <c r="D3936" s="143"/>
      <c r="E3936" s="143"/>
      <c r="F3936" s="84"/>
      <c r="G3936" s="144"/>
      <c r="H3936" s="145"/>
    </row>
    <row r="3937" spans="1:9" s="65" customFormat="1">
      <c r="A3937" s="123"/>
      <c r="B3937" s="95"/>
      <c r="C3937" s="95"/>
      <c r="D3937" s="95"/>
      <c r="E3937" s="95"/>
      <c r="G3937" s="104"/>
      <c r="H3937" s="121"/>
    </row>
    <row r="3938" spans="1:9" s="65" customFormat="1">
      <c r="A3938" s="123"/>
      <c r="B3938" s="95"/>
      <c r="C3938" s="95"/>
      <c r="D3938" s="95"/>
      <c r="E3938" s="95"/>
      <c r="G3938" s="121"/>
      <c r="H3938" s="133"/>
    </row>
    <row r="3939" spans="1:9" s="65" customFormat="1">
      <c r="B3939" s="97"/>
      <c r="C3939" s="98"/>
      <c r="D3939" s="98"/>
      <c r="E3939" s="98"/>
      <c r="G3939" s="128"/>
    </row>
    <row r="3940" spans="1:9" s="65" customFormat="1">
      <c r="B3940" s="97"/>
      <c r="C3940" s="98"/>
      <c r="D3940" s="98"/>
      <c r="E3940" s="98"/>
      <c r="F3940" s="128"/>
      <c r="G3940" s="133"/>
      <c r="H3940" s="134"/>
    </row>
    <row r="3941" spans="1:9" s="65" customFormat="1">
      <c r="A3941" s="633"/>
      <c r="B3941" s="633"/>
      <c r="C3941" s="633"/>
      <c r="D3941" s="633"/>
      <c r="E3941" s="633"/>
      <c r="F3941" s="633"/>
      <c r="G3941" s="633"/>
    </row>
    <row r="3942" spans="1:9" s="65" customFormat="1">
      <c r="H3942" s="156"/>
      <c r="I3942" s="151"/>
    </row>
    <row r="3943" spans="1:9" s="65" customFormat="1">
      <c r="A3943" s="645"/>
      <c r="B3943" s="156"/>
      <c r="C3943" s="156"/>
      <c r="D3943" s="156"/>
      <c r="E3943" s="156"/>
      <c r="F3943" s="156"/>
      <c r="G3943" s="156"/>
      <c r="H3943" s="156"/>
      <c r="I3943" s="152"/>
    </row>
    <row r="3944" spans="1:9" s="65" customFormat="1">
      <c r="A3944" s="645"/>
      <c r="B3944" s="156"/>
      <c r="C3944" s="156"/>
      <c r="D3944" s="156"/>
      <c r="E3944" s="156"/>
      <c r="F3944" s="156"/>
      <c r="G3944" s="156"/>
    </row>
    <row r="3945" spans="1:9" s="65" customFormat="1">
      <c r="A3945" s="69"/>
      <c r="B3945" s="69"/>
      <c r="C3945" s="69"/>
      <c r="D3945" s="69"/>
      <c r="E3945" s="69"/>
    </row>
    <row r="3946" spans="1:9" s="65" customFormat="1">
      <c r="A3946" s="120"/>
      <c r="B3946" s="73"/>
      <c r="C3946" s="73"/>
      <c r="D3946" s="73"/>
      <c r="E3946" s="73"/>
      <c r="F3946" s="121"/>
      <c r="G3946" s="121"/>
      <c r="H3946" s="121"/>
    </row>
    <row r="3947" spans="1:9" s="65" customFormat="1">
      <c r="A3947" s="128"/>
      <c r="B3947" s="141"/>
      <c r="C3947" s="141"/>
      <c r="D3947" s="141"/>
      <c r="E3947" s="141"/>
      <c r="F3947" s="141"/>
      <c r="G3947" s="141"/>
      <c r="H3947" s="121"/>
    </row>
    <row r="3948" spans="1:9" s="65" customFormat="1">
      <c r="A3948" s="150"/>
      <c r="B3948" s="83"/>
      <c r="C3948" s="148"/>
      <c r="D3948" s="84"/>
      <c r="E3948" s="84"/>
      <c r="F3948" s="84"/>
      <c r="G3948" s="154"/>
      <c r="H3948" s="145"/>
    </row>
    <row r="3949" spans="1:9" s="65" customFormat="1">
      <c r="A3949" s="84"/>
      <c r="B3949" s="83"/>
      <c r="C3949" s="84"/>
      <c r="D3949" s="84"/>
      <c r="E3949" s="84"/>
      <c r="G3949" s="104"/>
      <c r="H3949" s="140"/>
    </row>
    <row r="3950" spans="1:9" s="65" customFormat="1">
      <c r="A3950" s="120"/>
      <c r="B3950" s="73"/>
      <c r="C3950" s="73"/>
      <c r="D3950" s="73"/>
      <c r="E3950" s="73"/>
      <c r="G3950" s="121"/>
      <c r="H3950" s="140"/>
    </row>
    <row r="3951" spans="1:9" s="65" customFormat="1">
      <c r="A3951" s="128"/>
      <c r="B3951" s="141"/>
      <c r="C3951" s="141"/>
      <c r="D3951" s="141"/>
      <c r="E3951" s="141"/>
      <c r="F3951" s="141"/>
      <c r="G3951" s="141"/>
      <c r="H3951" s="140"/>
    </row>
    <row r="3952" spans="1:9" s="65" customFormat="1">
      <c r="A3952" s="150"/>
      <c r="B3952" s="83"/>
      <c r="C3952" s="148"/>
      <c r="D3952" s="84"/>
      <c r="E3952" s="84"/>
      <c r="F3952" s="84"/>
      <c r="G3952" s="154"/>
      <c r="H3952" s="145"/>
    </row>
    <row r="3953" spans="1:9" s="65" customFormat="1">
      <c r="A3953" s="91"/>
      <c r="B3953" s="91"/>
      <c r="C3953" s="91"/>
      <c r="D3953" s="91"/>
      <c r="E3953" s="91"/>
      <c r="G3953" s="104"/>
      <c r="H3953" s="140"/>
    </row>
    <row r="3954" spans="1:9" s="65" customFormat="1">
      <c r="A3954" s="120"/>
      <c r="B3954" s="73"/>
      <c r="C3954" s="73"/>
      <c r="D3954" s="73"/>
      <c r="E3954" s="73"/>
      <c r="G3954" s="121"/>
      <c r="H3954" s="140"/>
    </row>
    <row r="3955" spans="1:9" s="65" customFormat="1">
      <c r="A3955" s="128"/>
      <c r="B3955" s="141"/>
      <c r="C3955" s="141"/>
      <c r="D3955" s="141"/>
      <c r="E3955" s="141"/>
      <c r="F3955" s="141"/>
      <c r="G3955" s="141"/>
      <c r="H3955" s="140"/>
    </row>
    <row r="3956" spans="1:9" s="65" customFormat="1">
      <c r="A3956" s="146"/>
      <c r="B3956" s="83"/>
      <c r="C3956" s="148"/>
      <c r="D3956" s="84"/>
      <c r="E3956" s="84"/>
      <c r="F3956" s="84"/>
      <c r="G3956" s="144"/>
      <c r="H3956" s="145"/>
    </row>
    <row r="3957" spans="1:9" s="65" customFormat="1">
      <c r="A3957" s="91"/>
      <c r="B3957" s="91"/>
      <c r="C3957" s="91"/>
      <c r="D3957" s="91"/>
      <c r="E3957" s="91"/>
      <c r="G3957" s="104"/>
      <c r="H3957" s="140"/>
    </row>
    <row r="3958" spans="1:9" s="65" customFormat="1">
      <c r="A3958" s="120"/>
      <c r="B3958" s="73"/>
      <c r="C3958" s="73"/>
      <c r="D3958" s="73"/>
      <c r="E3958" s="73"/>
      <c r="G3958" s="121"/>
      <c r="H3958" s="140"/>
    </row>
    <row r="3959" spans="1:9" s="65" customFormat="1">
      <c r="A3959" s="128"/>
      <c r="B3959" s="141"/>
      <c r="C3959" s="141"/>
      <c r="D3959" s="141"/>
      <c r="E3959" s="141"/>
      <c r="F3959" s="141"/>
      <c r="G3959" s="141"/>
      <c r="H3959" s="140"/>
    </row>
    <row r="3960" spans="1:9" s="65" customFormat="1">
      <c r="A3960" s="142"/>
      <c r="B3960" s="143"/>
      <c r="C3960" s="143"/>
      <c r="D3960" s="143"/>
      <c r="E3960" s="143"/>
      <c r="F3960" s="84"/>
      <c r="G3960" s="144"/>
      <c r="H3960" s="145"/>
    </row>
    <row r="3961" spans="1:9" s="65" customFormat="1">
      <c r="A3961" s="123"/>
      <c r="B3961" s="95"/>
      <c r="C3961" s="95"/>
      <c r="D3961" s="95"/>
      <c r="E3961" s="95"/>
      <c r="G3961" s="104"/>
      <c r="H3961" s="121"/>
    </row>
    <row r="3962" spans="1:9" s="65" customFormat="1">
      <c r="A3962" s="123"/>
      <c r="B3962" s="95"/>
      <c r="C3962" s="95"/>
      <c r="D3962" s="95"/>
      <c r="E3962" s="95"/>
      <c r="G3962" s="121"/>
      <c r="H3962" s="133"/>
    </row>
    <row r="3963" spans="1:9" s="65" customFormat="1">
      <c r="B3963" s="97"/>
      <c r="C3963" s="98"/>
      <c r="D3963" s="98"/>
      <c r="E3963" s="98"/>
      <c r="G3963" s="128"/>
    </row>
    <row r="3964" spans="1:9" s="65" customFormat="1">
      <c r="B3964" s="97"/>
      <c r="C3964" s="98"/>
      <c r="D3964" s="98"/>
      <c r="E3964" s="98"/>
      <c r="F3964" s="128"/>
      <c r="G3964" s="133"/>
      <c r="H3964" s="134"/>
    </row>
    <row r="3965" spans="1:9" s="65" customFormat="1">
      <c r="A3965" s="633"/>
      <c r="B3965" s="633"/>
      <c r="C3965" s="633"/>
      <c r="D3965" s="633"/>
      <c r="E3965" s="633"/>
      <c r="F3965" s="633"/>
      <c r="G3965" s="633"/>
    </row>
    <row r="3966" spans="1:9" s="65" customFormat="1">
      <c r="H3966" s="156"/>
      <c r="I3966" s="151"/>
    </row>
    <row r="3967" spans="1:9" s="65" customFormat="1">
      <c r="A3967" s="645"/>
      <c r="B3967" s="156"/>
      <c r="C3967" s="156"/>
      <c r="D3967" s="156"/>
      <c r="E3967" s="156"/>
      <c r="F3967" s="156"/>
      <c r="G3967" s="156"/>
      <c r="H3967" s="156"/>
      <c r="I3967" s="152"/>
    </row>
    <row r="3968" spans="1:9" s="65" customFormat="1">
      <c r="A3968" s="645"/>
      <c r="B3968" s="156"/>
      <c r="C3968" s="156"/>
      <c r="D3968" s="156"/>
      <c r="E3968" s="156"/>
      <c r="F3968" s="156"/>
      <c r="G3968" s="156"/>
    </row>
    <row r="3969" spans="1:8" s="65" customFormat="1">
      <c r="A3969" s="69"/>
      <c r="B3969" s="69"/>
      <c r="C3969" s="69"/>
      <c r="D3969" s="69"/>
      <c r="E3969" s="69"/>
    </row>
    <row r="3970" spans="1:8" s="65" customFormat="1">
      <c r="A3970" s="120"/>
      <c r="B3970" s="73"/>
      <c r="C3970" s="73"/>
      <c r="D3970" s="73"/>
      <c r="E3970" s="73"/>
      <c r="F3970" s="121"/>
      <c r="G3970" s="121"/>
      <c r="H3970" s="121"/>
    </row>
    <row r="3971" spans="1:8" s="65" customFormat="1">
      <c r="A3971" s="128"/>
      <c r="B3971" s="141"/>
      <c r="C3971" s="141"/>
      <c r="D3971" s="141"/>
      <c r="E3971" s="141"/>
      <c r="F3971" s="141"/>
      <c r="G3971" s="141"/>
      <c r="H3971" s="121"/>
    </row>
    <row r="3972" spans="1:8" s="65" customFormat="1">
      <c r="A3972" s="150"/>
      <c r="B3972" s="83"/>
      <c r="C3972" s="148"/>
      <c r="D3972" s="84"/>
      <c r="E3972" s="84"/>
      <c r="F3972" s="84"/>
      <c r="G3972" s="154"/>
      <c r="H3972" s="145"/>
    </row>
    <row r="3973" spans="1:8" s="65" customFormat="1">
      <c r="A3973" s="84"/>
      <c r="B3973" s="83"/>
      <c r="C3973" s="84"/>
      <c r="D3973" s="84"/>
      <c r="E3973" s="84"/>
      <c r="G3973" s="104"/>
      <c r="H3973" s="140"/>
    </row>
    <row r="3974" spans="1:8" s="65" customFormat="1">
      <c r="A3974" s="120"/>
      <c r="B3974" s="73"/>
      <c r="C3974" s="73"/>
      <c r="D3974" s="73"/>
      <c r="E3974" s="73"/>
      <c r="G3974" s="121"/>
      <c r="H3974" s="140"/>
    </row>
    <row r="3975" spans="1:8" s="65" customFormat="1">
      <c r="A3975" s="128"/>
      <c r="B3975" s="141"/>
      <c r="C3975" s="141"/>
      <c r="D3975" s="141"/>
      <c r="E3975" s="141"/>
      <c r="F3975" s="141"/>
      <c r="G3975" s="141"/>
      <c r="H3975" s="140"/>
    </row>
    <row r="3976" spans="1:8" s="65" customFormat="1">
      <c r="A3976" s="150"/>
      <c r="B3976" s="83"/>
      <c r="C3976" s="148"/>
      <c r="D3976" s="84"/>
      <c r="E3976" s="84"/>
      <c r="F3976" s="84"/>
      <c r="G3976" s="154"/>
      <c r="H3976" s="145"/>
    </row>
    <row r="3977" spans="1:8" s="65" customFormat="1">
      <c r="A3977" s="91"/>
      <c r="B3977" s="91"/>
      <c r="C3977" s="91"/>
      <c r="D3977" s="91"/>
      <c r="E3977" s="91"/>
      <c r="G3977" s="104"/>
      <c r="H3977" s="140"/>
    </row>
    <row r="3978" spans="1:8" s="65" customFormat="1">
      <c r="A3978" s="120"/>
      <c r="B3978" s="73"/>
      <c r="C3978" s="73"/>
      <c r="D3978" s="73"/>
      <c r="E3978" s="73"/>
      <c r="G3978" s="121"/>
      <c r="H3978" s="140"/>
    </row>
    <row r="3979" spans="1:8" s="65" customFormat="1">
      <c r="A3979" s="128"/>
      <c r="B3979" s="141"/>
      <c r="C3979" s="141"/>
      <c r="D3979" s="141"/>
      <c r="E3979" s="141"/>
      <c r="F3979" s="141"/>
      <c r="G3979" s="141"/>
      <c r="H3979" s="140"/>
    </row>
    <row r="3980" spans="1:8" s="65" customFormat="1">
      <c r="A3980" s="146"/>
      <c r="B3980" s="83"/>
      <c r="C3980" s="148"/>
      <c r="D3980" s="84"/>
      <c r="E3980" s="84"/>
      <c r="F3980" s="84"/>
      <c r="G3980" s="144"/>
      <c r="H3980" s="145"/>
    </row>
    <row r="3981" spans="1:8" s="65" customFormat="1">
      <c r="A3981" s="91"/>
      <c r="B3981" s="91"/>
      <c r="C3981" s="91"/>
      <c r="D3981" s="91"/>
      <c r="E3981" s="91"/>
      <c r="G3981" s="104"/>
      <c r="H3981" s="140"/>
    </row>
    <row r="3982" spans="1:8" s="65" customFormat="1">
      <c r="A3982" s="120"/>
      <c r="B3982" s="73"/>
      <c r="C3982" s="73"/>
      <c r="D3982" s="73"/>
      <c r="E3982" s="73"/>
      <c r="G3982" s="121"/>
      <c r="H3982" s="140"/>
    </row>
    <row r="3983" spans="1:8" s="65" customFormat="1">
      <c r="A3983" s="128"/>
      <c r="B3983" s="141"/>
      <c r="C3983" s="141"/>
      <c r="D3983" s="141"/>
      <c r="E3983" s="141"/>
      <c r="F3983" s="141"/>
      <c r="G3983" s="141"/>
      <c r="H3983" s="140"/>
    </row>
    <row r="3984" spans="1:8" s="65" customFormat="1">
      <c r="A3984" s="142"/>
      <c r="B3984" s="143"/>
      <c r="C3984" s="143"/>
      <c r="D3984" s="143"/>
      <c r="E3984" s="143"/>
      <c r="F3984" s="84"/>
      <c r="G3984" s="144"/>
      <c r="H3984" s="145"/>
    </row>
    <row r="3985" spans="1:9" s="65" customFormat="1">
      <c r="A3985" s="123"/>
      <c r="B3985" s="95"/>
      <c r="C3985" s="95"/>
      <c r="D3985" s="95"/>
      <c r="E3985" s="95"/>
      <c r="G3985" s="104"/>
      <c r="H3985" s="121"/>
    </row>
    <row r="3986" spans="1:9" s="65" customFormat="1">
      <c r="A3986" s="123"/>
      <c r="B3986" s="95"/>
      <c r="C3986" s="95"/>
      <c r="D3986" s="95"/>
      <c r="E3986" s="95"/>
      <c r="G3986" s="121"/>
      <c r="H3986" s="133"/>
    </row>
    <row r="3987" spans="1:9" s="65" customFormat="1">
      <c r="B3987" s="97"/>
      <c r="C3987" s="98"/>
      <c r="D3987" s="98"/>
      <c r="E3987" s="98"/>
      <c r="G3987" s="128"/>
    </row>
    <row r="3988" spans="1:9" s="65" customFormat="1">
      <c r="B3988" s="97"/>
      <c r="C3988" s="98"/>
      <c r="D3988" s="98"/>
      <c r="E3988" s="98"/>
      <c r="F3988" s="128"/>
      <c r="G3988" s="133"/>
      <c r="H3988" s="134"/>
    </row>
    <row r="3989" spans="1:9" s="65" customFormat="1">
      <c r="A3989" s="633"/>
      <c r="B3989" s="633"/>
      <c r="C3989" s="633"/>
      <c r="D3989" s="633"/>
      <c r="E3989" s="633"/>
      <c r="F3989" s="633"/>
      <c r="G3989" s="633"/>
    </row>
    <row r="3990" spans="1:9" s="65" customFormat="1">
      <c r="H3990" s="156"/>
      <c r="I3990" s="151"/>
    </row>
    <row r="3991" spans="1:9" s="65" customFormat="1">
      <c r="A3991" s="645"/>
      <c r="B3991" s="156"/>
      <c r="C3991" s="156"/>
      <c r="D3991" s="156"/>
      <c r="E3991" s="156"/>
      <c r="F3991" s="156"/>
      <c r="G3991" s="156"/>
      <c r="H3991" s="156"/>
      <c r="I3991" s="152"/>
    </row>
    <row r="3992" spans="1:9" s="65" customFormat="1">
      <c r="A3992" s="645"/>
      <c r="B3992" s="156"/>
      <c r="C3992" s="156"/>
      <c r="D3992" s="156"/>
      <c r="E3992" s="156"/>
      <c r="F3992" s="156"/>
      <c r="G3992" s="156"/>
    </row>
    <row r="3993" spans="1:9" s="65" customFormat="1">
      <c r="A3993" s="69"/>
      <c r="B3993" s="69"/>
      <c r="C3993" s="69"/>
      <c r="D3993" s="69"/>
      <c r="E3993" s="69"/>
    </row>
    <row r="3994" spans="1:9" s="65" customFormat="1">
      <c r="A3994" s="120"/>
      <c r="B3994" s="73"/>
      <c r="C3994" s="73"/>
      <c r="D3994" s="73"/>
      <c r="E3994" s="73"/>
      <c r="F3994" s="121"/>
      <c r="G3994" s="121"/>
      <c r="H3994" s="121"/>
    </row>
    <row r="3995" spans="1:9" s="65" customFormat="1">
      <c r="A3995" s="128"/>
      <c r="B3995" s="141"/>
      <c r="C3995" s="141"/>
      <c r="D3995" s="141"/>
      <c r="E3995" s="141"/>
      <c r="F3995" s="141"/>
      <c r="G3995" s="141"/>
      <c r="H3995" s="121"/>
    </row>
    <row r="3996" spans="1:9" s="65" customFormat="1">
      <c r="A3996" s="150"/>
      <c r="B3996" s="83"/>
      <c r="C3996" s="148"/>
      <c r="D3996" s="84"/>
      <c r="E3996" s="84"/>
      <c r="F3996" s="84"/>
      <c r="G3996" s="154"/>
      <c r="H3996" s="145"/>
    </row>
    <row r="3997" spans="1:9" s="65" customFormat="1">
      <c r="A3997" s="84"/>
      <c r="B3997" s="83"/>
      <c r="C3997" s="84"/>
      <c r="D3997" s="84"/>
      <c r="E3997" s="84"/>
      <c r="G3997" s="104"/>
      <c r="H3997" s="140"/>
    </row>
    <row r="3998" spans="1:9" s="65" customFormat="1">
      <c r="A3998" s="120"/>
      <c r="B3998" s="73"/>
      <c r="C3998" s="73"/>
      <c r="D3998" s="73"/>
      <c r="E3998" s="73"/>
      <c r="G3998" s="121"/>
      <c r="H3998" s="140"/>
    </row>
    <row r="3999" spans="1:9" s="65" customFormat="1">
      <c r="A3999" s="128"/>
      <c r="B3999" s="141"/>
      <c r="C3999" s="141"/>
      <c r="D3999" s="141"/>
      <c r="E3999" s="141"/>
      <c r="F3999" s="141"/>
      <c r="G3999" s="141"/>
      <c r="H3999" s="140"/>
    </row>
    <row r="4000" spans="1:9" s="65" customFormat="1">
      <c r="A4000" s="150"/>
      <c r="B4000" s="83"/>
      <c r="C4000" s="148"/>
      <c r="D4000" s="84"/>
      <c r="E4000" s="84"/>
      <c r="F4000" s="84"/>
      <c r="G4000" s="154"/>
      <c r="H4000" s="145"/>
    </row>
    <row r="4001" spans="1:9" s="65" customFormat="1">
      <c r="A4001" s="91"/>
      <c r="B4001" s="91"/>
      <c r="C4001" s="91"/>
      <c r="D4001" s="91"/>
      <c r="E4001" s="91"/>
      <c r="G4001" s="104"/>
      <c r="H4001" s="140"/>
    </row>
    <row r="4002" spans="1:9" s="65" customFormat="1">
      <c r="A4002" s="120"/>
      <c r="B4002" s="73"/>
      <c r="C4002" s="73"/>
      <c r="D4002" s="73"/>
      <c r="E4002" s="73"/>
      <c r="G4002" s="121"/>
      <c r="H4002" s="140"/>
    </row>
    <row r="4003" spans="1:9" s="65" customFormat="1">
      <c r="A4003" s="128"/>
      <c r="B4003" s="141"/>
      <c r="C4003" s="141"/>
      <c r="D4003" s="141"/>
      <c r="E4003" s="141"/>
      <c r="F4003" s="141"/>
      <c r="G4003" s="141"/>
      <c r="H4003" s="140"/>
    </row>
    <row r="4004" spans="1:9" s="65" customFormat="1">
      <c r="A4004" s="146"/>
      <c r="B4004" s="83"/>
      <c r="C4004" s="148"/>
      <c r="D4004" s="84"/>
      <c r="E4004" s="84"/>
      <c r="F4004" s="84"/>
      <c r="G4004" s="144"/>
      <c r="H4004" s="145"/>
    </row>
    <row r="4005" spans="1:9" s="65" customFormat="1">
      <c r="A4005" s="91"/>
      <c r="B4005" s="91"/>
      <c r="C4005" s="91"/>
      <c r="D4005" s="91"/>
      <c r="E4005" s="91"/>
      <c r="G4005" s="104"/>
      <c r="H4005" s="140"/>
    </row>
    <row r="4006" spans="1:9" s="65" customFormat="1">
      <c r="A4006" s="120"/>
      <c r="B4006" s="73"/>
      <c r="C4006" s="73"/>
      <c r="D4006" s="73"/>
      <c r="E4006" s="73"/>
      <c r="G4006" s="121"/>
      <c r="H4006" s="140"/>
    </row>
    <row r="4007" spans="1:9" s="65" customFormat="1">
      <c r="A4007" s="128"/>
      <c r="B4007" s="141"/>
      <c r="C4007" s="141"/>
      <c r="D4007" s="141"/>
      <c r="E4007" s="141"/>
      <c r="F4007" s="141"/>
      <c r="G4007" s="141"/>
      <c r="H4007" s="140"/>
    </row>
    <row r="4008" spans="1:9" s="65" customFormat="1">
      <c r="A4008" s="142"/>
      <c r="B4008" s="143"/>
      <c r="C4008" s="143"/>
      <c r="D4008" s="143"/>
      <c r="E4008" s="143"/>
      <c r="F4008" s="84"/>
      <c r="G4008" s="144"/>
      <c r="H4008" s="145"/>
    </row>
    <row r="4009" spans="1:9" s="65" customFormat="1">
      <c r="A4009" s="123"/>
      <c r="B4009" s="95"/>
      <c r="C4009" s="95"/>
      <c r="D4009" s="95"/>
      <c r="E4009" s="95"/>
      <c r="G4009" s="104"/>
      <c r="H4009" s="121"/>
    </row>
    <row r="4010" spans="1:9" s="65" customFormat="1">
      <c r="A4010" s="123"/>
      <c r="B4010" s="95"/>
      <c r="C4010" s="95"/>
      <c r="D4010" s="95"/>
      <c r="E4010" s="95"/>
      <c r="G4010" s="121"/>
      <c r="H4010" s="133"/>
    </row>
    <row r="4011" spans="1:9" s="65" customFormat="1">
      <c r="B4011" s="97"/>
      <c r="C4011" s="98"/>
      <c r="D4011" s="98"/>
      <c r="E4011" s="98"/>
      <c r="G4011" s="128"/>
    </row>
    <row r="4012" spans="1:9" s="65" customFormat="1">
      <c r="B4012" s="97"/>
      <c r="C4012" s="98"/>
      <c r="D4012" s="98"/>
      <c r="E4012" s="98"/>
      <c r="F4012" s="128"/>
      <c r="G4012" s="133"/>
      <c r="H4012" s="134"/>
    </row>
    <row r="4013" spans="1:9" s="65" customFormat="1">
      <c r="A4013" s="633"/>
      <c r="B4013" s="633"/>
      <c r="C4013" s="633"/>
      <c r="D4013" s="633"/>
      <c r="E4013" s="633"/>
      <c r="F4013" s="633"/>
      <c r="G4013" s="633"/>
    </row>
    <row r="4014" spans="1:9" s="65" customFormat="1">
      <c r="H4014" s="156"/>
      <c r="I4014" s="151"/>
    </row>
    <row r="4015" spans="1:9" s="65" customFormat="1">
      <c r="A4015" s="645"/>
      <c r="B4015" s="156"/>
      <c r="C4015" s="156"/>
      <c r="D4015" s="156"/>
      <c r="E4015" s="156"/>
      <c r="F4015" s="156"/>
      <c r="G4015" s="156"/>
      <c r="H4015" s="156"/>
      <c r="I4015" s="152"/>
    </row>
    <row r="4016" spans="1:9" s="65" customFormat="1">
      <c r="A4016" s="645"/>
      <c r="B4016" s="156"/>
      <c r="C4016" s="156"/>
      <c r="D4016" s="156"/>
      <c r="E4016" s="156"/>
      <c r="F4016" s="156"/>
      <c r="G4016" s="156"/>
    </row>
    <row r="4017" spans="1:8" s="65" customFormat="1">
      <c r="A4017" s="69"/>
      <c r="B4017" s="69"/>
      <c r="C4017" s="69"/>
      <c r="D4017" s="69"/>
      <c r="E4017" s="69"/>
    </row>
    <row r="4018" spans="1:8" s="65" customFormat="1">
      <c r="A4018" s="120"/>
      <c r="B4018" s="73"/>
      <c r="C4018" s="73"/>
      <c r="D4018" s="73"/>
      <c r="E4018" s="73"/>
      <c r="F4018" s="121"/>
      <c r="G4018" s="121"/>
      <c r="H4018" s="121"/>
    </row>
    <row r="4019" spans="1:8" s="65" customFormat="1">
      <c r="A4019" s="128"/>
      <c r="B4019" s="141"/>
      <c r="C4019" s="141"/>
      <c r="D4019" s="141"/>
      <c r="E4019" s="141"/>
      <c r="F4019" s="141"/>
      <c r="G4019" s="141"/>
      <c r="H4019" s="121"/>
    </row>
    <row r="4020" spans="1:8" s="65" customFormat="1">
      <c r="A4020" s="150"/>
      <c r="B4020" s="83"/>
      <c r="C4020" s="148"/>
      <c r="D4020" s="84"/>
      <c r="E4020" s="84"/>
      <c r="F4020" s="84"/>
      <c r="G4020" s="154"/>
      <c r="H4020" s="121"/>
    </row>
    <row r="4021" spans="1:8" s="65" customFormat="1">
      <c r="A4021" s="150"/>
      <c r="B4021" s="83"/>
      <c r="C4021" s="148"/>
      <c r="D4021" s="84"/>
      <c r="E4021" s="84"/>
      <c r="F4021" s="84"/>
      <c r="G4021" s="154"/>
      <c r="H4021" s="145"/>
    </row>
    <row r="4022" spans="1:8" s="65" customFormat="1">
      <c r="A4022" s="84"/>
      <c r="B4022" s="83"/>
      <c r="C4022" s="84"/>
      <c r="D4022" s="84"/>
      <c r="E4022" s="84"/>
      <c r="G4022" s="104"/>
      <c r="H4022" s="140"/>
    </row>
    <row r="4023" spans="1:8" s="65" customFormat="1">
      <c r="A4023" s="120"/>
      <c r="B4023" s="73"/>
      <c r="C4023" s="73"/>
      <c r="D4023" s="73"/>
      <c r="E4023" s="73"/>
      <c r="G4023" s="121"/>
      <c r="H4023" s="140"/>
    </row>
    <row r="4024" spans="1:8" s="65" customFormat="1">
      <c r="A4024" s="128"/>
      <c r="B4024" s="141"/>
      <c r="C4024" s="141"/>
      <c r="D4024" s="141"/>
      <c r="E4024" s="141"/>
      <c r="F4024" s="141"/>
      <c r="G4024" s="141"/>
      <c r="H4024" s="140"/>
    </row>
    <row r="4025" spans="1:8" s="65" customFormat="1">
      <c r="A4025" s="150"/>
      <c r="B4025" s="83"/>
      <c r="C4025" s="148"/>
      <c r="D4025" s="84"/>
      <c r="E4025" s="84"/>
      <c r="F4025" s="84"/>
      <c r="G4025" s="154"/>
      <c r="H4025" s="140"/>
    </row>
    <row r="4026" spans="1:8" s="65" customFormat="1">
      <c r="A4026" s="150"/>
      <c r="B4026" s="83"/>
      <c r="C4026" s="148"/>
      <c r="D4026" s="84"/>
      <c r="E4026" s="84"/>
      <c r="F4026" s="84"/>
      <c r="G4026" s="154"/>
      <c r="H4026" s="140"/>
    </row>
    <row r="4027" spans="1:8" s="65" customFormat="1">
      <c r="A4027" s="150"/>
      <c r="B4027" s="83"/>
      <c r="C4027" s="148"/>
      <c r="D4027" s="84"/>
      <c r="E4027" s="84"/>
      <c r="F4027" s="84"/>
      <c r="G4027" s="154"/>
      <c r="H4027" s="140"/>
    </row>
    <row r="4028" spans="1:8" s="65" customFormat="1">
      <c r="A4028" s="150"/>
      <c r="B4028" s="83"/>
      <c r="C4028" s="148"/>
      <c r="D4028" s="84"/>
      <c r="E4028" s="84"/>
      <c r="F4028" s="84"/>
      <c r="G4028" s="154"/>
      <c r="H4028" s="140"/>
    </row>
    <row r="4029" spans="1:8" s="65" customFormat="1">
      <c r="A4029" s="150"/>
      <c r="B4029" s="83"/>
      <c r="C4029" s="148"/>
      <c r="D4029" s="84"/>
      <c r="E4029" s="84"/>
      <c r="F4029" s="84"/>
      <c r="G4029" s="154"/>
      <c r="H4029" s="140"/>
    </row>
    <row r="4030" spans="1:8" s="65" customFormat="1">
      <c r="A4030" s="150"/>
      <c r="B4030" s="83"/>
      <c r="C4030" s="148"/>
      <c r="D4030" s="84"/>
      <c r="E4030" s="84"/>
      <c r="F4030" s="84"/>
      <c r="G4030" s="154"/>
      <c r="H4030" s="140"/>
    </row>
    <row r="4031" spans="1:8" s="65" customFormat="1">
      <c r="A4031" s="150"/>
      <c r="B4031" s="83"/>
      <c r="C4031" s="148"/>
      <c r="D4031" s="84"/>
      <c r="E4031" s="84"/>
      <c r="F4031" s="84"/>
      <c r="G4031" s="154"/>
      <c r="H4031" s="140"/>
    </row>
    <row r="4032" spans="1:8" s="65" customFormat="1">
      <c r="A4032" s="150"/>
      <c r="B4032" s="83"/>
      <c r="C4032" s="148"/>
      <c r="D4032" s="84"/>
      <c r="E4032" s="84"/>
      <c r="F4032" s="84"/>
      <c r="G4032" s="154"/>
      <c r="H4032" s="145"/>
    </row>
    <row r="4033" spans="1:9" s="65" customFormat="1">
      <c r="A4033" s="91"/>
      <c r="B4033" s="91"/>
      <c r="C4033" s="91"/>
      <c r="D4033" s="91"/>
      <c r="E4033" s="91"/>
      <c r="G4033" s="104"/>
      <c r="H4033" s="140"/>
    </row>
    <row r="4034" spans="1:9" s="65" customFormat="1">
      <c r="A4034" s="120"/>
      <c r="B4034" s="73"/>
      <c r="C4034" s="73"/>
      <c r="D4034" s="73"/>
      <c r="E4034" s="73"/>
      <c r="G4034" s="121"/>
      <c r="H4034" s="140"/>
    </row>
    <row r="4035" spans="1:9" s="65" customFormat="1">
      <c r="A4035" s="128"/>
      <c r="B4035" s="141"/>
      <c r="C4035" s="141"/>
      <c r="D4035" s="141"/>
      <c r="E4035" s="141"/>
      <c r="F4035" s="141"/>
      <c r="G4035" s="141"/>
      <c r="H4035" s="140"/>
    </row>
    <row r="4036" spans="1:9" s="65" customFormat="1">
      <c r="A4036" s="146"/>
      <c r="B4036" s="83"/>
      <c r="C4036" s="148"/>
      <c r="D4036" s="84"/>
      <c r="E4036" s="84"/>
      <c r="F4036" s="84"/>
      <c r="G4036" s="144"/>
      <c r="H4036" s="140"/>
    </row>
    <row r="4037" spans="1:9" s="65" customFormat="1">
      <c r="A4037" s="146"/>
      <c r="B4037" s="83"/>
      <c r="C4037" s="148"/>
      <c r="D4037" s="84"/>
      <c r="E4037" s="84"/>
      <c r="F4037" s="84"/>
      <c r="G4037" s="144"/>
      <c r="H4037" s="145"/>
    </row>
    <row r="4038" spans="1:9" s="65" customFormat="1">
      <c r="A4038" s="91"/>
      <c r="B4038" s="91"/>
      <c r="C4038" s="91"/>
      <c r="D4038" s="91"/>
      <c r="E4038" s="91"/>
      <c r="G4038" s="104"/>
      <c r="H4038" s="140"/>
    </row>
    <row r="4039" spans="1:9" s="65" customFormat="1">
      <c r="A4039" s="120"/>
      <c r="B4039" s="73"/>
      <c r="C4039" s="73"/>
      <c r="D4039" s="73"/>
      <c r="E4039" s="73"/>
      <c r="G4039" s="121"/>
      <c r="H4039" s="140"/>
    </row>
    <row r="4040" spans="1:9" s="65" customFormat="1">
      <c r="A4040" s="128"/>
      <c r="B4040" s="141"/>
      <c r="C4040" s="141"/>
      <c r="D4040" s="141"/>
      <c r="E4040" s="141"/>
      <c r="F4040" s="141"/>
      <c r="G4040" s="141"/>
      <c r="H4040" s="140"/>
    </row>
    <row r="4041" spans="1:9" s="65" customFormat="1">
      <c r="A4041" s="142"/>
      <c r="B4041" s="143"/>
      <c r="C4041" s="143"/>
      <c r="D4041" s="143"/>
      <c r="E4041" s="143"/>
      <c r="F4041" s="84"/>
      <c r="G4041" s="144"/>
      <c r="H4041" s="145"/>
    </row>
    <row r="4042" spans="1:9" s="65" customFormat="1">
      <c r="A4042" s="123"/>
      <c r="B4042" s="95"/>
      <c r="C4042" s="95"/>
      <c r="D4042" s="95"/>
      <c r="E4042" s="95"/>
      <c r="G4042" s="104"/>
      <c r="H4042" s="121"/>
    </row>
    <row r="4043" spans="1:9" s="65" customFormat="1">
      <c r="A4043" s="123"/>
      <c r="B4043" s="95"/>
      <c r="C4043" s="95"/>
      <c r="D4043" s="95"/>
      <c r="E4043" s="95"/>
      <c r="G4043" s="121"/>
      <c r="H4043" s="133"/>
    </row>
    <row r="4044" spans="1:9" s="65" customFormat="1">
      <c r="B4044" s="97"/>
      <c r="C4044" s="98"/>
      <c r="D4044" s="98"/>
      <c r="E4044" s="98"/>
      <c r="G4044" s="128"/>
    </row>
    <row r="4045" spans="1:9" s="65" customFormat="1">
      <c r="B4045" s="97"/>
      <c r="C4045" s="98"/>
      <c r="D4045" s="98"/>
      <c r="E4045" s="98"/>
      <c r="F4045" s="128"/>
      <c r="G4045" s="133"/>
      <c r="H4045" s="134"/>
    </row>
    <row r="4046" spans="1:9" s="65" customFormat="1">
      <c r="A4046" s="633"/>
      <c r="B4046" s="633"/>
      <c r="C4046" s="633"/>
      <c r="D4046" s="633"/>
      <c r="E4046" s="633"/>
      <c r="F4046" s="633"/>
      <c r="G4046" s="633"/>
    </row>
    <row r="4047" spans="1:9" s="65" customFormat="1">
      <c r="H4047" s="156"/>
      <c r="I4047" s="151"/>
    </row>
    <row r="4048" spans="1:9" s="65" customFormat="1">
      <c r="A4048" s="645"/>
      <c r="B4048" s="156"/>
      <c r="C4048" s="156"/>
      <c r="D4048" s="156"/>
      <c r="E4048" s="156"/>
      <c r="F4048" s="156"/>
      <c r="G4048" s="156"/>
      <c r="H4048" s="156"/>
      <c r="I4048" s="152"/>
    </row>
    <row r="4049" spans="1:8" s="65" customFormat="1">
      <c r="A4049" s="645"/>
      <c r="B4049" s="156"/>
      <c r="C4049" s="156"/>
      <c r="D4049" s="156"/>
      <c r="E4049" s="156"/>
      <c r="F4049" s="156"/>
      <c r="G4049" s="156"/>
    </row>
    <row r="4050" spans="1:8" s="65" customFormat="1">
      <c r="A4050" s="69"/>
      <c r="B4050" s="69"/>
      <c r="C4050" s="69"/>
      <c r="D4050" s="69"/>
      <c r="E4050" s="69"/>
    </row>
    <row r="4051" spans="1:8" s="65" customFormat="1">
      <c r="A4051" s="120"/>
      <c r="B4051" s="73"/>
      <c r="C4051" s="73"/>
      <c r="D4051" s="73"/>
      <c r="E4051" s="73"/>
      <c r="F4051" s="121"/>
      <c r="G4051" s="121"/>
      <c r="H4051" s="121"/>
    </row>
    <row r="4052" spans="1:8" s="65" customFormat="1">
      <c r="A4052" s="128"/>
      <c r="B4052" s="141"/>
      <c r="C4052" s="141"/>
      <c r="D4052" s="141"/>
      <c r="E4052" s="141"/>
      <c r="F4052" s="141"/>
      <c r="G4052" s="141"/>
      <c r="H4052" s="121"/>
    </row>
    <row r="4053" spans="1:8" s="65" customFormat="1">
      <c r="A4053" s="150"/>
      <c r="B4053" s="83"/>
      <c r="C4053" s="148"/>
      <c r="D4053" s="84"/>
      <c r="E4053" s="84"/>
      <c r="F4053" s="84"/>
      <c r="G4053" s="154"/>
      <c r="H4053" s="145"/>
    </row>
    <row r="4054" spans="1:8" s="65" customFormat="1">
      <c r="A4054" s="84"/>
      <c r="B4054" s="83"/>
      <c r="C4054" s="84"/>
      <c r="D4054" s="84"/>
      <c r="E4054" s="84"/>
      <c r="G4054" s="104"/>
      <c r="H4054" s="140"/>
    </row>
    <row r="4055" spans="1:8" s="65" customFormat="1">
      <c r="A4055" s="120"/>
      <c r="B4055" s="73"/>
      <c r="C4055" s="73"/>
      <c r="D4055" s="73"/>
      <c r="E4055" s="73"/>
      <c r="G4055" s="121"/>
      <c r="H4055" s="140"/>
    </row>
    <row r="4056" spans="1:8" s="65" customFormat="1">
      <c r="A4056" s="128"/>
      <c r="B4056" s="141"/>
      <c r="C4056" s="141"/>
      <c r="D4056" s="141"/>
      <c r="E4056" s="141"/>
      <c r="F4056" s="141"/>
      <c r="G4056" s="141"/>
      <c r="H4056" s="140"/>
    </row>
    <row r="4057" spans="1:8" s="65" customFormat="1">
      <c r="A4057" s="150"/>
      <c r="B4057" s="83"/>
      <c r="C4057" s="148"/>
      <c r="D4057" s="84"/>
      <c r="E4057" s="84"/>
      <c r="F4057" s="84"/>
      <c r="G4057" s="154"/>
      <c r="H4057" s="145"/>
    </row>
    <row r="4058" spans="1:8" s="65" customFormat="1">
      <c r="A4058" s="91"/>
      <c r="B4058" s="91"/>
      <c r="C4058" s="91"/>
      <c r="D4058" s="91"/>
      <c r="E4058" s="91"/>
      <c r="G4058" s="104"/>
      <c r="H4058" s="140"/>
    </row>
    <row r="4059" spans="1:8" s="65" customFormat="1">
      <c r="A4059" s="120"/>
      <c r="B4059" s="73"/>
      <c r="C4059" s="73"/>
      <c r="D4059" s="73"/>
      <c r="E4059" s="73"/>
      <c r="G4059" s="121"/>
      <c r="H4059" s="140"/>
    </row>
    <row r="4060" spans="1:8" s="65" customFormat="1">
      <c r="A4060" s="128"/>
      <c r="B4060" s="141"/>
      <c r="C4060" s="141"/>
      <c r="D4060" s="141"/>
      <c r="E4060" s="141"/>
      <c r="F4060" s="141"/>
      <c r="G4060" s="141"/>
      <c r="H4060" s="140"/>
    </row>
    <row r="4061" spans="1:8" s="65" customFormat="1">
      <c r="A4061" s="146"/>
      <c r="B4061" s="83"/>
      <c r="C4061" s="148"/>
      <c r="D4061" s="84"/>
      <c r="E4061" s="84"/>
      <c r="F4061" s="84"/>
      <c r="G4061" s="144"/>
      <c r="H4061" s="145"/>
    </row>
    <row r="4062" spans="1:8" s="65" customFormat="1">
      <c r="A4062" s="91"/>
      <c r="B4062" s="91"/>
      <c r="C4062" s="91"/>
      <c r="D4062" s="91"/>
      <c r="E4062" s="91"/>
      <c r="G4062" s="104"/>
      <c r="H4062" s="140"/>
    </row>
    <row r="4063" spans="1:8" s="65" customFormat="1">
      <c r="A4063" s="120"/>
      <c r="B4063" s="73"/>
      <c r="C4063" s="73"/>
      <c r="D4063" s="73"/>
      <c r="E4063" s="73"/>
      <c r="G4063" s="121"/>
      <c r="H4063" s="140"/>
    </row>
    <row r="4064" spans="1:8" s="65" customFormat="1">
      <c r="A4064" s="128"/>
      <c r="B4064" s="141"/>
      <c r="C4064" s="141"/>
      <c r="D4064" s="141"/>
      <c r="E4064" s="141"/>
      <c r="F4064" s="141"/>
      <c r="G4064" s="141"/>
      <c r="H4064" s="140"/>
    </row>
    <row r="4065" spans="1:9" s="65" customFormat="1">
      <c r="A4065" s="142"/>
      <c r="B4065" s="143"/>
      <c r="C4065" s="143"/>
      <c r="D4065" s="143"/>
      <c r="E4065" s="143"/>
      <c r="F4065" s="84"/>
      <c r="G4065" s="144"/>
      <c r="H4065" s="145"/>
    </row>
    <row r="4066" spans="1:9" s="65" customFormat="1">
      <c r="A4066" s="123"/>
      <c r="B4066" s="95"/>
      <c r="C4066" s="95"/>
      <c r="D4066" s="95"/>
      <c r="E4066" s="95"/>
      <c r="G4066" s="104"/>
      <c r="H4066" s="121"/>
    </row>
    <row r="4067" spans="1:9" s="65" customFormat="1">
      <c r="A4067" s="123"/>
      <c r="B4067" s="95"/>
      <c r="C4067" s="95"/>
      <c r="D4067" s="95"/>
      <c r="E4067" s="95"/>
      <c r="G4067" s="121"/>
      <c r="H4067" s="133"/>
    </row>
    <row r="4068" spans="1:9" s="65" customFormat="1">
      <c r="B4068" s="97"/>
      <c r="C4068" s="98"/>
      <c r="D4068" s="98"/>
      <c r="E4068" s="98"/>
      <c r="G4068" s="128"/>
    </row>
    <row r="4069" spans="1:9" s="65" customFormat="1">
      <c r="B4069" s="97"/>
      <c r="C4069" s="98"/>
      <c r="D4069" s="98"/>
      <c r="E4069" s="98"/>
      <c r="F4069" s="128"/>
      <c r="G4069" s="133"/>
      <c r="H4069" s="134"/>
    </row>
    <row r="4070" spans="1:9" s="65" customFormat="1">
      <c r="A4070" s="633"/>
      <c r="B4070" s="633"/>
      <c r="C4070" s="633"/>
      <c r="D4070" s="633"/>
      <c r="E4070" s="633"/>
      <c r="F4070" s="633"/>
      <c r="G4070" s="633"/>
    </row>
    <row r="4071" spans="1:9" s="65" customFormat="1">
      <c r="H4071" s="156"/>
      <c r="I4071" s="151"/>
    </row>
    <row r="4072" spans="1:9" s="65" customFormat="1">
      <c r="A4072" s="645"/>
      <c r="B4072" s="156"/>
      <c r="C4072" s="156"/>
      <c r="D4072" s="156"/>
      <c r="E4072" s="156"/>
      <c r="F4072" s="156"/>
      <c r="G4072" s="156"/>
      <c r="H4072" s="156"/>
      <c r="I4072" s="152"/>
    </row>
    <row r="4073" spans="1:9" s="65" customFormat="1">
      <c r="A4073" s="645"/>
      <c r="B4073" s="156"/>
      <c r="C4073" s="156"/>
      <c r="D4073" s="156"/>
      <c r="E4073" s="156"/>
      <c r="F4073" s="156"/>
      <c r="G4073" s="156"/>
    </row>
    <row r="4074" spans="1:9" s="65" customFormat="1">
      <c r="A4074" s="69"/>
      <c r="B4074" s="69"/>
      <c r="C4074" s="69"/>
      <c r="D4074" s="69"/>
      <c r="E4074" s="69"/>
    </row>
    <row r="4075" spans="1:9" s="65" customFormat="1">
      <c r="A4075" s="120"/>
      <c r="B4075" s="73"/>
      <c r="C4075" s="73"/>
      <c r="D4075" s="73"/>
      <c r="E4075" s="73"/>
      <c r="F4075" s="121"/>
      <c r="G4075" s="121"/>
      <c r="H4075" s="121"/>
    </row>
    <row r="4076" spans="1:9" s="65" customFormat="1">
      <c r="A4076" s="128"/>
      <c r="B4076" s="141"/>
      <c r="C4076" s="141"/>
      <c r="D4076" s="141"/>
      <c r="E4076" s="141"/>
      <c r="F4076" s="141"/>
      <c r="G4076" s="141"/>
      <c r="H4076" s="121"/>
    </row>
    <row r="4077" spans="1:9" s="65" customFormat="1">
      <c r="A4077" s="150"/>
      <c r="B4077" s="83"/>
      <c r="C4077" s="148"/>
      <c r="D4077" s="84"/>
      <c r="E4077" s="84"/>
      <c r="F4077" s="84"/>
      <c r="G4077" s="154"/>
      <c r="H4077" s="145"/>
    </row>
    <row r="4078" spans="1:9" s="65" customFormat="1">
      <c r="A4078" s="84"/>
      <c r="B4078" s="83"/>
      <c r="C4078" s="84"/>
      <c r="D4078" s="84"/>
      <c r="E4078" s="84"/>
      <c r="G4078" s="104"/>
      <c r="H4078" s="140"/>
    </row>
    <row r="4079" spans="1:9" s="65" customFormat="1">
      <c r="A4079" s="120"/>
      <c r="B4079" s="73"/>
      <c r="C4079" s="73"/>
      <c r="D4079" s="73"/>
      <c r="E4079" s="73"/>
      <c r="G4079" s="121"/>
      <c r="H4079" s="140"/>
    </row>
    <row r="4080" spans="1:9" s="65" customFormat="1">
      <c r="A4080" s="128"/>
      <c r="B4080" s="141"/>
      <c r="C4080" s="141"/>
      <c r="D4080" s="141"/>
      <c r="E4080" s="141"/>
      <c r="F4080" s="141"/>
      <c r="G4080" s="141"/>
      <c r="H4080" s="140"/>
    </row>
    <row r="4081" spans="1:9" s="65" customFormat="1">
      <c r="A4081" s="150"/>
      <c r="B4081" s="83"/>
      <c r="C4081" s="148"/>
      <c r="D4081" s="84"/>
      <c r="E4081" s="84"/>
      <c r="F4081" s="84"/>
      <c r="G4081" s="154"/>
      <c r="H4081" s="145"/>
    </row>
    <row r="4082" spans="1:9" s="65" customFormat="1">
      <c r="A4082" s="91"/>
      <c r="B4082" s="91"/>
      <c r="C4082" s="91"/>
      <c r="D4082" s="91"/>
      <c r="E4082" s="91"/>
      <c r="G4082" s="104"/>
      <c r="H4082" s="140"/>
    </row>
    <row r="4083" spans="1:9" s="65" customFormat="1">
      <c r="A4083" s="120"/>
      <c r="B4083" s="73"/>
      <c r="C4083" s="73"/>
      <c r="D4083" s="73"/>
      <c r="E4083" s="73"/>
      <c r="G4083" s="121"/>
      <c r="H4083" s="140"/>
    </row>
    <row r="4084" spans="1:9" s="65" customFormat="1">
      <c r="A4084" s="128"/>
      <c r="B4084" s="141"/>
      <c r="C4084" s="141"/>
      <c r="D4084" s="141"/>
      <c r="E4084" s="141"/>
      <c r="F4084" s="141"/>
      <c r="G4084" s="141"/>
      <c r="H4084" s="140"/>
    </row>
    <row r="4085" spans="1:9" s="65" customFormat="1">
      <c r="A4085" s="146"/>
      <c r="B4085" s="83"/>
      <c r="C4085" s="148"/>
      <c r="D4085" s="84"/>
      <c r="E4085" s="84"/>
      <c r="F4085" s="84"/>
      <c r="G4085" s="144"/>
      <c r="H4085" s="145"/>
    </row>
    <row r="4086" spans="1:9" s="65" customFormat="1">
      <c r="A4086" s="91"/>
      <c r="B4086" s="91"/>
      <c r="C4086" s="91"/>
      <c r="D4086" s="91"/>
      <c r="E4086" s="91"/>
      <c r="G4086" s="104"/>
      <c r="H4086" s="140"/>
    </row>
    <row r="4087" spans="1:9" s="65" customFormat="1">
      <c r="A4087" s="120"/>
      <c r="B4087" s="73"/>
      <c r="C4087" s="73"/>
      <c r="D4087" s="73"/>
      <c r="E4087" s="73"/>
      <c r="G4087" s="121"/>
      <c r="H4087" s="140"/>
    </row>
    <row r="4088" spans="1:9" s="65" customFormat="1">
      <c r="A4088" s="128"/>
      <c r="B4088" s="141"/>
      <c r="C4088" s="141"/>
      <c r="D4088" s="141"/>
      <c r="E4088" s="141"/>
      <c r="F4088" s="141"/>
      <c r="G4088" s="141"/>
      <c r="H4088" s="140"/>
    </row>
    <row r="4089" spans="1:9" s="65" customFormat="1">
      <c r="A4089" s="142"/>
      <c r="B4089" s="143"/>
      <c r="C4089" s="143"/>
      <c r="D4089" s="143"/>
      <c r="E4089" s="143"/>
      <c r="F4089" s="84"/>
      <c r="G4089" s="144"/>
      <c r="H4089" s="145"/>
    </row>
    <row r="4090" spans="1:9" s="65" customFormat="1">
      <c r="A4090" s="123"/>
      <c r="B4090" s="95"/>
      <c r="C4090" s="95"/>
      <c r="D4090" s="95"/>
      <c r="E4090" s="95"/>
      <c r="G4090" s="104"/>
      <c r="H4090" s="121"/>
    </row>
    <row r="4091" spans="1:9" s="65" customFormat="1">
      <c r="A4091" s="123"/>
      <c r="B4091" s="95"/>
      <c r="C4091" s="95"/>
      <c r="D4091" s="95"/>
      <c r="E4091" s="95"/>
      <c r="G4091" s="121"/>
      <c r="H4091" s="133"/>
    </row>
    <row r="4092" spans="1:9" s="65" customFormat="1">
      <c r="B4092" s="97"/>
      <c r="C4092" s="98"/>
      <c r="D4092" s="98"/>
      <c r="E4092" s="98"/>
      <c r="G4092" s="128"/>
    </row>
    <row r="4093" spans="1:9" s="65" customFormat="1">
      <c r="B4093" s="97"/>
      <c r="C4093" s="98"/>
      <c r="D4093" s="98"/>
      <c r="E4093" s="98"/>
      <c r="F4093" s="128"/>
      <c r="G4093" s="133"/>
      <c r="H4093" s="134"/>
    </row>
    <row r="4094" spans="1:9" s="65" customFormat="1">
      <c r="A4094" s="633"/>
      <c r="B4094" s="633"/>
      <c r="C4094" s="633"/>
      <c r="D4094" s="633"/>
      <c r="E4094" s="633"/>
      <c r="F4094" s="633"/>
      <c r="G4094" s="633"/>
    </row>
    <row r="4095" spans="1:9" s="65" customFormat="1">
      <c r="H4095" s="156"/>
      <c r="I4095" s="151"/>
    </row>
    <row r="4096" spans="1:9" s="65" customFormat="1">
      <c r="A4096" s="645"/>
      <c r="B4096" s="156"/>
      <c r="C4096" s="156"/>
      <c r="D4096" s="156"/>
      <c r="E4096" s="156"/>
      <c r="F4096" s="156"/>
      <c r="G4096" s="156"/>
      <c r="H4096" s="156"/>
      <c r="I4096" s="152"/>
    </row>
    <row r="4097" spans="1:8" s="65" customFormat="1">
      <c r="A4097" s="645"/>
      <c r="B4097" s="156"/>
      <c r="C4097" s="156"/>
      <c r="D4097" s="156"/>
      <c r="E4097" s="156"/>
      <c r="F4097" s="156"/>
      <c r="G4097" s="156"/>
    </row>
    <row r="4098" spans="1:8" s="65" customFormat="1">
      <c r="A4098" s="69"/>
      <c r="B4098" s="69"/>
      <c r="C4098" s="69"/>
      <c r="D4098" s="69"/>
      <c r="E4098" s="69"/>
    </row>
    <row r="4099" spans="1:8" s="65" customFormat="1">
      <c r="A4099" s="120"/>
      <c r="B4099" s="73"/>
      <c r="C4099" s="73"/>
      <c r="D4099" s="73"/>
      <c r="E4099" s="73"/>
      <c r="F4099" s="121"/>
      <c r="G4099" s="121"/>
      <c r="H4099" s="121"/>
    </row>
    <row r="4100" spans="1:8" s="65" customFormat="1">
      <c r="A4100" s="128"/>
      <c r="B4100" s="141"/>
      <c r="C4100" s="141"/>
      <c r="D4100" s="141"/>
      <c r="E4100" s="141"/>
      <c r="F4100" s="141"/>
      <c r="G4100" s="141"/>
      <c r="H4100" s="121"/>
    </row>
    <row r="4101" spans="1:8" s="65" customFormat="1">
      <c r="A4101" s="150"/>
      <c r="B4101" s="83"/>
      <c r="C4101" s="148"/>
      <c r="D4101" s="84"/>
      <c r="E4101" s="84"/>
      <c r="F4101" s="84"/>
      <c r="G4101" s="154"/>
      <c r="H4101" s="145"/>
    </row>
    <row r="4102" spans="1:8" s="65" customFormat="1">
      <c r="A4102" s="84"/>
      <c r="B4102" s="83"/>
      <c r="C4102" s="84"/>
      <c r="D4102" s="84"/>
      <c r="E4102" s="84"/>
      <c r="G4102" s="104"/>
      <c r="H4102" s="140"/>
    </row>
    <row r="4103" spans="1:8" s="65" customFormat="1">
      <c r="A4103" s="120"/>
      <c r="B4103" s="73"/>
      <c r="C4103" s="73"/>
      <c r="D4103" s="73"/>
      <c r="E4103" s="73"/>
      <c r="G4103" s="121"/>
      <c r="H4103" s="140"/>
    </row>
    <row r="4104" spans="1:8" s="65" customFormat="1">
      <c r="A4104" s="128"/>
      <c r="B4104" s="141"/>
      <c r="C4104" s="141"/>
      <c r="D4104" s="141"/>
      <c r="E4104" s="141"/>
      <c r="F4104" s="141"/>
      <c r="G4104" s="141"/>
      <c r="H4104" s="140"/>
    </row>
    <row r="4105" spans="1:8" s="65" customFormat="1">
      <c r="A4105" s="150"/>
      <c r="B4105" s="83"/>
      <c r="C4105" s="148"/>
      <c r="D4105" s="84"/>
      <c r="E4105" s="84"/>
      <c r="F4105" s="84"/>
      <c r="G4105" s="154"/>
      <c r="H4105" s="140"/>
    </row>
    <row r="4106" spans="1:8" s="65" customFormat="1">
      <c r="A4106" s="150"/>
      <c r="B4106" s="83"/>
      <c r="C4106" s="148"/>
      <c r="D4106" s="84"/>
      <c r="E4106" s="84"/>
      <c r="F4106" s="84"/>
      <c r="G4106" s="154"/>
      <c r="H4106" s="140"/>
    </row>
    <row r="4107" spans="1:8" s="65" customFormat="1">
      <c r="A4107" s="150"/>
      <c r="B4107" s="83"/>
      <c r="C4107" s="148"/>
      <c r="D4107" s="84"/>
      <c r="E4107" s="84"/>
      <c r="F4107" s="84"/>
      <c r="G4107" s="154"/>
      <c r="H4107" s="140"/>
    </row>
    <row r="4108" spans="1:8" s="65" customFormat="1">
      <c r="A4108" s="150"/>
      <c r="B4108" s="83"/>
      <c r="C4108" s="148"/>
      <c r="D4108" s="84"/>
      <c r="E4108" s="84"/>
      <c r="F4108" s="84"/>
      <c r="G4108" s="154"/>
      <c r="H4108" s="145"/>
    </row>
    <row r="4109" spans="1:8" s="65" customFormat="1">
      <c r="A4109" s="91"/>
      <c r="B4109" s="91"/>
      <c r="C4109" s="91"/>
      <c r="D4109" s="91"/>
      <c r="E4109" s="91"/>
      <c r="G4109" s="104"/>
      <c r="H4109" s="140"/>
    </row>
    <row r="4110" spans="1:8" s="65" customFormat="1">
      <c r="A4110" s="120"/>
      <c r="B4110" s="73"/>
      <c r="C4110" s="73"/>
      <c r="D4110" s="73"/>
      <c r="E4110" s="73"/>
      <c r="G4110" s="121"/>
      <c r="H4110" s="140"/>
    </row>
    <row r="4111" spans="1:8" s="65" customFormat="1">
      <c r="A4111" s="128"/>
      <c r="B4111" s="141"/>
      <c r="C4111" s="141"/>
      <c r="D4111" s="141"/>
      <c r="E4111" s="141"/>
      <c r="F4111" s="141"/>
      <c r="G4111" s="141"/>
      <c r="H4111" s="140"/>
    </row>
    <row r="4112" spans="1:8" s="65" customFormat="1">
      <c r="A4112" s="146"/>
      <c r="B4112" s="83"/>
      <c r="C4112" s="148"/>
      <c r="D4112" s="84"/>
      <c r="E4112" s="84"/>
      <c r="F4112" s="84"/>
      <c r="G4112" s="144"/>
      <c r="H4112" s="145"/>
    </row>
    <row r="4113" spans="1:9" s="65" customFormat="1">
      <c r="A4113" s="91"/>
      <c r="B4113" s="91"/>
      <c r="C4113" s="91"/>
      <c r="D4113" s="91"/>
      <c r="E4113" s="91"/>
      <c r="G4113" s="104"/>
      <c r="H4113" s="140"/>
    </row>
    <row r="4114" spans="1:9" s="65" customFormat="1">
      <c r="A4114" s="120"/>
      <c r="B4114" s="73"/>
      <c r="C4114" s="73"/>
      <c r="D4114" s="73"/>
      <c r="E4114" s="73"/>
      <c r="G4114" s="121"/>
      <c r="H4114" s="140"/>
    </row>
    <row r="4115" spans="1:9" s="65" customFormat="1">
      <c r="A4115" s="128"/>
      <c r="B4115" s="141"/>
      <c r="C4115" s="141"/>
      <c r="D4115" s="141"/>
      <c r="E4115" s="141"/>
      <c r="F4115" s="141"/>
      <c r="G4115" s="141"/>
      <c r="H4115" s="140"/>
    </row>
    <row r="4116" spans="1:9" s="65" customFormat="1">
      <c r="A4116" s="142"/>
      <c r="B4116" s="143"/>
      <c r="C4116" s="143"/>
      <c r="D4116" s="143"/>
      <c r="E4116" s="143"/>
      <c r="F4116" s="84"/>
      <c r="G4116" s="144"/>
      <c r="H4116" s="145"/>
    </row>
    <row r="4117" spans="1:9" s="65" customFormat="1">
      <c r="A4117" s="123"/>
      <c r="B4117" s="95"/>
      <c r="C4117" s="95"/>
      <c r="D4117" s="95"/>
      <c r="E4117" s="95"/>
      <c r="G4117" s="104"/>
      <c r="H4117" s="121"/>
    </row>
    <row r="4118" spans="1:9" s="65" customFormat="1">
      <c r="A4118" s="123"/>
      <c r="B4118" s="95"/>
      <c r="C4118" s="95"/>
      <c r="D4118" s="95"/>
      <c r="E4118" s="95"/>
      <c r="G4118" s="121"/>
      <c r="H4118" s="133"/>
    </row>
    <row r="4119" spans="1:9" s="65" customFormat="1">
      <c r="B4119" s="97"/>
      <c r="C4119" s="98"/>
      <c r="D4119" s="98"/>
      <c r="E4119" s="98"/>
      <c r="G4119" s="128"/>
    </row>
    <row r="4120" spans="1:9" s="65" customFormat="1">
      <c r="B4120" s="97"/>
      <c r="C4120" s="98"/>
      <c r="D4120" s="98"/>
      <c r="E4120" s="98"/>
      <c r="F4120" s="128"/>
      <c r="G4120" s="133"/>
      <c r="H4120" s="134"/>
    </row>
    <row r="4121" spans="1:9" s="65" customFormat="1">
      <c r="A4121" s="633"/>
      <c r="B4121" s="633"/>
      <c r="C4121" s="633"/>
      <c r="D4121" s="633"/>
      <c r="E4121" s="633"/>
      <c r="F4121" s="633"/>
      <c r="G4121" s="633"/>
    </row>
    <row r="4122" spans="1:9" s="65" customFormat="1">
      <c r="H4122" s="156"/>
      <c r="I4122" s="151"/>
    </row>
    <row r="4123" spans="1:9" s="65" customFormat="1">
      <c r="A4123" s="645"/>
      <c r="B4123" s="156"/>
      <c r="C4123" s="156"/>
      <c r="D4123" s="156"/>
      <c r="E4123" s="156"/>
      <c r="F4123" s="156"/>
      <c r="G4123" s="156"/>
      <c r="H4123" s="156"/>
      <c r="I4123" s="152"/>
    </row>
    <row r="4124" spans="1:9" s="65" customFormat="1">
      <c r="A4124" s="645"/>
      <c r="B4124" s="156"/>
      <c r="C4124" s="156"/>
      <c r="D4124" s="156"/>
      <c r="E4124" s="156"/>
      <c r="F4124" s="156"/>
      <c r="G4124" s="156"/>
    </row>
    <row r="4125" spans="1:9" s="65" customFormat="1">
      <c r="A4125" s="69"/>
      <c r="B4125" s="69"/>
      <c r="C4125" s="69"/>
      <c r="D4125" s="69"/>
      <c r="E4125" s="69"/>
    </row>
    <row r="4126" spans="1:9" s="65" customFormat="1">
      <c r="A4126" s="120"/>
      <c r="B4126" s="73"/>
      <c r="C4126" s="73"/>
      <c r="D4126" s="73"/>
      <c r="E4126" s="73"/>
      <c r="F4126" s="121"/>
      <c r="G4126" s="121"/>
      <c r="H4126" s="121"/>
    </row>
    <row r="4127" spans="1:9" s="65" customFormat="1">
      <c r="A4127" s="128"/>
      <c r="B4127" s="141"/>
      <c r="C4127" s="141"/>
      <c r="D4127" s="141"/>
      <c r="E4127" s="141"/>
      <c r="F4127" s="141"/>
      <c r="G4127" s="141"/>
      <c r="H4127" s="121"/>
    </row>
    <row r="4128" spans="1:9" s="65" customFormat="1">
      <c r="A4128" s="150"/>
      <c r="B4128" s="83"/>
      <c r="C4128" s="148"/>
      <c r="D4128" s="84"/>
      <c r="E4128" s="84"/>
      <c r="F4128" s="84"/>
      <c r="G4128" s="154"/>
      <c r="H4128" s="145"/>
    </row>
    <row r="4129" spans="1:8" s="65" customFormat="1">
      <c r="A4129" s="84"/>
      <c r="B4129" s="83"/>
      <c r="C4129" s="84"/>
      <c r="D4129" s="84"/>
      <c r="E4129" s="84"/>
      <c r="G4129" s="104"/>
      <c r="H4129" s="140"/>
    </row>
    <row r="4130" spans="1:8" s="65" customFormat="1">
      <c r="A4130" s="120"/>
      <c r="B4130" s="73"/>
      <c r="C4130" s="73"/>
      <c r="D4130" s="73"/>
      <c r="E4130" s="73"/>
      <c r="G4130" s="121"/>
      <c r="H4130" s="140"/>
    </row>
    <row r="4131" spans="1:8" s="65" customFormat="1">
      <c r="A4131" s="128"/>
      <c r="B4131" s="141"/>
      <c r="C4131" s="141"/>
      <c r="D4131" s="141"/>
      <c r="E4131" s="141"/>
      <c r="F4131" s="141"/>
      <c r="G4131" s="141"/>
      <c r="H4131" s="140"/>
    </row>
    <row r="4132" spans="1:8" s="65" customFormat="1">
      <c r="A4132" s="150"/>
      <c r="B4132" s="83"/>
      <c r="C4132" s="148"/>
      <c r="D4132" s="84"/>
      <c r="E4132" s="84"/>
      <c r="F4132" s="84"/>
      <c r="G4132" s="154"/>
      <c r="H4132" s="140"/>
    </row>
    <row r="4133" spans="1:8" s="65" customFormat="1">
      <c r="A4133" s="150"/>
      <c r="B4133" s="83"/>
      <c r="C4133" s="148"/>
      <c r="D4133" s="84"/>
      <c r="E4133" s="84"/>
      <c r="F4133" s="84"/>
      <c r="G4133" s="154"/>
      <c r="H4133" s="140"/>
    </row>
    <row r="4134" spans="1:8" s="65" customFormat="1">
      <c r="A4134" s="150"/>
      <c r="B4134" s="83"/>
      <c r="C4134" s="148"/>
      <c r="D4134" s="84"/>
      <c r="E4134" s="84"/>
      <c r="F4134" s="84"/>
      <c r="G4134" s="154"/>
      <c r="H4134" s="145"/>
    </row>
    <row r="4135" spans="1:8" s="65" customFormat="1">
      <c r="A4135" s="91"/>
      <c r="B4135" s="91"/>
      <c r="C4135" s="91"/>
      <c r="D4135" s="91"/>
      <c r="E4135" s="91"/>
      <c r="G4135" s="104"/>
      <c r="H4135" s="140"/>
    </row>
    <row r="4136" spans="1:8" s="65" customFormat="1">
      <c r="A4136" s="120"/>
      <c r="B4136" s="73"/>
      <c r="C4136" s="73"/>
      <c r="D4136" s="73"/>
      <c r="E4136" s="73"/>
      <c r="G4136" s="121"/>
      <c r="H4136" s="140"/>
    </row>
    <row r="4137" spans="1:8" s="65" customFormat="1">
      <c r="A4137" s="128"/>
      <c r="B4137" s="141"/>
      <c r="C4137" s="141"/>
      <c r="D4137" s="141"/>
      <c r="E4137" s="141"/>
      <c r="F4137" s="141"/>
      <c r="G4137" s="141"/>
      <c r="H4137" s="140"/>
    </row>
    <row r="4138" spans="1:8" s="65" customFormat="1">
      <c r="A4138" s="146"/>
      <c r="B4138" s="83"/>
      <c r="C4138" s="148"/>
      <c r="D4138" s="84"/>
      <c r="E4138" s="84"/>
      <c r="F4138" s="84"/>
      <c r="G4138" s="144"/>
      <c r="H4138" s="145"/>
    </row>
    <row r="4139" spans="1:8" s="65" customFormat="1">
      <c r="A4139" s="91"/>
      <c r="B4139" s="91"/>
      <c r="C4139" s="91"/>
      <c r="D4139" s="91"/>
      <c r="E4139" s="91"/>
      <c r="G4139" s="104"/>
      <c r="H4139" s="140"/>
    </row>
    <row r="4140" spans="1:8" s="65" customFormat="1">
      <c r="A4140" s="120"/>
      <c r="B4140" s="73"/>
      <c r="C4140" s="73"/>
      <c r="D4140" s="73"/>
      <c r="E4140" s="73"/>
      <c r="G4140" s="121"/>
      <c r="H4140" s="140"/>
    </row>
    <row r="4141" spans="1:8" s="65" customFormat="1">
      <c r="A4141" s="128"/>
      <c r="B4141" s="141"/>
      <c r="C4141" s="141"/>
      <c r="D4141" s="141"/>
      <c r="E4141" s="141"/>
      <c r="F4141" s="141"/>
      <c r="G4141" s="141"/>
      <c r="H4141" s="140"/>
    </row>
    <row r="4142" spans="1:8" s="65" customFormat="1">
      <c r="A4142" s="142"/>
      <c r="B4142" s="143"/>
      <c r="C4142" s="143"/>
      <c r="D4142" s="143"/>
      <c r="E4142" s="143"/>
      <c r="F4142" s="84"/>
      <c r="G4142" s="144"/>
      <c r="H4142" s="145"/>
    </row>
    <row r="4143" spans="1:8" s="65" customFormat="1">
      <c r="A4143" s="123"/>
      <c r="B4143" s="95"/>
      <c r="C4143" s="95"/>
      <c r="D4143" s="95"/>
      <c r="E4143" s="95"/>
      <c r="G4143" s="104"/>
      <c r="H4143" s="121"/>
    </row>
    <row r="4144" spans="1:8" s="65" customFormat="1">
      <c r="A4144" s="123"/>
      <c r="B4144" s="95"/>
      <c r="C4144" s="95"/>
      <c r="D4144" s="95"/>
      <c r="E4144" s="95"/>
      <c r="G4144" s="121"/>
      <c r="H4144" s="133"/>
    </row>
    <row r="4145" spans="1:9" s="65" customFormat="1">
      <c r="B4145" s="97"/>
      <c r="C4145" s="98"/>
      <c r="D4145" s="98"/>
      <c r="E4145" s="98"/>
      <c r="G4145" s="128"/>
    </row>
    <row r="4146" spans="1:9" s="65" customFormat="1">
      <c r="B4146" s="97"/>
      <c r="C4146" s="98"/>
      <c r="D4146" s="98"/>
      <c r="E4146" s="98"/>
      <c r="F4146" s="128"/>
      <c r="G4146" s="133"/>
      <c r="H4146" s="134"/>
    </row>
    <row r="4147" spans="1:9" s="65" customFormat="1">
      <c r="A4147" s="633"/>
      <c r="B4147" s="633"/>
      <c r="C4147" s="633"/>
      <c r="D4147" s="633"/>
      <c r="E4147" s="633"/>
      <c r="F4147" s="633"/>
      <c r="G4147" s="633"/>
    </row>
    <row r="4148" spans="1:9" s="65" customFormat="1">
      <c r="H4148" s="156"/>
      <c r="I4148" s="151"/>
    </row>
    <row r="4149" spans="1:9" s="65" customFormat="1">
      <c r="A4149" s="645"/>
      <c r="B4149" s="156"/>
      <c r="C4149" s="156"/>
      <c r="D4149" s="156"/>
      <c r="E4149" s="156"/>
      <c r="F4149" s="156"/>
      <c r="G4149" s="156"/>
      <c r="H4149" s="156"/>
      <c r="I4149" s="152"/>
    </row>
    <row r="4150" spans="1:9" s="65" customFormat="1">
      <c r="A4150" s="645"/>
      <c r="B4150" s="156"/>
      <c r="C4150" s="156"/>
      <c r="D4150" s="156"/>
      <c r="E4150" s="156"/>
      <c r="F4150" s="156"/>
      <c r="G4150" s="156"/>
    </row>
    <row r="4151" spans="1:9" s="65" customFormat="1">
      <c r="A4151" s="69"/>
      <c r="B4151" s="69"/>
      <c r="C4151" s="69"/>
      <c r="D4151" s="69"/>
      <c r="E4151" s="69"/>
    </row>
    <row r="4152" spans="1:9" s="65" customFormat="1">
      <c r="A4152" s="120"/>
      <c r="B4152" s="73"/>
      <c r="C4152" s="73"/>
      <c r="D4152" s="73"/>
      <c r="E4152" s="73"/>
      <c r="F4152" s="121"/>
      <c r="G4152" s="121"/>
      <c r="H4152" s="121"/>
    </row>
    <row r="4153" spans="1:9" s="65" customFormat="1">
      <c r="A4153" s="128"/>
      <c r="B4153" s="141"/>
      <c r="C4153" s="141"/>
      <c r="D4153" s="141"/>
      <c r="E4153" s="141"/>
      <c r="F4153" s="141"/>
      <c r="G4153" s="141"/>
      <c r="H4153" s="121"/>
    </row>
    <row r="4154" spans="1:9" s="65" customFormat="1">
      <c r="A4154" s="150"/>
      <c r="B4154" s="83"/>
      <c r="C4154" s="148"/>
      <c r="D4154" s="84"/>
      <c r="E4154" s="84"/>
      <c r="F4154" s="84"/>
      <c r="G4154" s="154"/>
      <c r="H4154" s="145"/>
    </row>
    <row r="4155" spans="1:9" s="65" customFormat="1">
      <c r="A4155" s="84"/>
      <c r="B4155" s="83"/>
      <c r="C4155" s="84"/>
      <c r="D4155" s="84"/>
      <c r="E4155" s="84"/>
      <c r="G4155" s="104"/>
      <c r="H4155" s="140"/>
    </row>
    <row r="4156" spans="1:9" s="65" customFormat="1">
      <c r="A4156" s="120"/>
      <c r="B4156" s="73"/>
      <c r="C4156" s="73"/>
      <c r="D4156" s="73"/>
      <c r="E4156" s="73"/>
      <c r="G4156" s="121"/>
      <c r="H4156" s="140"/>
    </row>
    <row r="4157" spans="1:9" s="65" customFormat="1">
      <c r="A4157" s="128"/>
      <c r="B4157" s="141"/>
      <c r="C4157" s="141"/>
      <c r="D4157" s="141"/>
      <c r="E4157" s="141"/>
      <c r="F4157" s="141"/>
      <c r="G4157" s="141"/>
      <c r="H4157" s="140"/>
    </row>
    <row r="4158" spans="1:9" s="65" customFormat="1">
      <c r="A4158" s="150"/>
      <c r="B4158" s="83"/>
      <c r="C4158" s="148"/>
      <c r="D4158" s="84"/>
      <c r="E4158" s="84"/>
      <c r="F4158" s="84"/>
      <c r="G4158" s="154"/>
      <c r="H4158" s="140"/>
    </row>
    <row r="4159" spans="1:9" s="65" customFormat="1">
      <c r="A4159" s="150"/>
      <c r="B4159" s="83"/>
      <c r="C4159" s="148"/>
      <c r="D4159" s="84"/>
      <c r="E4159" s="84"/>
      <c r="F4159" s="84"/>
      <c r="G4159" s="154"/>
      <c r="H4159" s="140"/>
    </row>
    <row r="4160" spans="1:9" s="65" customFormat="1">
      <c r="A4160" s="150"/>
      <c r="B4160" s="83"/>
      <c r="C4160" s="148"/>
      <c r="D4160" s="84"/>
      <c r="E4160" s="84"/>
      <c r="F4160" s="84"/>
      <c r="G4160" s="154"/>
      <c r="H4160" s="145"/>
    </row>
    <row r="4161" spans="1:9" s="65" customFormat="1">
      <c r="A4161" s="91"/>
      <c r="B4161" s="91"/>
      <c r="C4161" s="91"/>
      <c r="D4161" s="91"/>
      <c r="E4161" s="91"/>
      <c r="G4161" s="104"/>
      <c r="H4161" s="140"/>
    </row>
    <row r="4162" spans="1:9" s="65" customFormat="1">
      <c r="A4162" s="120"/>
      <c r="B4162" s="73"/>
      <c r="C4162" s="73"/>
      <c r="D4162" s="73"/>
      <c r="E4162" s="73"/>
      <c r="G4162" s="121"/>
      <c r="H4162" s="140"/>
    </row>
    <row r="4163" spans="1:9" s="65" customFormat="1">
      <c r="A4163" s="128"/>
      <c r="B4163" s="141"/>
      <c r="C4163" s="141"/>
      <c r="D4163" s="141"/>
      <c r="E4163" s="141"/>
      <c r="F4163" s="141"/>
      <c r="G4163" s="141"/>
      <c r="H4163" s="140"/>
    </row>
    <row r="4164" spans="1:9" s="65" customFormat="1">
      <c r="A4164" s="146"/>
      <c r="B4164" s="83"/>
      <c r="C4164" s="148"/>
      <c r="D4164" s="84"/>
      <c r="E4164" s="84"/>
      <c r="F4164" s="84"/>
      <c r="G4164" s="144"/>
      <c r="H4164" s="145"/>
    </row>
    <row r="4165" spans="1:9" s="65" customFormat="1">
      <c r="A4165" s="91"/>
      <c r="B4165" s="91"/>
      <c r="C4165" s="91"/>
      <c r="D4165" s="91"/>
      <c r="E4165" s="91"/>
      <c r="G4165" s="104"/>
      <c r="H4165" s="140"/>
    </row>
    <row r="4166" spans="1:9" s="65" customFormat="1">
      <c r="A4166" s="120"/>
      <c r="B4166" s="73"/>
      <c r="C4166" s="73"/>
      <c r="D4166" s="73"/>
      <c r="E4166" s="73"/>
      <c r="G4166" s="121"/>
      <c r="H4166" s="140"/>
    </row>
    <row r="4167" spans="1:9" s="65" customFormat="1">
      <c r="A4167" s="128"/>
      <c r="B4167" s="141"/>
      <c r="C4167" s="141"/>
      <c r="D4167" s="141"/>
      <c r="E4167" s="141"/>
      <c r="F4167" s="141"/>
      <c r="G4167" s="141"/>
      <c r="H4167" s="140"/>
    </row>
    <row r="4168" spans="1:9" s="65" customFormat="1">
      <c r="A4168" s="142"/>
      <c r="B4168" s="143"/>
      <c r="C4168" s="143"/>
      <c r="D4168" s="143"/>
      <c r="E4168" s="143"/>
      <c r="F4168" s="84"/>
      <c r="G4168" s="144"/>
      <c r="H4168" s="145"/>
    </row>
    <row r="4169" spans="1:9" s="65" customFormat="1">
      <c r="A4169" s="123"/>
      <c r="B4169" s="95"/>
      <c r="C4169" s="95"/>
      <c r="D4169" s="95"/>
      <c r="E4169" s="95"/>
      <c r="G4169" s="104"/>
      <c r="H4169" s="121"/>
    </row>
    <row r="4170" spans="1:9" s="65" customFormat="1">
      <c r="A4170" s="123"/>
      <c r="B4170" s="95"/>
      <c r="C4170" s="95"/>
      <c r="D4170" s="95"/>
      <c r="E4170" s="95"/>
      <c r="G4170" s="121"/>
      <c r="H4170" s="133"/>
    </row>
    <row r="4171" spans="1:9" s="65" customFormat="1">
      <c r="B4171" s="97"/>
      <c r="C4171" s="98"/>
      <c r="D4171" s="98"/>
      <c r="E4171" s="98"/>
      <c r="G4171" s="128"/>
    </row>
    <row r="4172" spans="1:9" s="65" customFormat="1">
      <c r="B4172" s="97"/>
      <c r="C4172" s="98"/>
      <c r="D4172" s="98"/>
      <c r="E4172" s="98"/>
      <c r="F4172" s="128"/>
      <c r="G4172" s="133"/>
      <c r="H4172" s="134"/>
    </row>
    <row r="4173" spans="1:9" s="65" customFormat="1">
      <c r="A4173" s="633"/>
      <c r="B4173" s="633"/>
      <c r="C4173" s="633"/>
      <c r="D4173" s="633"/>
      <c r="E4173" s="633"/>
      <c r="F4173" s="633"/>
      <c r="G4173" s="633"/>
    </row>
    <row r="4174" spans="1:9" s="65" customFormat="1">
      <c r="H4174" s="156"/>
      <c r="I4174" s="151"/>
    </row>
    <row r="4175" spans="1:9" s="65" customFormat="1">
      <c r="A4175" s="645"/>
      <c r="B4175" s="156"/>
      <c r="C4175" s="156"/>
      <c r="D4175" s="156"/>
      <c r="E4175" s="156"/>
      <c r="F4175" s="156"/>
      <c r="G4175" s="156"/>
      <c r="H4175" s="156"/>
      <c r="I4175" s="152"/>
    </row>
    <row r="4176" spans="1:9" s="65" customFormat="1">
      <c r="A4176" s="645"/>
      <c r="B4176" s="156"/>
      <c r="C4176" s="156"/>
      <c r="D4176" s="156"/>
      <c r="E4176" s="156"/>
      <c r="F4176" s="156"/>
      <c r="G4176" s="156"/>
    </row>
    <row r="4177" spans="1:8" s="65" customFormat="1">
      <c r="A4177" s="69"/>
      <c r="B4177" s="69"/>
      <c r="C4177" s="69"/>
      <c r="D4177" s="69"/>
      <c r="E4177" s="69"/>
    </row>
    <row r="4178" spans="1:8" s="65" customFormat="1">
      <c r="A4178" s="120"/>
      <c r="B4178" s="73"/>
      <c r="C4178" s="73"/>
      <c r="D4178" s="73"/>
      <c r="E4178" s="73"/>
      <c r="F4178" s="121"/>
      <c r="G4178" s="121"/>
      <c r="H4178" s="121"/>
    </row>
    <row r="4179" spans="1:8" s="65" customFormat="1">
      <c r="A4179" s="128"/>
      <c r="B4179" s="141"/>
      <c r="C4179" s="141"/>
      <c r="D4179" s="141"/>
      <c r="E4179" s="141"/>
      <c r="F4179" s="141"/>
      <c r="G4179" s="141"/>
      <c r="H4179" s="121"/>
    </row>
    <row r="4180" spans="1:8" s="65" customFormat="1">
      <c r="A4180" s="150"/>
      <c r="B4180" s="83"/>
      <c r="C4180" s="148"/>
      <c r="D4180" s="84"/>
      <c r="E4180" s="84"/>
      <c r="F4180" s="84"/>
      <c r="G4180" s="154"/>
      <c r="H4180" s="145"/>
    </row>
    <row r="4181" spans="1:8" s="65" customFormat="1">
      <c r="A4181" s="84"/>
      <c r="B4181" s="83"/>
      <c r="C4181" s="84"/>
      <c r="D4181" s="84"/>
      <c r="E4181" s="84"/>
      <c r="G4181" s="104"/>
      <c r="H4181" s="140"/>
    </row>
    <row r="4182" spans="1:8" s="65" customFormat="1">
      <c r="A4182" s="120"/>
      <c r="B4182" s="73"/>
      <c r="C4182" s="73"/>
      <c r="D4182" s="73"/>
      <c r="E4182" s="73"/>
      <c r="G4182" s="121"/>
      <c r="H4182" s="140"/>
    </row>
    <row r="4183" spans="1:8" s="65" customFormat="1">
      <c r="A4183" s="128"/>
      <c r="B4183" s="141"/>
      <c r="C4183" s="141"/>
      <c r="D4183" s="141"/>
      <c r="E4183" s="141"/>
      <c r="F4183" s="141"/>
      <c r="G4183" s="141"/>
      <c r="H4183" s="140"/>
    </row>
    <row r="4184" spans="1:8" s="65" customFormat="1">
      <c r="A4184" s="150"/>
      <c r="B4184" s="83"/>
      <c r="C4184" s="148"/>
      <c r="D4184" s="84"/>
      <c r="E4184" s="84"/>
      <c r="F4184" s="84"/>
      <c r="G4184" s="154"/>
      <c r="H4184" s="140"/>
    </row>
    <row r="4185" spans="1:8" s="65" customFormat="1">
      <c r="A4185" s="150"/>
      <c r="B4185" s="83"/>
      <c r="C4185" s="148"/>
      <c r="D4185" s="84"/>
      <c r="E4185" s="84"/>
      <c r="F4185" s="84"/>
      <c r="G4185" s="154"/>
      <c r="H4185" s="140"/>
    </row>
    <row r="4186" spans="1:8" s="65" customFormat="1">
      <c r="A4186" s="150"/>
      <c r="B4186" s="83"/>
      <c r="C4186" s="148"/>
      <c r="D4186" s="84"/>
      <c r="E4186" s="84"/>
      <c r="F4186" s="84"/>
      <c r="G4186" s="154"/>
      <c r="H4186" s="145"/>
    </row>
    <row r="4187" spans="1:8" s="65" customFormat="1">
      <c r="A4187" s="91"/>
      <c r="B4187" s="91"/>
      <c r="C4187" s="91"/>
      <c r="D4187" s="91"/>
      <c r="E4187" s="91"/>
      <c r="G4187" s="104"/>
      <c r="H4187" s="140"/>
    </row>
    <row r="4188" spans="1:8" s="65" customFormat="1">
      <c r="A4188" s="120"/>
      <c r="B4188" s="73"/>
      <c r="C4188" s="73"/>
      <c r="D4188" s="73"/>
      <c r="E4188" s="73"/>
      <c r="G4188" s="121"/>
      <c r="H4188" s="140"/>
    </row>
    <row r="4189" spans="1:8" s="65" customFormat="1">
      <c r="A4189" s="128"/>
      <c r="B4189" s="141"/>
      <c r="C4189" s="141"/>
      <c r="D4189" s="141"/>
      <c r="E4189" s="141"/>
      <c r="F4189" s="141"/>
      <c r="G4189" s="141"/>
      <c r="H4189" s="140"/>
    </row>
    <row r="4190" spans="1:8" s="65" customFormat="1">
      <c r="A4190" s="146"/>
      <c r="B4190" s="83"/>
      <c r="C4190" s="148"/>
      <c r="D4190" s="84"/>
      <c r="E4190" s="84"/>
      <c r="F4190" s="84"/>
      <c r="G4190" s="144"/>
      <c r="H4190" s="145"/>
    </row>
    <row r="4191" spans="1:8" s="65" customFormat="1">
      <c r="A4191" s="91"/>
      <c r="B4191" s="91"/>
      <c r="C4191" s="91"/>
      <c r="D4191" s="91"/>
      <c r="E4191" s="91"/>
      <c r="G4191" s="104"/>
      <c r="H4191" s="140"/>
    </row>
    <row r="4192" spans="1:8" s="65" customFormat="1">
      <c r="A4192" s="120"/>
      <c r="B4192" s="73"/>
      <c r="C4192" s="73"/>
      <c r="D4192" s="73"/>
      <c r="E4192" s="73"/>
      <c r="G4192" s="121"/>
      <c r="H4192" s="140"/>
    </row>
    <row r="4193" spans="1:9" s="65" customFormat="1">
      <c r="A4193" s="128"/>
      <c r="B4193" s="141"/>
      <c r="C4193" s="141"/>
      <c r="D4193" s="141"/>
      <c r="E4193" s="141"/>
      <c r="F4193" s="141"/>
      <c r="G4193" s="141"/>
      <c r="H4193" s="140"/>
    </row>
    <row r="4194" spans="1:9" s="65" customFormat="1">
      <c r="A4194" s="142"/>
      <c r="B4194" s="143"/>
      <c r="C4194" s="143"/>
      <c r="D4194" s="143"/>
      <c r="E4194" s="143"/>
      <c r="F4194" s="84"/>
      <c r="G4194" s="144"/>
      <c r="H4194" s="145"/>
    </row>
    <row r="4195" spans="1:9" s="65" customFormat="1">
      <c r="A4195" s="123"/>
      <c r="B4195" s="95"/>
      <c r="C4195" s="95"/>
      <c r="D4195" s="95"/>
      <c r="E4195" s="95"/>
      <c r="G4195" s="104"/>
      <c r="H4195" s="121"/>
    </row>
    <row r="4196" spans="1:9" s="65" customFormat="1">
      <c r="A4196" s="123"/>
      <c r="B4196" s="95"/>
      <c r="C4196" s="95"/>
      <c r="D4196" s="95"/>
      <c r="E4196" s="95"/>
      <c r="G4196" s="121"/>
      <c r="H4196" s="133"/>
    </row>
    <row r="4197" spans="1:9" s="65" customFormat="1">
      <c r="B4197" s="97"/>
      <c r="C4197" s="98"/>
      <c r="D4197" s="98"/>
      <c r="E4197" s="98"/>
      <c r="G4197" s="128"/>
    </row>
    <row r="4198" spans="1:9" s="65" customFormat="1">
      <c r="B4198" s="97"/>
      <c r="C4198" s="98"/>
      <c r="D4198" s="98"/>
      <c r="E4198" s="98"/>
      <c r="F4198" s="128"/>
      <c r="G4198" s="133"/>
      <c r="H4198" s="134"/>
    </row>
    <row r="4199" spans="1:9" s="65" customFormat="1">
      <c r="A4199" s="633"/>
      <c r="B4199" s="633"/>
      <c r="C4199" s="633"/>
      <c r="D4199" s="633"/>
      <c r="E4199" s="633"/>
      <c r="F4199" s="633"/>
      <c r="G4199" s="633"/>
    </row>
    <row r="4200" spans="1:9" s="65" customFormat="1">
      <c r="H4200" s="156"/>
      <c r="I4200" s="151"/>
    </row>
    <row r="4201" spans="1:9" s="65" customFormat="1">
      <c r="A4201" s="645"/>
      <c r="B4201" s="156"/>
      <c r="C4201" s="156"/>
      <c r="D4201" s="156"/>
      <c r="E4201" s="156"/>
      <c r="F4201" s="156"/>
      <c r="G4201" s="156"/>
      <c r="H4201" s="156"/>
      <c r="I4201" s="152"/>
    </row>
    <row r="4202" spans="1:9" s="65" customFormat="1">
      <c r="A4202" s="645"/>
      <c r="B4202" s="156"/>
      <c r="C4202" s="156"/>
      <c r="D4202" s="156"/>
      <c r="E4202" s="156"/>
      <c r="F4202" s="156"/>
      <c r="G4202" s="156"/>
    </row>
    <row r="4203" spans="1:9" s="65" customFormat="1">
      <c r="A4203" s="69"/>
      <c r="B4203" s="69"/>
      <c r="C4203" s="69"/>
      <c r="D4203" s="69"/>
      <c r="E4203" s="69"/>
    </row>
    <row r="4204" spans="1:9" s="65" customFormat="1">
      <c r="A4204" s="120"/>
      <c r="B4204" s="73"/>
      <c r="C4204" s="73"/>
      <c r="D4204" s="73"/>
      <c r="E4204" s="73"/>
      <c r="F4204" s="121"/>
      <c r="G4204" s="121"/>
      <c r="H4204" s="121"/>
    </row>
    <row r="4205" spans="1:9" s="65" customFormat="1">
      <c r="A4205" s="128"/>
      <c r="B4205" s="141"/>
      <c r="C4205" s="141"/>
      <c r="D4205" s="141"/>
      <c r="E4205" s="141"/>
      <c r="F4205" s="141"/>
      <c r="G4205" s="141"/>
      <c r="H4205" s="121"/>
    </row>
    <row r="4206" spans="1:9" s="65" customFormat="1">
      <c r="A4206" s="150"/>
      <c r="B4206" s="83"/>
      <c r="C4206" s="148"/>
      <c r="D4206" s="84"/>
      <c r="E4206" s="84"/>
      <c r="F4206" s="84"/>
      <c r="G4206" s="154"/>
      <c r="H4206" s="145"/>
    </row>
    <row r="4207" spans="1:9" s="65" customFormat="1">
      <c r="A4207" s="84"/>
      <c r="B4207" s="83"/>
      <c r="C4207" s="84"/>
      <c r="D4207" s="84"/>
      <c r="E4207" s="84"/>
      <c r="G4207" s="104"/>
      <c r="H4207" s="140"/>
    </row>
    <row r="4208" spans="1:9" s="65" customFormat="1">
      <c r="A4208" s="120"/>
      <c r="B4208" s="73"/>
      <c r="C4208" s="73"/>
      <c r="D4208" s="73"/>
      <c r="E4208" s="73"/>
      <c r="G4208" s="121"/>
      <c r="H4208" s="140"/>
    </row>
    <row r="4209" spans="1:8" s="65" customFormat="1">
      <c r="A4209" s="128"/>
      <c r="B4209" s="141"/>
      <c r="C4209" s="141"/>
      <c r="D4209" s="141"/>
      <c r="E4209" s="141"/>
      <c r="F4209" s="141"/>
      <c r="G4209" s="141"/>
      <c r="H4209" s="140"/>
    </row>
    <row r="4210" spans="1:8" s="65" customFormat="1">
      <c r="A4210" s="150"/>
      <c r="B4210" s="83"/>
      <c r="C4210" s="148"/>
      <c r="D4210" s="84"/>
      <c r="E4210" s="84"/>
      <c r="F4210" s="84"/>
      <c r="G4210" s="154"/>
      <c r="H4210" s="140"/>
    </row>
    <row r="4211" spans="1:8" s="65" customFormat="1">
      <c r="A4211" s="150"/>
      <c r="B4211" s="83"/>
      <c r="C4211" s="148"/>
      <c r="D4211" s="84"/>
      <c r="E4211" s="84"/>
      <c r="F4211" s="84"/>
      <c r="G4211" s="154"/>
      <c r="H4211" s="140"/>
    </row>
    <row r="4212" spans="1:8" s="65" customFormat="1">
      <c r="A4212" s="150"/>
      <c r="B4212" s="83"/>
      <c r="C4212" s="148"/>
      <c r="D4212" s="84"/>
      <c r="E4212" s="84"/>
      <c r="F4212" s="84"/>
      <c r="G4212" s="154"/>
      <c r="H4212" s="145"/>
    </row>
    <row r="4213" spans="1:8" s="65" customFormat="1">
      <c r="A4213" s="91"/>
      <c r="B4213" s="91"/>
      <c r="C4213" s="91"/>
      <c r="D4213" s="91"/>
      <c r="E4213" s="91"/>
      <c r="G4213" s="104"/>
      <c r="H4213" s="140"/>
    </row>
    <row r="4214" spans="1:8" s="65" customFormat="1">
      <c r="A4214" s="120"/>
      <c r="B4214" s="73"/>
      <c r="C4214" s="73"/>
      <c r="D4214" s="73"/>
      <c r="E4214" s="73"/>
      <c r="G4214" s="121"/>
      <c r="H4214" s="140"/>
    </row>
    <row r="4215" spans="1:8" s="65" customFormat="1">
      <c r="A4215" s="128"/>
      <c r="B4215" s="141"/>
      <c r="C4215" s="141"/>
      <c r="D4215" s="141"/>
      <c r="E4215" s="141"/>
      <c r="F4215" s="141"/>
      <c r="G4215" s="141"/>
      <c r="H4215" s="140"/>
    </row>
    <row r="4216" spans="1:8" s="65" customFormat="1">
      <c r="A4216" s="146"/>
      <c r="B4216" s="83"/>
      <c r="C4216" s="148"/>
      <c r="D4216" s="84"/>
      <c r="E4216" s="84"/>
      <c r="F4216" s="84"/>
      <c r="G4216" s="144"/>
      <c r="H4216" s="145"/>
    </row>
    <row r="4217" spans="1:8" s="65" customFormat="1">
      <c r="A4217" s="91"/>
      <c r="B4217" s="91"/>
      <c r="C4217" s="91"/>
      <c r="D4217" s="91"/>
      <c r="E4217" s="91"/>
      <c r="G4217" s="104"/>
      <c r="H4217" s="140"/>
    </row>
    <row r="4218" spans="1:8" s="65" customFormat="1">
      <c r="A4218" s="120"/>
      <c r="B4218" s="73"/>
      <c r="C4218" s="73"/>
      <c r="D4218" s="73"/>
      <c r="E4218" s="73"/>
      <c r="G4218" s="121"/>
      <c r="H4218" s="140"/>
    </row>
    <row r="4219" spans="1:8" s="65" customFormat="1">
      <c r="A4219" s="128"/>
      <c r="B4219" s="141"/>
      <c r="C4219" s="141"/>
      <c r="D4219" s="141"/>
      <c r="E4219" s="141"/>
      <c r="F4219" s="141"/>
      <c r="G4219" s="141"/>
      <c r="H4219" s="140"/>
    </row>
    <row r="4220" spans="1:8" s="65" customFormat="1">
      <c r="A4220" s="142"/>
      <c r="B4220" s="143"/>
      <c r="C4220" s="143"/>
      <c r="D4220" s="143"/>
      <c r="E4220" s="143"/>
      <c r="F4220" s="84"/>
      <c r="G4220" s="144"/>
      <c r="H4220" s="145"/>
    </row>
    <row r="4221" spans="1:8" s="65" customFormat="1">
      <c r="A4221" s="123"/>
      <c r="B4221" s="95"/>
      <c r="C4221" s="95"/>
      <c r="D4221" s="95"/>
      <c r="E4221" s="95"/>
      <c r="G4221" s="104"/>
      <c r="H4221" s="121"/>
    </row>
    <row r="4222" spans="1:8" s="65" customFormat="1">
      <c r="A4222" s="123"/>
      <c r="B4222" s="95"/>
      <c r="C4222" s="95"/>
      <c r="D4222" s="95"/>
      <c r="E4222" s="95"/>
      <c r="G4222" s="121"/>
      <c r="H4222" s="133"/>
    </row>
    <row r="4223" spans="1:8" s="65" customFormat="1">
      <c r="B4223" s="97"/>
      <c r="C4223" s="98"/>
      <c r="D4223" s="98"/>
      <c r="E4223" s="98"/>
      <c r="G4223" s="128"/>
    </row>
    <row r="4224" spans="1:8" s="65" customFormat="1">
      <c r="B4224" s="97"/>
      <c r="C4224" s="98"/>
      <c r="D4224" s="98"/>
      <c r="E4224" s="98"/>
      <c r="F4224" s="128"/>
      <c r="G4224" s="133"/>
      <c r="H4224" s="134"/>
    </row>
    <row r="4225" spans="1:9" s="65" customFormat="1">
      <c r="A4225" s="633"/>
      <c r="B4225" s="633"/>
      <c r="C4225" s="633"/>
      <c r="D4225" s="633"/>
      <c r="E4225" s="633"/>
      <c r="F4225" s="633"/>
      <c r="G4225" s="633"/>
    </row>
    <row r="4226" spans="1:9" s="65" customFormat="1">
      <c r="H4226" s="156"/>
      <c r="I4226" s="151"/>
    </row>
    <row r="4227" spans="1:9" s="65" customFormat="1">
      <c r="A4227" s="645"/>
      <c r="B4227" s="156"/>
      <c r="C4227" s="156"/>
      <c r="D4227" s="156"/>
      <c r="E4227" s="156"/>
      <c r="F4227" s="156"/>
      <c r="G4227" s="156"/>
      <c r="H4227" s="156"/>
      <c r="I4227" s="152"/>
    </row>
    <row r="4228" spans="1:9" s="65" customFormat="1">
      <c r="A4228" s="645"/>
      <c r="B4228" s="156"/>
      <c r="C4228" s="156"/>
      <c r="D4228" s="156"/>
      <c r="E4228" s="156"/>
      <c r="F4228" s="156"/>
      <c r="G4228" s="156"/>
    </row>
    <row r="4229" spans="1:9" s="65" customFormat="1">
      <c r="A4229" s="69"/>
      <c r="B4229" s="69"/>
      <c r="C4229" s="69"/>
      <c r="D4229" s="69"/>
      <c r="E4229" s="69"/>
    </row>
    <row r="4230" spans="1:9" s="65" customFormat="1">
      <c r="A4230" s="120"/>
      <c r="B4230" s="73"/>
      <c r="C4230" s="73"/>
      <c r="D4230" s="73"/>
      <c r="E4230" s="73"/>
      <c r="F4230" s="121"/>
      <c r="G4230" s="121"/>
      <c r="H4230" s="121"/>
    </row>
    <row r="4231" spans="1:9" s="65" customFormat="1">
      <c r="A4231" s="128"/>
      <c r="B4231" s="141"/>
      <c r="C4231" s="141"/>
      <c r="D4231" s="141"/>
      <c r="E4231" s="141"/>
      <c r="F4231" s="141"/>
      <c r="G4231" s="141"/>
      <c r="H4231" s="121"/>
    </row>
    <row r="4232" spans="1:9" s="65" customFormat="1">
      <c r="A4232" s="150"/>
      <c r="B4232" s="83"/>
      <c r="C4232" s="148"/>
      <c r="D4232" s="84"/>
      <c r="E4232" s="84"/>
      <c r="F4232" s="84"/>
      <c r="G4232" s="154"/>
      <c r="H4232" s="145"/>
    </row>
    <row r="4233" spans="1:9" s="65" customFormat="1">
      <c r="A4233" s="84"/>
      <c r="B4233" s="83"/>
      <c r="C4233" s="84"/>
      <c r="D4233" s="84"/>
      <c r="E4233" s="84"/>
      <c r="G4233" s="104"/>
      <c r="H4233" s="140"/>
    </row>
    <row r="4234" spans="1:9" s="65" customFormat="1">
      <c r="A4234" s="120"/>
      <c r="B4234" s="73"/>
      <c r="C4234" s="73"/>
      <c r="D4234" s="73"/>
      <c r="E4234" s="73"/>
      <c r="G4234" s="121"/>
      <c r="H4234" s="140"/>
    </row>
    <row r="4235" spans="1:9" s="65" customFormat="1">
      <c r="A4235" s="128"/>
      <c r="B4235" s="141"/>
      <c r="C4235" s="141"/>
      <c r="D4235" s="141"/>
      <c r="E4235" s="141"/>
      <c r="F4235" s="141"/>
      <c r="G4235" s="141"/>
      <c r="H4235" s="140"/>
    </row>
    <row r="4236" spans="1:9" s="65" customFormat="1">
      <c r="A4236" s="150"/>
      <c r="B4236" s="83"/>
      <c r="C4236" s="148"/>
      <c r="D4236" s="84"/>
      <c r="E4236" s="84"/>
      <c r="F4236" s="84"/>
      <c r="G4236" s="154"/>
      <c r="H4236" s="140"/>
    </row>
    <row r="4237" spans="1:9" s="65" customFormat="1">
      <c r="A4237" s="150"/>
      <c r="B4237" s="83"/>
      <c r="C4237" s="148"/>
      <c r="D4237" s="84"/>
      <c r="E4237" s="84"/>
      <c r="F4237" s="84"/>
      <c r="G4237" s="154"/>
      <c r="H4237" s="140"/>
    </row>
    <row r="4238" spans="1:9" s="65" customFormat="1">
      <c r="A4238" s="150"/>
      <c r="B4238" s="83"/>
      <c r="C4238" s="148"/>
      <c r="D4238" s="84"/>
      <c r="E4238" s="84"/>
      <c r="F4238" s="84"/>
      <c r="G4238" s="154"/>
      <c r="H4238" s="145"/>
    </row>
    <row r="4239" spans="1:9" s="65" customFormat="1">
      <c r="A4239" s="91"/>
      <c r="B4239" s="91"/>
      <c r="C4239" s="91"/>
      <c r="D4239" s="91"/>
      <c r="E4239" s="91"/>
      <c r="G4239" s="104"/>
      <c r="H4239" s="140"/>
    </row>
    <row r="4240" spans="1:9" s="65" customFormat="1">
      <c r="A4240" s="120"/>
      <c r="B4240" s="73"/>
      <c r="C4240" s="73"/>
      <c r="D4240" s="73"/>
      <c r="E4240" s="73"/>
      <c r="G4240" s="121"/>
      <c r="H4240" s="140"/>
    </row>
    <row r="4241" spans="1:9" s="65" customFormat="1">
      <c r="A4241" s="128"/>
      <c r="B4241" s="141"/>
      <c r="C4241" s="141"/>
      <c r="D4241" s="141"/>
      <c r="E4241" s="141"/>
      <c r="F4241" s="141"/>
      <c r="G4241" s="141"/>
      <c r="H4241" s="140"/>
    </row>
    <row r="4242" spans="1:9" s="65" customFormat="1">
      <c r="A4242" s="146"/>
      <c r="B4242" s="83"/>
      <c r="C4242" s="148"/>
      <c r="D4242" s="84"/>
      <c r="E4242" s="84"/>
      <c r="F4242" s="84"/>
      <c r="G4242" s="144"/>
      <c r="H4242" s="140"/>
    </row>
    <row r="4243" spans="1:9" s="65" customFormat="1">
      <c r="A4243" s="146"/>
      <c r="B4243" s="83"/>
      <c r="C4243" s="148"/>
      <c r="D4243" s="84"/>
      <c r="E4243" s="84"/>
      <c r="F4243" s="84"/>
      <c r="G4243" s="144"/>
      <c r="H4243" s="145"/>
    </row>
    <row r="4244" spans="1:9" s="65" customFormat="1" ht="15.75" customHeight="1">
      <c r="A4244" s="91"/>
      <c r="B4244" s="91"/>
      <c r="C4244" s="91"/>
      <c r="D4244" s="91"/>
      <c r="E4244" s="91"/>
      <c r="G4244" s="104"/>
      <c r="H4244" s="140"/>
    </row>
    <row r="4245" spans="1:9" s="65" customFormat="1">
      <c r="A4245" s="120"/>
      <c r="B4245" s="73"/>
      <c r="C4245" s="73"/>
      <c r="D4245" s="73"/>
      <c r="E4245" s="73"/>
      <c r="G4245" s="121"/>
      <c r="H4245" s="140"/>
    </row>
    <row r="4246" spans="1:9" s="65" customFormat="1">
      <c r="A4246" s="128"/>
      <c r="B4246" s="141"/>
      <c r="C4246" s="141"/>
      <c r="D4246" s="141"/>
      <c r="E4246" s="141"/>
      <c r="F4246" s="141"/>
      <c r="G4246" s="141"/>
      <c r="H4246" s="140"/>
    </row>
    <row r="4247" spans="1:9" s="65" customFormat="1">
      <c r="A4247" s="142"/>
      <c r="B4247" s="143"/>
      <c r="C4247" s="143"/>
      <c r="D4247" s="143"/>
      <c r="E4247" s="143"/>
      <c r="F4247" s="84"/>
      <c r="G4247" s="144"/>
      <c r="H4247" s="145"/>
    </row>
    <row r="4248" spans="1:9" s="65" customFormat="1">
      <c r="A4248" s="123"/>
      <c r="B4248" s="95"/>
      <c r="C4248" s="95"/>
      <c r="D4248" s="95"/>
      <c r="E4248" s="95"/>
      <c r="G4248" s="104"/>
      <c r="H4248" s="121"/>
    </row>
    <row r="4249" spans="1:9" s="65" customFormat="1">
      <c r="A4249" s="123"/>
      <c r="B4249" s="95"/>
      <c r="C4249" s="95"/>
      <c r="D4249" s="95"/>
      <c r="E4249" s="95"/>
      <c r="G4249" s="121"/>
      <c r="H4249" s="133"/>
    </row>
    <row r="4250" spans="1:9" s="65" customFormat="1">
      <c r="B4250" s="97"/>
      <c r="C4250" s="98"/>
      <c r="D4250" s="98"/>
      <c r="E4250" s="98"/>
      <c r="G4250" s="128"/>
    </row>
    <row r="4251" spans="1:9" s="65" customFormat="1">
      <c r="B4251" s="97"/>
      <c r="C4251" s="98"/>
      <c r="D4251" s="98"/>
      <c r="E4251" s="98"/>
      <c r="F4251" s="128"/>
      <c r="G4251" s="133"/>
      <c r="H4251" s="134"/>
    </row>
    <row r="4252" spans="1:9" s="65" customFormat="1">
      <c r="A4252" s="633"/>
      <c r="B4252" s="633"/>
      <c r="C4252" s="633"/>
      <c r="D4252" s="633"/>
      <c r="E4252" s="633"/>
      <c r="F4252" s="633"/>
      <c r="G4252" s="633"/>
    </row>
    <row r="4253" spans="1:9" s="65" customFormat="1">
      <c r="H4253" s="156"/>
      <c r="I4253" s="151"/>
    </row>
    <row r="4254" spans="1:9" s="65" customFormat="1">
      <c r="A4254" s="645"/>
      <c r="B4254" s="156"/>
      <c r="C4254" s="156"/>
      <c r="D4254" s="156"/>
      <c r="E4254" s="156"/>
      <c r="F4254" s="156"/>
      <c r="G4254" s="156"/>
      <c r="H4254" s="156"/>
      <c r="I4254" s="152"/>
    </row>
    <row r="4255" spans="1:9" s="65" customFormat="1">
      <c r="A4255" s="645"/>
      <c r="B4255" s="156"/>
      <c r="C4255" s="156"/>
      <c r="D4255" s="156"/>
      <c r="E4255" s="156"/>
      <c r="F4255" s="156"/>
      <c r="G4255" s="156"/>
    </row>
    <row r="4256" spans="1:9" s="65" customFormat="1">
      <c r="A4256" s="69"/>
      <c r="B4256" s="69"/>
      <c r="C4256" s="69"/>
      <c r="D4256" s="69"/>
      <c r="E4256" s="69"/>
    </row>
    <row r="4257" spans="1:8" s="65" customFormat="1">
      <c r="A4257" s="120"/>
      <c r="B4257" s="73"/>
      <c r="C4257" s="73"/>
      <c r="D4257" s="73"/>
      <c r="E4257" s="73"/>
      <c r="F4257" s="121"/>
      <c r="G4257" s="121"/>
      <c r="H4257" s="121"/>
    </row>
    <row r="4258" spans="1:8" s="65" customFormat="1">
      <c r="A4258" s="128"/>
      <c r="B4258" s="141"/>
      <c r="C4258" s="141"/>
      <c r="D4258" s="141"/>
      <c r="E4258" s="141"/>
      <c r="F4258" s="141"/>
      <c r="G4258" s="141"/>
      <c r="H4258" s="121"/>
    </row>
    <row r="4259" spans="1:8" s="65" customFormat="1">
      <c r="A4259" s="150"/>
      <c r="B4259" s="83"/>
      <c r="C4259" s="148"/>
      <c r="D4259" s="84"/>
      <c r="E4259" s="84"/>
      <c r="F4259" s="84"/>
      <c r="G4259" s="154"/>
      <c r="H4259" s="121"/>
    </row>
    <row r="4260" spans="1:8" s="65" customFormat="1">
      <c r="A4260" s="150"/>
      <c r="B4260" s="83"/>
      <c r="C4260" s="148"/>
      <c r="D4260" s="84"/>
      <c r="E4260" s="84"/>
      <c r="F4260" s="84"/>
      <c r="G4260" s="154"/>
      <c r="H4260" s="121"/>
    </row>
    <row r="4261" spans="1:8" s="65" customFormat="1">
      <c r="A4261" s="150"/>
      <c r="B4261" s="83"/>
      <c r="C4261" s="148"/>
      <c r="D4261" s="84"/>
      <c r="E4261" s="84"/>
      <c r="F4261" s="84"/>
      <c r="G4261" s="154"/>
      <c r="H4261" s="145"/>
    </row>
    <row r="4262" spans="1:8" s="65" customFormat="1">
      <c r="A4262" s="84"/>
      <c r="B4262" s="83"/>
      <c r="C4262" s="84"/>
      <c r="D4262" s="84"/>
      <c r="E4262" s="84"/>
      <c r="G4262" s="104"/>
      <c r="H4262" s="140"/>
    </row>
    <row r="4263" spans="1:8" s="65" customFormat="1">
      <c r="A4263" s="120"/>
      <c r="B4263" s="73"/>
      <c r="C4263" s="73"/>
      <c r="D4263" s="73"/>
      <c r="E4263" s="73"/>
      <c r="G4263" s="121"/>
      <c r="H4263" s="140"/>
    </row>
    <row r="4264" spans="1:8" s="65" customFormat="1">
      <c r="A4264" s="128"/>
      <c r="B4264" s="141"/>
      <c r="C4264" s="141"/>
      <c r="D4264" s="141"/>
      <c r="E4264" s="141"/>
      <c r="F4264" s="141"/>
      <c r="G4264" s="141"/>
      <c r="H4264" s="140"/>
    </row>
    <row r="4265" spans="1:8" s="65" customFormat="1">
      <c r="A4265" s="150"/>
      <c r="B4265" s="83"/>
      <c r="C4265" s="148"/>
      <c r="D4265" s="84"/>
      <c r="E4265" s="84"/>
      <c r="F4265" s="84"/>
      <c r="G4265" s="154"/>
      <c r="H4265" s="145"/>
    </row>
    <row r="4266" spans="1:8" s="65" customFormat="1">
      <c r="A4266" s="91"/>
      <c r="B4266" s="91"/>
      <c r="C4266" s="91"/>
      <c r="D4266" s="91"/>
      <c r="E4266" s="91"/>
      <c r="G4266" s="104"/>
      <c r="H4266" s="140"/>
    </row>
    <row r="4267" spans="1:8" s="65" customFormat="1">
      <c r="A4267" s="120"/>
      <c r="B4267" s="73"/>
      <c r="C4267" s="73"/>
      <c r="D4267" s="73"/>
      <c r="E4267" s="73"/>
      <c r="G4267" s="121"/>
      <c r="H4267" s="140"/>
    </row>
    <row r="4268" spans="1:8" s="65" customFormat="1">
      <c r="A4268" s="128"/>
      <c r="B4268" s="141"/>
      <c r="C4268" s="141"/>
      <c r="D4268" s="141"/>
      <c r="E4268" s="141"/>
      <c r="F4268" s="141"/>
      <c r="G4268" s="141"/>
      <c r="H4268" s="140"/>
    </row>
    <row r="4269" spans="1:8" s="65" customFormat="1">
      <c r="A4269" s="146"/>
      <c r="B4269" s="83"/>
      <c r="C4269" s="148"/>
      <c r="D4269" s="84"/>
      <c r="E4269" s="84"/>
      <c r="F4269" s="84"/>
      <c r="G4269" s="144"/>
      <c r="H4269" s="145"/>
    </row>
    <row r="4270" spans="1:8" s="65" customFormat="1">
      <c r="A4270" s="91"/>
      <c r="B4270" s="91"/>
      <c r="C4270" s="91"/>
      <c r="D4270" s="91"/>
      <c r="E4270" s="91"/>
      <c r="G4270" s="104"/>
      <c r="H4270" s="140"/>
    </row>
    <row r="4271" spans="1:8" s="65" customFormat="1">
      <c r="A4271" s="120"/>
      <c r="B4271" s="73"/>
      <c r="C4271" s="73"/>
      <c r="D4271" s="73"/>
      <c r="E4271" s="73"/>
      <c r="G4271" s="121"/>
      <c r="H4271" s="140"/>
    </row>
    <row r="4272" spans="1:8" s="65" customFormat="1">
      <c r="A4272" s="128"/>
      <c r="B4272" s="141"/>
      <c r="C4272" s="141"/>
      <c r="D4272" s="141"/>
      <c r="E4272" s="141"/>
      <c r="F4272" s="141"/>
      <c r="G4272" s="141"/>
      <c r="H4272" s="140"/>
    </row>
    <row r="4273" spans="1:9" s="65" customFormat="1">
      <c r="A4273" s="142"/>
      <c r="B4273" s="143"/>
      <c r="C4273" s="143"/>
      <c r="D4273" s="143"/>
      <c r="E4273" s="143"/>
      <c r="F4273" s="84"/>
      <c r="G4273" s="144"/>
      <c r="H4273" s="145"/>
    </row>
    <row r="4274" spans="1:9" s="65" customFormat="1">
      <c r="A4274" s="123"/>
      <c r="B4274" s="95"/>
      <c r="C4274" s="95"/>
      <c r="D4274" s="95"/>
      <c r="E4274" s="95"/>
      <c r="G4274" s="104"/>
      <c r="H4274" s="121"/>
    </row>
    <row r="4275" spans="1:9" s="65" customFormat="1">
      <c r="A4275" s="123"/>
      <c r="B4275" s="95"/>
      <c r="C4275" s="95"/>
      <c r="D4275" s="95"/>
      <c r="E4275" s="95"/>
      <c r="G4275" s="121"/>
      <c r="H4275" s="133"/>
    </row>
    <row r="4276" spans="1:9" s="65" customFormat="1">
      <c r="B4276" s="97"/>
      <c r="C4276" s="98"/>
      <c r="D4276" s="98"/>
      <c r="E4276" s="98"/>
      <c r="G4276" s="128"/>
    </row>
    <row r="4277" spans="1:9" s="65" customFormat="1">
      <c r="B4277" s="97"/>
      <c r="C4277" s="98"/>
      <c r="D4277" s="98"/>
      <c r="E4277" s="98"/>
      <c r="F4277" s="128"/>
      <c r="G4277" s="133"/>
      <c r="H4277" s="134"/>
    </row>
    <row r="4278" spans="1:9" s="65" customFormat="1">
      <c r="A4278" s="633"/>
      <c r="B4278" s="633"/>
      <c r="C4278" s="633"/>
      <c r="D4278" s="633"/>
      <c r="E4278" s="633"/>
      <c r="F4278" s="633"/>
      <c r="G4278" s="633"/>
    </row>
    <row r="4279" spans="1:9" s="65" customFormat="1">
      <c r="H4279" s="156"/>
      <c r="I4279" s="151"/>
    </row>
    <row r="4280" spans="1:9" s="65" customFormat="1">
      <c r="A4280" s="645"/>
      <c r="B4280" s="156"/>
      <c r="C4280" s="156"/>
      <c r="D4280" s="156"/>
      <c r="E4280" s="156"/>
      <c r="F4280" s="156"/>
      <c r="G4280" s="156"/>
      <c r="H4280" s="156"/>
      <c r="I4280" s="152"/>
    </row>
    <row r="4281" spans="1:9" s="65" customFormat="1">
      <c r="A4281" s="645"/>
      <c r="B4281" s="156"/>
      <c r="C4281" s="156"/>
      <c r="D4281" s="156"/>
      <c r="E4281" s="156"/>
      <c r="F4281" s="156"/>
      <c r="G4281" s="156"/>
    </row>
    <row r="4282" spans="1:9" s="65" customFormat="1">
      <c r="A4282" s="69"/>
      <c r="B4282" s="69"/>
      <c r="C4282" s="69"/>
      <c r="D4282" s="69"/>
      <c r="E4282" s="69"/>
    </row>
    <row r="4283" spans="1:9" s="65" customFormat="1">
      <c r="A4283" s="120"/>
      <c r="B4283" s="73"/>
      <c r="C4283" s="73"/>
      <c r="D4283" s="73"/>
      <c r="E4283" s="73"/>
      <c r="F4283" s="121"/>
      <c r="G4283" s="121"/>
      <c r="H4283" s="121"/>
    </row>
    <row r="4284" spans="1:9" s="65" customFormat="1">
      <c r="A4284" s="128"/>
      <c r="B4284" s="141"/>
      <c r="C4284" s="141"/>
      <c r="D4284" s="141"/>
      <c r="E4284" s="141"/>
      <c r="F4284" s="141"/>
      <c r="G4284" s="141"/>
      <c r="H4284" s="121"/>
    </row>
    <row r="4285" spans="1:9" s="65" customFormat="1">
      <c r="A4285" s="150"/>
      <c r="B4285" s="83"/>
      <c r="C4285" s="148"/>
      <c r="D4285" s="84"/>
      <c r="E4285" s="84"/>
      <c r="F4285" s="84"/>
      <c r="G4285" s="154"/>
      <c r="H4285" s="121"/>
    </row>
    <row r="4286" spans="1:9" s="65" customFormat="1">
      <c r="A4286" s="150"/>
      <c r="B4286" s="83"/>
      <c r="C4286" s="148"/>
      <c r="D4286" s="84"/>
      <c r="E4286" s="84"/>
      <c r="F4286" s="84"/>
      <c r="G4286" s="154"/>
      <c r="H4286" s="145"/>
    </row>
    <row r="4287" spans="1:9" s="65" customFormat="1">
      <c r="A4287" s="84"/>
      <c r="B4287" s="83"/>
      <c r="C4287" s="84"/>
      <c r="D4287" s="84"/>
      <c r="E4287" s="84"/>
      <c r="G4287" s="104"/>
      <c r="H4287" s="140"/>
    </row>
    <row r="4288" spans="1:9" s="65" customFormat="1">
      <c r="A4288" s="120"/>
      <c r="B4288" s="73"/>
      <c r="C4288" s="73"/>
      <c r="D4288" s="73"/>
      <c r="E4288" s="73"/>
      <c r="G4288" s="121"/>
      <c r="H4288" s="140"/>
    </row>
    <row r="4289" spans="1:9" s="65" customFormat="1">
      <c r="A4289" s="128"/>
      <c r="B4289" s="141"/>
      <c r="C4289" s="141"/>
      <c r="D4289" s="141"/>
      <c r="E4289" s="141"/>
      <c r="F4289" s="141"/>
      <c r="G4289" s="141"/>
      <c r="H4289" s="140"/>
    </row>
    <row r="4290" spans="1:9" s="65" customFormat="1">
      <c r="A4290" s="150"/>
      <c r="B4290" s="83"/>
      <c r="C4290" s="148"/>
      <c r="D4290" s="84"/>
      <c r="E4290" s="84"/>
      <c r="F4290" s="84"/>
      <c r="G4290" s="154"/>
      <c r="H4290" s="145"/>
    </row>
    <row r="4291" spans="1:9" s="65" customFormat="1">
      <c r="A4291" s="91"/>
      <c r="B4291" s="91"/>
      <c r="C4291" s="91"/>
      <c r="D4291" s="91"/>
      <c r="E4291" s="91"/>
      <c r="G4291" s="104"/>
      <c r="H4291" s="140"/>
    </row>
    <row r="4292" spans="1:9" s="65" customFormat="1">
      <c r="A4292" s="120"/>
      <c r="B4292" s="73"/>
      <c r="C4292" s="73"/>
      <c r="D4292" s="73"/>
      <c r="E4292" s="73"/>
      <c r="G4292" s="121"/>
      <c r="H4292" s="140"/>
    </row>
    <row r="4293" spans="1:9" s="65" customFormat="1">
      <c r="A4293" s="128"/>
      <c r="B4293" s="141"/>
      <c r="C4293" s="141"/>
      <c r="D4293" s="141"/>
      <c r="E4293" s="141"/>
      <c r="F4293" s="141"/>
      <c r="G4293" s="141"/>
      <c r="H4293" s="140"/>
    </row>
    <row r="4294" spans="1:9" s="65" customFormat="1">
      <c r="A4294" s="146"/>
      <c r="B4294" s="83"/>
      <c r="C4294" s="148"/>
      <c r="D4294" s="84"/>
      <c r="E4294" s="84"/>
      <c r="F4294" s="84"/>
      <c r="G4294" s="144"/>
      <c r="H4294" s="145"/>
    </row>
    <row r="4295" spans="1:9" s="65" customFormat="1">
      <c r="A4295" s="91"/>
      <c r="B4295" s="91"/>
      <c r="C4295" s="91"/>
      <c r="D4295" s="91"/>
      <c r="E4295" s="91"/>
      <c r="G4295" s="104"/>
      <c r="H4295" s="140"/>
    </row>
    <row r="4296" spans="1:9" s="65" customFormat="1">
      <c r="A4296" s="120"/>
      <c r="B4296" s="73"/>
      <c r="C4296" s="73"/>
      <c r="D4296" s="73"/>
      <c r="E4296" s="73"/>
      <c r="G4296" s="121"/>
      <c r="H4296" s="140"/>
    </row>
    <row r="4297" spans="1:9" s="65" customFormat="1">
      <c r="A4297" s="128"/>
      <c r="B4297" s="141"/>
      <c r="C4297" s="141"/>
      <c r="D4297" s="141"/>
      <c r="E4297" s="141"/>
      <c r="F4297" s="141"/>
      <c r="G4297" s="141"/>
      <c r="H4297" s="140"/>
    </row>
    <row r="4298" spans="1:9" s="65" customFormat="1">
      <c r="A4298" s="142"/>
      <c r="B4298" s="143"/>
      <c r="C4298" s="143"/>
      <c r="D4298" s="143"/>
      <c r="E4298" s="143"/>
      <c r="F4298" s="84"/>
      <c r="G4298" s="144"/>
      <c r="H4298" s="145"/>
    </row>
    <row r="4299" spans="1:9" s="65" customFormat="1">
      <c r="A4299" s="123"/>
      <c r="B4299" s="95"/>
      <c r="C4299" s="95"/>
      <c r="D4299" s="95"/>
      <c r="E4299" s="95"/>
      <c r="G4299" s="104"/>
      <c r="H4299" s="121"/>
    </row>
    <row r="4300" spans="1:9" s="65" customFormat="1">
      <c r="A4300" s="123"/>
      <c r="B4300" s="95"/>
      <c r="C4300" s="95"/>
      <c r="D4300" s="95"/>
      <c r="E4300" s="95"/>
      <c r="G4300" s="121"/>
      <c r="H4300" s="133"/>
    </row>
    <row r="4301" spans="1:9" s="65" customFormat="1">
      <c r="B4301" s="97"/>
      <c r="C4301" s="98"/>
      <c r="D4301" s="98"/>
      <c r="E4301" s="98"/>
      <c r="G4301" s="128"/>
    </row>
    <row r="4302" spans="1:9" s="65" customFormat="1">
      <c r="B4302" s="97"/>
      <c r="C4302" s="98"/>
      <c r="D4302" s="98"/>
      <c r="E4302" s="98"/>
      <c r="F4302" s="128"/>
      <c r="G4302" s="133"/>
      <c r="H4302" s="134"/>
    </row>
    <row r="4303" spans="1:9" s="65" customFormat="1">
      <c r="A4303" s="633"/>
      <c r="B4303" s="633"/>
      <c r="C4303" s="633"/>
      <c r="D4303" s="633"/>
      <c r="E4303" s="633"/>
      <c r="F4303" s="633"/>
      <c r="G4303" s="633"/>
    </row>
    <row r="4304" spans="1:9" s="65" customFormat="1">
      <c r="H4304" s="156"/>
      <c r="I4304" s="151"/>
    </row>
    <row r="4305" spans="1:9" s="65" customFormat="1">
      <c r="A4305" s="645"/>
      <c r="B4305" s="156"/>
      <c r="C4305" s="156"/>
      <c r="D4305" s="156"/>
      <c r="E4305" s="156"/>
      <c r="F4305" s="156"/>
      <c r="G4305" s="156"/>
      <c r="H4305" s="156"/>
      <c r="I4305" s="152"/>
    </row>
    <row r="4306" spans="1:9" s="65" customFormat="1">
      <c r="A4306" s="645"/>
      <c r="B4306" s="156"/>
      <c r="C4306" s="156"/>
      <c r="D4306" s="156"/>
      <c r="E4306" s="156"/>
      <c r="F4306" s="156"/>
      <c r="G4306" s="156"/>
    </row>
    <row r="4307" spans="1:9" s="65" customFormat="1">
      <c r="A4307" s="69"/>
      <c r="B4307" s="69"/>
      <c r="C4307" s="69"/>
      <c r="D4307" s="69"/>
      <c r="E4307" s="69"/>
    </row>
    <row r="4308" spans="1:9" s="65" customFormat="1">
      <c r="A4308" s="120"/>
      <c r="B4308" s="73"/>
      <c r="C4308" s="73"/>
      <c r="D4308" s="73"/>
      <c r="E4308" s="73"/>
      <c r="F4308" s="121"/>
      <c r="G4308" s="121"/>
      <c r="H4308" s="121"/>
    </row>
    <row r="4309" spans="1:9" s="65" customFormat="1">
      <c r="A4309" s="128"/>
      <c r="B4309" s="141"/>
      <c r="C4309" s="141"/>
      <c r="D4309" s="141"/>
      <c r="E4309" s="141"/>
      <c r="F4309" s="141"/>
      <c r="G4309" s="141"/>
      <c r="H4309" s="121"/>
    </row>
    <row r="4310" spans="1:9" s="65" customFormat="1">
      <c r="A4310" s="150"/>
      <c r="B4310" s="83"/>
      <c r="C4310" s="148"/>
      <c r="D4310" s="84"/>
      <c r="E4310" s="84"/>
      <c r="F4310" s="84"/>
      <c r="G4310" s="154"/>
      <c r="H4310" s="145"/>
    </row>
    <row r="4311" spans="1:9" s="65" customFormat="1">
      <c r="A4311" s="84"/>
      <c r="B4311" s="83"/>
      <c r="C4311" s="84"/>
      <c r="D4311" s="84"/>
      <c r="E4311" s="84"/>
      <c r="G4311" s="104"/>
      <c r="H4311" s="140"/>
    </row>
    <row r="4312" spans="1:9" s="65" customFormat="1">
      <c r="A4312" s="120"/>
      <c r="B4312" s="73"/>
      <c r="C4312" s="73"/>
      <c r="D4312" s="73"/>
      <c r="E4312" s="73"/>
      <c r="G4312" s="121"/>
      <c r="H4312" s="140"/>
    </row>
    <row r="4313" spans="1:9" s="65" customFormat="1">
      <c r="A4313" s="128"/>
      <c r="B4313" s="141"/>
      <c r="C4313" s="141"/>
      <c r="D4313" s="141"/>
      <c r="E4313" s="141"/>
      <c r="F4313" s="141"/>
      <c r="G4313" s="141"/>
      <c r="H4313" s="140"/>
    </row>
    <row r="4314" spans="1:9" s="65" customFormat="1">
      <c r="A4314" s="150"/>
      <c r="B4314" s="83"/>
      <c r="C4314" s="148"/>
      <c r="D4314" s="84"/>
      <c r="E4314" s="84"/>
      <c r="F4314" s="84"/>
      <c r="G4314" s="154"/>
      <c r="H4314" s="140"/>
    </row>
    <row r="4315" spans="1:9" s="65" customFormat="1">
      <c r="A4315" s="150"/>
      <c r="B4315" s="83"/>
      <c r="C4315" s="148"/>
      <c r="D4315" s="84"/>
      <c r="E4315" s="84"/>
      <c r="F4315" s="84"/>
      <c r="G4315" s="154"/>
      <c r="H4315" s="140"/>
    </row>
    <row r="4316" spans="1:9" s="65" customFormat="1">
      <c r="A4316" s="150"/>
      <c r="B4316" s="83"/>
      <c r="C4316" s="148"/>
      <c r="D4316" s="84"/>
      <c r="E4316" s="84"/>
      <c r="F4316" s="84"/>
      <c r="G4316" s="154"/>
      <c r="H4316" s="140"/>
    </row>
    <row r="4317" spans="1:9" s="65" customFormat="1">
      <c r="A4317" s="150"/>
      <c r="B4317" s="83"/>
      <c r="C4317" s="148"/>
      <c r="D4317" s="84"/>
      <c r="E4317" s="84"/>
      <c r="F4317" s="84"/>
      <c r="G4317" s="154"/>
      <c r="H4317" s="140"/>
    </row>
    <row r="4318" spans="1:9" s="65" customFormat="1">
      <c r="A4318" s="150"/>
      <c r="B4318" s="83"/>
      <c r="C4318" s="148"/>
      <c r="D4318" s="84"/>
      <c r="E4318" s="84"/>
      <c r="F4318" s="84"/>
      <c r="G4318" s="154"/>
      <c r="H4318" s="140"/>
    </row>
    <row r="4319" spans="1:9" s="65" customFormat="1">
      <c r="A4319" s="150"/>
      <c r="B4319" s="83"/>
      <c r="C4319" s="148"/>
      <c r="D4319" s="84"/>
      <c r="E4319" s="84"/>
      <c r="F4319" s="84"/>
      <c r="G4319" s="154"/>
      <c r="H4319" s="140"/>
    </row>
    <row r="4320" spans="1:9" s="65" customFormat="1">
      <c r="A4320" s="150"/>
      <c r="B4320" s="83"/>
      <c r="C4320" s="148"/>
      <c r="D4320" s="84"/>
      <c r="E4320" s="84"/>
      <c r="F4320" s="84"/>
      <c r="G4320" s="154"/>
      <c r="H4320" s="145"/>
    </row>
    <row r="4321" spans="1:9" s="65" customFormat="1">
      <c r="A4321" s="91"/>
      <c r="B4321" s="91"/>
      <c r="C4321" s="91"/>
      <c r="D4321" s="91"/>
      <c r="E4321" s="91"/>
      <c r="G4321" s="104"/>
      <c r="H4321" s="140"/>
    </row>
    <row r="4322" spans="1:9" s="65" customFormat="1">
      <c r="A4322" s="120"/>
      <c r="B4322" s="73"/>
      <c r="C4322" s="73"/>
      <c r="D4322" s="73"/>
      <c r="E4322" s="73"/>
      <c r="G4322" s="121"/>
      <c r="H4322" s="140"/>
    </row>
    <row r="4323" spans="1:9" s="65" customFormat="1">
      <c r="A4323" s="128"/>
      <c r="B4323" s="141"/>
      <c r="C4323" s="141"/>
      <c r="D4323" s="141"/>
      <c r="E4323" s="141"/>
      <c r="F4323" s="141"/>
      <c r="G4323" s="141"/>
      <c r="H4323" s="140"/>
    </row>
    <row r="4324" spans="1:9" s="65" customFormat="1">
      <c r="A4324" s="146"/>
      <c r="B4324" s="83"/>
      <c r="C4324" s="148"/>
      <c r="D4324" s="84"/>
      <c r="E4324" s="84"/>
      <c r="F4324" s="84"/>
      <c r="G4324" s="144"/>
      <c r="H4324" s="140"/>
    </row>
    <row r="4325" spans="1:9" s="65" customFormat="1">
      <c r="A4325" s="146"/>
      <c r="B4325" s="83"/>
      <c r="C4325" s="148"/>
      <c r="D4325" s="84"/>
      <c r="E4325" s="84"/>
      <c r="F4325" s="84"/>
      <c r="G4325" s="144"/>
      <c r="H4325" s="145"/>
    </row>
    <row r="4326" spans="1:9" s="65" customFormat="1">
      <c r="A4326" s="91"/>
      <c r="B4326" s="91"/>
      <c r="C4326" s="91"/>
      <c r="D4326" s="91"/>
      <c r="E4326" s="91"/>
      <c r="G4326" s="104"/>
      <c r="H4326" s="140"/>
    </row>
    <row r="4327" spans="1:9" s="65" customFormat="1">
      <c r="A4327" s="120"/>
      <c r="B4327" s="73"/>
      <c r="C4327" s="73"/>
      <c r="D4327" s="73"/>
      <c r="E4327" s="73"/>
      <c r="G4327" s="121"/>
      <c r="H4327" s="140"/>
    </row>
    <row r="4328" spans="1:9" s="65" customFormat="1">
      <c r="A4328" s="128"/>
      <c r="B4328" s="141"/>
      <c r="C4328" s="141"/>
      <c r="D4328" s="141"/>
      <c r="E4328" s="141"/>
      <c r="F4328" s="141"/>
      <c r="G4328" s="141"/>
      <c r="H4328" s="140"/>
    </row>
    <row r="4329" spans="1:9" s="65" customFormat="1">
      <c r="A4329" s="142"/>
      <c r="B4329" s="143"/>
      <c r="C4329" s="143"/>
      <c r="D4329" s="143"/>
      <c r="E4329" s="143"/>
      <c r="F4329" s="84"/>
      <c r="G4329" s="144"/>
      <c r="H4329" s="145"/>
    </row>
    <row r="4330" spans="1:9" s="65" customFormat="1">
      <c r="A4330" s="123"/>
      <c r="B4330" s="95"/>
      <c r="C4330" s="95"/>
      <c r="D4330" s="95"/>
      <c r="E4330" s="95"/>
      <c r="G4330" s="104"/>
      <c r="H4330" s="121"/>
    </row>
    <row r="4331" spans="1:9" s="65" customFormat="1">
      <c r="A4331" s="123"/>
      <c r="B4331" s="95"/>
      <c r="C4331" s="95"/>
      <c r="D4331" s="95"/>
      <c r="E4331" s="95"/>
      <c r="G4331" s="121"/>
      <c r="H4331" s="133"/>
    </row>
    <row r="4332" spans="1:9" s="65" customFormat="1">
      <c r="B4332" s="97"/>
      <c r="C4332" s="98"/>
      <c r="D4332" s="98"/>
      <c r="E4332" s="98"/>
      <c r="G4332" s="128"/>
    </row>
    <row r="4333" spans="1:9" s="65" customFormat="1">
      <c r="B4333" s="97"/>
      <c r="C4333" s="98"/>
      <c r="D4333" s="98"/>
      <c r="E4333" s="98"/>
      <c r="F4333" s="128"/>
      <c r="G4333" s="133"/>
      <c r="H4333" s="134"/>
    </row>
    <row r="4334" spans="1:9" s="65" customFormat="1">
      <c r="A4334" s="633"/>
      <c r="B4334" s="633"/>
      <c r="C4334" s="633"/>
      <c r="D4334" s="633"/>
      <c r="E4334" s="633"/>
      <c r="F4334" s="633"/>
      <c r="G4334" s="633"/>
    </row>
    <row r="4335" spans="1:9" s="65" customFormat="1">
      <c r="H4335" s="156"/>
      <c r="I4335" s="151"/>
    </row>
    <row r="4336" spans="1:9" s="65" customFormat="1">
      <c r="A4336" s="645"/>
      <c r="B4336" s="156"/>
      <c r="C4336" s="156"/>
      <c r="D4336" s="156"/>
      <c r="E4336" s="156"/>
      <c r="F4336" s="156"/>
      <c r="G4336" s="156"/>
      <c r="H4336" s="156"/>
      <c r="I4336" s="152"/>
    </row>
    <row r="4337" spans="1:8" s="65" customFormat="1">
      <c r="A4337" s="645"/>
      <c r="B4337" s="156"/>
      <c r="C4337" s="156"/>
      <c r="D4337" s="156"/>
      <c r="E4337" s="156"/>
      <c r="F4337" s="156"/>
      <c r="G4337" s="156"/>
    </row>
    <row r="4338" spans="1:8" s="65" customFormat="1">
      <c r="A4338" s="69"/>
      <c r="B4338" s="69"/>
      <c r="C4338" s="69"/>
      <c r="D4338" s="69"/>
      <c r="E4338" s="69"/>
    </row>
    <row r="4339" spans="1:8" s="65" customFormat="1">
      <c r="A4339" s="120"/>
      <c r="B4339" s="73"/>
      <c r="C4339" s="73"/>
      <c r="D4339" s="73"/>
      <c r="E4339" s="73"/>
      <c r="F4339" s="121"/>
      <c r="G4339" s="121"/>
      <c r="H4339" s="121"/>
    </row>
    <row r="4340" spans="1:8" s="65" customFormat="1">
      <c r="A4340" s="128"/>
      <c r="B4340" s="141"/>
      <c r="C4340" s="141"/>
      <c r="D4340" s="141"/>
      <c r="E4340" s="141"/>
      <c r="F4340" s="141"/>
      <c r="G4340" s="141"/>
      <c r="H4340" s="121"/>
    </row>
    <row r="4341" spans="1:8" s="65" customFormat="1">
      <c r="A4341" s="150"/>
      <c r="B4341" s="83"/>
      <c r="C4341" s="148"/>
      <c r="D4341" s="84"/>
      <c r="E4341" s="84"/>
      <c r="F4341" s="84"/>
      <c r="G4341" s="154"/>
      <c r="H4341" s="145"/>
    </row>
    <row r="4342" spans="1:8" s="65" customFormat="1">
      <c r="A4342" s="84"/>
      <c r="B4342" s="83"/>
      <c r="C4342" s="84"/>
      <c r="D4342" s="84"/>
      <c r="E4342" s="84"/>
      <c r="G4342" s="104"/>
      <c r="H4342" s="140"/>
    </row>
    <row r="4343" spans="1:8" s="65" customFormat="1">
      <c r="A4343" s="120"/>
      <c r="B4343" s="73"/>
      <c r="C4343" s="73"/>
      <c r="D4343" s="73"/>
      <c r="E4343" s="73"/>
      <c r="G4343" s="121"/>
      <c r="H4343" s="140"/>
    </row>
    <row r="4344" spans="1:8" s="65" customFormat="1">
      <c r="A4344" s="128"/>
      <c r="B4344" s="141"/>
      <c r="C4344" s="141"/>
      <c r="D4344" s="141"/>
      <c r="E4344" s="141"/>
      <c r="F4344" s="141"/>
      <c r="G4344" s="141"/>
      <c r="H4344" s="140"/>
    </row>
    <row r="4345" spans="1:8" s="65" customFormat="1">
      <c r="A4345" s="150"/>
      <c r="B4345" s="83"/>
      <c r="C4345" s="148"/>
      <c r="D4345" s="84"/>
      <c r="E4345" s="84"/>
      <c r="F4345" s="84"/>
      <c r="G4345" s="154"/>
      <c r="H4345" s="140"/>
    </row>
    <row r="4346" spans="1:8" s="65" customFormat="1">
      <c r="A4346" s="150"/>
      <c r="B4346" s="83"/>
      <c r="C4346" s="148"/>
      <c r="D4346" s="84"/>
      <c r="E4346" s="84"/>
      <c r="F4346" s="84"/>
      <c r="G4346" s="154"/>
      <c r="H4346" s="140"/>
    </row>
    <row r="4347" spans="1:8" s="65" customFormat="1">
      <c r="A4347" s="150"/>
      <c r="B4347" s="83"/>
      <c r="C4347" s="148"/>
      <c r="D4347" s="84"/>
      <c r="E4347" s="84"/>
      <c r="F4347" s="84"/>
      <c r="G4347" s="154"/>
      <c r="H4347" s="140"/>
    </row>
    <row r="4348" spans="1:8" s="65" customFormat="1">
      <c r="A4348" s="150"/>
      <c r="B4348" s="83"/>
      <c r="C4348" s="148"/>
      <c r="D4348" s="84"/>
      <c r="E4348" s="84"/>
      <c r="F4348" s="84"/>
      <c r="G4348" s="154"/>
      <c r="H4348" s="140"/>
    </row>
    <row r="4349" spans="1:8" s="65" customFormat="1">
      <c r="A4349" s="150"/>
      <c r="B4349" s="83"/>
      <c r="C4349" s="148"/>
      <c r="D4349" s="84"/>
      <c r="E4349" s="84"/>
      <c r="F4349" s="84"/>
      <c r="G4349" s="154"/>
      <c r="H4349" s="145"/>
    </row>
    <row r="4350" spans="1:8" s="65" customFormat="1">
      <c r="A4350" s="91"/>
      <c r="B4350" s="91"/>
      <c r="C4350" s="91"/>
      <c r="D4350" s="91"/>
      <c r="E4350" s="91"/>
      <c r="G4350" s="104"/>
      <c r="H4350" s="140"/>
    </row>
    <row r="4351" spans="1:8" s="65" customFormat="1">
      <c r="A4351" s="120"/>
      <c r="B4351" s="73"/>
      <c r="C4351" s="73"/>
      <c r="D4351" s="73"/>
      <c r="E4351" s="73"/>
      <c r="G4351" s="121"/>
      <c r="H4351" s="140"/>
    </row>
    <row r="4352" spans="1:8" s="65" customFormat="1">
      <c r="A4352" s="128"/>
      <c r="B4352" s="141"/>
      <c r="C4352" s="141"/>
      <c r="D4352" s="141"/>
      <c r="E4352" s="141"/>
      <c r="F4352" s="141"/>
      <c r="G4352" s="141"/>
      <c r="H4352" s="140"/>
    </row>
    <row r="4353" spans="1:9" s="65" customFormat="1">
      <c r="A4353" s="146"/>
      <c r="B4353" s="83"/>
      <c r="C4353" s="148"/>
      <c r="D4353" s="84"/>
      <c r="E4353" s="84"/>
      <c r="F4353" s="84"/>
      <c r="G4353" s="144"/>
      <c r="H4353" s="140"/>
    </row>
    <row r="4354" spans="1:9" s="65" customFormat="1">
      <c r="A4354" s="146"/>
      <c r="B4354" s="83"/>
      <c r="C4354" s="148"/>
      <c r="D4354" s="84"/>
      <c r="E4354" s="84"/>
      <c r="F4354" s="84"/>
      <c r="G4354" s="144"/>
      <c r="H4354" s="145"/>
    </row>
    <row r="4355" spans="1:9" s="65" customFormat="1">
      <c r="A4355" s="91"/>
      <c r="B4355" s="91"/>
      <c r="C4355" s="91"/>
      <c r="D4355" s="91"/>
      <c r="E4355" s="91"/>
      <c r="G4355" s="104"/>
      <c r="H4355" s="140"/>
    </row>
    <row r="4356" spans="1:9" s="65" customFormat="1">
      <c r="A4356" s="120"/>
      <c r="B4356" s="73"/>
      <c r="C4356" s="73"/>
      <c r="D4356" s="73"/>
      <c r="E4356" s="73"/>
      <c r="G4356" s="121"/>
      <c r="H4356" s="140"/>
    </row>
    <row r="4357" spans="1:9" s="65" customFormat="1">
      <c r="A4357" s="128"/>
      <c r="B4357" s="141"/>
      <c r="C4357" s="141"/>
      <c r="D4357" s="141"/>
      <c r="E4357" s="141"/>
      <c r="F4357" s="141"/>
      <c r="G4357" s="141"/>
      <c r="H4357" s="140"/>
    </row>
    <row r="4358" spans="1:9" s="65" customFormat="1">
      <c r="A4358" s="142"/>
      <c r="B4358" s="143"/>
      <c r="C4358" s="143"/>
      <c r="D4358" s="143"/>
      <c r="E4358" s="143"/>
      <c r="F4358" s="84"/>
      <c r="G4358" s="144"/>
      <c r="H4358" s="145"/>
    </row>
    <row r="4359" spans="1:9" s="65" customFormat="1">
      <c r="A4359" s="123"/>
      <c r="B4359" s="95"/>
      <c r="C4359" s="95"/>
      <c r="D4359" s="95"/>
      <c r="E4359" s="95"/>
      <c r="G4359" s="104"/>
      <c r="H4359" s="121"/>
    </row>
    <row r="4360" spans="1:9" s="65" customFormat="1">
      <c r="A4360" s="123"/>
      <c r="B4360" s="95"/>
      <c r="C4360" s="95"/>
      <c r="D4360" s="95"/>
      <c r="E4360" s="95"/>
      <c r="G4360" s="121"/>
      <c r="H4360" s="133"/>
    </row>
    <row r="4361" spans="1:9" s="65" customFormat="1">
      <c r="B4361" s="97"/>
      <c r="C4361" s="98"/>
      <c r="D4361" s="98"/>
      <c r="E4361" s="98"/>
      <c r="G4361" s="128"/>
    </row>
    <row r="4362" spans="1:9" s="65" customFormat="1">
      <c r="B4362" s="97"/>
      <c r="C4362" s="98"/>
      <c r="D4362" s="98"/>
      <c r="E4362" s="98"/>
      <c r="F4362" s="128"/>
      <c r="G4362" s="133"/>
      <c r="H4362" s="134"/>
    </row>
    <row r="4363" spans="1:9" s="65" customFormat="1">
      <c r="A4363" s="633"/>
      <c r="B4363" s="633"/>
      <c r="C4363" s="633"/>
      <c r="D4363" s="633"/>
      <c r="E4363" s="633"/>
      <c r="F4363" s="633"/>
      <c r="G4363" s="633"/>
    </row>
    <row r="4364" spans="1:9" s="65" customFormat="1">
      <c r="H4364" s="156"/>
      <c r="I4364" s="151"/>
    </row>
    <row r="4365" spans="1:9" s="65" customFormat="1">
      <c r="A4365" s="645"/>
      <c r="B4365" s="156"/>
      <c r="C4365" s="156"/>
      <c r="D4365" s="156"/>
      <c r="E4365" s="156"/>
      <c r="F4365" s="156"/>
      <c r="G4365" s="156"/>
      <c r="H4365" s="156"/>
      <c r="I4365" s="152"/>
    </row>
    <row r="4366" spans="1:9" s="65" customFormat="1">
      <c r="A4366" s="645"/>
      <c r="B4366" s="156"/>
      <c r="C4366" s="156"/>
      <c r="D4366" s="156"/>
      <c r="E4366" s="156"/>
      <c r="F4366" s="156"/>
      <c r="G4366" s="156"/>
    </row>
    <row r="4367" spans="1:9" s="65" customFormat="1">
      <c r="A4367" s="69"/>
      <c r="B4367" s="69"/>
      <c r="C4367" s="69"/>
      <c r="D4367" s="69"/>
      <c r="E4367" s="69"/>
    </row>
    <row r="4368" spans="1:9" s="65" customFormat="1">
      <c r="A4368" s="120"/>
      <c r="B4368" s="73"/>
      <c r="C4368" s="73"/>
      <c r="D4368" s="73"/>
      <c r="E4368" s="73"/>
      <c r="F4368" s="121"/>
      <c r="G4368" s="121"/>
      <c r="H4368" s="121"/>
    </row>
    <row r="4369" spans="1:8" s="65" customFormat="1">
      <c r="A4369" s="128"/>
      <c r="B4369" s="141"/>
      <c r="C4369" s="141"/>
      <c r="D4369" s="141"/>
      <c r="E4369" s="141"/>
      <c r="F4369" s="141"/>
      <c r="G4369" s="141"/>
      <c r="H4369" s="121"/>
    </row>
    <row r="4370" spans="1:8" s="65" customFormat="1">
      <c r="A4370" s="150"/>
      <c r="B4370" s="83"/>
      <c r="C4370" s="148"/>
      <c r="D4370" s="84"/>
      <c r="E4370" s="84"/>
      <c r="F4370" s="84"/>
      <c r="G4370" s="154"/>
      <c r="H4370" s="121"/>
    </row>
    <row r="4371" spans="1:8" s="65" customFormat="1">
      <c r="A4371" s="150"/>
      <c r="B4371" s="83"/>
      <c r="C4371" s="148"/>
      <c r="D4371" s="84"/>
      <c r="E4371" s="84"/>
      <c r="F4371" s="84"/>
      <c r="G4371" s="154"/>
      <c r="H4371" s="145"/>
    </row>
    <row r="4372" spans="1:8" s="65" customFormat="1">
      <c r="A4372" s="84"/>
      <c r="B4372" s="83"/>
      <c r="C4372" s="84"/>
      <c r="D4372" s="84"/>
      <c r="E4372" s="84"/>
      <c r="G4372" s="104"/>
      <c r="H4372" s="140"/>
    </row>
    <row r="4373" spans="1:8" s="65" customFormat="1">
      <c r="A4373" s="120"/>
      <c r="B4373" s="73"/>
      <c r="C4373" s="73"/>
      <c r="D4373" s="73"/>
      <c r="E4373" s="73"/>
      <c r="G4373" s="121"/>
      <c r="H4373" s="140"/>
    </row>
    <row r="4374" spans="1:8" s="65" customFormat="1">
      <c r="A4374" s="128"/>
      <c r="B4374" s="141"/>
      <c r="C4374" s="141"/>
      <c r="D4374" s="141"/>
      <c r="E4374" s="141"/>
      <c r="F4374" s="141"/>
      <c r="G4374" s="141"/>
      <c r="H4374" s="140"/>
    </row>
    <row r="4375" spans="1:8" s="65" customFormat="1">
      <c r="A4375" s="150"/>
      <c r="B4375" s="83"/>
      <c r="C4375" s="148"/>
      <c r="D4375" s="84"/>
      <c r="E4375" s="84"/>
      <c r="F4375" s="84"/>
      <c r="G4375" s="154"/>
      <c r="H4375" s="140"/>
    </row>
    <row r="4376" spans="1:8" s="65" customFormat="1">
      <c r="A4376" s="150"/>
      <c r="B4376" s="83"/>
      <c r="C4376" s="148"/>
      <c r="D4376" s="84"/>
      <c r="E4376" s="84"/>
      <c r="F4376" s="84"/>
      <c r="G4376" s="154"/>
      <c r="H4376" s="140"/>
    </row>
    <row r="4377" spans="1:8" s="65" customFormat="1">
      <c r="A4377" s="150"/>
      <c r="B4377" s="83"/>
      <c r="C4377" s="148"/>
      <c r="D4377" s="84"/>
      <c r="E4377" s="84"/>
      <c r="F4377" s="84"/>
      <c r="G4377" s="154"/>
      <c r="H4377" s="140"/>
    </row>
    <row r="4378" spans="1:8" s="65" customFormat="1">
      <c r="A4378" s="150"/>
      <c r="B4378" s="83"/>
      <c r="C4378" s="148"/>
      <c r="D4378" s="84"/>
      <c r="E4378" s="84"/>
      <c r="F4378" s="84"/>
      <c r="G4378" s="154"/>
      <c r="H4378" s="145"/>
    </row>
    <row r="4379" spans="1:8" s="65" customFormat="1">
      <c r="A4379" s="91"/>
      <c r="B4379" s="91"/>
      <c r="C4379" s="91"/>
      <c r="D4379" s="91"/>
      <c r="E4379" s="91"/>
      <c r="G4379" s="104"/>
      <c r="H4379" s="140"/>
    </row>
    <row r="4380" spans="1:8" s="65" customFormat="1">
      <c r="A4380" s="120"/>
      <c r="B4380" s="73"/>
      <c r="C4380" s="73"/>
      <c r="D4380" s="73"/>
      <c r="E4380" s="73"/>
      <c r="G4380" s="121"/>
      <c r="H4380" s="140"/>
    </row>
    <row r="4381" spans="1:8" s="65" customFormat="1">
      <c r="A4381" s="128"/>
      <c r="B4381" s="141"/>
      <c r="C4381" s="141"/>
      <c r="D4381" s="141"/>
      <c r="E4381" s="141"/>
      <c r="F4381" s="141"/>
      <c r="G4381" s="141"/>
      <c r="H4381" s="140"/>
    </row>
    <row r="4382" spans="1:8" s="65" customFormat="1">
      <c r="A4382" s="146"/>
      <c r="B4382" s="83"/>
      <c r="C4382" s="148"/>
      <c r="D4382" s="84"/>
      <c r="E4382" s="84"/>
      <c r="F4382" s="84"/>
      <c r="G4382" s="144"/>
      <c r="H4382" s="140"/>
    </row>
    <row r="4383" spans="1:8" s="65" customFormat="1">
      <c r="A4383" s="146"/>
      <c r="B4383" s="83"/>
      <c r="C4383" s="148"/>
      <c r="D4383" s="84"/>
      <c r="E4383" s="84"/>
      <c r="F4383" s="84"/>
      <c r="G4383" s="144"/>
      <c r="H4383" s="145"/>
    </row>
    <row r="4384" spans="1:8" s="65" customFormat="1">
      <c r="A4384" s="91"/>
      <c r="B4384" s="91"/>
      <c r="C4384" s="91"/>
      <c r="D4384" s="91"/>
      <c r="E4384" s="91"/>
      <c r="G4384" s="104"/>
      <c r="H4384" s="140"/>
    </row>
    <row r="4385" spans="1:9" s="65" customFormat="1">
      <c r="A4385" s="120"/>
      <c r="B4385" s="73"/>
      <c r="C4385" s="73"/>
      <c r="D4385" s="73"/>
      <c r="E4385" s="73"/>
      <c r="G4385" s="121"/>
      <c r="H4385" s="140"/>
    </row>
    <row r="4386" spans="1:9" s="65" customFormat="1">
      <c r="A4386" s="128"/>
      <c r="B4386" s="141"/>
      <c r="C4386" s="141"/>
      <c r="D4386" s="141"/>
      <c r="E4386" s="141"/>
      <c r="F4386" s="141"/>
      <c r="G4386" s="141"/>
      <c r="H4386" s="140"/>
    </row>
    <row r="4387" spans="1:9" s="65" customFormat="1">
      <c r="A4387" s="142"/>
      <c r="B4387" s="143"/>
      <c r="C4387" s="143"/>
      <c r="D4387" s="143"/>
      <c r="E4387" s="143"/>
      <c r="F4387" s="84"/>
      <c r="G4387" s="144"/>
      <c r="H4387" s="145"/>
    </row>
    <row r="4388" spans="1:9" s="65" customFormat="1">
      <c r="A4388" s="123"/>
      <c r="B4388" s="95"/>
      <c r="C4388" s="95"/>
      <c r="D4388" s="95"/>
      <c r="E4388" s="95"/>
      <c r="G4388" s="104"/>
      <c r="H4388" s="121"/>
    </row>
    <row r="4389" spans="1:9" s="65" customFormat="1">
      <c r="A4389" s="123"/>
      <c r="B4389" s="95"/>
      <c r="C4389" s="95"/>
      <c r="D4389" s="95"/>
      <c r="E4389" s="95"/>
      <c r="G4389" s="121"/>
      <c r="H4389" s="133"/>
    </row>
    <row r="4390" spans="1:9" s="65" customFormat="1">
      <c r="B4390" s="97"/>
      <c r="C4390" s="98"/>
      <c r="D4390" s="98"/>
      <c r="E4390" s="98"/>
      <c r="G4390" s="128"/>
    </row>
    <row r="4391" spans="1:9" s="65" customFormat="1">
      <c r="B4391" s="97"/>
      <c r="C4391" s="98"/>
      <c r="D4391" s="98"/>
      <c r="E4391" s="98"/>
      <c r="F4391" s="128"/>
      <c r="G4391" s="133"/>
      <c r="H4391" s="134"/>
    </row>
    <row r="4392" spans="1:9" s="65" customFormat="1">
      <c r="A4392" s="633"/>
      <c r="B4392" s="633"/>
      <c r="C4392" s="633"/>
      <c r="D4392" s="633"/>
      <c r="E4392" s="633"/>
      <c r="F4392" s="633"/>
      <c r="G4392" s="633"/>
    </row>
    <row r="4393" spans="1:9" s="65" customFormat="1">
      <c r="H4393" s="156"/>
      <c r="I4393" s="151"/>
    </row>
    <row r="4394" spans="1:9" s="65" customFormat="1">
      <c r="A4394" s="645"/>
      <c r="B4394" s="156"/>
      <c r="C4394" s="156"/>
      <c r="D4394" s="156"/>
      <c r="E4394" s="156"/>
      <c r="F4394" s="156"/>
      <c r="G4394" s="156"/>
      <c r="H4394" s="156"/>
      <c r="I4394" s="152"/>
    </row>
    <row r="4395" spans="1:9" s="65" customFormat="1">
      <c r="A4395" s="645"/>
      <c r="B4395" s="156"/>
      <c r="C4395" s="156"/>
      <c r="D4395" s="156"/>
      <c r="E4395" s="156"/>
      <c r="F4395" s="156"/>
      <c r="G4395" s="156"/>
    </row>
    <row r="4396" spans="1:9" s="65" customFormat="1">
      <c r="A4396" s="69"/>
      <c r="B4396" s="69"/>
      <c r="C4396" s="69"/>
      <c r="D4396" s="69"/>
      <c r="E4396" s="69"/>
    </row>
    <row r="4397" spans="1:9" s="65" customFormat="1">
      <c r="A4397" s="120"/>
      <c r="B4397" s="73"/>
      <c r="C4397" s="73"/>
      <c r="D4397" s="73"/>
      <c r="E4397" s="73"/>
      <c r="F4397" s="121"/>
      <c r="G4397" s="121"/>
      <c r="H4397" s="121"/>
    </row>
    <row r="4398" spans="1:9" s="65" customFormat="1">
      <c r="A4398" s="128"/>
      <c r="B4398" s="141"/>
      <c r="C4398" s="141"/>
      <c r="D4398" s="141"/>
      <c r="E4398" s="141"/>
      <c r="F4398" s="141"/>
      <c r="G4398" s="141"/>
      <c r="H4398" s="121"/>
    </row>
    <row r="4399" spans="1:9" s="65" customFormat="1">
      <c r="A4399" s="150"/>
      <c r="B4399" s="83"/>
      <c r="C4399" s="148"/>
      <c r="D4399" s="84"/>
      <c r="E4399" s="84"/>
      <c r="F4399" s="84"/>
      <c r="G4399" s="154"/>
      <c r="H4399" s="145"/>
    </row>
    <row r="4400" spans="1:9" s="65" customFormat="1">
      <c r="A4400" s="84"/>
      <c r="B4400" s="83"/>
      <c r="C4400" s="84"/>
      <c r="D4400" s="84"/>
      <c r="E4400" s="84"/>
      <c r="G4400" s="104"/>
      <c r="H4400" s="140"/>
    </row>
    <row r="4401" spans="1:8" s="65" customFormat="1">
      <c r="A4401" s="120"/>
      <c r="B4401" s="73"/>
      <c r="C4401" s="73"/>
      <c r="D4401" s="73"/>
      <c r="E4401" s="73"/>
      <c r="G4401" s="121"/>
      <c r="H4401" s="140"/>
    </row>
    <row r="4402" spans="1:8" s="65" customFormat="1">
      <c r="A4402" s="128"/>
      <c r="B4402" s="141"/>
      <c r="C4402" s="141"/>
      <c r="D4402" s="141"/>
      <c r="E4402" s="141"/>
      <c r="F4402" s="141"/>
      <c r="G4402" s="141"/>
      <c r="H4402" s="140"/>
    </row>
    <row r="4403" spans="1:8" s="65" customFormat="1">
      <c r="A4403" s="150"/>
      <c r="B4403" s="83"/>
      <c r="C4403" s="148"/>
      <c r="D4403" s="84"/>
      <c r="E4403" s="84"/>
      <c r="F4403" s="84"/>
      <c r="G4403" s="154"/>
      <c r="H4403" s="140"/>
    </row>
    <row r="4404" spans="1:8" s="65" customFormat="1">
      <c r="A4404" s="150"/>
      <c r="B4404" s="83"/>
      <c r="C4404" s="148"/>
      <c r="D4404" s="84"/>
      <c r="E4404" s="84"/>
      <c r="F4404" s="84"/>
      <c r="G4404" s="154"/>
      <c r="H4404" s="140"/>
    </row>
    <row r="4405" spans="1:8" s="65" customFormat="1">
      <c r="A4405" s="150"/>
      <c r="B4405" s="83"/>
      <c r="C4405" s="148"/>
      <c r="D4405" s="84"/>
      <c r="E4405" s="84"/>
      <c r="F4405" s="84"/>
      <c r="G4405" s="154"/>
      <c r="H4405" s="145"/>
    </row>
    <row r="4406" spans="1:8" s="65" customFormat="1">
      <c r="A4406" s="91"/>
      <c r="B4406" s="91"/>
      <c r="C4406" s="91"/>
      <c r="D4406" s="91"/>
      <c r="E4406" s="91"/>
      <c r="G4406" s="104"/>
      <c r="H4406" s="140"/>
    </row>
    <row r="4407" spans="1:8" s="65" customFormat="1">
      <c r="A4407" s="120"/>
      <c r="B4407" s="73"/>
      <c r="C4407" s="73"/>
      <c r="D4407" s="73"/>
      <c r="E4407" s="73"/>
      <c r="G4407" s="121"/>
      <c r="H4407" s="140"/>
    </row>
    <row r="4408" spans="1:8" s="65" customFormat="1">
      <c r="A4408" s="128"/>
      <c r="B4408" s="141"/>
      <c r="C4408" s="141"/>
      <c r="D4408" s="141"/>
      <c r="E4408" s="141"/>
      <c r="F4408" s="141"/>
      <c r="G4408" s="141"/>
      <c r="H4408" s="140"/>
    </row>
    <row r="4409" spans="1:8" s="65" customFormat="1">
      <c r="A4409" s="146"/>
      <c r="B4409" s="83"/>
      <c r="C4409" s="148"/>
      <c r="D4409" s="84"/>
      <c r="E4409" s="84"/>
      <c r="F4409" s="84"/>
      <c r="G4409" s="144"/>
      <c r="H4409" s="140"/>
    </row>
    <row r="4410" spans="1:8" s="65" customFormat="1">
      <c r="A4410" s="146"/>
      <c r="B4410" s="83"/>
      <c r="C4410" s="148"/>
      <c r="D4410" s="84"/>
      <c r="E4410" s="84"/>
      <c r="F4410" s="84"/>
      <c r="G4410" s="144"/>
      <c r="H4410" s="145"/>
    </row>
    <row r="4411" spans="1:8" s="65" customFormat="1">
      <c r="A4411" s="91"/>
      <c r="B4411" s="91"/>
      <c r="C4411" s="91"/>
      <c r="D4411" s="91"/>
      <c r="E4411" s="91"/>
      <c r="G4411" s="104"/>
      <c r="H4411" s="140"/>
    </row>
    <row r="4412" spans="1:8" s="65" customFormat="1">
      <c r="A4412" s="120"/>
      <c r="B4412" s="73"/>
      <c r="C4412" s="73"/>
      <c r="D4412" s="73"/>
      <c r="E4412" s="73"/>
      <c r="G4412" s="121"/>
      <c r="H4412" s="140"/>
    </row>
    <row r="4413" spans="1:8" s="65" customFormat="1">
      <c r="A4413" s="128"/>
      <c r="B4413" s="141"/>
      <c r="C4413" s="141"/>
      <c r="D4413" s="141"/>
      <c r="E4413" s="141"/>
      <c r="F4413" s="141"/>
      <c r="G4413" s="141"/>
      <c r="H4413" s="140"/>
    </row>
    <row r="4414" spans="1:8" s="65" customFormat="1">
      <c r="A4414" s="142"/>
      <c r="B4414" s="143"/>
      <c r="C4414" s="143"/>
      <c r="D4414" s="143"/>
      <c r="E4414" s="143"/>
      <c r="F4414" s="84"/>
      <c r="G4414" s="144"/>
      <c r="H4414" s="145"/>
    </row>
    <row r="4415" spans="1:8" s="65" customFormat="1">
      <c r="A4415" s="123"/>
      <c r="B4415" s="95"/>
      <c r="C4415" s="95"/>
      <c r="D4415" s="95"/>
      <c r="E4415" s="95"/>
      <c r="G4415" s="104"/>
      <c r="H4415" s="121"/>
    </row>
    <row r="4416" spans="1:8" s="65" customFormat="1">
      <c r="A4416" s="123"/>
      <c r="B4416" s="95"/>
      <c r="C4416" s="95"/>
      <c r="D4416" s="95"/>
      <c r="E4416" s="95"/>
      <c r="G4416" s="121"/>
      <c r="H4416" s="133"/>
    </row>
    <row r="4417" spans="1:9" s="65" customFormat="1">
      <c r="B4417" s="97"/>
      <c r="C4417" s="98"/>
      <c r="D4417" s="98"/>
      <c r="E4417" s="98"/>
      <c r="G4417" s="128"/>
    </row>
    <row r="4418" spans="1:9" s="65" customFormat="1">
      <c r="B4418" s="97"/>
      <c r="C4418" s="98"/>
      <c r="D4418" s="98"/>
      <c r="E4418" s="98"/>
      <c r="F4418" s="128"/>
      <c r="G4418" s="133"/>
      <c r="H4418" s="134"/>
    </row>
    <row r="4419" spans="1:9" s="65" customFormat="1">
      <c r="A4419" s="633"/>
      <c r="B4419" s="633"/>
      <c r="C4419" s="633"/>
      <c r="D4419" s="633"/>
      <c r="E4419" s="633"/>
      <c r="F4419" s="633"/>
      <c r="G4419" s="633"/>
    </row>
    <row r="4420" spans="1:9" s="65" customFormat="1">
      <c r="H4420" s="156"/>
      <c r="I4420" s="151"/>
    </row>
    <row r="4421" spans="1:9" s="65" customFormat="1">
      <c r="A4421" s="645"/>
      <c r="B4421" s="156"/>
      <c r="C4421" s="156"/>
      <c r="D4421" s="156"/>
      <c r="E4421" s="156"/>
      <c r="F4421" s="156"/>
      <c r="G4421" s="156"/>
      <c r="H4421" s="156"/>
      <c r="I4421" s="152"/>
    </row>
    <row r="4422" spans="1:9" s="65" customFormat="1">
      <c r="A4422" s="645"/>
      <c r="B4422" s="156"/>
      <c r="C4422" s="156"/>
      <c r="D4422" s="156"/>
      <c r="E4422" s="156"/>
      <c r="F4422" s="156"/>
      <c r="G4422" s="156"/>
    </row>
    <row r="4423" spans="1:9" s="65" customFormat="1">
      <c r="A4423" s="69"/>
      <c r="B4423" s="69"/>
      <c r="C4423" s="69"/>
      <c r="D4423" s="69"/>
      <c r="E4423" s="69"/>
    </row>
    <row r="4424" spans="1:9" s="65" customFormat="1">
      <c r="A4424" s="120"/>
      <c r="B4424" s="73"/>
      <c r="C4424" s="73"/>
      <c r="D4424" s="73"/>
      <c r="E4424" s="73"/>
      <c r="F4424" s="121"/>
      <c r="G4424" s="121"/>
      <c r="H4424" s="121"/>
    </row>
    <row r="4425" spans="1:9" s="65" customFormat="1">
      <c r="A4425" s="128"/>
      <c r="B4425" s="141"/>
      <c r="C4425" s="141"/>
      <c r="D4425" s="141"/>
      <c r="E4425" s="141"/>
      <c r="F4425" s="141"/>
      <c r="G4425" s="141"/>
      <c r="H4425" s="121"/>
    </row>
    <row r="4426" spans="1:9" s="65" customFormat="1">
      <c r="A4426" s="150"/>
      <c r="B4426" s="83"/>
      <c r="C4426" s="148"/>
      <c r="D4426" s="84"/>
      <c r="E4426" s="84"/>
      <c r="F4426" s="84"/>
      <c r="G4426" s="154"/>
      <c r="H4426" s="145"/>
    </row>
    <row r="4427" spans="1:9" s="65" customFormat="1">
      <c r="A4427" s="84"/>
      <c r="B4427" s="83"/>
      <c r="C4427" s="84"/>
      <c r="D4427" s="84"/>
      <c r="E4427" s="84"/>
      <c r="G4427" s="104"/>
      <c r="H4427" s="140"/>
    </row>
    <row r="4428" spans="1:9" s="65" customFormat="1">
      <c r="A4428" s="120"/>
      <c r="B4428" s="73"/>
      <c r="C4428" s="73"/>
      <c r="D4428" s="73"/>
      <c r="E4428" s="73"/>
      <c r="G4428" s="121"/>
      <c r="H4428" s="140"/>
    </row>
    <row r="4429" spans="1:9" s="65" customFormat="1">
      <c r="A4429" s="128"/>
      <c r="B4429" s="141"/>
      <c r="C4429" s="141"/>
      <c r="D4429" s="141"/>
      <c r="E4429" s="141"/>
      <c r="F4429" s="141"/>
      <c r="G4429" s="141"/>
      <c r="H4429" s="140"/>
    </row>
    <row r="4430" spans="1:9" s="65" customFormat="1">
      <c r="A4430" s="150"/>
      <c r="B4430" s="83"/>
      <c r="C4430" s="148"/>
      <c r="D4430" s="84"/>
      <c r="E4430" s="84"/>
      <c r="F4430" s="84"/>
      <c r="G4430" s="154"/>
      <c r="H4430" s="140"/>
    </row>
    <row r="4431" spans="1:9" s="65" customFormat="1">
      <c r="A4431" s="150"/>
      <c r="B4431" s="83"/>
      <c r="C4431" s="148"/>
      <c r="D4431" s="84"/>
      <c r="E4431" s="84"/>
      <c r="F4431" s="84"/>
      <c r="G4431" s="154"/>
      <c r="H4431" s="145"/>
    </row>
    <row r="4432" spans="1:9" s="65" customFormat="1">
      <c r="A4432" s="91"/>
      <c r="B4432" s="91"/>
      <c r="C4432" s="91"/>
      <c r="D4432" s="91"/>
      <c r="E4432" s="91"/>
      <c r="G4432" s="104"/>
      <c r="H4432" s="140"/>
    </row>
    <row r="4433" spans="1:9" s="65" customFormat="1">
      <c r="A4433" s="120"/>
      <c r="B4433" s="73"/>
      <c r="C4433" s="73"/>
      <c r="D4433" s="73"/>
      <c r="E4433" s="73"/>
      <c r="G4433" s="121"/>
      <c r="H4433" s="140"/>
    </row>
    <row r="4434" spans="1:9" s="65" customFormat="1">
      <c r="A4434" s="128"/>
      <c r="B4434" s="141"/>
      <c r="C4434" s="141"/>
      <c r="D4434" s="141"/>
      <c r="E4434" s="141"/>
      <c r="F4434" s="141"/>
      <c r="G4434" s="141"/>
      <c r="H4434" s="140"/>
    </row>
    <row r="4435" spans="1:9" s="65" customFormat="1">
      <c r="A4435" s="146"/>
      <c r="B4435" s="83"/>
      <c r="C4435" s="148"/>
      <c r="D4435" s="84"/>
      <c r="E4435" s="84"/>
      <c r="F4435" s="84"/>
      <c r="G4435" s="144"/>
      <c r="H4435" s="140"/>
    </row>
    <row r="4436" spans="1:9" s="65" customFormat="1">
      <c r="A4436" s="146"/>
      <c r="B4436" s="83"/>
      <c r="C4436" s="148"/>
      <c r="D4436" s="84"/>
      <c r="E4436" s="84"/>
      <c r="F4436" s="84"/>
      <c r="G4436" s="144"/>
      <c r="H4436" s="145"/>
    </row>
    <row r="4437" spans="1:9" s="65" customFormat="1">
      <c r="A4437" s="91"/>
      <c r="B4437" s="91"/>
      <c r="C4437" s="91"/>
      <c r="D4437" s="91"/>
      <c r="E4437" s="91"/>
      <c r="G4437" s="104"/>
      <c r="H4437" s="140"/>
    </row>
    <row r="4438" spans="1:9" s="65" customFormat="1">
      <c r="A4438" s="120"/>
      <c r="B4438" s="73"/>
      <c r="C4438" s="73"/>
      <c r="D4438" s="73"/>
      <c r="E4438" s="73"/>
      <c r="G4438" s="121"/>
      <c r="H4438" s="140"/>
    </row>
    <row r="4439" spans="1:9" s="65" customFormat="1">
      <c r="A4439" s="128"/>
      <c r="B4439" s="141"/>
      <c r="C4439" s="141"/>
      <c r="D4439" s="141"/>
      <c r="E4439" s="141"/>
      <c r="F4439" s="141"/>
      <c r="G4439" s="141"/>
      <c r="H4439" s="140"/>
    </row>
    <row r="4440" spans="1:9" s="65" customFormat="1">
      <c r="A4440" s="142"/>
      <c r="B4440" s="143"/>
      <c r="C4440" s="143"/>
      <c r="D4440" s="143"/>
      <c r="E4440" s="143"/>
      <c r="F4440" s="84"/>
      <c r="G4440" s="144"/>
      <c r="H4440" s="145"/>
    </row>
    <row r="4441" spans="1:9" s="65" customFormat="1">
      <c r="A4441" s="123"/>
      <c r="B4441" s="95"/>
      <c r="C4441" s="95"/>
      <c r="D4441" s="95"/>
      <c r="E4441" s="95"/>
      <c r="G4441" s="104"/>
      <c r="H4441" s="121"/>
    </row>
    <row r="4442" spans="1:9" s="65" customFormat="1">
      <c r="A4442" s="123"/>
      <c r="B4442" s="95"/>
      <c r="C4442" s="95"/>
      <c r="D4442" s="95"/>
      <c r="E4442" s="95"/>
      <c r="G4442" s="121"/>
      <c r="H4442" s="133"/>
    </row>
    <row r="4443" spans="1:9" s="65" customFormat="1">
      <c r="B4443" s="97"/>
      <c r="C4443" s="98"/>
      <c r="D4443" s="98"/>
      <c r="E4443" s="98"/>
      <c r="G4443" s="128"/>
    </row>
    <row r="4444" spans="1:9" s="65" customFormat="1">
      <c r="B4444" s="97"/>
      <c r="C4444" s="98"/>
      <c r="D4444" s="98"/>
      <c r="E4444" s="98"/>
      <c r="F4444" s="128"/>
      <c r="G4444" s="133"/>
      <c r="H4444" s="134"/>
    </row>
    <row r="4445" spans="1:9" s="65" customFormat="1">
      <c r="A4445" s="633"/>
      <c r="B4445" s="633"/>
      <c r="C4445" s="633"/>
      <c r="D4445" s="633"/>
      <c r="E4445" s="633"/>
      <c r="F4445" s="633"/>
      <c r="G4445" s="633"/>
    </row>
    <row r="4446" spans="1:9" s="65" customFormat="1">
      <c r="H4446" s="156"/>
      <c r="I4446" s="151"/>
    </row>
    <row r="4447" spans="1:9" s="65" customFormat="1">
      <c r="A4447" s="645"/>
      <c r="B4447" s="156"/>
      <c r="C4447" s="156"/>
      <c r="D4447" s="156"/>
      <c r="E4447" s="156"/>
      <c r="F4447" s="156"/>
      <c r="G4447" s="156"/>
      <c r="H4447" s="156"/>
      <c r="I4447" s="152"/>
    </row>
    <row r="4448" spans="1:9" s="65" customFormat="1">
      <c r="A4448" s="645"/>
      <c r="B4448" s="156"/>
      <c r="C4448" s="156"/>
      <c r="D4448" s="156"/>
      <c r="E4448" s="156"/>
      <c r="F4448" s="156"/>
      <c r="G4448" s="156"/>
    </row>
    <row r="4449" spans="1:8" s="65" customFormat="1">
      <c r="A4449" s="69"/>
      <c r="B4449" s="69"/>
      <c r="C4449" s="69"/>
      <c r="D4449" s="69"/>
      <c r="E4449" s="69"/>
    </row>
    <row r="4450" spans="1:8" s="65" customFormat="1">
      <c r="A4450" s="120"/>
      <c r="B4450" s="73"/>
      <c r="C4450" s="73"/>
      <c r="D4450" s="73"/>
      <c r="E4450" s="73"/>
      <c r="F4450" s="121"/>
      <c r="G4450" s="121"/>
      <c r="H4450" s="121"/>
    </row>
    <row r="4451" spans="1:8" s="65" customFormat="1">
      <c r="A4451" s="128"/>
      <c r="B4451" s="141"/>
      <c r="C4451" s="141"/>
      <c r="D4451" s="141"/>
      <c r="E4451" s="141"/>
      <c r="F4451" s="141"/>
      <c r="G4451" s="141"/>
      <c r="H4451" s="121"/>
    </row>
    <row r="4452" spans="1:8" s="65" customFormat="1">
      <c r="A4452" s="142"/>
      <c r="B4452" s="143"/>
      <c r="C4452" s="143"/>
      <c r="D4452" s="143"/>
      <c r="E4452" s="143"/>
      <c r="F4452" s="84"/>
      <c r="G4452" s="144"/>
      <c r="H4452" s="145"/>
    </row>
    <row r="4453" spans="1:8" s="65" customFormat="1">
      <c r="A4453" s="84"/>
      <c r="B4453" s="83"/>
      <c r="C4453" s="84"/>
      <c r="D4453" s="84"/>
      <c r="E4453" s="84"/>
      <c r="G4453" s="104"/>
      <c r="H4453" s="140"/>
    </row>
    <row r="4454" spans="1:8" s="65" customFormat="1">
      <c r="A4454" s="120"/>
      <c r="B4454" s="73"/>
      <c r="C4454" s="73"/>
      <c r="D4454" s="73"/>
      <c r="E4454" s="73"/>
      <c r="G4454" s="121"/>
      <c r="H4454" s="140"/>
    </row>
    <row r="4455" spans="1:8" s="65" customFormat="1">
      <c r="A4455" s="128"/>
      <c r="B4455" s="141"/>
      <c r="C4455" s="141"/>
      <c r="D4455" s="141"/>
      <c r="E4455" s="141"/>
      <c r="F4455" s="141"/>
      <c r="G4455" s="141"/>
      <c r="H4455" s="140"/>
    </row>
    <row r="4456" spans="1:8" s="65" customFormat="1">
      <c r="A4456" s="150"/>
      <c r="B4456" s="83"/>
      <c r="C4456" s="148"/>
      <c r="D4456" s="84"/>
      <c r="E4456" s="84"/>
      <c r="F4456" s="84"/>
      <c r="G4456" s="154"/>
      <c r="H4456" s="145"/>
    </row>
    <row r="4457" spans="1:8" s="65" customFormat="1">
      <c r="A4457" s="91"/>
      <c r="B4457" s="91"/>
      <c r="C4457" s="91"/>
      <c r="D4457" s="91"/>
      <c r="E4457" s="91"/>
      <c r="G4457" s="104"/>
      <c r="H4457" s="140"/>
    </row>
    <row r="4458" spans="1:8" s="65" customFormat="1">
      <c r="A4458" s="120"/>
      <c r="B4458" s="73"/>
      <c r="C4458" s="73"/>
      <c r="D4458" s="73"/>
      <c r="E4458" s="73"/>
      <c r="G4458" s="121"/>
      <c r="H4458" s="140"/>
    </row>
    <row r="4459" spans="1:8" s="65" customFormat="1">
      <c r="A4459" s="128"/>
      <c r="B4459" s="141"/>
      <c r="C4459" s="141"/>
      <c r="D4459" s="141"/>
      <c r="E4459" s="141"/>
      <c r="F4459" s="141"/>
      <c r="G4459" s="141"/>
      <c r="H4459" s="140"/>
    </row>
    <row r="4460" spans="1:8" s="65" customFormat="1">
      <c r="A4460" s="146"/>
      <c r="B4460" s="83"/>
      <c r="C4460" s="148"/>
      <c r="D4460" s="84"/>
      <c r="E4460" s="84"/>
      <c r="F4460" s="84"/>
      <c r="G4460" s="144"/>
      <c r="H4460" s="145"/>
    </row>
    <row r="4461" spans="1:8" s="65" customFormat="1">
      <c r="A4461" s="91"/>
      <c r="B4461" s="91"/>
      <c r="C4461" s="91"/>
      <c r="D4461" s="91"/>
      <c r="E4461" s="91"/>
      <c r="G4461" s="104"/>
      <c r="H4461" s="140"/>
    </row>
    <row r="4462" spans="1:8" s="65" customFormat="1">
      <c r="A4462" s="120"/>
      <c r="B4462" s="73"/>
      <c r="C4462" s="73"/>
      <c r="D4462" s="73"/>
      <c r="E4462" s="73"/>
      <c r="G4462" s="121"/>
      <c r="H4462" s="140"/>
    </row>
    <row r="4463" spans="1:8" s="65" customFormat="1">
      <c r="A4463" s="128"/>
      <c r="B4463" s="141"/>
      <c r="C4463" s="141"/>
      <c r="D4463" s="141"/>
      <c r="E4463" s="141"/>
      <c r="F4463" s="141"/>
      <c r="G4463" s="141"/>
      <c r="H4463" s="140"/>
    </row>
    <row r="4464" spans="1:8" s="65" customFormat="1">
      <c r="A4464" s="142"/>
      <c r="B4464" s="143"/>
      <c r="C4464" s="143"/>
      <c r="D4464" s="143"/>
      <c r="E4464" s="143"/>
      <c r="F4464" s="84"/>
      <c r="G4464" s="144"/>
      <c r="H4464" s="145"/>
    </row>
    <row r="4465" spans="1:9" s="65" customFormat="1">
      <c r="A4465" s="123"/>
      <c r="B4465" s="95"/>
      <c r="C4465" s="95"/>
      <c r="D4465" s="95"/>
      <c r="E4465" s="95"/>
      <c r="G4465" s="104"/>
      <c r="H4465" s="121"/>
    </row>
    <row r="4466" spans="1:9" s="65" customFormat="1">
      <c r="A4466" s="123"/>
      <c r="B4466" s="95"/>
      <c r="C4466" s="95"/>
      <c r="D4466" s="95"/>
      <c r="E4466" s="95"/>
      <c r="G4466" s="121"/>
      <c r="H4466" s="133"/>
    </row>
    <row r="4467" spans="1:9" s="65" customFormat="1">
      <c r="B4467" s="97"/>
      <c r="C4467" s="98"/>
      <c r="D4467" s="98"/>
      <c r="E4467" s="98"/>
      <c r="G4467" s="128"/>
    </row>
    <row r="4468" spans="1:9" s="65" customFormat="1">
      <c r="B4468" s="97"/>
      <c r="C4468" s="98"/>
      <c r="D4468" s="98"/>
      <c r="E4468" s="98"/>
      <c r="F4468" s="128"/>
      <c r="G4468" s="133"/>
      <c r="H4468" s="134"/>
    </row>
    <row r="4469" spans="1:9" s="65" customFormat="1">
      <c r="A4469" s="633"/>
      <c r="B4469" s="633"/>
      <c r="C4469" s="633"/>
      <c r="D4469" s="633"/>
      <c r="E4469" s="633"/>
      <c r="F4469" s="633"/>
      <c r="G4469" s="633"/>
    </row>
    <row r="4470" spans="1:9" s="65" customFormat="1">
      <c r="H4470" s="156"/>
      <c r="I4470" s="151"/>
    </row>
    <row r="4471" spans="1:9" s="65" customFormat="1">
      <c r="A4471" s="645"/>
      <c r="B4471" s="156"/>
      <c r="C4471" s="156"/>
      <c r="D4471" s="156"/>
      <c r="E4471" s="156"/>
      <c r="F4471" s="156"/>
      <c r="G4471" s="156"/>
      <c r="H4471" s="156"/>
      <c r="I4471" s="152"/>
    </row>
    <row r="4472" spans="1:9" s="65" customFormat="1">
      <c r="A4472" s="645"/>
      <c r="B4472" s="156"/>
      <c r="C4472" s="156"/>
      <c r="D4472" s="156"/>
      <c r="E4472" s="156"/>
      <c r="F4472" s="156"/>
      <c r="G4472" s="156"/>
    </row>
    <row r="4473" spans="1:9" s="65" customFormat="1">
      <c r="A4473" s="69"/>
      <c r="B4473" s="69"/>
      <c r="C4473" s="69"/>
      <c r="D4473" s="69"/>
      <c r="E4473" s="69"/>
    </row>
    <row r="4474" spans="1:9" s="65" customFormat="1">
      <c r="A4474" s="120"/>
      <c r="B4474" s="73"/>
      <c r="C4474" s="73"/>
      <c r="D4474" s="73"/>
      <c r="E4474" s="73"/>
      <c r="F4474" s="121"/>
      <c r="G4474" s="121"/>
      <c r="H4474" s="121"/>
    </row>
    <row r="4475" spans="1:9" s="65" customFormat="1">
      <c r="A4475" s="128"/>
      <c r="B4475" s="141"/>
      <c r="C4475" s="141"/>
      <c r="D4475" s="141"/>
      <c r="E4475" s="141"/>
      <c r="F4475" s="141"/>
      <c r="G4475" s="141"/>
      <c r="H4475" s="121"/>
    </row>
    <row r="4476" spans="1:9" s="65" customFormat="1">
      <c r="A4476" s="150"/>
      <c r="B4476" s="83"/>
      <c r="C4476" s="148"/>
      <c r="D4476" s="84"/>
      <c r="E4476" s="84"/>
      <c r="F4476" s="84"/>
      <c r="G4476" s="154"/>
      <c r="H4476" s="121"/>
    </row>
    <row r="4477" spans="1:9" s="65" customFormat="1">
      <c r="A4477" s="150"/>
      <c r="B4477" s="83"/>
      <c r="C4477" s="148"/>
      <c r="D4477" s="84"/>
      <c r="E4477" s="84"/>
      <c r="F4477" s="84"/>
      <c r="G4477" s="154"/>
      <c r="H4477" s="121"/>
    </row>
    <row r="4478" spans="1:9" s="65" customFormat="1">
      <c r="A4478" s="150"/>
      <c r="B4478" s="83"/>
      <c r="C4478" s="148"/>
      <c r="D4478" s="84"/>
      <c r="E4478" s="84"/>
      <c r="F4478" s="84"/>
      <c r="G4478" s="154"/>
      <c r="H4478" s="121"/>
    </row>
    <row r="4479" spans="1:9" s="65" customFormat="1">
      <c r="A4479" s="150"/>
      <c r="B4479" s="83"/>
      <c r="C4479" s="148"/>
      <c r="D4479" s="84"/>
      <c r="E4479" s="84"/>
      <c r="F4479" s="84"/>
      <c r="G4479" s="154"/>
      <c r="H4479" s="145"/>
    </row>
    <row r="4480" spans="1:9" s="65" customFormat="1">
      <c r="A4480" s="84"/>
      <c r="B4480" s="83"/>
      <c r="C4480" s="84"/>
      <c r="D4480" s="84"/>
      <c r="E4480" s="84"/>
      <c r="G4480" s="104"/>
      <c r="H4480" s="140"/>
    </row>
    <row r="4481" spans="1:8" s="65" customFormat="1">
      <c r="A4481" s="120"/>
      <c r="B4481" s="73"/>
      <c r="C4481" s="73"/>
      <c r="D4481" s="73"/>
      <c r="E4481" s="73"/>
      <c r="G4481" s="121"/>
      <c r="H4481" s="140"/>
    </row>
    <row r="4482" spans="1:8" s="65" customFormat="1">
      <c r="A4482" s="128"/>
      <c r="B4482" s="141"/>
      <c r="C4482" s="141"/>
      <c r="D4482" s="141"/>
      <c r="E4482" s="141"/>
      <c r="F4482" s="141"/>
      <c r="G4482" s="141"/>
      <c r="H4482" s="140"/>
    </row>
    <row r="4483" spans="1:8" s="65" customFormat="1">
      <c r="A4483" s="150"/>
      <c r="B4483" s="83"/>
      <c r="C4483" s="148"/>
      <c r="D4483" s="84"/>
      <c r="E4483" s="84"/>
      <c r="F4483" s="84"/>
      <c r="G4483" s="154"/>
      <c r="H4483" s="145"/>
    </row>
    <row r="4484" spans="1:8" s="65" customFormat="1">
      <c r="A4484" s="91"/>
      <c r="B4484" s="91"/>
      <c r="C4484" s="91"/>
      <c r="D4484" s="91"/>
      <c r="E4484" s="91"/>
      <c r="G4484" s="104"/>
      <c r="H4484" s="140"/>
    </row>
    <row r="4485" spans="1:8" s="65" customFormat="1">
      <c r="A4485" s="120"/>
      <c r="B4485" s="73"/>
      <c r="C4485" s="73"/>
      <c r="D4485" s="73"/>
      <c r="E4485" s="73"/>
      <c r="G4485" s="121"/>
      <c r="H4485" s="140"/>
    </row>
    <row r="4486" spans="1:8" s="65" customFormat="1">
      <c r="A4486" s="128"/>
      <c r="B4486" s="141"/>
      <c r="C4486" s="141"/>
      <c r="D4486" s="141"/>
      <c r="E4486" s="141"/>
      <c r="F4486" s="141"/>
      <c r="G4486" s="141"/>
      <c r="H4486" s="140"/>
    </row>
    <row r="4487" spans="1:8" s="65" customFormat="1">
      <c r="A4487" s="146"/>
      <c r="B4487" s="83"/>
      <c r="C4487" s="148"/>
      <c r="D4487" s="84"/>
      <c r="E4487" s="84"/>
      <c r="F4487" s="84"/>
      <c r="G4487" s="144"/>
      <c r="H4487" s="145"/>
    </row>
    <row r="4488" spans="1:8" s="65" customFormat="1">
      <c r="A4488" s="91"/>
      <c r="B4488" s="91"/>
      <c r="C4488" s="91"/>
      <c r="D4488" s="91"/>
      <c r="E4488" s="91"/>
      <c r="G4488" s="104"/>
      <c r="H4488" s="140"/>
    </row>
    <row r="4489" spans="1:8" s="65" customFormat="1">
      <c r="A4489" s="120"/>
      <c r="B4489" s="73"/>
      <c r="C4489" s="73"/>
      <c r="D4489" s="73"/>
      <c r="E4489" s="73"/>
      <c r="G4489" s="121"/>
      <c r="H4489" s="140"/>
    </row>
    <row r="4490" spans="1:8" s="65" customFormat="1">
      <c r="A4490" s="128"/>
      <c r="B4490" s="141"/>
      <c r="C4490" s="141"/>
      <c r="D4490" s="141"/>
      <c r="E4490" s="141"/>
      <c r="F4490" s="141"/>
      <c r="G4490" s="141"/>
      <c r="H4490" s="140"/>
    </row>
    <row r="4491" spans="1:8" s="65" customFormat="1">
      <c r="A4491" s="142"/>
      <c r="B4491" s="143"/>
      <c r="C4491" s="143"/>
      <c r="D4491" s="143"/>
      <c r="E4491" s="143"/>
      <c r="F4491" s="84"/>
      <c r="G4491" s="144"/>
      <c r="H4491" s="145"/>
    </row>
    <row r="4492" spans="1:8" s="65" customFormat="1">
      <c r="A4492" s="123"/>
      <c r="B4492" s="95"/>
      <c r="C4492" s="95"/>
      <c r="D4492" s="95"/>
      <c r="E4492" s="95"/>
      <c r="G4492" s="104"/>
      <c r="H4492" s="121"/>
    </row>
    <row r="4493" spans="1:8" s="65" customFormat="1">
      <c r="A4493" s="123"/>
      <c r="B4493" s="95"/>
      <c r="C4493" s="95"/>
      <c r="D4493" s="95"/>
      <c r="E4493" s="95"/>
      <c r="G4493" s="121"/>
      <c r="H4493" s="133"/>
    </row>
    <row r="4494" spans="1:8" s="65" customFormat="1">
      <c r="B4494" s="97"/>
      <c r="C4494" s="98"/>
      <c r="D4494" s="98"/>
      <c r="E4494" s="98"/>
      <c r="G4494" s="128"/>
    </row>
    <row r="4495" spans="1:8" s="65" customFormat="1">
      <c r="B4495" s="97"/>
      <c r="C4495" s="98"/>
      <c r="D4495" s="98"/>
      <c r="E4495" s="98"/>
      <c r="F4495" s="128"/>
      <c r="G4495" s="133"/>
      <c r="H4495" s="134"/>
    </row>
    <row r="4496" spans="1:8" s="65" customFormat="1">
      <c r="A4496" s="633"/>
      <c r="B4496" s="633"/>
      <c r="C4496" s="633"/>
      <c r="D4496" s="633"/>
      <c r="E4496" s="633"/>
      <c r="F4496" s="633"/>
      <c r="G4496" s="633"/>
    </row>
    <row r="4497" spans="1:9" s="65" customFormat="1">
      <c r="H4497" s="156"/>
      <c r="I4497" s="151"/>
    </row>
    <row r="4498" spans="1:9" s="65" customFormat="1">
      <c r="A4498" s="645"/>
      <c r="B4498" s="156"/>
      <c r="C4498" s="156"/>
      <c r="D4498" s="156"/>
      <c r="E4498" s="156"/>
      <c r="F4498" s="156"/>
      <c r="G4498" s="156"/>
      <c r="H4498" s="156"/>
      <c r="I4498" s="152"/>
    </row>
    <row r="4499" spans="1:9" s="65" customFormat="1">
      <c r="A4499" s="645"/>
      <c r="B4499" s="156"/>
      <c r="C4499" s="156"/>
      <c r="D4499" s="156"/>
      <c r="E4499" s="156"/>
      <c r="F4499" s="156"/>
      <c r="G4499" s="156"/>
    </row>
    <row r="4500" spans="1:9" s="65" customFormat="1">
      <c r="A4500" s="69"/>
      <c r="B4500" s="69"/>
      <c r="C4500" s="69"/>
      <c r="D4500" s="69"/>
      <c r="E4500" s="69"/>
    </row>
    <row r="4501" spans="1:9" s="65" customFormat="1">
      <c r="A4501" s="120"/>
      <c r="B4501" s="73"/>
      <c r="C4501" s="73"/>
      <c r="D4501" s="73"/>
      <c r="E4501" s="73"/>
      <c r="F4501" s="121"/>
      <c r="G4501" s="121"/>
      <c r="H4501" s="121"/>
    </row>
    <row r="4502" spans="1:9" s="65" customFormat="1">
      <c r="A4502" s="128"/>
      <c r="B4502" s="141"/>
      <c r="C4502" s="141"/>
      <c r="D4502" s="141"/>
      <c r="E4502" s="141"/>
      <c r="F4502" s="141"/>
      <c r="G4502" s="141"/>
      <c r="H4502" s="121"/>
    </row>
    <row r="4503" spans="1:9" s="65" customFormat="1">
      <c r="A4503" s="150"/>
      <c r="B4503" s="83"/>
      <c r="C4503" s="148"/>
      <c r="D4503" s="84"/>
      <c r="E4503" s="84"/>
      <c r="F4503" s="84"/>
      <c r="G4503" s="154"/>
      <c r="H4503" s="121"/>
    </row>
    <row r="4504" spans="1:9" s="65" customFormat="1">
      <c r="A4504" s="150"/>
      <c r="B4504" s="83"/>
      <c r="C4504" s="148"/>
      <c r="D4504" s="84"/>
      <c r="E4504" s="84"/>
      <c r="F4504" s="84"/>
      <c r="G4504" s="154"/>
      <c r="H4504" s="121"/>
    </row>
    <row r="4505" spans="1:9" s="65" customFormat="1">
      <c r="A4505" s="150"/>
      <c r="B4505" s="83"/>
      <c r="C4505" s="148"/>
      <c r="D4505" s="84"/>
      <c r="E4505" s="84"/>
      <c r="F4505" s="84"/>
      <c r="G4505" s="154"/>
      <c r="H4505" s="121"/>
    </row>
    <row r="4506" spans="1:9" s="65" customFormat="1">
      <c r="A4506" s="150"/>
      <c r="B4506" s="83"/>
      <c r="C4506" s="148"/>
      <c r="D4506" s="84"/>
      <c r="E4506" s="84"/>
      <c r="F4506" s="84"/>
      <c r="G4506" s="154"/>
      <c r="H4506" s="145"/>
    </row>
    <row r="4507" spans="1:9" s="65" customFormat="1">
      <c r="A4507" s="84"/>
      <c r="B4507" s="83"/>
      <c r="C4507" s="84"/>
      <c r="D4507" s="84"/>
      <c r="E4507" s="84"/>
      <c r="G4507" s="104"/>
      <c r="H4507" s="140"/>
    </row>
    <row r="4508" spans="1:9" s="65" customFormat="1">
      <c r="A4508" s="120"/>
      <c r="B4508" s="73"/>
      <c r="C4508" s="73"/>
      <c r="D4508" s="73"/>
      <c r="E4508" s="73"/>
      <c r="G4508" s="121"/>
      <c r="H4508" s="140"/>
    </row>
    <row r="4509" spans="1:9" s="65" customFormat="1">
      <c r="A4509" s="128"/>
      <c r="B4509" s="141"/>
      <c r="C4509" s="141"/>
      <c r="D4509" s="141"/>
      <c r="E4509" s="141"/>
      <c r="F4509" s="141"/>
      <c r="G4509" s="141"/>
      <c r="H4509" s="140"/>
    </row>
    <row r="4510" spans="1:9" s="65" customFormat="1" ht="17.25" customHeight="1">
      <c r="A4510" s="150"/>
      <c r="B4510" s="83"/>
      <c r="C4510" s="148"/>
      <c r="D4510" s="84"/>
      <c r="E4510" s="84"/>
      <c r="F4510" s="84"/>
      <c r="G4510" s="154"/>
      <c r="H4510" s="145"/>
    </row>
    <row r="4511" spans="1:9" s="65" customFormat="1">
      <c r="A4511" s="91"/>
      <c r="B4511" s="91"/>
      <c r="C4511" s="91"/>
      <c r="D4511" s="91"/>
      <c r="E4511" s="91"/>
      <c r="G4511" s="104"/>
      <c r="H4511" s="140"/>
    </row>
    <row r="4512" spans="1:9" s="65" customFormat="1">
      <c r="A4512" s="120"/>
      <c r="B4512" s="73"/>
      <c r="C4512" s="73"/>
      <c r="D4512" s="73"/>
      <c r="E4512" s="73"/>
      <c r="G4512" s="121"/>
      <c r="H4512" s="140"/>
    </row>
    <row r="4513" spans="1:9" s="65" customFormat="1">
      <c r="A4513" s="128"/>
      <c r="B4513" s="141"/>
      <c r="C4513" s="141"/>
      <c r="D4513" s="141"/>
      <c r="E4513" s="141"/>
      <c r="F4513" s="141"/>
      <c r="G4513" s="141"/>
      <c r="H4513" s="140"/>
    </row>
    <row r="4514" spans="1:9" s="65" customFormat="1">
      <c r="A4514" s="146"/>
      <c r="B4514" s="83"/>
      <c r="C4514" s="148"/>
      <c r="D4514" s="84"/>
      <c r="E4514" s="84"/>
      <c r="F4514" s="84"/>
      <c r="G4514" s="144"/>
      <c r="H4514" s="145"/>
    </row>
    <row r="4515" spans="1:9" s="65" customFormat="1">
      <c r="A4515" s="91"/>
      <c r="B4515" s="91"/>
      <c r="C4515" s="91"/>
      <c r="D4515" s="91"/>
      <c r="E4515" s="91"/>
      <c r="G4515" s="104"/>
      <c r="H4515" s="140"/>
    </row>
    <row r="4516" spans="1:9" s="65" customFormat="1">
      <c r="A4516" s="120"/>
      <c r="B4516" s="73"/>
      <c r="C4516" s="73"/>
      <c r="D4516" s="73"/>
      <c r="E4516" s="73"/>
      <c r="G4516" s="121"/>
      <c r="H4516" s="140"/>
    </row>
    <row r="4517" spans="1:9" s="65" customFormat="1">
      <c r="A4517" s="128"/>
      <c r="B4517" s="141"/>
      <c r="C4517" s="141"/>
      <c r="D4517" s="141"/>
      <c r="E4517" s="141"/>
      <c r="F4517" s="141"/>
      <c r="G4517" s="141"/>
      <c r="H4517" s="140"/>
    </row>
    <row r="4518" spans="1:9" s="65" customFormat="1">
      <c r="A4518" s="142"/>
      <c r="B4518" s="143"/>
      <c r="C4518" s="143"/>
      <c r="D4518" s="143"/>
      <c r="E4518" s="143"/>
      <c r="F4518" s="84"/>
      <c r="G4518" s="144"/>
      <c r="H4518" s="145"/>
    </row>
    <row r="4519" spans="1:9" s="65" customFormat="1">
      <c r="A4519" s="123"/>
      <c r="B4519" s="95"/>
      <c r="C4519" s="95"/>
      <c r="D4519" s="95"/>
      <c r="E4519" s="95"/>
      <c r="G4519" s="104"/>
      <c r="H4519" s="121"/>
    </row>
    <row r="4520" spans="1:9" s="65" customFormat="1">
      <c r="A4520" s="123"/>
      <c r="B4520" s="95"/>
      <c r="C4520" s="95"/>
      <c r="D4520" s="95"/>
      <c r="E4520" s="95"/>
      <c r="G4520" s="121"/>
      <c r="H4520" s="133"/>
    </row>
    <row r="4521" spans="1:9" s="65" customFormat="1">
      <c r="B4521" s="97"/>
      <c r="C4521" s="98"/>
      <c r="D4521" s="98"/>
      <c r="E4521" s="98"/>
      <c r="G4521" s="128"/>
    </row>
    <row r="4522" spans="1:9" s="65" customFormat="1">
      <c r="B4522" s="97"/>
      <c r="C4522" s="98"/>
      <c r="D4522" s="98"/>
      <c r="E4522" s="98"/>
      <c r="F4522" s="128"/>
      <c r="G4522" s="133"/>
      <c r="H4522" s="134"/>
    </row>
    <row r="4523" spans="1:9" s="65" customFormat="1">
      <c r="A4523" s="633"/>
      <c r="B4523" s="633"/>
      <c r="C4523" s="633"/>
      <c r="D4523" s="633"/>
      <c r="E4523" s="633"/>
      <c r="F4523" s="633"/>
      <c r="G4523" s="633"/>
    </row>
    <row r="4524" spans="1:9" s="65" customFormat="1">
      <c r="H4524" s="156"/>
      <c r="I4524" s="151"/>
    </row>
    <row r="4525" spans="1:9" s="65" customFormat="1">
      <c r="A4525" s="645"/>
      <c r="B4525" s="156"/>
      <c r="C4525" s="156"/>
      <c r="D4525" s="156"/>
      <c r="E4525" s="156"/>
      <c r="F4525" s="156"/>
      <c r="G4525" s="156"/>
      <c r="H4525" s="156"/>
      <c r="I4525" s="152"/>
    </row>
    <row r="4526" spans="1:9" s="65" customFormat="1">
      <c r="A4526" s="645"/>
      <c r="B4526" s="156"/>
      <c r="C4526" s="156"/>
      <c r="D4526" s="156"/>
      <c r="E4526" s="156"/>
      <c r="F4526" s="156"/>
      <c r="G4526" s="156"/>
    </row>
    <row r="4527" spans="1:9" s="65" customFormat="1">
      <c r="A4527" s="69"/>
      <c r="B4527" s="69"/>
      <c r="C4527" s="69"/>
      <c r="D4527" s="69"/>
      <c r="E4527" s="69"/>
    </row>
    <row r="4528" spans="1:9" s="65" customFormat="1">
      <c r="A4528" s="120"/>
      <c r="B4528" s="73"/>
      <c r="C4528" s="73"/>
      <c r="D4528" s="73"/>
      <c r="E4528" s="73"/>
      <c r="F4528" s="121"/>
      <c r="G4528" s="121"/>
      <c r="H4528" s="121"/>
    </row>
    <row r="4529" spans="1:8" s="65" customFormat="1">
      <c r="A4529" s="128"/>
      <c r="B4529" s="141"/>
      <c r="C4529" s="141"/>
      <c r="D4529" s="141"/>
      <c r="E4529" s="141"/>
      <c r="F4529" s="141"/>
      <c r="G4529" s="141"/>
      <c r="H4529" s="121"/>
    </row>
    <row r="4530" spans="1:8" s="65" customFormat="1">
      <c r="A4530" s="150"/>
      <c r="B4530" s="83"/>
      <c r="C4530" s="148"/>
      <c r="D4530" s="84"/>
      <c r="E4530" s="84"/>
      <c r="F4530" s="84"/>
      <c r="G4530" s="154"/>
      <c r="H4530" s="121"/>
    </row>
    <row r="4531" spans="1:8" s="65" customFormat="1">
      <c r="A4531" s="150"/>
      <c r="B4531" s="83"/>
      <c r="C4531" s="148"/>
      <c r="D4531" s="84"/>
      <c r="E4531" s="84"/>
      <c r="F4531" s="84"/>
      <c r="G4531" s="154"/>
      <c r="H4531" s="145"/>
    </row>
    <row r="4532" spans="1:8" s="65" customFormat="1">
      <c r="A4532" s="84"/>
      <c r="B4532" s="83"/>
      <c r="C4532" s="84"/>
      <c r="D4532" s="84"/>
      <c r="E4532" s="84"/>
      <c r="G4532" s="104"/>
      <c r="H4532" s="140"/>
    </row>
    <row r="4533" spans="1:8" s="65" customFormat="1">
      <c r="A4533" s="120"/>
      <c r="B4533" s="73"/>
      <c r="C4533" s="73"/>
      <c r="D4533" s="73"/>
      <c r="E4533" s="73"/>
      <c r="G4533" s="121"/>
      <c r="H4533" s="140"/>
    </row>
    <row r="4534" spans="1:8" s="65" customFormat="1">
      <c r="A4534" s="128"/>
      <c r="B4534" s="141"/>
      <c r="C4534" s="141"/>
      <c r="D4534" s="141"/>
      <c r="E4534" s="141"/>
      <c r="F4534" s="141"/>
      <c r="G4534" s="141"/>
      <c r="H4534" s="140"/>
    </row>
    <row r="4535" spans="1:8" s="65" customFormat="1">
      <c r="A4535" s="150"/>
      <c r="B4535" s="83"/>
      <c r="C4535" s="148"/>
      <c r="D4535" s="84"/>
      <c r="E4535" s="84"/>
      <c r="F4535" s="84"/>
      <c r="G4535" s="154"/>
      <c r="H4535" s="145"/>
    </row>
    <row r="4536" spans="1:8" s="65" customFormat="1">
      <c r="A4536" s="91"/>
      <c r="B4536" s="91"/>
      <c r="C4536" s="91"/>
      <c r="D4536" s="91"/>
      <c r="E4536" s="91"/>
      <c r="G4536" s="104"/>
      <c r="H4536" s="140"/>
    </row>
    <row r="4537" spans="1:8" s="65" customFormat="1">
      <c r="A4537" s="120"/>
      <c r="B4537" s="73"/>
      <c r="C4537" s="73"/>
      <c r="D4537" s="73"/>
      <c r="E4537" s="73"/>
      <c r="G4537" s="121"/>
      <c r="H4537" s="140"/>
    </row>
    <row r="4538" spans="1:8" s="65" customFormat="1">
      <c r="A4538" s="128"/>
      <c r="B4538" s="141"/>
      <c r="C4538" s="141"/>
      <c r="D4538" s="141"/>
      <c r="E4538" s="141"/>
      <c r="F4538" s="141"/>
      <c r="G4538" s="141"/>
      <c r="H4538" s="140"/>
    </row>
    <row r="4539" spans="1:8" s="65" customFormat="1">
      <c r="A4539" s="146"/>
      <c r="B4539" s="83"/>
      <c r="C4539" s="148"/>
      <c r="D4539" s="84"/>
      <c r="E4539" s="84"/>
      <c r="F4539" s="84"/>
      <c r="G4539" s="144"/>
      <c r="H4539" s="145"/>
    </row>
    <row r="4540" spans="1:8" s="65" customFormat="1">
      <c r="A4540" s="91"/>
      <c r="B4540" s="91"/>
      <c r="C4540" s="91"/>
      <c r="D4540" s="91"/>
      <c r="E4540" s="91"/>
      <c r="G4540" s="104"/>
      <c r="H4540" s="140"/>
    </row>
    <row r="4541" spans="1:8" s="65" customFormat="1">
      <c r="A4541" s="120"/>
      <c r="B4541" s="73"/>
      <c r="C4541" s="73"/>
      <c r="D4541" s="73"/>
      <c r="E4541" s="73"/>
      <c r="G4541" s="121"/>
      <c r="H4541" s="140"/>
    </row>
    <row r="4542" spans="1:8" s="65" customFormat="1">
      <c r="A4542" s="128"/>
      <c r="B4542" s="141"/>
      <c r="C4542" s="141"/>
      <c r="D4542" s="141"/>
      <c r="E4542" s="141"/>
      <c r="F4542" s="141"/>
      <c r="G4542" s="141"/>
      <c r="H4542" s="140"/>
    </row>
    <row r="4543" spans="1:8" s="65" customFormat="1">
      <c r="A4543" s="142"/>
      <c r="B4543" s="143"/>
      <c r="C4543" s="143"/>
      <c r="D4543" s="143"/>
      <c r="E4543" s="143"/>
      <c r="F4543" s="84"/>
      <c r="G4543" s="144"/>
      <c r="H4543" s="145"/>
    </row>
    <row r="4544" spans="1:8" s="65" customFormat="1">
      <c r="A4544" s="123"/>
      <c r="B4544" s="95"/>
      <c r="C4544" s="95"/>
      <c r="D4544" s="95"/>
      <c r="E4544" s="95"/>
      <c r="G4544" s="104"/>
      <c r="H4544" s="121"/>
    </row>
    <row r="4545" spans="1:9" s="65" customFormat="1">
      <c r="A4545" s="123"/>
      <c r="B4545" s="95"/>
      <c r="C4545" s="95"/>
      <c r="D4545" s="95"/>
      <c r="E4545" s="95"/>
      <c r="G4545" s="121"/>
      <c r="H4545" s="133"/>
    </row>
    <row r="4546" spans="1:9" s="65" customFormat="1">
      <c r="B4546" s="97"/>
      <c r="C4546" s="98"/>
      <c r="D4546" s="98"/>
      <c r="E4546" s="98"/>
      <c r="G4546" s="128"/>
    </row>
    <row r="4547" spans="1:9" s="65" customFormat="1">
      <c r="B4547" s="97"/>
      <c r="C4547" s="98"/>
      <c r="D4547" s="98"/>
      <c r="E4547" s="98"/>
      <c r="F4547" s="128"/>
      <c r="G4547" s="133"/>
      <c r="H4547" s="134"/>
    </row>
    <row r="4548" spans="1:9" s="65" customFormat="1">
      <c r="A4548" s="633"/>
      <c r="B4548" s="633"/>
      <c r="C4548" s="633"/>
      <c r="D4548" s="633"/>
      <c r="E4548" s="633"/>
      <c r="F4548" s="633"/>
      <c r="G4548" s="633"/>
    </row>
    <row r="4549" spans="1:9" s="65" customFormat="1">
      <c r="H4549" s="156"/>
      <c r="I4549" s="151"/>
    </row>
    <row r="4550" spans="1:9" s="65" customFormat="1">
      <c r="A4550" s="645"/>
      <c r="B4550" s="156"/>
      <c r="C4550" s="156"/>
      <c r="D4550" s="156"/>
      <c r="E4550" s="156"/>
      <c r="F4550" s="156"/>
      <c r="G4550" s="156"/>
      <c r="H4550" s="156"/>
      <c r="I4550" s="152"/>
    </row>
    <row r="4551" spans="1:9" s="65" customFormat="1">
      <c r="A4551" s="645"/>
      <c r="B4551" s="156"/>
      <c r="C4551" s="156"/>
      <c r="D4551" s="156"/>
      <c r="E4551" s="156"/>
      <c r="F4551" s="156"/>
      <c r="G4551" s="156"/>
    </row>
    <row r="4552" spans="1:9" s="65" customFormat="1">
      <c r="A4552" s="69"/>
      <c r="B4552" s="69"/>
      <c r="C4552" s="69"/>
      <c r="D4552" s="69"/>
      <c r="E4552" s="69"/>
    </row>
    <row r="4553" spans="1:9" s="65" customFormat="1">
      <c r="A4553" s="120"/>
      <c r="B4553" s="73"/>
      <c r="C4553" s="73"/>
      <c r="D4553" s="73"/>
      <c r="E4553" s="73"/>
      <c r="F4553" s="121"/>
      <c r="G4553" s="121"/>
      <c r="H4553" s="121"/>
    </row>
    <row r="4554" spans="1:9" s="65" customFormat="1">
      <c r="A4554" s="128"/>
      <c r="B4554" s="141"/>
      <c r="C4554" s="141"/>
      <c r="D4554" s="141"/>
      <c r="E4554" s="141"/>
      <c r="F4554" s="141"/>
      <c r="G4554" s="141"/>
      <c r="H4554" s="121"/>
    </row>
    <row r="4555" spans="1:9" s="65" customFormat="1">
      <c r="A4555" s="150"/>
      <c r="B4555" s="83"/>
      <c r="C4555" s="148"/>
      <c r="D4555" s="84"/>
      <c r="E4555" s="84"/>
      <c r="F4555" s="84"/>
      <c r="G4555" s="154"/>
      <c r="H4555" s="121"/>
    </row>
    <row r="4556" spans="1:9" s="65" customFormat="1">
      <c r="A4556" s="150"/>
      <c r="B4556" s="83"/>
      <c r="C4556" s="148"/>
      <c r="D4556" s="84"/>
      <c r="E4556" s="84"/>
      <c r="F4556" s="84"/>
      <c r="G4556" s="154"/>
      <c r="H4556" s="121"/>
    </row>
    <row r="4557" spans="1:9" s="65" customFormat="1">
      <c r="A4557" s="150"/>
      <c r="B4557" s="83"/>
      <c r="C4557" s="148"/>
      <c r="D4557" s="84"/>
      <c r="E4557" s="84"/>
      <c r="F4557" s="84"/>
      <c r="G4557" s="154"/>
      <c r="H4557" s="121"/>
    </row>
    <row r="4558" spans="1:9" s="65" customFormat="1">
      <c r="A4558" s="150"/>
      <c r="B4558" s="83"/>
      <c r="C4558" s="148"/>
      <c r="D4558" s="84"/>
      <c r="E4558" s="84"/>
      <c r="F4558" s="84"/>
      <c r="G4558" s="154"/>
      <c r="H4558" s="145"/>
    </row>
    <row r="4559" spans="1:9" s="65" customFormat="1">
      <c r="A4559" s="84"/>
      <c r="B4559" s="83"/>
      <c r="C4559" s="84"/>
      <c r="D4559" s="84"/>
      <c r="E4559" s="84"/>
      <c r="G4559" s="104"/>
      <c r="H4559" s="140"/>
    </row>
    <row r="4560" spans="1:9" s="65" customFormat="1">
      <c r="A4560" s="120"/>
      <c r="B4560" s="73"/>
      <c r="C4560" s="73"/>
      <c r="D4560" s="73"/>
      <c r="E4560" s="73"/>
      <c r="G4560" s="121"/>
      <c r="H4560" s="140"/>
    </row>
    <row r="4561" spans="1:9" s="65" customFormat="1">
      <c r="A4561" s="128"/>
      <c r="B4561" s="141"/>
      <c r="C4561" s="141"/>
      <c r="D4561" s="141"/>
      <c r="E4561" s="141"/>
      <c r="F4561" s="141"/>
      <c r="G4561" s="141"/>
      <c r="H4561" s="140"/>
    </row>
    <row r="4562" spans="1:9" s="65" customFormat="1">
      <c r="A4562" s="150"/>
      <c r="B4562" s="83"/>
      <c r="C4562" s="148"/>
      <c r="D4562" s="84"/>
      <c r="E4562" s="84"/>
      <c r="F4562" s="84"/>
      <c r="G4562" s="154"/>
      <c r="H4562" s="145"/>
    </row>
    <row r="4563" spans="1:9" s="65" customFormat="1">
      <c r="A4563" s="91"/>
      <c r="B4563" s="91"/>
      <c r="C4563" s="91"/>
      <c r="D4563" s="91"/>
      <c r="E4563" s="91"/>
      <c r="G4563" s="104"/>
      <c r="H4563" s="140"/>
    </row>
    <row r="4564" spans="1:9" s="65" customFormat="1">
      <c r="A4564" s="120"/>
      <c r="B4564" s="73"/>
      <c r="C4564" s="73"/>
      <c r="D4564" s="73"/>
      <c r="E4564" s="73"/>
      <c r="G4564" s="121"/>
      <c r="H4564" s="140"/>
    </row>
    <row r="4565" spans="1:9" s="65" customFormat="1">
      <c r="A4565" s="128"/>
      <c r="B4565" s="141"/>
      <c r="C4565" s="141"/>
      <c r="D4565" s="141"/>
      <c r="E4565" s="141"/>
      <c r="F4565" s="141"/>
      <c r="G4565" s="141"/>
      <c r="H4565" s="140"/>
    </row>
    <row r="4566" spans="1:9" s="65" customFormat="1">
      <c r="A4566" s="146"/>
      <c r="B4566" s="83"/>
      <c r="C4566" s="148"/>
      <c r="D4566" s="84"/>
      <c r="E4566" s="84"/>
      <c r="F4566" s="84"/>
      <c r="G4566" s="144"/>
      <c r="H4566" s="145"/>
    </row>
    <row r="4567" spans="1:9" s="65" customFormat="1">
      <c r="A4567" s="91"/>
      <c r="B4567" s="91"/>
      <c r="C4567" s="91"/>
      <c r="D4567" s="91"/>
      <c r="E4567" s="91"/>
      <c r="G4567" s="104"/>
      <c r="H4567" s="140"/>
    </row>
    <row r="4568" spans="1:9" s="65" customFormat="1">
      <c r="A4568" s="120"/>
      <c r="B4568" s="73"/>
      <c r="C4568" s="73"/>
      <c r="D4568" s="73"/>
      <c r="E4568" s="73"/>
      <c r="G4568" s="121"/>
      <c r="H4568" s="140"/>
    </row>
    <row r="4569" spans="1:9" s="65" customFormat="1">
      <c r="A4569" s="128"/>
      <c r="B4569" s="141"/>
      <c r="C4569" s="141"/>
      <c r="D4569" s="141"/>
      <c r="E4569" s="141"/>
      <c r="F4569" s="141"/>
      <c r="G4569" s="141"/>
      <c r="H4569" s="140"/>
    </row>
    <row r="4570" spans="1:9" s="65" customFormat="1">
      <c r="A4570" s="142"/>
      <c r="B4570" s="143"/>
      <c r="C4570" s="143"/>
      <c r="D4570" s="143"/>
      <c r="E4570" s="143"/>
      <c r="F4570" s="84"/>
      <c r="G4570" s="144"/>
      <c r="H4570" s="145"/>
    </row>
    <row r="4571" spans="1:9" s="65" customFormat="1">
      <c r="A4571" s="123"/>
      <c r="B4571" s="95"/>
      <c r="C4571" s="95"/>
      <c r="D4571" s="95"/>
      <c r="E4571" s="95"/>
      <c r="G4571" s="104"/>
      <c r="H4571" s="121"/>
    </row>
    <row r="4572" spans="1:9" s="65" customFormat="1">
      <c r="A4572" s="123"/>
      <c r="B4572" s="95"/>
      <c r="C4572" s="95"/>
      <c r="D4572" s="95"/>
      <c r="E4572" s="95"/>
      <c r="G4572" s="121"/>
      <c r="H4572" s="133"/>
    </row>
    <row r="4573" spans="1:9" s="65" customFormat="1">
      <c r="B4573" s="97"/>
      <c r="C4573" s="98"/>
      <c r="D4573" s="98"/>
      <c r="E4573" s="98"/>
      <c r="G4573" s="128"/>
    </row>
    <row r="4574" spans="1:9" s="65" customFormat="1">
      <c r="B4574" s="97"/>
      <c r="C4574" s="98"/>
      <c r="D4574" s="98"/>
      <c r="E4574" s="98"/>
      <c r="F4574" s="128"/>
      <c r="G4574" s="133"/>
      <c r="H4574" s="134"/>
    </row>
    <row r="4575" spans="1:9" s="65" customFormat="1">
      <c r="A4575" s="633"/>
      <c r="B4575" s="633"/>
      <c r="C4575" s="633"/>
      <c r="D4575" s="633"/>
      <c r="E4575" s="633"/>
      <c r="F4575" s="633"/>
      <c r="G4575" s="633"/>
    </row>
    <row r="4576" spans="1:9" s="65" customFormat="1">
      <c r="H4576" s="156"/>
      <c r="I4576" s="151"/>
    </row>
    <row r="4577" spans="1:9" s="65" customFormat="1">
      <c r="A4577" s="645"/>
      <c r="B4577" s="156"/>
      <c r="C4577" s="156"/>
      <c r="D4577" s="156"/>
      <c r="E4577" s="156"/>
      <c r="F4577" s="156"/>
      <c r="G4577" s="156"/>
      <c r="H4577" s="156"/>
      <c r="I4577" s="152"/>
    </row>
    <row r="4578" spans="1:9" s="65" customFormat="1">
      <c r="A4578" s="645"/>
      <c r="B4578" s="156"/>
      <c r="C4578" s="156"/>
      <c r="D4578" s="156"/>
      <c r="E4578" s="156"/>
      <c r="F4578" s="156"/>
      <c r="G4578" s="156"/>
    </row>
    <row r="4579" spans="1:9" s="65" customFormat="1">
      <c r="A4579" s="69"/>
      <c r="B4579" s="69"/>
      <c r="C4579" s="69"/>
      <c r="D4579" s="69"/>
      <c r="E4579" s="69"/>
    </row>
    <row r="4580" spans="1:9" s="65" customFormat="1">
      <c r="A4580" s="120"/>
      <c r="B4580" s="73"/>
      <c r="C4580" s="73"/>
      <c r="D4580" s="73"/>
      <c r="E4580" s="73"/>
      <c r="F4580" s="121"/>
      <c r="G4580" s="121"/>
      <c r="H4580" s="121"/>
    </row>
    <row r="4581" spans="1:9" s="65" customFormat="1">
      <c r="A4581" s="128"/>
      <c r="B4581" s="141"/>
      <c r="C4581" s="141"/>
      <c r="D4581" s="141"/>
      <c r="E4581" s="141"/>
      <c r="F4581" s="141"/>
      <c r="G4581" s="141"/>
      <c r="H4581" s="121"/>
    </row>
    <row r="4582" spans="1:9" s="65" customFormat="1">
      <c r="A4582" s="150"/>
      <c r="B4582" s="83"/>
      <c r="C4582" s="148"/>
      <c r="D4582" s="84"/>
      <c r="E4582" s="84"/>
      <c r="F4582" s="84"/>
      <c r="G4582" s="154"/>
      <c r="H4582" s="121"/>
    </row>
    <row r="4583" spans="1:9" s="65" customFormat="1">
      <c r="A4583" s="150"/>
      <c r="B4583" s="83"/>
      <c r="C4583" s="148"/>
      <c r="D4583" s="84"/>
      <c r="E4583" s="84"/>
      <c r="F4583" s="84"/>
      <c r="G4583" s="154"/>
      <c r="H4583" s="121"/>
    </row>
    <row r="4584" spans="1:9" s="65" customFormat="1">
      <c r="A4584" s="150"/>
      <c r="B4584" s="83"/>
      <c r="C4584" s="148"/>
      <c r="D4584" s="84"/>
      <c r="E4584" s="84"/>
      <c r="F4584" s="84"/>
      <c r="G4584" s="154"/>
      <c r="H4584" s="145"/>
    </row>
    <row r="4585" spans="1:9" s="65" customFormat="1">
      <c r="A4585" s="84"/>
      <c r="B4585" s="83"/>
      <c r="C4585" s="84"/>
      <c r="D4585" s="84"/>
      <c r="E4585" s="84"/>
      <c r="G4585" s="104"/>
      <c r="H4585" s="140"/>
    </row>
    <row r="4586" spans="1:9" s="65" customFormat="1">
      <c r="A4586" s="120"/>
      <c r="B4586" s="73"/>
      <c r="C4586" s="73"/>
      <c r="D4586" s="73"/>
      <c r="E4586" s="73"/>
      <c r="G4586" s="121"/>
      <c r="H4586" s="140"/>
    </row>
    <row r="4587" spans="1:9" s="65" customFormat="1">
      <c r="A4587" s="128"/>
      <c r="B4587" s="141"/>
      <c r="C4587" s="141"/>
      <c r="D4587" s="141"/>
      <c r="E4587" s="141"/>
      <c r="F4587" s="141"/>
      <c r="G4587" s="141"/>
      <c r="H4587" s="140"/>
    </row>
    <row r="4588" spans="1:9" s="65" customFormat="1">
      <c r="A4588" s="150"/>
      <c r="B4588" s="83"/>
      <c r="C4588" s="148"/>
      <c r="D4588" s="84"/>
      <c r="E4588" s="84"/>
      <c r="F4588" s="84"/>
      <c r="G4588" s="154"/>
      <c r="H4588" s="140"/>
    </row>
    <row r="4589" spans="1:9" s="65" customFormat="1">
      <c r="A4589" s="150"/>
      <c r="B4589" s="83"/>
      <c r="C4589" s="148"/>
      <c r="D4589" s="84"/>
      <c r="E4589" s="84"/>
      <c r="F4589" s="84"/>
      <c r="G4589" s="154"/>
      <c r="H4589" s="145"/>
    </row>
    <row r="4590" spans="1:9" s="65" customFormat="1">
      <c r="A4590" s="91"/>
      <c r="B4590" s="91"/>
      <c r="C4590" s="91"/>
      <c r="D4590" s="91"/>
      <c r="E4590" s="91"/>
      <c r="G4590" s="104"/>
      <c r="H4590" s="140"/>
    </row>
    <row r="4591" spans="1:9" s="65" customFormat="1">
      <c r="A4591" s="120"/>
      <c r="B4591" s="73"/>
      <c r="C4591" s="73"/>
      <c r="D4591" s="73"/>
      <c r="E4591" s="73"/>
      <c r="G4591" s="121"/>
      <c r="H4591" s="140"/>
    </row>
    <row r="4592" spans="1:9" s="65" customFormat="1">
      <c r="A4592" s="128"/>
      <c r="B4592" s="141"/>
      <c r="C4592" s="141"/>
      <c r="D4592" s="141"/>
      <c r="E4592" s="141"/>
      <c r="F4592" s="141"/>
      <c r="G4592" s="141"/>
      <c r="H4592" s="140"/>
    </row>
    <row r="4593" spans="1:9" s="65" customFormat="1">
      <c r="A4593" s="146"/>
      <c r="B4593" s="83"/>
      <c r="C4593" s="148"/>
      <c r="D4593" s="84"/>
      <c r="E4593" s="84"/>
      <c r="F4593" s="84"/>
      <c r="G4593" s="144"/>
      <c r="H4593" s="145"/>
    </row>
    <row r="4594" spans="1:9" s="65" customFormat="1">
      <c r="A4594" s="91"/>
      <c r="B4594" s="91"/>
      <c r="C4594" s="91"/>
      <c r="D4594" s="91"/>
      <c r="E4594" s="91"/>
      <c r="G4594" s="104"/>
      <c r="H4594" s="140"/>
    </row>
    <row r="4595" spans="1:9" s="65" customFormat="1">
      <c r="A4595" s="120"/>
      <c r="B4595" s="73"/>
      <c r="C4595" s="73"/>
      <c r="D4595" s="73"/>
      <c r="E4595" s="73"/>
      <c r="G4595" s="121"/>
      <c r="H4595" s="140"/>
    </row>
    <row r="4596" spans="1:9" s="65" customFormat="1">
      <c r="A4596" s="128"/>
      <c r="B4596" s="141"/>
      <c r="C4596" s="141"/>
      <c r="D4596" s="141"/>
      <c r="E4596" s="141"/>
      <c r="F4596" s="141"/>
      <c r="G4596" s="141"/>
      <c r="H4596" s="140"/>
    </row>
    <row r="4597" spans="1:9" s="65" customFormat="1">
      <c r="A4597" s="142"/>
      <c r="B4597" s="143"/>
      <c r="C4597" s="143"/>
      <c r="D4597" s="143"/>
      <c r="E4597" s="143"/>
      <c r="F4597" s="84"/>
      <c r="G4597" s="144"/>
      <c r="H4597" s="145"/>
    </row>
    <row r="4598" spans="1:9" s="65" customFormat="1">
      <c r="A4598" s="123"/>
      <c r="B4598" s="95"/>
      <c r="C4598" s="95"/>
      <c r="D4598" s="95"/>
      <c r="E4598" s="95"/>
      <c r="G4598" s="104"/>
      <c r="H4598" s="121"/>
    </row>
    <row r="4599" spans="1:9" s="65" customFormat="1">
      <c r="A4599" s="123"/>
      <c r="B4599" s="95"/>
      <c r="C4599" s="95"/>
      <c r="D4599" s="95"/>
      <c r="E4599" s="95"/>
      <c r="G4599" s="121"/>
      <c r="H4599" s="133"/>
    </row>
    <row r="4600" spans="1:9" s="65" customFormat="1">
      <c r="B4600" s="97"/>
      <c r="C4600" s="98"/>
      <c r="D4600" s="98"/>
      <c r="E4600" s="98"/>
      <c r="G4600" s="128"/>
    </row>
    <row r="4601" spans="1:9" s="65" customFormat="1">
      <c r="B4601" s="97"/>
      <c r="C4601" s="98"/>
      <c r="D4601" s="98"/>
      <c r="E4601" s="98"/>
      <c r="F4601" s="128"/>
      <c r="G4601" s="133"/>
      <c r="H4601" s="134"/>
    </row>
    <row r="4602" spans="1:9" s="65" customFormat="1">
      <c r="A4602" s="633"/>
      <c r="B4602" s="633"/>
      <c r="C4602" s="633"/>
      <c r="D4602" s="633"/>
      <c r="E4602" s="633"/>
      <c r="F4602" s="633"/>
      <c r="G4602" s="633"/>
    </row>
    <row r="4603" spans="1:9" s="65" customFormat="1">
      <c r="H4603" s="156"/>
      <c r="I4603" s="151"/>
    </row>
    <row r="4604" spans="1:9" s="65" customFormat="1">
      <c r="A4604" s="645"/>
      <c r="B4604" s="156"/>
      <c r="C4604" s="156"/>
      <c r="D4604" s="156"/>
      <c r="E4604" s="156"/>
      <c r="F4604" s="156"/>
      <c r="G4604" s="156"/>
      <c r="H4604" s="156"/>
      <c r="I4604" s="152"/>
    </row>
    <row r="4605" spans="1:9" s="65" customFormat="1">
      <c r="A4605" s="645"/>
      <c r="B4605" s="156"/>
      <c r="C4605" s="156"/>
      <c r="D4605" s="156"/>
      <c r="E4605" s="156"/>
      <c r="F4605" s="156"/>
      <c r="G4605" s="156"/>
    </row>
    <row r="4606" spans="1:9" s="65" customFormat="1">
      <c r="A4606" s="69"/>
      <c r="B4606" s="69"/>
      <c r="C4606" s="69"/>
      <c r="D4606" s="69"/>
      <c r="E4606" s="69"/>
    </row>
    <row r="4607" spans="1:9" s="65" customFormat="1">
      <c r="A4607" s="120"/>
      <c r="B4607" s="73"/>
      <c r="C4607" s="73"/>
      <c r="D4607" s="73"/>
      <c r="E4607" s="73"/>
      <c r="F4607" s="121"/>
      <c r="G4607" s="121"/>
      <c r="H4607" s="121"/>
    </row>
    <row r="4608" spans="1:9" s="65" customFormat="1">
      <c r="A4608" s="128"/>
      <c r="B4608" s="141"/>
      <c r="C4608" s="141"/>
      <c r="D4608" s="141"/>
      <c r="E4608" s="141"/>
      <c r="F4608" s="141"/>
      <c r="G4608" s="141"/>
      <c r="H4608" s="121"/>
    </row>
    <row r="4609" spans="1:8" s="65" customFormat="1">
      <c r="A4609" s="150"/>
      <c r="B4609" s="84"/>
      <c r="C4609" s="148"/>
      <c r="D4609" s="84"/>
      <c r="E4609" s="84"/>
      <c r="F4609" s="84"/>
      <c r="G4609" s="154"/>
      <c r="H4609" s="145"/>
    </row>
    <row r="4610" spans="1:8" s="65" customFormat="1">
      <c r="A4610" s="84"/>
      <c r="B4610" s="83"/>
      <c r="C4610" s="84"/>
      <c r="D4610" s="84"/>
      <c r="E4610" s="84"/>
      <c r="G4610" s="104"/>
      <c r="H4610" s="140"/>
    </row>
    <row r="4611" spans="1:8" s="65" customFormat="1">
      <c r="A4611" s="120"/>
      <c r="B4611" s="73"/>
      <c r="C4611" s="73"/>
      <c r="D4611" s="73"/>
      <c r="E4611" s="73"/>
      <c r="G4611" s="121"/>
      <c r="H4611" s="140"/>
    </row>
    <row r="4612" spans="1:8" s="65" customFormat="1">
      <c r="A4612" s="128"/>
      <c r="B4612" s="141"/>
      <c r="C4612" s="141"/>
      <c r="D4612" s="141"/>
      <c r="E4612" s="141"/>
      <c r="F4612" s="141"/>
      <c r="G4612" s="141"/>
      <c r="H4612" s="140"/>
    </row>
    <row r="4613" spans="1:8" s="65" customFormat="1">
      <c r="A4613" s="150"/>
      <c r="B4613" s="83"/>
      <c r="C4613" s="148"/>
      <c r="D4613" s="84"/>
      <c r="E4613" s="84"/>
      <c r="F4613" s="84"/>
      <c r="G4613" s="154"/>
      <c r="H4613" s="140"/>
    </row>
    <row r="4614" spans="1:8" s="65" customFormat="1">
      <c r="A4614" s="150"/>
      <c r="B4614" s="83"/>
      <c r="C4614" s="148"/>
      <c r="D4614" s="84"/>
      <c r="E4614" s="84"/>
      <c r="F4614" s="84"/>
      <c r="G4614" s="154"/>
      <c r="H4614" s="140"/>
    </row>
    <row r="4615" spans="1:8" s="65" customFormat="1">
      <c r="A4615" s="150"/>
      <c r="B4615" s="83"/>
      <c r="C4615" s="148"/>
      <c r="D4615" s="84"/>
      <c r="E4615" s="84"/>
      <c r="F4615" s="84"/>
      <c r="G4615" s="154"/>
      <c r="H4615" s="140"/>
    </row>
    <row r="4616" spans="1:8" s="65" customFormat="1">
      <c r="A4616" s="150"/>
      <c r="B4616" s="83"/>
      <c r="C4616" s="148"/>
      <c r="D4616" s="84"/>
      <c r="E4616" s="84"/>
      <c r="F4616" s="84"/>
      <c r="G4616" s="154"/>
      <c r="H4616" s="140"/>
    </row>
    <row r="4617" spans="1:8" s="65" customFormat="1">
      <c r="A4617" s="150"/>
      <c r="B4617" s="83"/>
      <c r="C4617" s="148"/>
      <c r="D4617" s="84"/>
      <c r="E4617" s="84"/>
      <c r="F4617" s="84"/>
      <c r="G4617" s="154"/>
      <c r="H4617" s="140"/>
    </row>
    <row r="4618" spans="1:8" s="65" customFormat="1">
      <c r="A4618" s="150"/>
      <c r="B4618" s="83"/>
      <c r="C4618" s="148"/>
      <c r="D4618" s="84"/>
      <c r="E4618" s="84"/>
      <c r="F4618" s="84"/>
      <c r="G4618" s="154"/>
      <c r="H4618" s="145"/>
    </row>
    <row r="4619" spans="1:8" s="65" customFormat="1">
      <c r="A4619" s="91"/>
      <c r="B4619" s="91"/>
      <c r="C4619" s="91"/>
      <c r="D4619" s="91"/>
      <c r="E4619" s="91"/>
      <c r="G4619" s="104"/>
      <c r="H4619" s="140"/>
    </row>
    <row r="4620" spans="1:8" s="65" customFormat="1">
      <c r="A4620" s="120"/>
      <c r="B4620" s="73"/>
      <c r="C4620" s="73"/>
      <c r="D4620" s="73"/>
      <c r="E4620" s="73"/>
      <c r="G4620" s="121"/>
      <c r="H4620" s="140"/>
    </row>
    <row r="4621" spans="1:8" s="65" customFormat="1">
      <c r="A4621" s="128"/>
      <c r="B4621" s="141"/>
      <c r="C4621" s="141"/>
      <c r="D4621" s="141"/>
      <c r="E4621" s="141"/>
      <c r="F4621" s="141"/>
      <c r="G4621" s="141"/>
      <c r="H4621" s="140"/>
    </row>
    <row r="4622" spans="1:8" s="65" customFormat="1">
      <c r="A4622" s="146"/>
      <c r="B4622" s="83"/>
      <c r="C4622" s="148"/>
      <c r="D4622" s="84"/>
      <c r="E4622" s="84"/>
      <c r="F4622" s="84"/>
      <c r="G4622" s="144"/>
      <c r="H4622" s="145"/>
    </row>
    <row r="4623" spans="1:8" s="65" customFormat="1">
      <c r="A4623" s="91"/>
      <c r="B4623" s="91"/>
      <c r="C4623" s="91"/>
      <c r="D4623" s="91"/>
      <c r="E4623" s="91"/>
      <c r="G4623" s="104"/>
      <c r="H4623" s="140"/>
    </row>
    <row r="4624" spans="1:8" s="65" customFormat="1">
      <c r="A4624" s="120"/>
      <c r="B4624" s="73"/>
      <c r="C4624" s="73"/>
      <c r="D4624" s="73"/>
      <c r="E4624" s="73"/>
      <c r="G4624" s="121"/>
      <c r="H4624" s="140"/>
    </row>
    <row r="4625" spans="1:9" s="65" customFormat="1">
      <c r="A4625" s="128"/>
      <c r="B4625" s="141"/>
      <c r="C4625" s="141"/>
      <c r="D4625" s="141"/>
      <c r="E4625" s="141"/>
      <c r="F4625" s="141"/>
      <c r="G4625" s="141"/>
      <c r="H4625" s="140"/>
    </row>
    <row r="4626" spans="1:9" s="65" customFormat="1">
      <c r="A4626" s="142"/>
      <c r="B4626" s="143"/>
      <c r="C4626" s="143"/>
      <c r="D4626" s="143"/>
      <c r="E4626" s="143"/>
      <c r="F4626" s="84"/>
      <c r="G4626" s="144"/>
      <c r="H4626" s="145"/>
    </row>
    <row r="4627" spans="1:9" s="65" customFormat="1">
      <c r="A4627" s="123"/>
      <c r="B4627" s="95"/>
      <c r="C4627" s="95"/>
      <c r="D4627" s="95"/>
      <c r="E4627" s="95"/>
      <c r="G4627" s="104"/>
      <c r="H4627" s="121"/>
    </row>
    <row r="4628" spans="1:9" s="65" customFormat="1">
      <c r="A4628" s="123"/>
      <c r="B4628" s="95"/>
      <c r="C4628" s="95"/>
      <c r="D4628" s="95"/>
      <c r="E4628" s="95"/>
      <c r="G4628" s="121"/>
      <c r="H4628" s="133"/>
    </row>
    <row r="4629" spans="1:9" s="65" customFormat="1">
      <c r="B4629" s="97"/>
      <c r="C4629" s="98"/>
      <c r="D4629" s="98"/>
      <c r="E4629" s="98"/>
      <c r="G4629" s="128"/>
    </row>
    <row r="4630" spans="1:9" s="65" customFormat="1">
      <c r="B4630" s="97"/>
      <c r="C4630" s="98"/>
      <c r="D4630" s="98"/>
      <c r="E4630" s="98"/>
      <c r="F4630" s="128"/>
      <c r="G4630" s="133"/>
      <c r="H4630" s="134"/>
    </row>
    <row r="4631" spans="1:9" s="65" customFormat="1">
      <c r="A4631" s="633"/>
      <c r="B4631" s="633"/>
      <c r="C4631" s="633"/>
      <c r="D4631" s="633"/>
      <c r="E4631" s="633"/>
      <c r="F4631" s="633"/>
      <c r="G4631" s="633"/>
    </row>
    <row r="4632" spans="1:9" s="65" customFormat="1">
      <c r="H4632" s="156"/>
      <c r="I4632" s="151"/>
    </row>
    <row r="4633" spans="1:9" s="65" customFormat="1">
      <c r="A4633" s="645"/>
      <c r="B4633" s="156"/>
      <c r="C4633" s="156"/>
      <c r="D4633" s="156"/>
      <c r="E4633" s="156"/>
      <c r="F4633" s="156"/>
      <c r="G4633" s="156"/>
      <c r="H4633" s="156"/>
      <c r="I4633" s="152"/>
    </row>
    <row r="4634" spans="1:9" s="65" customFormat="1">
      <c r="A4634" s="645"/>
      <c r="B4634" s="156"/>
      <c r="C4634" s="156"/>
      <c r="D4634" s="156"/>
      <c r="E4634" s="156"/>
      <c r="F4634" s="156"/>
      <c r="G4634" s="156"/>
    </row>
    <row r="4635" spans="1:9" s="65" customFormat="1">
      <c r="A4635" s="69"/>
      <c r="B4635" s="69"/>
      <c r="C4635" s="69"/>
      <c r="D4635" s="69"/>
      <c r="E4635" s="69"/>
    </row>
    <row r="4636" spans="1:9" s="65" customFormat="1">
      <c r="A4636" s="120"/>
      <c r="B4636" s="73"/>
      <c r="C4636" s="73"/>
      <c r="D4636" s="73"/>
      <c r="E4636" s="73"/>
      <c r="F4636" s="121"/>
      <c r="G4636" s="121"/>
      <c r="H4636" s="121"/>
    </row>
    <row r="4637" spans="1:9" s="65" customFormat="1">
      <c r="A4637" s="128"/>
      <c r="B4637" s="141"/>
      <c r="C4637" s="141"/>
      <c r="D4637" s="141"/>
      <c r="E4637" s="141"/>
      <c r="F4637" s="141"/>
      <c r="G4637" s="141"/>
      <c r="H4637" s="121"/>
    </row>
    <row r="4638" spans="1:9" s="65" customFormat="1">
      <c r="A4638" s="150"/>
      <c r="B4638" s="84"/>
      <c r="C4638" s="148"/>
      <c r="D4638" s="84"/>
      <c r="E4638" s="84"/>
      <c r="F4638" s="84"/>
      <c r="G4638" s="154"/>
      <c r="H4638" s="145"/>
    </row>
    <row r="4639" spans="1:9" s="65" customFormat="1">
      <c r="A4639" s="84"/>
      <c r="B4639" s="83"/>
      <c r="C4639" s="84"/>
      <c r="D4639" s="84"/>
      <c r="E4639" s="84"/>
      <c r="G4639" s="104"/>
      <c r="H4639" s="140"/>
    </row>
    <row r="4640" spans="1:9" s="65" customFormat="1">
      <c r="A4640" s="120"/>
      <c r="B4640" s="73"/>
      <c r="C4640" s="73"/>
      <c r="D4640" s="73"/>
      <c r="E4640" s="73"/>
      <c r="G4640" s="121"/>
      <c r="H4640" s="140"/>
    </row>
    <row r="4641" spans="1:8" s="65" customFormat="1">
      <c r="A4641" s="128"/>
      <c r="B4641" s="141"/>
      <c r="C4641" s="141"/>
      <c r="D4641" s="141"/>
      <c r="E4641" s="141"/>
      <c r="F4641" s="141"/>
      <c r="G4641" s="141"/>
      <c r="H4641" s="140"/>
    </row>
    <row r="4642" spans="1:8" s="65" customFormat="1">
      <c r="A4642" s="150"/>
      <c r="B4642" s="83"/>
      <c r="C4642" s="148"/>
      <c r="D4642" s="84"/>
      <c r="E4642" s="84"/>
      <c r="F4642" s="84"/>
      <c r="G4642" s="154"/>
      <c r="H4642" s="140"/>
    </row>
    <row r="4643" spans="1:8" s="65" customFormat="1">
      <c r="A4643" s="150"/>
      <c r="B4643" s="83"/>
      <c r="C4643" s="148"/>
      <c r="D4643" s="84"/>
      <c r="E4643" s="84"/>
      <c r="F4643" s="84"/>
      <c r="G4643" s="154"/>
      <c r="H4643" s="140"/>
    </row>
    <row r="4644" spans="1:8" s="65" customFormat="1">
      <c r="A4644" s="150"/>
      <c r="B4644" s="83"/>
      <c r="C4644" s="148"/>
      <c r="D4644" s="84"/>
      <c r="E4644" s="84"/>
      <c r="F4644" s="84"/>
      <c r="G4644" s="154"/>
      <c r="H4644" s="140"/>
    </row>
    <row r="4645" spans="1:8" s="65" customFormat="1">
      <c r="A4645" s="150"/>
      <c r="B4645" s="83"/>
      <c r="C4645" s="148"/>
      <c r="D4645" s="84"/>
      <c r="E4645" s="84"/>
      <c r="F4645" s="84"/>
      <c r="G4645" s="154"/>
      <c r="H4645" s="140"/>
    </row>
    <row r="4646" spans="1:8" s="65" customFormat="1">
      <c r="A4646" s="150"/>
      <c r="B4646" s="83"/>
      <c r="C4646" s="148"/>
      <c r="D4646" s="84"/>
      <c r="E4646" s="84"/>
      <c r="F4646" s="84"/>
      <c r="G4646" s="154"/>
      <c r="H4646" s="140"/>
    </row>
    <row r="4647" spans="1:8" s="65" customFormat="1">
      <c r="A4647" s="150"/>
      <c r="B4647" s="83"/>
      <c r="C4647" s="148"/>
      <c r="D4647" s="84"/>
      <c r="E4647" s="84"/>
      <c r="F4647" s="84"/>
      <c r="G4647" s="154"/>
      <c r="H4647" s="145"/>
    </row>
    <row r="4648" spans="1:8" s="65" customFormat="1">
      <c r="A4648" s="91"/>
      <c r="B4648" s="91"/>
      <c r="C4648" s="91"/>
      <c r="D4648" s="91"/>
      <c r="E4648" s="91"/>
      <c r="G4648" s="104"/>
      <c r="H4648" s="140"/>
    </row>
    <row r="4649" spans="1:8" s="65" customFormat="1">
      <c r="A4649" s="120"/>
      <c r="B4649" s="73"/>
      <c r="C4649" s="73"/>
      <c r="D4649" s="73"/>
      <c r="E4649" s="73"/>
      <c r="G4649" s="121"/>
      <c r="H4649" s="140"/>
    </row>
    <row r="4650" spans="1:8" s="65" customFormat="1">
      <c r="A4650" s="128"/>
      <c r="B4650" s="141"/>
      <c r="C4650" s="141"/>
      <c r="D4650" s="141"/>
      <c r="E4650" s="141"/>
      <c r="F4650" s="141"/>
      <c r="G4650" s="141"/>
      <c r="H4650" s="140"/>
    </row>
    <row r="4651" spans="1:8" s="65" customFormat="1">
      <c r="A4651" s="146"/>
      <c r="B4651" s="83"/>
      <c r="C4651" s="148"/>
      <c r="D4651" s="84"/>
      <c r="E4651" s="84"/>
      <c r="F4651" s="84"/>
      <c r="G4651" s="144"/>
      <c r="H4651" s="145"/>
    </row>
    <row r="4652" spans="1:8" s="65" customFormat="1">
      <c r="A4652" s="91"/>
      <c r="B4652" s="91"/>
      <c r="C4652" s="91"/>
      <c r="D4652" s="91"/>
      <c r="E4652" s="91"/>
      <c r="G4652" s="104"/>
      <c r="H4652" s="140"/>
    </row>
    <row r="4653" spans="1:8" s="65" customFormat="1">
      <c r="A4653" s="120"/>
      <c r="B4653" s="73"/>
      <c r="C4653" s="73"/>
      <c r="D4653" s="73"/>
      <c r="E4653" s="73"/>
      <c r="G4653" s="121"/>
      <c r="H4653" s="140"/>
    </row>
    <row r="4654" spans="1:8" s="65" customFormat="1">
      <c r="A4654" s="128"/>
      <c r="B4654" s="141"/>
      <c r="C4654" s="141"/>
      <c r="D4654" s="141"/>
      <c r="E4654" s="141"/>
      <c r="F4654" s="141"/>
      <c r="G4654" s="141"/>
      <c r="H4654" s="140"/>
    </row>
    <row r="4655" spans="1:8" s="65" customFormat="1">
      <c r="A4655" s="142"/>
      <c r="B4655" s="143"/>
      <c r="C4655" s="143"/>
      <c r="D4655" s="143"/>
      <c r="E4655" s="143"/>
      <c r="F4655" s="84"/>
      <c r="G4655" s="144"/>
      <c r="H4655" s="145"/>
    </row>
    <row r="4656" spans="1:8" s="65" customFormat="1">
      <c r="A4656" s="123"/>
      <c r="B4656" s="95"/>
      <c r="C4656" s="95"/>
      <c r="D4656" s="95"/>
      <c r="E4656" s="95"/>
      <c r="G4656" s="104"/>
      <c r="H4656" s="121"/>
    </row>
    <row r="4657" spans="1:9" s="65" customFormat="1">
      <c r="A4657" s="123"/>
      <c r="B4657" s="95"/>
      <c r="C4657" s="95"/>
      <c r="D4657" s="95"/>
      <c r="E4657" s="95"/>
      <c r="G4657" s="121"/>
      <c r="H4657" s="133"/>
    </row>
    <row r="4658" spans="1:9" s="65" customFormat="1">
      <c r="B4658" s="97"/>
      <c r="C4658" s="98"/>
      <c r="D4658" s="98"/>
      <c r="E4658" s="98"/>
      <c r="G4658" s="128"/>
    </row>
    <row r="4659" spans="1:9" s="65" customFormat="1">
      <c r="B4659" s="97"/>
      <c r="C4659" s="98"/>
      <c r="D4659" s="98"/>
      <c r="E4659" s="98"/>
      <c r="F4659" s="128"/>
      <c r="G4659" s="133"/>
      <c r="H4659" s="134"/>
    </row>
    <row r="4660" spans="1:9" s="65" customFormat="1">
      <c r="A4660" s="633"/>
      <c r="B4660" s="633"/>
      <c r="C4660" s="633"/>
      <c r="D4660" s="633"/>
      <c r="E4660" s="633"/>
      <c r="F4660" s="633"/>
      <c r="G4660" s="633"/>
    </row>
    <row r="4661" spans="1:9" s="65" customFormat="1">
      <c r="H4661" s="156"/>
      <c r="I4661" s="151"/>
    </row>
    <row r="4662" spans="1:9" s="65" customFormat="1">
      <c r="A4662" s="645"/>
      <c r="B4662" s="156"/>
      <c r="C4662" s="156"/>
      <c r="D4662" s="156"/>
      <c r="E4662" s="156"/>
      <c r="F4662" s="156"/>
      <c r="G4662" s="156"/>
      <c r="H4662" s="156"/>
      <c r="I4662" s="152"/>
    </row>
    <row r="4663" spans="1:9" s="65" customFormat="1">
      <c r="A4663" s="645"/>
      <c r="B4663" s="156"/>
      <c r="C4663" s="156"/>
      <c r="D4663" s="156"/>
      <c r="E4663" s="156"/>
      <c r="F4663" s="156"/>
      <c r="G4663" s="156"/>
    </row>
    <row r="4664" spans="1:9" s="65" customFormat="1">
      <c r="A4664" s="69"/>
      <c r="B4664" s="69"/>
      <c r="C4664" s="69"/>
      <c r="D4664" s="69"/>
      <c r="E4664" s="69"/>
    </row>
    <row r="4665" spans="1:9" s="65" customFormat="1">
      <c r="A4665" s="120"/>
      <c r="B4665" s="73"/>
      <c r="C4665" s="73"/>
      <c r="D4665" s="73"/>
      <c r="E4665" s="73"/>
      <c r="F4665" s="121"/>
      <c r="G4665" s="121"/>
      <c r="H4665" s="121"/>
    </row>
    <row r="4666" spans="1:9" s="65" customFormat="1">
      <c r="A4666" s="128"/>
      <c r="B4666" s="141"/>
      <c r="C4666" s="141"/>
      <c r="D4666" s="141"/>
      <c r="E4666" s="141"/>
      <c r="F4666" s="141"/>
      <c r="G4666" s="141"/>
      <c r="H4666" s="121"/>
    </row>
    <row r="4667" spans="1:9" s="65" customFormat="1">
      <c r="A4667" s="150"/>
      <c r="B4667" s="84"/>
      <c r="C4667" s="148"/>
      <c r="D4667" s="84"/>
      <c r="E4667" s="84"/>
      <c r="F4667" s="84"/>
      <c r="G4667" s="154"/>
      <c r="H4667" s="121"/>
    </row>
    <row r="4668" spans="1:9" s="65" customFormat="1">
      <c r="A4668" s="150"/>
      <c r="B4668" s="84"/>
      <c r="C4668" s="148"/>
      <c r="D4668" s="84"/>
      <c r="E4668" s="84"/>
      <c r="F4668" s="84"/>
      <c r="G4668" s="154"/>
      <c r="H4668" s="145"/>
    </row>
    <row r="4669" spans="1:9" s="65" customFormat="1">
      <c r="A4669" s="84"/>
      <c r="B4669" s="83"/>
      <c r="C4669" s="84"/>
      <c r="D4669" s="84"/>
      <c r="E4669" s="84"/>
      <c r="G4669" s="104"/>
      <c r="H4669" s="140"/>
    </row>
    <row r="4670" spans="1:9" s="65" customFormat="1">
      <c r="A4670" s="120"/>
      <c r="B4670" s="73"/>
      <c r="C4670" s="73"/>
      <c r="D4670" s="73"/>
      <c r="E4670" s="73"/>
      <c r="G4670" s="121"/>
      <c r="H4670" s="140"/>
    </row>
    <row r="4671" spans="1:9" s="65" customFormat="1">
      <c r="A4671" s="128"/>
      <c r="B4671" s="141"/>
      <c r="C4671" s="141"/>
      <c r="D4671" s="141"/>
      <c r="E4671" s="141"/>
      <c r="F4671" s="141"/>
      <c r="G4671" s="141"/>
      <c r="H4671" s="140"/>
    </row>
    <row r="4672" spans="1:9" s="65" customFormat="1">
      <c r="A4672" s="150"/>
      <c r="B4672" s="83"/>
      <c r="C4672" s="148"/>
      <c r="D4672" s="84"/>
      <c r="E4672" s="84"/>
      <c r="F4672" s="84"/>
      <c r="G4672" s="154"/>
      <c r="H4672" s="140"/>
    </row>
    <row r="4673" spans="1:8" s="65" customFormat="1">
      <c r="A4673" s="150"/>
      <c r="B4673" s="83"/>
      <c r="C4673" s="148"/>
      <c r="D4673" s="84"/>
      <c r="E4673" s="84"/>
      <c r="F4673" s="84"/>
      <c r="G4673" s="154"/>
      <c r="H4673" s="140"/>
    </row>
    <row r="4674" spans="1:8" s="65" customFormat="1">
      <c r="A4674" s="150"/>
      <c r="B4674" s="83"/>
      <c r="C4674" s="148"/>
      <c r="D4674" s="84"/>
      <c r="E4674" s="84"/>
      <c r="F4674" s="84"/>
      <c r="G4674" s="154"/>
      <c r="H4674" s="140"/>
    </row>
    <row r="4675" spans="1:8" s="65" customFormat="1">
      <c r="A4675" s="150"/>
      <c r="B4675" s="83"/>
      <c r="C4675" s="148"/>
      <c r="D4675" s="84"/>
      <c r="E4675" s="84"/>
      <c r="F4675" s="84"/>
      <c r="G4675" s="154"/>
      <c r="H4675" s="140"/>
    </row>
    <row r="4676" spans="1:8" s="65" customFormat="1">
      <c r="A4676" s="150"/>
      <c r="B4676" s="83"/>
      <c r="C4676" s="148"/>
      <c r="D4676" s="84"/>
      <c r="E4676" s="84"/>
      <c r="F4676" s="84"/>
      <c r="G4676" s="154"/>
      <c r="H4676" s="145"/>
    </row>
    <row r="4677" spans="1:8" s="65" customFormat="1">
      <c r="A4677" s="91"/>
      <c r="B4677" s="91"/>
      <c r="C4677" s="91"/>
      <c r="D4677" s="91"/>
      <c r="E4677" s="91"/>
      <c r="G4677" s="104"/>
      <c r="H4677" s="140"/>
    </row>
    <row r="4678" spans="1:8" s="65" customFormat="1">
      <c r="A4678" s="120"/>
      <c r="B4678" s="73"/>
      <c r="C4678" s="73"/>
      <c r="D4678" s="73"/>
      <c r="E4678" s="73"/>
      <c r="G4678" s="121"/>
      <c r="H4678" s="140"/>
    </row>
    <row r="4679" spans="1:8" s="65" customFormat="1">
      <c r="A4679" s="128"/>
      <c r="B4679" s="141"/>
      <c r="C4679" s="141"/>
      <c r="D4679" s="141"/>
      <c r="E4679" s="141"/>
      <c r="F4679" s="141"/>
      <c r="G4679" s="141"/>
      <c r="H4679" s="140"/>
    </row>
    <row r="4680" spans="1:8" s="65" customFormat="1">
      <c r="A4680" s="146"/>
      <c r="B4680" s="83"/>
      <c r="C4680" s="148"/>
      <c r="D4680" s="84"/>
      <c r="E4680" s="84"/>
      <c r="F4680" s="84"/>
      <c r="G4680" s="144"/>
      <c r="H4680" s="145"/>
    </row>
    <row r="4681" spans="1:8" s="65" customFormat="1">
      <c r="A4681" s="91"/>
      <c r="B4681" s="91"/>
      <c r="C4681" s="91"/>
      <c r="D4681" s="91"/>
      <c r="E4681" s="91"/>
      <c r="G4681" s="104"/>
      <c r="H4681" s="140"/>
    </row>
    <row r="4682" spans="1:8" s="65" customFormat="1">
      <c r="A4682" s="120"/>
      <c r="B4682" s="73"/>
      <c r="C4682" s="73"/>
      <c r="D4682" s="73"/>
      <c r="E4682" s="73"/>
      <c r="G4682" s="121"/>
      <c r="H4682" s="140"/>
    </row>
    <row r="4683" spans="1:8" s="65" customFormat="1">
      <c r="A4683" s="128"/>
      <c r="B4683" s="141"/>
      <c r="C4683" s="141"/>
      <c r="D4683" s="141"/>
      <c r="E4683" s="141"/>
      <c r="F4683" s="141"/>
      <c r="G4683" s="141"/>
      <c r="H4683" s="140"/>
    </row>
    <row r="4684" spans="1:8" s="65" customFormat="1">
      <c r="A4684" s="142"/>
      <c r="B4684" s="143"/>
      <c r="C4684" s="143"/>
      <c r="D4684" s="143"/>
      <c r="E4684" s="143"/>
      <c r="F4684" s="84"/>
      <c r="G4684" s="144"/>
      <c r="H4684" s="145"/>
    </row>
    <row r="4685" spans="1:8" s="65" customFormat="1">
      <c r="A4685" s="123"/>
      <c r="B4685" s="95"/>
      <c r="C4685" s="95"/>
      <c r="D4685" s="95"/>
      <c r="E4685" s="95"/>
      <c r="G4685" s="104"/>
      <c r="H4685" s="121"/>
    </row>
    <row r="4686" spans="1:8" s="65" customFormat="1">
      <c r="A4686" s="123"/>
      <c r="B4686" s="95"/>
      <c r="C4686" s="95"/>
      <c r="D4686" s="95"/>
      <c r="E4686" s="95"/>
      <c r="G4686" s="121"/>
      <c r="H4686" s="133"/>
    </row>
    <row r="4687" spans="1:8" s="65" customFormat="1">
      <c r="B4687" s="97"/>
      <c r="C4687" s="98"/>
      <c r="D4687" s="98"/>
      <c r="E4687" s="98"/>
      <c r="G4687" s="128"/>
    </row>
    <row r="4688" spans="1:8" s="65" customFormat="1">
      <c r="B4688" s="97"/>
      <c r="C4688" s="98"/>
      <c r="D4688" s="98"/>
      <c r="E4688" s="98"/>
      <c r="F4688" s="128"/>
      <c r="G4688" s="133"/>
      <c r="H4688" s="134"/>
    </row>
    <row r="4689" spans="1:9" s="65" customFormat="1">
      <c r="A4689" s="633"/>
      <c r="B4689" s="633"/>
      <c r="C4689" s="633"/>
      <c r="D4689" s="633"/>
      <c r="E4689" s="633"/>
      <c r="F4689" s="633"/>
      <c r="G4689" s="633"/>
    </row>
    <row r="4690" spans="1:9" s="65" customFormat="1">
      <c r="H4690" s="156"/>
      <c r="I4690" s="151"/>
    </row>
    <row r="4691" spans="1:9" s="65" customFormat="1">
      <c r="A4691" s="645"/>
      <c r="B4691" s="156"/>
      <c r="C4691" s="156"/>
      <c r="D4691" s="156"/>
      <c r="E4691" s="156"/>
      <c r="F4691" s="156"/>
      <c r="G4691" s="156"/>
      <c r="H4691" s="156"/>
      <c r="I4691" s="152"/>
    </row>
    <row r="4692" spans="1:9" s="65" customFormat="1">
      <c r="A4692" s="645"/>
      <c r="B4692" s="156"/>
      <c r="C4692" s="156"/>
      <c r="D4692" s="156"/>
      <c r="E4692" s="156"/>
      <c r="F4692" s="156"/>
      <c r="G4692" s="156"/>
    </row>
    <row r="4693" spans="1:9" s="65" customFormat="1">
      <c r="A4693" s="69"/>
      <c r="B4693" s="69"/>
      <c r="C4693" s="69"/>
      <c r="D4693" s="69"/>
      <c r="E4693" s="69"/>
    </row>
    <row r="4694" spans="1:9" s="65" customFormat="1">
      <c r="A4694" s="120"/>
      <c r="B4694" s="73"/>
      <c r="C4694" s="73"/>
      <c r="D4694" s="73"/>
      <c r="E4694" s="73"/>
      <c r="F4694" s="121"/>
      <c r="G4694" s="121"/>
      <c r="H4694" s="121"/>
    </row>
    <row r="4695" spans="1:9" s="65" customFormat="1">
      <c r="A4695" s="128"/>
      <c r="B4695" s="141"/>
      <c r="C4695" s="141"/>
      <c r="D4695" s="141"/>
      <c r="E4695" s="141"/>
      <c r="F4695" s="141"/>
      <c r="G4695" s="141"/>
      <c r="H4695" s="121"/>
    </row>
    <row r="4696" spans="1:9" s="65" customFormat="1">
      <c r="A4696" s="150"/>
      <c r="B4696" s="84"/>
      <c r="C4696" s="148"/>
      <c r="D4696" s="84"/>
      <c r="E4696" s="84"/>
      <c r="F4696" s="84"/>
      <c r="G4696" s="144"/>
      <c r="H4696" s="145"/>
    </row>
    <row r="4697" spans="1:9" s="65" customFormat="1">
      <c r="A4697" s="84"/>
      <c r="B4697" s="83"/>
      <c r="C4697" s="84"/>
      <c r="D4697" s="84"/>
      <c r="E4697" s="84"/>
      <c r="G4697" s="104"/>
      <c r="H4697" s="140"/>
    </row>
    <row r="4698" spans="1:9" s="65" customFormat="1">
      <c r="A4698" s="120"/>
      <c r="B4698" s="73"/>
      <c r="C4698" s="73"/>
      <c r="D4698" s="73"/>
      <c r="E4698" s="73"/>
      <c r="G4698" s="121"/>
      <c r="H4698" s="140"/>
    </row>
    <row r="4699" spans="1:9" s="65" customFormat="1">
      <c r="A4699" s="128"/>
      <c r="B4699" s="141"/>
      <c r="C4699" s="141"/>
      <c r="D4699" s="141"/>
      <c r="E4699" s="141"/>
      <c r="F4699" s="141"/>
      <c r="G4699" s="141"/>
      <c r="H4699" s="140"/>
    </row>
    <row r="4700" spans="1:9" s="65" customFormat="1">
      <c r="A4700" s="150"/>
      <c r="B4700" s="171"/>
      <c r="C4700" s="148"/>
      <c r="D4700" s="160"/>
      <c r="E4700" s="84"/>
      <c r="F4700" s="84"/>
      <c r="G4700" s="144"/>
      <c r="H4700" s="145"/>
    </row>
    <row r="4701" spans="1:9" s="65" customFormat="1">
      <c r="A4701" s="91"/>
      <c r="B4701" s="91"/>
      <c r="C4701" s="91"/>
      <c r="D4701" s="91"/>
      <c r="E4701" s="91"/>
      <c r="G4701" s="104"/>
      <c r="H4701" s="140"/>
    </row>
    <row r="4702" spans="1:9" s="65" customFormat="1">
      <c r="A4702" s="120"/>
      <c r="B4702" s="73"/>
      <c r="C4702" s="73"/>
      <c r="D4702" s="73"/>
      <c r="E4702" s="73"/>
      <c r="G4702" s="121"/>
      <c r="H4702" s="140"/>
    </row>
    <row r="4703" spans="1:9" s="65" customFormat="1">
      <c r="A4703" s="128"/>
      <c r="B4703" s="141"/>
      <c r="C4703" s="141"/>
      <c r="D4703" s="141"/>
      <c r="E4703" s="141"/>
      <c r="F4703" s="141"/>
      <c r="G4703" s="141"/>
      <c r="H4703" s="140"/>
    </row>
    <row r="4704" spans="1:9" s="65" customFormat="1">
      <c r="A4704" s="150"/>
      <c r="B4704" s="84"/>
      <c r="C4704" s="148"/>
      <c r="D4704" s="84"/>
      <c r="E4704" s="84"/>
      <c r="F4704" s="84"/>
      <c r="G4704" s="144"/>
      <c r="H4704" s="145"/>
    </row>
    <row r="4705" spans="1:9" s="65" customFormat="1">
      <c r="A4705" s="91"/>
      <c r="B4705" s="91"/>
      <c r="C4705" s="91"/>
      <c r="D4705" s="91"/>
      <c r="E4705" s="91"/>
      <c r="G4705" s="104"/>
      <c r="H4705" s="140"/>
    </row>
    <row r="4706" spans="1:9" s="65" customFormat="1">
      <c r="A4706" s="120"/>
      <c r="B4706" s="73"/>
      <c r="C4706" s="73"/>
      <c r="D4706" s="73"/>
      <c r="E4706" s="73"/>
      <c r="G4706" s="121"/>
      <c r="H4706" s="140"/>
    </row>
    <row r="4707" spans="1:9" s="65" customFormat="1">
      <c r="A4707" s="128"/>
      <c r="B4707" s="141"/>
      <c r="C4707" s="141"/>
      <c r="D4707" s="141"/>
      <c r="E4707" s="141"/>
      <c r="F4707" s="141"/>
      <c r="G4707" s="141"/>
      <c r="H4707" s="140"/>
    </row>
    <row r="4708" spans="1:9" s="65" customFormat="1">
      <c r="A4708" s="142"/>
      <c r="B4708" s="143"/>
      <c r="C4708" s="143"/>
      <c r="D4708" s="143"/>
      <c r="E4708" s="143"/>
      <c r="F4708" s="84"/>
      <c r="G4708" s="144"/>
      <c r="H4708" s="145"/>
    </row>
    <row r="4709" spans="1:9" s="65" customFormat="1">
      <c r="A4709" s="123"/>
      <c r="B4709" s="95"/>
      <c r="C4709" s="95"/>
      <c r="D4709" s="95"/>
      <c r="E4709" s="95"/>
      <c r="G4709" s="104"/>
      <c r="H4709" s="121"/>
    </row>
    <row r="4710" spans="1:9" s="65" customFormat="1">
      <c r="A4710" s="123"/>
      <c r="B4710" s="95"/>
      <c r="C4710" s="95"/>
      <c r="D4710" s="95"/>
      <c r="E4710" s="95"/>
      <c r="G4710" s="121"/>
      <c r="H4710" s="133"/>
    </row>
    <row r="4711" spans="1:9" s="65" customFormat="1">
      <c r="B4711" s="97"/>
      <c r="C4711" s="98"/>
      <c r="D4711" s="98"/>
      <c r="E4711" s="98"/>
      <c r="G4711" s="128"/>
    </row>
    <row r="4712" spans="1:9" s="65" customFormat="1">
      <c r="B4712" s="97"/>
      <c r="C4712" s="98"/>
      <c r="D4712" s="98"/>
      <c r="E4712" s="98"/>
      <c r="F4712" s="128"/>
      <c r="G4712" s="133"/>
      <c r="H4712" s="134"/>
    </row>
    <row r="4713" spans="1:9" s="65" customFormat="1">
      <c r="A4713" s="633"/>
      <c r="B4713" s="633"/>
      <c r="C4713" s="633"/>
      <c r="D4713" s="633"/>
      <c r="E4713" s="633"/>
      <c r="F4713" s="633"/>
      <c r="G4713" s="633"/>
    </row>
    <row r="4714" spans="1:9" s="65" customFormat="1">
      <c r="H4714" s="156"/>
      <c r="I4714" s="151"/>
    </row>
    <row r="4715" spans="1:9" s="65" customFormat="1">
      <c r="A4715" s="645"/>
      <c r="B4715" s="156"/>
      <c r="C4715" s="156"/>
      <c r="D4715" s="156"/>
      <c r="E4715" s="156"/>
      <c r="F4715" s="156"/>
      <c r="G4715" s="156"/>
      <c r="H4715" s="156"/>
      <c r="I4715" s="152"/>
    </row>
    <row r="4716" spans="1:9" s="65" customFormat="1">
      <c r="A4716" s="645"/>
      <c r="B4716" s="156"/>
      <c r="C4716" s="156"/>
      <c r="D4716" s="156"/>
      <c r="E4716" s="156"/>
      <c r="F4716" s="156"/>
      <c r="G4716" s="156"/>
    </row>
    <row r="4717" spans="1:9" s="65" customFormat="1">
      <c r="A4717" s="69"/>
      <c r="B4717" s="69"/>
      <c r="C4717" s="69"/>
      <c r="D4717" s="69"/>
      <c r="E4717" s="69"/>
    </row>
    <row r="4718" spans="1:9" s="65" customFormat="1">
      <c r="A4718" s="120"/>
      <c r="B4718" s="73"/>
      <c r="C4718" s="73"/>
      <c r="D4718" s="73"/>
      <c r="E4718" s="73"/>
      <c r="F4718" s="121"/>
      <c r="G4718" s="121"/>
      <c r="H4718" s="121"/>
    </row>
    <row r="4719" spans="1:9" s="65" customFormat="1">
      <c r="A4719" s="128"/>
      <c r="B4719" s="141"/>
      <c r="C4719" s="141"/>
      <c r="D4719" s="141"/>
      <c r="E4719" s="141"/>
      <c r="F4719" s="141"/>
      <c r="G4719" s="141"/>
      <c r="H4719" s="121"/>
    </row>
    <row r="4720" spans="1:9" s="65" customFormat="1">
      <c r="A4720" s="150"/>
      <c r="B4720" s="84"/>
      <c r="C4720" s="148"/>
      <c r="D4720" s="84"/>
      <c r="E4720" s="84"/>
      <c r="F4720" s="84"/>
      <c r="G4720" s="144"/>
      <c r="H4720" s="145"/>
    </row>
    <row r="4721" spans="1:8" s="65" customFormat="1">
      <c r="A4721" s="84"/>
      <c r="B4721" s="83"/>
      <c r="C4721" s="84"/>
      <c r="D4721" s="84"/>
      <c r="E4721" s="84"/>
      <c r="G4721" s="104"/>
      <c r="H4721" s="140"/>
    </row>
    <row r="4722" spans="1:8" s="65" customFormat="1">
      <c r="A4722" s="120"/>
      <c r="B4722" s="73"/>
      <c r="C4722" s="73"/>
      <c r="D4722" s="73"/>
      <c r="E4722" s="73"/>
      <c r="G4722" s="121"/>
      <c r="H4722" s="140"/>
    </row>
    <row r="4723" spans="1:8" s="65" customFormat="1">
      <c r="A4723" s="128"/>
      <c r="B4723" s="141"/>
      <c r="C4723" s="141"/>
      <c r="D4723" s="141"/>
      <c r="E4723" s="141"/>
      <c r="F4723" s="141"/>
      <c r="G4723" s="141"/>
      <c r="H4723" s="140"/>
    </row>
    <row r="4724" spans="1:8" s="65" customFormat="1">
      <c r="A4724" s="150"/>
      <c r="B4724" s="171"/>
      <c r="C4724" s="148"/>
      <c r="D4724" s="160"/>
      <c r="E4724" s="84"/>
      <c r="F4724" s="84"/>
      <c r="G4724" s="144"/>
      <c r="H4724" s="145"/>
    </row>
    <row r="4725" spans="1:8" s="65" customFormat="1">
      <c r="A4725" s="91"/>
      <c r="B4725" s="91"/>
      <c r="C4725" s="91"/>
      <c r="D4725" s="91"/>
      <c r="E4725" s="91"/>
      <c r="G4725" s="104"/>
      <c r="H4725" s="140"/>
    </row>
    <row r="4726" spans="1:8" s="65" customFormat="1">
      <c r="A4726" s="120"/>
      <c r="B4726" s="73"/>
      <c r="C4726" s="73"/>
      <c r="D4726" s="73"/>
      <c r="E4726" s="73"/>
      <c r="G4726" s="121"/>
      <c r="H4726" s="140"/>
    </row>
    <row r="4727" spans="1:8" s="65" customFormat="1">
      <c r="A4727" s="128"/>
      <c r="B4727" s="141"/>
      <c r="C4727" s="141"/>
      <c r="D4727" s="141"/>
      <c r="E4727" s="141"/>
      <c r="F4727" s="141"/>
      <c r="G4727" s="141"/>
      <c r="H4727" s="140"/>
    </row>
    <row r="4728" spans="1:8" s="65" customFormat="1">
      <c r="A4728" s="150"/>
      <c r="B4728" s="84"/>
      <c r="C4728" s="148"/>
      <c r="D4728" s="84"/>
      <c r="E4728" s="84"/>
      <c r="F4728" s="84"/>
      <c r="G4728" s="144"/>
      <c r="H4728" s="145"/>
    </row>
    <row r="4729" spans="1:8" s="65" customFormat="1">
      <c r="A4729" s="91"/>
      <c r="B4729" s="91"/>
      <c r="C4729" s="91"/>
      <c r="D4729" s="91"/>
      <c r="E4729" s="91"/>
      <c r="G4729" s="104"/>
      <c r="H4729" s="140"/>
    </row>
    <row r="4730" spans="1:8" s="65" customFormat="1">
      <c r="A4730" s="120"/>
      <c r="B4730" s="73"/>
      <c r="C4730" s="73"/>
      <c r="D4730" s="73"/>
      <c r="E4730" s="73"/>
      <c r="G4730" s="121"/>
      <c r="H4730" s="140"/>
    </row>
    <row r="4731" spans="1:8" s="65" customFormat="1">
      <c r="A4731" s="128"/>
      <c r="B4731" s="141"/>
      <c r="C4731" s="141"/>
      <c r="D4731" s="141"/>
      <c r="E4731" s="141"/>
      <c r="F4731" s="141"/>
      <c r="G4731" s="141"/>
      <c r="H4731" s="140"/>
    </row>
    <row r="4732" spans="1:8" s="65" customFormat="1">
      <c r="A4732" s="142"/>
      <c r="B4732" s="143"/>
      <c r="C4732" s="143"/>
      <c r="D4732" s="143"/>
      <c r="E4732" s="143"/>
      <c r="F4732" s="84"/>
      <c r="G4732" s="144"/>
      <c r="H4732" s="145"/>
    </row>
    <row r="4733" spans="1:8" s="65" customFormat="1">
      <c r="A4733" s="123"/>
      <c r="B4733" s="95"/>
      <c r="C4733" s="95"/>
      <c r="D4733" s="95"/>
      <c r="E4733" s="95"/>
      <c r="G4733" s="104"/>
      <c r="H4733" s="121"/>
    </row>
    <row r="4734" spans="1:8" s="65" customFormat="1">
      <c r="A4734" s="123"/>
      <c r="B4734" s="95"/>
      <c r="C4734" s="95"/>
      <c r="D4734" s="95"/>
      <c r="E4734" s="95"/>
      <c r="G4734" s="121"/>
      <c r="H4734" s="133"/>
    </row>
    <row r="4735" spans="1:8" s="65" customFormat="1">
      <c r="B4735" s="97"/>
      <c r="C4735" s="98"/>
      <c r="D4735" s="98"/>
      <c r="E4735" s="98"/>
      <c r="G4735" s="128"/>
    </row>
    <row r="4736" spans="1:8" s="65" customFormat="1">
      <c r="B4736" s="97"/>
      <c r="C4736" s="98"/>
      <c r="D4736" s="98"/>
      <c r="E4736" s="98"/>
      <c r="F4736" s="128"/>
      <c r="G4736" s="133"/>
      <c r="H4736" s="134"/>
    </row>
    <row r="4737" spans="1:9" s="65" customFormat="1">
      <c r="A4737" s="633"/>
      <c r="B4737" s="633"/>
      <c r="C4737" s="633"/>
      <c r="D4737" s="633"/>
      <c r="E4737" s="633"/>
      <c r="F4737" s="633"/>
      <c r="G4737" s="633"/>
    </row>
    <row r="4738" spans="1:9" s="65" customFormat="1">
      <c r="H4738" s="156"/>
      <c r="I4738" s="151"/>
    </row>
    <row r="4739" spans="1:9" s="65" customFormat="1">
      <c r="A4739" s="645"/>
      <c r="B4739" s="156"/>
      <c r="C4739" s="156"/>
      <c r="D4739" s="156"/>
      <c r="E4739" s="156"/>
      <c r="F4739" s="156"/>
      <c r="G4739" s="156"/>
      <c r="H4739" s="156"/>
      <c r="I4739" s="152"/>
    </row>
    <row r="4740" spans="1:9" s="65" customFormat="1">
      <c r="A4740" s="645"/>
      <c r="B4740" s="156"/>
      <c r="C4740" s="156"/>
      <c r="D4740" s="156"/>
      <c r="E4740" s="156"/>
      <c r="F4740" s="156"/>
      <c r="G4740" s="156"/>
    </row>
    <row r="4741" spans="1:9" s="65" customFormat="1">
      <c r="A4741" s="69"/>
      <c r="B4741" s="69"/>
      <c r="C4741" s="69"/>
      <c r="D4741" s="69"/>
      <c r="E4741" s="69"/>
    </row>
    <row r="4742" spans="1:9" s="65" customFormat="1">
      <c r="A4742" s="120"/>
      <c r="B4742" s="73"/>
      <c r="C4742" s="73"/>
      <c r="D4742" s="73"/>
      <c r="E4742" s="73"/>
      <c r="F4742" s="121"/>
      <c r="G4742" s="121"/>
      <c r="H4742" s="121"/>
    </row>
    <row r="4743" spans="1:9" s="65" customFormat="1">
      <c r="A4743" s="128"/>
      <c r="B4743" s="141"/>
      <c r="C4743" s="141"/>
      <c r="D4743" s="141"/>
      <c r="E4743" s="141"/>
      <c r="F4743" s="141"/>
      <c r="G4743" s="141"/>
      <c r="H4743" s="121"/>
    </row>
    <row r="4744" spans="1:9" s="65" customFormat="1">
      <c r="A4744" s="142"/>
      <c r="B4744" s="143"/>
      <c r="C4744" s="143"/>
      <c r="D4744" s="143"/>
      <c r="E4744" s="143"/>
      <c r="F4744" s="84"/>
      <c r="G4744" s="144"/>
      <c r="H4744" s="145"/>
    </row>
    <row r="4745" spans="1:9" s="65" customFormat="1">
      <c r="A4745" s="84"/>
      <c r="B4745" s="83"/>
      <c r="C4745" s="84"/>
      <c r="D4745" s="84"/>
      <c r="E4745" s="84"/>
      <c r="G4745" s="104"/>
      <c r="H4745" s="140"/>
    </row>
    <row r="4746" spans="1:9" s="65" customFormat="1">
      <c r="A4746" s="120"/>
      <c r="B4746" s="73"/>
      <c r="C4746" s="73"/>
      <c r="D4746" s="73"/>
      <c r="E4746" s="73"/>
      <c r="G4746" s="121"/>
      <c r="H4746" s="140"/>
    </row>
    <row r="4747" spans="1:9" s="65" customFormat="1">
      <c r="A4747" s="128"/>
      <c r="B4747" s="141"/>
      <c r="C4747" s="141"/>
      <c r="D4747" s="141"/>
      <c r="E4747" s="141"/>
      <c r="F4747" s="141"/>
      <c r="G4747" s="141"/>
      <c r="H4747" s="140"/>
    </row>
    <row r="4748" spans="1:9" s="65" customFormat="1">
      <c r="A4748" s="150"/>
      <c r="B4748" s="83"/>
      <c r="C4748" s="148"/>
      <c r="D4748" s="160"/>
      <c r="E4748" s="84"/>
      <c r="F4748" s="84"/>
      <c r="G4748" s="144"/>
      <c r="H4748" s="145"/>
    </row>
    <row r="4749" spans="1:9" s="65" customFormat="1">
      <c r="A4749" s="91"/>
      <c r="B4749" s="91"/>
      <c r="C4749" s="91"/>
      <c r="D4749" s="91"/>
      <c r="E4749" s="91"/>
      <c r="G4749" s="104"/>
      <c r="H4749" s="140"/>
    </row>
    <row r="4750" spans="1:9" s="65" customFormat="1">
      <c r="A4750" s="120"/>
      <c r="B4750" s="73"/>
      <c r="C4750" s="73"/>
      <c r="D4750" s="73"/>
      <c r="E4750" s="73"/>
      <c r="G4750" s="121"/>
      <c r="H4750" s="140"/>
    </row>
    <row r="4751" spans="1:9" s="65" customFormat="1">
      <c r="A4751" s="128"/>
      <c r="B4751" s="141"/>
      <c r="C4751" s="141"/>
      <c r="D4751" s="141"/>
      <c r="E4751" s="141"/>
      <c r="F4751" s="141"/>
      <c r="G4751" s="141"/>
      <c r="H4751" s="140"/>
    </row>
    <row r="4752" spans="1:9" s="65" customFormat="1">
      <c r="A4752" s="142"/>
      <c r="B4752" s="143"/>
      <c r="C4752" s="143"/>
      <c r="D4752" s="143"/>
      <c r="E4752" s="143"/>
      <c r="F4752" s="84"/>
      <c r="G4752" s="144"/>
      <c r="H4752" s="145"/>
    </row>
    <row r="4753" spans="1:9" s="65" customFormat="1">
      <c r="A4753" s="91"/>
      <c r="B4753" s="91"/>
      <c r="C4753" s="91"/>
      <c r="D4753" s="91"/>
      <c r="E4753" s="91"/>
      <c r="G4753" s="104"/>
      <c r="H4753" s="140"/>
    </row>
    <row r="4754" spans="1:9" s="65" customFormat="1">
      <c r="A4754" s="120"/>
      <c r="B4754" s="73"/>
      <c r="C4754" s="73"/>
      <c r="D4754" s="73"/>
      <c r="E4754" s="73"/>
      <c r="G4754" s="121"/>
      <c r="H4754" s="140"/>
    </row>
    <row r="4755" spans="1:9" s="65" customFormat="1">
      <c r="A4755" s="128"/>
      <c r="B4755" s="141"/>
      <c r="C4755" s="141"/>
      <c r="D4755" s="141"/>
      <c r="E4755" s="141"/>
      <c r="F4755" s="141"/>
      <c r="G4755" s="141"/>
      <c r="H4755" s="140"/>
    </row>
    <row r="4756" spans="1:9" s="65" customFormat="1">
      <c r="A4756" s="142"/>
      <c r="B4756" s="143"/>
      <c r="C4756" s="143"/>
      <c r="D4756" s="143"/>
      <c r="E4756" s="143"/>
      <c r="F4756" s="84"/>
      <c r="G4756" s="144"/>
      <c r="H4756" s="145"/>
    </row>
    <row r="4757" spans="1:9" s="65" customFormat="1">
      <c r="A4757" s="123"/>
      <c r="B4757" s="95"/>
      <c r="C4757" s="95"/>
      <c r="D4757" s="95"/>
      <c r="E4757" s="95"/>
      <c r="G4757" s="104"/>
      <c r="H4757" s="121"/>
    </row>
    <row r="4758" spans="1:9" s="65" customFormat="1">
      <c r="A4758" s="123"/>
      <c r="B4758" s="95"/>
      <c r="C4758" s="95"/>
      <c r="D4758" s="95"/>
      <c r="E4758" s="95"/>
      <c r="G4758" s="121"/>
      <c r="H4758" s="133"/>
    </row>
    <row r="4759" spans="1:9" s="65" customFormat="1">
      <c r="B4759" s="97"/>
      <c r="C4759" s="98"/>
      <c r="D4759" s="98"/>
      <c r="E4759" s="98"/>
      <c r="G4759" s="128"/>
    </row>
    <row r="4760" spans="1:9" s="65" customFormat="1">
      <c r="B4760" s="97"/>
      <c r="C4760" s="98"/>
      <c r="D4760" s="98"/>
      <c r="E4760" s="98"/>
      <c r="F4760" s="128"/>
      <c r="G4760" s="133"/>
      <c r="H4760" s="134"/>
    </row>
    <row r="4761" spans="1:9" s="65" customFormat="1">
      <c r="A4761" s="633"/>
      <c r="B4761" s="633"/>
      <c r="C4761" s="633"/>
      <c r="D4761" s="633"/>
      <c r="E4761" s="633"/>
      <c r="F4761" s="633"/>
      <c r="G4761" s="633"/>
    </row>
    <row r="4762" spans="1:9" s="65" customFormat="1">
      <c r="H4762" s="156"/>
      <c r="I4762" s="151"/>
    </row>
    <row r="4763" spans="1:9" s="65" customFormat="1">
      <c r="A4763" s="645"/>
      <c r="B4763" s="156"/>
      <c r="C4763" s="156"/>
      <c r="D4763" s="156"/>
      <c r="E4763" s="156"/>
      <c r="F4763" s="156"/>
      <c r="G4763" s="156"/>
      <c r="H4763" s="156"/>
      <c r="I4763" s="152"/>
    </row>
    <row r="4764" spans="1:9" s="65" customFormat="1">
      <c r="A4764" s="645"/>
      <c r="B4764" s="156"/>
      <c r="C4764" s="156"/>
      <c r="D4764" s="156"/>
      <c r="E4764" s="156"/>
      <c r="F4764" s="156"/>
      <c r="G4764" s="156"/>
    </row>
    <row r="4765" spans="1:9" s="65" customFormat="1">
      <c r="A4765" s="69"/>
      <c r="B4765" s="69"/>
      <c r="C4765" s="69"/>
      <c r="D4765" s="69"/>
      <c r="E4765" s="69"/>
    </row>
    <row r="4766" spans="1:9" s="65" customFormat="1">
      <c r="A4766" s="120"/>
      <c r="B4766" s="73"/>
      <c r="C4766" s="73"/>
      <c r="D4766" s="73"/>
      <c r="E4766" s="73"/>
      <c r="F4766" s="121"/>
      <c r="G4766" s="121"/>
      <c r="H4766" s="121"/>
    </row>
    <row r="4767" spans="1:9" s="65" customFormat="1">
      <c r="A4767" s="128"/>
      <c r="B4767" s="141"/>
      <c r="C4767" s="141"/>
      <c r="D4767" s="141"/>
      <c r="E4767" s="141"/>
      <c r="F4767" s="141"/>
      <c r="G4767" s="141"/>
      <c r="H4767" s="121"/>
    </row>
    <row r="4768" spans="1:9" s="65" customFormat="1">
      <c r="A4768" s="142"/>
      <c r="B4768" s="143"/>
      <c r="C4768" s="143"/>
      <c r="D4768" s="143"/>
      <c r="E4768" s="143"/>
      <c r="F4768" s="84"/>
      <c r="G4768" s="144"/>
      <c r="H4768" s="145"/>
    </row>
    <row r="4769" spans="1:8" s="65" customFormat="1">
      <c r="A4769" s="84"/>
      <c r="B4769" s="83"/>
      <c r="C4769" s="84"/>
      <c r="D4769" s="84"/>
      <c r="E4769" s="84"/>
      <c r="G4769" s="104"/>
      <c r="H4769" s="140"/>
    </row>
    <row r="4770" spans="1:8" s="65" customFormat="1">
      <c r="A4770" s="120"/>
      <c r="B4770" s="73"/>
      <c r="C4770" s="73"/>
      <c r="D4770" s="73"/>
      <c r="E4770" s="73"/>
      <c r="G4770" s="121"/>
      <c r="H4770" s="140"/>
    </row>
    <row r="4771" spans="1:8" s="65" customFormat="1">
      <c r="A4771" s="128"/>
      <c r="B4771" s="141"/>
      <c r="C4771" s="141"/>
      <c r="D4771" s="141"/>
      <c r="E4771" s="141"/>
      <c r="F4771" s="141"/>
      <c r="G4771" s="141"/>
      <c r="H4771" s="140"/>
    </row>
    <row r="4772" spans="1:8" s="65" customFormat="1">
      <c r="A4772" s="150"/>
      <c r="B4772" s="83"/>
      <c r="C4772" s="148"/>
      <c r="D4772" s="160"/>
      <c r="E4772" s="84"/>
      <c r="F4772" s="84"/>
      <c r="G4772" s="144"/>
      <c r="H4772" s="145"/>
    </row>
    <row r="4773" spans="1:8" s="65" customFormat="1">
      <c r="A4773" s="91"/>
      <c r="B4773" s="91"/>
      <c r="C4773" s="91"/>
      <c r="D4773" s="91"/>
      <c r="E4773" s="91"/>
      <c r="G4773" s="104"/>
      <c r="H4773" s="140"/>
    </row>
    <row r="4774" spans="1:8" s="65" customFormat="1">
      <c r="A4774" s="120"/>
      <c r="B4774" s="73"/>
      <c r="C4774" s="73"/>
      <c r="D4774" s="73"/>
      <c r="E4774" s="73"/>
      <c r="G4774" s="121"/>
      <c r="H4774" s="140"/>
    </row>
    <row r="4775" spans="1:8" s="65" customFormat="1">
      <c r="A4775" s="128"/>
      <c r="B4775" s="141"/>
      <c r="C4775" s="141"/>
      <c r="D4775" s="141"/>
      <c r="E4775" s="141"/>
      <c r="F4775" s="141"/>
      <c r="G4775" s="141"/>
      <c r="H4775" s="140"/>
    </row>
    <row r="4776" spans="1:8" s="65" customFormat="1">
      <c r="A4776" s="142"/>
      <c r="B4776" s="143"/>
      <c r="C4776" s="143"/>
      <c r="D4776" s="143"/>
      <c r="E4776" s="143"/>
      <c r="F4776" s="84"/>
      <c r="G4776" s="144"/>
      <c r="H4776" s="145"/>
    </row>
    <row r="4777" spans="1:8" s="65" customFormat="1">
      <c r="A4777" s="91"/>
      <c r="B4777" s="91"/>
      <c r="C4777" s="91"/>
      <c r="D4777" s="91"/>
      <c r="E4777" s="91"/>
      <c r="G4777" s="104"/>
      <c r="H4777" s="140"/>
    </row>
    <row r="4778" spans="1:8" s="65" customFormat="1">
      <c r="A4778" s="120"/>
      <c r="B4778" s="73"/>
      <c r="C4778" s="73"/>
      <c r="D4778" s="73"/>
      <c r="E4778" s="73"/>
      <c r="G4778" s="121"/>
      <c r="H4778" s="140"/>
    </row>
    <row r="4779" spans="1:8" s="65" customFormat="1">
      <c r="A4779" s="128"/>
      <c r="B4779" s="141"/>
      <c r="C4779" s="141"/>
      <c r="D4779" s="141"/>
      <c r="E4779" s="141"/>
      <c r="F4779" s="141"/>
      <c r="G4779" s="141"/>
      <c r="H4779" s="140"/>
    </row>
    <row r="4780" spans="1:8" s="65" customFormat="1">
      <c r="A4780" s="142"/>
      <c r="B4780" s="143"/>
      <c r="C4780" s="143"/>
      <c r="D4780" s="143"/>
      <c r="E4780" s="143"/>
      <c r="F4780" s="84"/>
      <c r="G4780" s="144"/>
      <c r="H4780" s="145"/>
    </row>
    <row r="4781" spans="1:8" s="65" customFormat="1">
      <c r="A4781" s="123"/>
      <c r="B4781" s="95"/>
      <c r="C4781" s="95"/>
      <c r="D4781" s="95"/>
      <c r="E4781" s="95"/>
      <c r="G4781" s="104"/>
      <c r="H4781" s="121"/>
    </row>
    <row r="4782" spans="1:8" s="65" customFormat="1">
      <c r="A4782" s="123"/>
      <c r="B4782" s="95"/>
      <c r="C4782" s="95"/>
      <c r="D4782" s="95"/>
      <c r="E4782" s="95"/>
      <c r="G4782" s="121"/>
      <c r="H4782" s="133"/>
    </row>
    <row r="4783" spans="1:8" s="65" customFormat="1">
      <c r="B4783" s="97"/>
      <c r="C4783" s="98"/>
      <c r="D4783" s="98"/>
      <c r="E4783" s="98"/>
      <c r="G4783" s="128"/>
    </row>
    <row r="4784" spans="1:8" s="65" customFormat="1">
      <c r="B4784" s="97"/>
      <c r="C4784" s="98"/>
      <c r="D4784" s="98"/>
      <c r="E4784" s="98"/>
      <c r="F4784" s="128"/>
      <c r="G4784" s="133"/>
      <c r="H4784" s="134"/>
    </row>
    <row r="4785" spans="1:9" s="65" customFormat="1">
      <c r="A4785" s="633"/>
      <c r="B4785" s="633"/>
      <c r="C4785" s="633"/>
      <c r="D4785" s="633"/>
      <c r="E4785" s="633"/>
      <c r="F4785" s="633"/>
      <c r="G4785" s="633"/>
    </row>
    <row r="4786" spans="1:9" s="65" customFormat="1">
      <c r="H4786" s="157"/>
      <c r="I4786" s="158"/>
    </row>
    <row r="4787" spans="1:9" s="65" customFormat="1">
      <c r="A4787" s="653"/>
      <c r="B4787" s="157"/>
      <c r="C4787" s="157"/>
      <c r="D4787" s="157"/>
      <c r="E4787" s="157"/>
      <c r="F4787" s="157"/>
      <c r="G4787" s="157"/>
      <c r="H4787" s="157"/>
      <c r="I4787" s="159"/>
    </row>
    <row r="4788" spans="1:9" s="65" customFormat="1">
      <c r="A4788" s="653"/>
      <c r="B4788" s="157"/>
      <c r="C4788" s="157"/>
      <c r="D4788" s="157"/>
      <c r="E4788" s="157"/>
      <c r="F4788" s="157"/>
      <c r="G4788" s="157"/>
    </row>
    <row r="4789" spans="1:9" s="65" customFormat="1">
      <c r="A4789" s="69"/>
      <c r="B4789" s="69"/>
      <c r="C4789" s="69"/>
      <c r="D4789" s="69"/>
      <c r="E4789" s="69"/>
    </row>
    <row r="4790" spans="1:9" s="65" customFormat="1">
      <c r="A4790" s="120"/>
      <c r="B4790" s="73"/>
      <c r="C4790" s="73"/>
      <c r="D4790" s="73"/>
      <c r="E4790" s="73"/>
      <c r="F4790" s="121"/>
      <c r="G4790" s="121"/>
      <c r="H4790" s="121"/>
    </row>
    <row r="4791" spans="1:9" s="65" customFormat="1">
      <c r="A4791" s="128"/>
      <c r="B4791" s="141"/>
      <c r="C4791" s="141"/>
      <c r="D4791" s="141"/>
      <c r="E4791" s="141"/>
      <c r="F4791" s="141"/>
      <c r="G4791" s="141"/>
      <c r="H4791" s="121"/>
    </row>
    <row r="4792" spans="1:9" s="65" customFormat="1">
      <c r="A4792" s="142"/>
      <c r="B4792" s="143"/>
      <c r="C4792" s="143"/>
      <c r="D4792" s="143"/>
      <c r="E4792" s="143"/>
      <c r="F4792" s="84"/>
      <c r="G4792" s="144"/>
      <c r="H4792" s="145"/>
    </row>
    <row r="4793" spans="1:9" s="65" customFormat="1">
      <c r="A4793" s="84"/>
      <c r="B4793" s="83"/>
      <c r="C4793" s="84"/>
      <c r="D4793" s="84"/>
      <c r="E4793" s="84"/>
      <c r="G4793" s="104"/>
      <c r="H4793" s="140"/>
    </row>
    <row r="4794" spans="1:9" s="65" customFormat="1">
      <c r="A4794" s="120"/>
      <c r="B4794" s="73"/>
      <c r="C4794" s="73"/>
      <c r="D4794" s="73"/>
      <c r="E4794" s="73"/>
      <c r="G4794" s="121"/>
      <c r="H4794" s="140"/>
    </row>
    <row r="4795" spans="1:9" s="65" customFormat="1">
      <c r="A4795" s="128"/>
      <c r="B4795" s="141"/>
      <c r="C4795" s="141"/>
      <c r="D4795" s="141"/>
      <c r="E4795" s="141"/>
      <c r="F4795" s="141"/>
      <c r="G4795" s="141"/>
      <c r="H4795" s="140"/>
    </row>
    <row r="4796" spans="1:9" s="65" customFormat="1">
      <c r="A4796" s="150"/>
      <c r="B4796" s="83"/>
      <c r="C4796" s="148"/>
      <c r="D4796" s="160"/>
      <c r="E4796" s="84"/>
      <c r="F4796" s="84"/>
      <c r="G4796" s="144"/>
      <c r="H4796" s="145"/>
    </row>
    <row r="4797" spans="1:9" s="65" customFormat="1">
      <c r="A4797" s="91"/>
      <c r="B4797" s="91"/>
      <c r="C4797" s="91"/>
      <c r="D4797" s="91"/>
      <c r="E4797" s="91"/>
      <c r="G4797" s="104"/>
      <c r="H4797" s="140"/>
    </row>
    <row r="4798" spans="1:9" s="65" customFormat="1">
      <c r="A4798" s="120"/>
      <c r="B4798" s="73"/>
      <c r="C4798" s="73"/>
      <c r="D4798" s="73"/>
      <c r="E4798" s="73"/>
      <c r="G4798" s="121"/>
      <c r="H4798" s="140"/>
    </row>
    <row r="4799" spans="1:9" s="65" customFormat="1">
      <c r="A4799" s="128"/>
      <c r="B4799" s="141"/>
      <c r="C4799" s="141"/>
      <c r="D4799" s="141"/>
      <c r="E4799" s="141"/>
      <c r="F4799" s="141"/>
      <c r="G4799" s="141"/>
      <c r="H4799" s="140"/>
    </row>
    <row r="4800" spans="1:9" s="65" customFormat="1">
      <c r="A4800" s="142"/>
      <c r="B4800" s="143"/>
      <c r="C4800" s="143"/>
      <c r="D4800" s="143"/>
      <c r="E4800" s="143"/>
      <c r="F4800" s="84"/>
      <c r="G4800" s="144"/>
      <c r="H4800" s="145"/>
    </row>
    <row r="4801" spans="1:9" s="65" customFormat="1">
      <c r="A4801" s="91"/>
      <c r="B4801" s="91"/>
      <c r="C4801" s="91"/>
      <c r="D4801" s="91"/>
      <c r="E4801" s="91"/>
      <c r="G4801" s="104"/>
      <c r="H4801" s="140"/>
    </row>
    <row r="4802" spans="1:9" s="65" customFormat="1">
      <c r="A4802" s="120"/>
      <c r="B4802" s="73"/>
      <c r="C4802" s="73"/>
      <c r="D4802" s="73"/>
      <c r="E4802" s="73"/>
      <c r="G4802" s="121"/>
      <c r="H4802" s="140"/>
    </row>
    <row r="4803" spans="1:9" s="65" customFormat="1">
      <c r="A4803" s="128"/>
      <c r="B4803" s="141"/>
      <c r="C4803" s="141"/>
      <c r="D4803" s="141"/>
      <c r="E4803" s="141"/>
      <c r="F4803" s="141"/>
      <c r="G4803" s="141"/>
      <c r="H4803" s="140"/>
    </row>
    <row r="4804" spans="1:9" s="65" customFormat="1">
      <c r="A4804" s="142"/>
      <c r="B4804" s="143"/>
      <c r="C4804" s="143"/>
      <c r="D4804" s="143"/>
      <c r="E4804" s="143"/>
      <c r="F4804" s="84"/>
      <c r="G4804" s="144"/>
      <c r="H4804" s="145"/>
    </row>
    <row r="4805" spans="1:9" s="65" customFormat="1">
      <c r="A4805" s="123"/>
      <c r="B4805" s="95"/>
      <c r="C4805" s="95"/>
      <c r="D4805" s="95"/>
      <c r="E4805" s="95"/>
      <c r="G4805" s="104"/>
      <c r="H4805" s="121"/>
    </row>
    <row r="4806" spans="1:9" s="65" customFormat="1">
      <c r="A4806" s="123"/>
      <c r="B4806" s="95"/>
      <c r="C4806" s="95"/>
      <c r="D4806" s="95"/>
      <c r="E4806" s="95"/>
      <c r="G4806" s="121"/>
      <c r="H4806" s="133"/>
    </row>
    <row r="4807" spans="1:9" s="65" customFormat="1">
      <c r="B4807" s="97"/>
      <c r="C4807" s="98"/>
      <c r="D4807" s="98"/>
      <c r="E4807" s="98"/>
      <c r="G4807" s="128"/>
    </row>
    <row r="4808" spans="1:9" s="65" customFormat="1">
      <c r="B4808" s="97"/>
      <c r="C4808" s="98"/>
      <c r="D4808" s="98"/>
      <c r="E4808" s="98"/>
      <c r="F4808" s="128"/>
      <c r="G4808" s="133"/>
      <c r="H4808" s="134"/>
    </row>
    <row r="4809" spans="1:9" s="65" customFormat="1">
      <c r="A4809" s="633"/>
      <c r="B4809" s="633"/>
      <c r="C4809" s="633"/>
      <c r="D4809" s="633"/>
      <c r="E4809" s="633"/>
      <c r="F4809" s="633"/>
      <c r="G4809" s="633"/>
    </row>
    <row r="4810" spans="1:9" s="65" customFormat="1">
      <c r="H4810" s="157"/>
      <c r="I4810" s="158"/>
    </row>
    <row r="4811" spans="1:9" s="65" customFormat="1">
      <c r="A4811" s="653"/>
      <c r="B4811" s="157"/>
      <c r="C4811" s="157"/>
      <c r="D4811" s="157"/>
      <c r="E4811" s="157"/>
      <c r="F4811" s="157"/>
      <c r="G4811" s="157"/>
      <c r="H4811" s="157"/>
      <c r="I4811" s="159"/>
    </row>
    <row r="4812" spans="1:9" s="65" customFormat="1">
      <c r="A4812" s="653"/>
      <c r="B4812" s="157"/>
      <c r="C4812" s="157"/>
      <c r="D4812" s="157"/>
      <c r="E4812" s="157"/>
      <c r="F4812" s="157"/>
      <c r="G4812" s="157"/>
    </row>
    <row r="4813" spans="1:9" s="65" customFormat="1">
      <c r="A4813" s="69"/>
      <c r="B4813" s="69"/>
      <c r="C4813" s="69"/>
      <c r="D4813" s="69"/>
      <c r="E4813" s="69"/>
    </row>
    <row r="4814" spans="1:9" s="65" customFormat="1">
      <c r="A4814" s="120"/>
      <c r="B4814" s="73"/>
      <c r="C4814" s="73"/>
      <c r="D4814" s="73"/>
      <c r="E4814" s="73"/>
      <c r="F4814" s="121"/>
      <c r="G4814" s="121"/>
      <c r="H4814" s="121"/>
    </row>
    <row r="4815" spans="1:9" s="65" customFormat="1">
      <c r="A4815" s="128"/>
      <c r="B4815" s="141"/>
      <c r="C4815" s="141"/>
      <c r="D4815" s="141"/>
      <c r="E4815" s="141"/>
      <c r="F4815" s="141"/>
      <c r="G4815" s="141"/>
      <c r="H4815" s="121"/>
    </row>
    <row r="4816" spans="1:9" s="65" customFormat="1">
      <c r="A4816" s="142"/>
      <c r="B4816" s="143"/>
      <c r="C4816" s="143"/>
      <c r="D4816" s="143"/>
      <c r="E4816" s="143"/>
      <c r="F4816" s="84"/>
      <c r="G4816" s="144"/>
      <c r="H4816" s="145"/>
    </row>
    <row r="4817" spans="1:8" s="65" customFormat="1">
      <c r="A4817" s="84"/>
      <c r="B4817" s="83"/>
      <c r="C4817" s="84"/>
      <c r="D4817" s="84"/>
      <c r="E4817" s="84"/>
      <c r="G4817" s="104"/>
      <c r="H4817" s="140"/>
    </row>
    <row r="4818" spans="1:8" s="65" customFormat="1">
      <c r="A4818" s="120"/>
      <c r="B4818" s="73"/>
      <c r="C4818" s="73"/>
      <c r="D4818" s="73"/>
      <c r="E4818" s="73"/>
      <c r="G4818" s="121"/>
      <c r="H4818" s="140"/>
    </row>
    <row r="4819" spans="1:8" s="65" customFormat="1">
      <c r="A4819" s="128"/>
      <c r="B4819" s="141"/>
      <c r="C4819" s="141"/>
      <c r="D4819" s="141"/>
      <c r="E4819" s="141"/>
      <c r="F4819" s="141"/>
      <c r="G4819" s="141"/>
      <c r="H4819" s="140"/>
    </row>
    <row r="4820" spans="1:8" s="65" customFormat="1">
      <c r="A4820" s="150"/>
      <c r="B4820" s="83"/>
      <c r="C4820" s="148"/>
      <c r="D4820" s="160"/>
      <c r="E4820" s="84"/>
      <c r="F4820" s="84"/>
      <c r="G4820" s="144"/>
      <c r="H4820" s="145"/>
    </row>
    <row r="4821" spans="1:8" s="65" customFormat="1">
      <c r="A4821" s="91"/>
      <c r="B4821" s="91"/>
      <c r="C4821" s="91"/>
      <c r="D4821" s="91"/>
      <c r="E4821" s="91"/>
      <c r="G4821" s="104"/>
      <c r="H4821" s="140"/>
    </row>
    <row r="4822" spans="1:8" s="65" customFormat="1">
      <c r="A4822" s="120"/>
      <c r="B4822" s="73"/>
      <c r="C4822" s="73"/>
      <c r="D4822" s="73"/>
      <c r="E4822" s="73"/>
      <c r="G4822" s="121"/>
      <c r="H4822" s="140"/>
    </row>
    <row r="4823" spans="1:8" s="65" customFormat="1">
      <c r="A4823" s="128"/>
      <c r="B4823" s="141"/>
      <c r="C4823" s="141"/>
      <c r="D4823" s="141"/>
      <c r="E4823" s="141"/>
      <c r="F4823" s="141"/>
      <c r="G4823" s="141"/>
      <c r="H4823" s="140"/>
    </row>
    <row r="4824" spans="1:8" s="65" customFormat="1">
      <c r="A4824" s="142"/>
      <c r="B4824" s="143"/>
      <c r="C4824" s="143"/>
      <c r="D4824" s="143"/>
      <c r="E4824" s="143"/>
      <c r="F4824" s="84"/>
      <c r="G4824" s="144"/>
      <c r="H4824" s="145"/>
    </row>
    <row r="4825" spans="1:8" s="65" customFormat="1">
      <c r="A4825" s="91"/>
      <c r="B4825" s="91"/>
      <c r="C4825" s="91"/>
      <c r="D4825" s="91"/>
      <c r="E4825" s="91"/>
      <c r="G4825" s="104"/>
      <c r="H4825" s="140"/>
    </row>
    <row r="4826" spans="1:8" s="65" customFormat="1">
      <c r="A4826" s="120"/>
      <c r="B4826" s="73"/>
      <c r="C4826" s="73"/>
      <c r="D4826" s="73"/>
      <c r="E4826" s="73"/>
      <c r="G4826" s="121"/>
      <c r="H4826" s="140"/>
    </row>
    <row r="4827" spans="1:8" s="65" customFormat="1">
      <c r="A4827" s="128"/>
      <c r="B4827" s="141"/>
      <c r="C4827" s="141"/>
      <c r="D4827" s="141"/>
      <c r="E4827" s="141"/>
      <c r="F4827" s="141"/>
      <c r="G4827" s="141"/>
      <c r="H4827" s="140"/>
    </row>
    <row r="4828" spans="1:8" s="65" customFormat="1">
      <c r="A4828" s="142"/>
      <c r="B4828" s="143"/>
      <c r="C4828" s="143"/>
      <c r="D4828" s="143"/>
      <c r="E4828" s="143"/>
      <c r="F4828" s="84"/>
      <c r="G4828" s="144"/>
      <c r="H4828" s="145"/>
    </row>
    <row r="4829" spans="1:8" s="65" customFormat="1">
      <c r="A4829" s="123"/>
      <c r="B4829" s="95"/>
      <c r="C4829" s="95"/>
      <c r="D4829" s="95"/>
      <c r="E4829" s="95"/>
      <c r="G4829" s="104"/>
      <c r="H4829" s="121"/>
    </row>
    <row r="4830" spans="1:8" s="65" customFormat="1">
      <c r="A4830" s="123"/>
      <c r="B4830" s="95"/>
      <c r="C4830" s="95"/>
      <c r="D4830" s="95"/>
      <c r="E4830" s="95"/>
      <c r="G4830" s="121"/>
      <c r="H4830" s="133"/>
    </row>
    <row r="4831" spans="1:8" s="65" customFormat="1">
      <c r="B4831" s="97"/>
      <c r="C4831" s="98"/>
      <c r="D4831" s="98"/>
      <c r="E4831" s="98"/>
      <c r="G4831" s="128"/>
    </row>
    <row r="4832" spans="1:8" s="65" customFormat="1">
      <c r="B4832" s="97"/>
      <c r="C4832" s="98"/>
      <c r="D4832" s="98"/>
      <c r="E4832" s="98"/>
      <c r="F4832" s="128"/>
      <c r="G4832" s="133"/>
      <c r="H4832" s="134"/>
    </row>
    <row r="4833" spans="1:9" s="65" customFormat="1">
      <c r="A4833" s="633"/>
      <c r="B4833" s="633"/>
      <c r="C4833" s="633"/>
      <c r="D4833" s="633"/>
      <c r="E4833" s="633"/>
      <c r="F4833" s="633"/>
      <c r="G4833" s="633"/>
    </row>
    <row r="4834" spans="1:9" s="65" customFormat="1">
      <c r="H4834" s="157"/>
      <c r="I4834" s="158"/>
    </row>
    <row r="4835" spans="1:9" s="65" customFormat="1">
      <c r="A4835" s="653"/>
      <c r="B4835" s="157"/>
      <c r="C4835" s="157"/>
      <c r="D4835" s="157"/>
      <c r="E4835" s="157"/>
      <c r="F4835" s="157"/>
      <c r="G4835" s="157"/>
      <c r="H4835" s="157"/>
      <c r="I4835" s="159"/>
    </row>
    <row r="4836" spans="1:9" s="65" customFormat="1">
      <c r="A4836" s="653"/>
      <c r="B4836" s="157"/>
      <c r="C4836" s="157"/>
      <c r="D4836" s="157"/>
      <c r="E4836" s="157"/>
      <c r="F4836" s="157"/>
      <c r="G4836" s="157"/>
    </row>
    <row r="4837" spans="1:9" s="65" customFormat="1">
      <c r="A4837" s="69"/>
      <c r="B4837" s="69"/>
      <c r="C4837" s="69"/>
      <c r="D4837" s="69"/>
      <c r="E4837" s="69"/>
    </row>
    <row r="4838" spans="1:9" s="65" customFormat="1">
      <c r="A4838" s="120"/>
      <c r="B4838" s="73"/>
      <c r="C4838" s="73"/>
      <c r="D4838" s="73"/>
      <c r="E4838" s="73"/>
      <c r="F4838" s="121"/>
      <c r="G4838" s="121"/>
      <c r="H4838" s="121"/>
    </row>
    <row r="4839" spans="1:9" s="65" customFormat="1">
      <c r="A4839" s="128"/>
      <c r="B4839" s="141"/>
      <c r="C4839" s="141"/>
      <c r="D4839" s="141"/>
      <c r="E4839" s="141"/>
      <c r="F4839" s="141"/>
      <c r="G4839" s="141"/>
      <c r="H4839" s="121"/>
    </row>
    <row r="4840" spans="1:9" s="65" customFormat="1">
      <c r="A4840" s="142"/>
      <c r="B4840" s="143"/>
      <c r="C4840" s="143"/>
      <c r="D4840" s="143"/>
      <c r="E4840" s="143"/>
      <c r="F4840" s="84"/>
      <c r="G4840" s="144"/>
      <c r="H4840" s="145"/>
    </row>
    <row r="4841" spans="1:9" s="65" customFormat="1">
      <c r="A4841" s="84"/>
      <c r="B4841" s="83"/>
      <c r="C4841" s="84"/>
      <c r="D4841" s="84"/>
      <c r="E4841" s="84"/>
      <c r="G4841" s="104"/>
      <c r="H4841" s="140"/>
    </row>
    <row r="4842" spans="1:9" s="65" customFormat="1">
      <c r="A4842" s="120"/>
      <c r="B4842" s="73"/>
      <c r="C4842" s="73"/>
      <c r="D4842" s="73"/>
      <c r="E4842" s="73"/>
      <c r="G4842" s="121"/>
      <c r="H4842" s="140"/>
    </row>
    <row r="4843" spans="1:9" s="65" customFormat="1">
      <c r="A4843" s="128"/>
      <c r="B4843" s="141"/>
      <c r="C4843" s="141"/>
      <c r="D4843" s="141"/>
      <c r="E4843" s="141"/>
      <c r="F4843" s="141"/>
      <c r="G4843" s="141"/>
      <c r="H4843" s="140"/>
    </row>
    <row r="4844" spans="1:9" s="65" customFormat="1">
      <c r="A4844" s="150"/>
      <c r="B4844" s="83"/>
      <c r="C4844" s="148"/>
      <c r="D4844" s="160"/>
      <c r="E4844" s="84"/>
      <c r="F4844" s="84"/>
      <c r="G4844" s="144"/>
      <c r="H4844" s="145"/>
    </row>
    <row r="4845" spans="1:9" s="65" customFormat="1">
      <c r="A4845" s="91"/>
      <c r="B4845" s="91"/>
      <c r="C4845" s="91"/>
      <c r="D4845" s="91"/>
      <c r="E4845" s="91"/>
      <c r="G4845" s="104"/>
      <c r="H4845" s="140"/>
    </row>
    <row r="4846" spans="1:9" s="65" customFormat="1">
      <c r="A4846" s="120"/>
      <c r="B4846" s="73"/>
      <c r="C4846" s="73"/>
      <c r="D4846" s="73"/>
      <c r="E4846" s="73"/>
      <c r="G4846" s="121"/>
      <c r="H4846" s="140"/>
    </row>
    <row r="4847" spans="1:9" s="65" customFormat="1">
      <c r="A4847" s="128"/>
      <c r="B4847" s="141"/>
      <c r="C4847" s="141"/>
      <c r="D4847" s="141"/>
      <c r="E4847" s="141"/>
      <c r="F4847" s="141"/>
      <c r="G4847" s="141"/>
      <c r="H4847" s="140"/>
    </row>
    <row r="4848" spans="1:9" s="65" customFormat="1">
      <c r="A4848" s="142"/>
      <c r="B4848" s="143"/>
      <c r="C4848" s="143"/>
      <c r="D4848" s="143"/>
      <c r="E4848" s="143"/>
      <c r="F4848" s="84"/>
      <c r="G4848" s="144"/>
      <c r="H4848" s="145"/>
    </row>
    <row r="4849" spans="1:9" s="65" customFormat="1">
      <c r="A4849" s="91"/>
      <c r="B4849" s="91"/>
      <c r="C4849" s="91"/>
      <c r="D4849" s="91"/>
      <c r="E4849" s="91"/>
      <c r="G4849" s="104"/>
      <c r="H4849" s="140"/>
    </row>
    <row r="4850" spans="1:9" s="65" customFormat="1">
      <c r="A4850" s="120"/>
      <c r="B4850" s="73"/>
      <c r="C4850" s="73"/>
      <c r="D4850" s="73"/>
      <c r="E4850" s="73"/>
      <c r="G4850" s="121"/>
      <c r="H4850" s="140"/>
    </row>
    <row r="4851" spans="1:9" s="65" customFormat="1">
      <c r="A4851" s="128"/>
      <c r="B4851" s="141"/>
      <c r="C4851" s="141"/>
      <c r="D4851" s="141"/>
      <c r="E4851" s="141"/>
      <c r="F4851" s="141"/>
      <c r="G4851" s="141"/>
      <c r="H4851" s="140"/>
    </row>
    <row r="4852" spans="1:9" s="65" customFormat="1">
      <c r="A4852" s="142"/>
      <c r="B4852" s="143"/>
      <c r="C4852" s="143"/>
      <c r="D4852" s="143"/>
      <c r="E4852" s="143"/>
      <c r="F4852" s="84"/>
      <c r="G4852" s="144"/>
      <c r="H4852" s="145"/>
    </row>
    <row r="4853" spans="1:9" s="65" customFormat="1">
      <c r="A4853" s="123"/>
      <c r="B4853" s="95"/>
      <c r="C4853" s="95"/>
      <c r="D4853" s="95"/>
      <c r="E4853" s="95"/>
      <c r="G4853" s="104"/>
      <c r="H4853" s="121"/>
    </row>
    <row r="4854" spans="1:9" s="65" customFormat="1">
      <c r="A4854" s="123"/>
      <c r="B4854" s="95"/>
      <c r="C4854" s="95"/>
      <c r="D4854" s="95"/>
      <c r="E4854" s="95"/>
      <c r="G4854" s="121"/>
      <c r="H4854" s="133"/>
    </row>
    <row r="4855" spans="1:9" s="65" customFormat="1">
      <c r="B4855" s="97"/>
      <c r="C4855" s="98"/>
      <c r="D4855" s="98"/>
      <c r="E4855" s="98"/>
      <c r="G4855" s="128"/>
    </row>
    <row r="4856" spans="1:9" s="65" customFormat="1">
      <c r="B4856" s="97"/>
      <c r="C4856" s="98"/>
      <c r="D4856" s="98"/>
      <c r="E4856" s="98"/>
      <c r="F4856" s="128"/>
      <c r="G4856" s="133"/>
      <c r="H4856" s="134"/>
    </row>
    <row r="4857" spans="1:9" s="65" customFormat="1">
      <c r="A4857" s="633"/>
      <c r="B4857" s="633"/>
      <c r="C4857" s="633"/>
      <c r="D4857" s="633"/>
      <c r="E4857" s="633"/>
      <c r="F4857" s="633"/>
      <c r="G4857" s="633"/>
    </row>
    <row r="4858" spans="1:9" s="65" customFormat="1">
      <c r="H4858" s="157"/>
      <c r="I4858" s="158"/>
    </row>
    <row r="4859" spans="1:9" s="65" customFormat="1">
      <c r="A4859" s="653"/>
      <c r="B4859" s="157"/>
      <c r="C4859" s="157"/>
      <c r="D4859" s="157"/>
      <c r="E4859" s="157"/>
      <c r="F4859" s="157"/>
      <c r="G4859" s="157"/>
      <c r="H4859" s="157"/>
      <c r="I4859" s="159"/>
    </row>
    <row r="4860" spans="1:9" s="65" customFormat="1">
      <c r="A4860" s="653"/>
      <c r="B4860" s="157"/>
      <c r="C4860" s="157"/>
      <c r="D4860" s="157"/>
      <c r="E4860" s="157"/>
      <c r="F4860" s="157"/>
      <c r="G4860" s="157"/>
    </row>
    <row r="4861" spans="1:9" s="65" customFormat="1">
      <c r="A4861" s="69"/>
      <c r="B4861" s="69"/>
      <c r="C4861" s="69"/>
      <c r="D4861" s="69"/>
      <c r="E4861" s="69"/>
    </row>
    <row r="4862" spans="1:9" s="65" customFormat="1">
      <c r="A4862" s="120"/>
      <c r="B4862" s="73"/>
      <c r="C4862" s="73"/>
      <c r="D4862" s="73"/>
      <c r="E4862" s="73"/>
      <c r="F4862" s="121"/>
      <c r="G4862" s="121"/>
      <c r="H4862" s="121"/>
    </row>
    <row r="4863" spans="1:9" s="65" customFormat="1">
      <c r="A4863" s="128"/>
      <c r="B4863" s="141"/>
      <c r="C4863" s="141"/>
      <c r="D4863" s="141"/>
      <c r="E4863" s="141"/>
      <c r="F4863" s="141"/>
      <c r="G4863" s="141"/>
      <c r="H4863" s="121"/>
    </row>
    <row r="4864" spans="1:9" s="65" customFormat="1">
      <c r="A4864" s="142"/>
      <c r="B4864" s="143"/>
      <c r="C4864" s="143"/>
      <c r="D4864" s="143"/>
      <c r="E4864" s="143"/>
      <c r="F4864" s="84"/>
      <c r="G4864" s="144"/>
      <c r="H4864" s="145"/>
    </row>
    <row r="4865" spans="1:8" s="65" customFormat="1">
      <c r="A4865" s="84"/>
      <c r="B4865" s="83"/>
      <c r="C4865" s="84"/>
      <c r="D4865" s="84"/>
      <c r="E4865" s="84"/>
      <c r="G4865" s="104"/>
      <c r="H4865" s="140"/>
    </row>
    <row r="4866" spans="1:8" s="65" customFormat="1">
      <c r="A4866" s="120"/>
      <c r="B4866" s="73"/>
      <c r="C4866" s="73"/>
      <c r="D4866" s="73"/>
      <c r="E4866" s="73"/>
      <c r="G4866" s="121"/>
      <c r="H4866" s="140"/>
    </row>
    <row r="4867" spans="1:8" s="65" customFormat="1">
      <c r="A4867" s="128"/>
      <c r="B4867" s="141"/>
      <c r="C4867" s="141"/>
      <c r="D4867" s="141"/>
      <c r="E4867" s="141"/>
      <c r="F4867" s="141"/>
      <c r="G4867" s="141"/>
      <c r="H4867" s="140"/>
    </row>
    <row r="4868" spans="1:8" s="65" customFormat="1">
      <c r="A4868" s="150"/>
      <c r="B4868" s="83"/>
      <c r="C4868" s="148"/>
      <c r="D4868" s="160"/>
      <c r="E4868" s="84"/>
      <c r="F4868" s="84"/>
      <c r="G4868" s="144"/>
      <c r="H4868" s="145"/>
    </row>
    <row r="4869" spans="1:8" s="65" customFormat="1">
      <c r="A4869" s="91"/>
      <c r="B4869" s="91"/>
      <c r="C4869" s="91"/>
      <c r="D4869" s="91"/>
      <c r="E4869" s="91"/>
      <c r="G4869" s="104"/>
      <c r="H4869" s="140"/>
    </row>
    <row r="4870" spans="1:8" s="65" customFormat="1">
      <c r="A4870" s="120"/>
      <c r="B4870" s="73"/>
      <c r="C4870" s="73"/>
      <c r="D4870" s="73"/>
      <c r="E4870" s="73"/>
      <c r="G4870" s="121"/>
      <c r="H4870" s="140"/>
    </row>
    <row r="4871" spans="1:8" s="65" customFormat="1">
      <c r="A4871" s="128"/>
      <c r="B4871" s="141"/>
      <c r="C4871" s="141"/>
      <c r="D4871" s="141"/>
      <c r="E4871" s="141"/>
      <c r="F4871" s="141"/>
      <c r="G4871" s="141"/>
      <c r="H4871" s="140"/>
    </row>
    <row r="4872" spans="1:8" s="65" customFormat="1">
      <c r="A4872" s="142"/>
      <c r="B4872" s="143"/>
      <c r="C4872" s="143"/>
      <c r="D4872" s="143"/>
      <c r="E4872" s="143"/>
      <c r="F4872" s="84"/>
      <c r="G4872" s="144"/>
      <c r="H4872" s="145"/>
    </row>
    <row r="4873" spans="1:8" s="65" customFormat="1">
      <c r="A4873" s="91"/>
      <c r="B4873" s="91"/>
      <c r="C4873" s="91"/>
      <c r="D4873" s="91"/>
      <c r="E4873" s="91"/>
      <c r="G4873" s="104"/>
      <c r="H4873" s="140"/>
    </row>
    <row r="4874" spans="1:8" s="65" customFormat="1">
      <c r="A4874" s="120"/>
      <c r="B4874" s="73"/>
      <c r="C4874" s="73"/>
      <c r="D4874" s="73"/>
      <c r="E4874" s="73"/>
      <c r="G4874" s="121"/>
      <c r="H4874" s="140"/>
    </row>
    <row r="4875" spans="1:8" s="65" customFormat="1">
      <c r="A4875" s="128"/>
      <c r="B4875" s="141"/>
      <c r="C4875" s="141"/>
      <c r="D4875" s="141"/>
      <c r="E4875" s="141"/>
      <c r="F4875" s="141"/>
      <c r="G4875" s="141"/>
      <c r="H4875" s="140"/>
    </row>
    <row r="4876" spans="1:8" s="65" customFormat="1">
      <c r="A4876" s="142"/>
      <c r="B4876" s="143"/>
      <c r="C4876" s="143"/>
      <c r="D4876" s="143"/>
      <c r="E4876" s="143"/>
      <c r="F4876" s="84"/>
      <c r="G4876" s="144"/>
      <c r="H4876" s="145"/>
    </row>
    <row r="4877" spans="1:8" s="65" customFormat="1">
      <c r="A4877" s="123"/>
      <c r="B4877" s="95"/>
      <c r="C4877" s="95"/>
      <c r="D4877" s="95"/>
      <c r="E4877" s="95"/>
      <c r="G4877" s="104"/>
      <c r="H4877" s="121"/>
    </row>
    <row r="4878" spans="1:8" s="65" customFormat="1">
      <c r="A4878" s="123"/>
      <c r="B4878" s="95"/>
      <c r="C4878" s="95"/>
      <c r="D4878" s="95"/>
      <c r="E4878" s="95"/>
      <c r="G4878" s="121"/>
      <c r="H4878" s="133"/>
    </row>
    <row r="4879" spans="1:8" s="65" customFormat="1">
      <c r="B4879" s="97"/>
      <c r="C4879" s="98"/>
      <c r="D4879" s="98"/>
      <c r="E4879" s="98"/>
      <c r="G4879" s="128"/>
    </row>
    <row r="4880" spans="1:8" s="65" customFormat="1">
      <c r="B4880" s="97"/>
      <c r="C4880" s="98"/>
      <c r="D4880" s="98"/>
      <c r="E4880" s="98"/>
      <c r="F4880" s="128"/>
      <c r="G4880" s="133"/>
      <c r="H4880" s="134"/>
    </row>
    <row r="4881" spans="1:9" s="65" customFormat="1">
      <c r="A4881" s="633"/>
      <c r="B4881" s="633"/>
      <c r="C4881" s="633"/>
      <c r="D4881" s="633"/>
      <c r="E4881" s="633"/>
      <c r="F4881" s="633"/>
      <c r="G4881" s="633"/>
    </row>
    <row r="4882" spans="1:9" s="65" customFormat="1">
      <c r="H4882" s="156"/>
      <c r="I4882" s="151"/>
    </row>
    <row r="4883" spans="1:9" s="65" customFormat="1">
      <c r="A4883" s="645"/>
      <c r="B4883" s="156"/>
      <c r="C4883" s="156"/>
      <c r="D4883" s="156"/>
      <c r="E4883" s="156"/>
      <c r="F4883" s="156"/>
      <c r="G4883" s="156"/>
      <c r="H4883" s="156"/>
      <c r="I4883" s="152"/>
    </row>
    <row r="4884" spans="1:9" s="65" customFormat="1">
      <c r="A4884" s="645"/>
      <c r="B4884" s="156"/>
      <c r="C4884" s="156"/>
      <c r="D4884" s="156"/>
      <c r="E4884" s="156"/>
      <c r="F4884" s="156"/>
      <c r="G4884" s="156"/>
    </row>
    <row r="4885" spans="1:9" s="65" customFormat="1">
      <c r="A4885" s="69"/>
      <c r="B4885" s="69"/>
      <c r="C4885" s="69"/>
      <c r="D4885" s="69"/>
      <c r="E4885" s="69"/>
    </row>
    <row r="4886" spans="1:9" s="65" customFormat="1">
      <c r="A4886" s="120"/>
      <c r="B4886" s="73"/>
      <c r="C4886" s="73"/>
      <c r="D4886" s="73"/>
      <c r="E4886" s="73"/>
      <c r="F4886" s="121"/>
      <c r="G4886" s="121"/>
      <c r="H4886" s="121"/>
    </row>
    <row r="4887" spans="1:9" s="65" customFormat="1">
      <c r="A4887" s="128"/>
      <c r="B4887" s="141"/>
      <c r="C4887" s="141"/>
      <c r="D4887" s="141"/>
      <c r="E4887" s="141"/>
      <c r="F4887" s="141"/>
      <c r="G4887" s="141"/>
      <c r="H4887" s="121"/>
    </row>
    <row r="4888" spans="1:9" s="65" customFormat="1">
      <c r="A4888" s="142"/>
      <c r="B4888" s="143"/>
      <c r="C4888" s="143"/>
      <c r="D4888" s="143"/>
      <c r="E4888" s="143"/>
      <c r="F4888" s="84"/>
      <c r="G4888" s="144"/>
      <c r="H4888" s="145"/>
    </row>
    <row r="4889" spans="1:9" s="65" customFormat="1">
      <c r="A4889" s="84"/>
      <c r="B4889" s="83"/>
      <c r="C4889" s="84"/>
      <c r="D4889" s="84"/>
      <c r="E4889" s="84"/>
      <c r="G4889" s="104"/>
      <c r="H4889" s="140"/>
    </row>
    <row r="4890" spans="1:9" s="65" customFormat="1">
      <c r="A4890" s="120"/>
      <c r="B4890" s="73"/>
      <c r="C4890" s="73"/>
      <c r="D4890" s="73"/>
      <c r="E4890" s="73"/>
      <c r="G4890" s="121"/>
      <c r="H4890" s="140"/>
    </row>
    <row r="4891" spans="1:9" s="65" customFormat="1">
      <c r="A4891" s="128"/>
      <c r="B4891" s="141"/>
      <c r="C4891" s="141"/>
      <c r="D4891" s="141"/>
      <c r="E4891" s="141"/>
      <c r="F4891" s="141"/>
      <c r="G4891" s="141"/>
      <c r="H4891" s="140"/>
    </row>
    <row r="4892" spans="1:9" s="65" customFormat="1">
      <c r="A4892" s="150"/>
      <c r="B4892" s="83"/>
      <c r="C4892" s="148"/>
      <c r="D4892" s="160"/>
      <c r="E4892" s="84"/>
      <c r="F4892" s="84"/>
      <c r="G4892" s="144"/>
      <c r="H4892" s="145"/>
    </row>
    <row r="4893" spans="1:9" s="65" customFormat="1">
      <c r="A4893" s="91"/>
      <c r="B4893" s="91"/>
      <c r="C4893" s="91"/>
      <c r="D4893" s="91"/>
      <c r="E4893" s="91"/>
      <c r="G4893" s="104"/>
      <c r="H4893" s="140"/>
    </row>
    <row r="4894" spans="1:9" s="65" customFormat="1">
      <c r="A4894" s="120"/>
      <c r="B4894" s="73"/>
      <c r="C4894" s="73"/>
      <c r="D4894" s="73"/>
      <c r="E4894" s="73"/>
      <c r="G4894" s="121"/>
      <c r="H4894" s="140"/>
    </row>
    <row r="4895" spans="1:9" s="65" customFormat="1">
      <c r="A4895" s="128"/>
      <c r="B4895" s="141"/>
      <c r="C4895" s="141"/>
      <c r="D4895" s="141"/>
      <c r="E4895" s="141"/>
      <c r="F4895" s="141"/>
      <c r="G4895" s="141"/>
      <c r="H4895" s="140"/>
    </row>
    <row r="4896" spans="1:9" s="65" customFormat="1">
      <c r="A4896" s="142"/>
      <c r="B4896" s="143"/>
      <c r="C4896" s="143"/>
      <c r="D4896" s="143"/>
      <c r="E4896" s="143"/>
      <c r="F4896" s="84"/>
      <c r="G4896" s="144"/>
      <c r="H4896" s="145"/>
    </row>
    <row r="4897" spans="1:9" s="65" customFormat="1">
      <c r="A4897" s="91"/>
      <c r="B4897" s="91"/>
      <c r="C4897" s="91"/>
      <c r="D4897" s="91"/>
      <c r="E4897" s="91"/>
      <c r="G4897" s="104"/>
      <c r="H4897" s="140"/>
    </row>
    <row r="4898" spans="1:9" s="65" customFormat="1">
      <c r="A4898" s="120"/>
      <c r="B4898" s="73"/>
      <c r="C4898" s="73"/>
      <c r="D4898" s="73"/>
      <c r="E4898" s="73"/>
      <c r="G4898" s="121"/>
      <c r="H4898" s="140"/>
    </row>
    <row r="4899" spans="1:9" s="65" customFormat="1">
      <c r="A4899" s="128"/>
      <c r="B4899" s="141"/>
      <c r="C4899" s="141"/>
      <c r="D4899" s="141"/>
      <c r="E4899" s="141"/>
      <c r="F4899" s="141"/>
      <c r="G4899" s="141"/>
      <c r="H4899" s="140"/>
    </row>
    <row r="4900" spans="1:9" s="65" customFormat="1">
      <c r="A4900" s="142"/>
      <c r="B4900" s="143"/>
      <c r="C4900" s="143"/>
      <c r="D4900" s="143"/>
      <c r="E4900" s="143"/>
      <c r="F4900" s="84"/>
      <c r="G4900" s="144"/>
      <c r="H4900" s="145"/>
    </row>
    <row r="4901" spans="1:9" s="65" customFormat="1">
      <c r="A4901" s="123"/>
      <c r="B4901" s="95"/>
      <c r="C4901" s="95"/>
      <c r="D4901" s="95"/>
      <c r="E4901" s="95"/>
      <c r="G4901" s="104"/>
      <c r="H4901" s="121"/>
    </row>
    <row r="4902" spans="1:9" s="65" customFormat="1">
      <c r="A4902" s="123"/>
      <c r="B4902" s="95"/>
      <c r="C4902" s="95"/>
      <c r="D4902" s="95"/>
      <c r="E4902" s="95"/>
      <c r="G4902" s="121"/>
      <c r="H4902" s="133"/>
    </row>
    <row r="4903" spans="1:9" s="65" customFormat="1">
      <c r="B4903" s="97"/>
      <c r="C4903" s="98"/>
      <c r="D4903" s="98"/>
      <c r="E4903" s="98"/>
      <c r="G4903" s="128"/>
    </row>
    <row r="4904" spans="1:9" s="65" customFormat="1">
      <c r="B4904" s="97"/>
      <c r="C4904" s="98"/>
      <c r="D4904" s="98"/>
      <c r="E4904" s="98"/>
      <c r="F4904" s="128"/>
      <c r="G4904" s="133"/>
      <c r="H4904" s="134"/>
    </row>
    <row r="4905" spans="1:9" s="65" customFormat="1">
      <c r="A4905" s="633"/>
      <c r="B4905" s="633"/>
      <c r="C4905" s="633"/>
      <c r="D4905" s="633"/>
      <c r="E4905" s="633"/>
      <c r="F4905" s="633"/>
      <c r="G4905" s="633"/>
    </row>
    <row r="4906" spans="1:9" s="65" customFormat="1">
      <c r="H4906" s="156"/>
      <c r="I4906" s="151"/>
    </row>
    <row r="4907" spans="1:9" s="65" customFormat="1">
      <c r="A4907" s="645"/>
      <c r="B4907" s="156"/>
      <c r="C4907" s="156"/>
      <c r="D4907" s="156"/>
      <c r="E4907" s="156"/>
      <c r="F4907" s="156"/>
      <c r="G4907" s="156"/>
      <c r="H4907" s="156"/>
      <c r="I4907" s="152"/>
    </row>
    <row r="4908" spans="1:9" s="65" customFormat="1">
      <c r="A4908" s="645"/>
      <c r="B4908" s="156"/>
      <c r="C4908" s="156"/>
      <c r="D4908" s="156"/>
      <c r="E4908" s="156"/>
      <c r="F4908" s="156"/>
      <c r="G4908" s="156"/>
    </row>
    <row r="4909" spans="1:9" s="65" customFormat="1">
      <c r="A4909" s="69"/>
      <c r="B4909" s="69"/>
      <c r="C4909" s="69"/>
      <c r="D4909" s="69"/>
      <c r="E4909" s="69"/>
    </row>
    <row r="4910" spans="1:9" s="65" customFormat="1">
      <c r="A4910" s="120"/>
      <c r="B4910" s="73"/>
      <c r="C4910" s="73"/>
      <c r="D4910" s="73"/>
      <c r="E4910" s="73"/>
      <c r="F4910" s="121"/>
      <c r="G4910" s="121"/>
      <c r="H4910" s="121"/>
    </row>
    <row r="4911" spans="1:9" s="65" customFormat="1">
      <c r="A4911" s="128"/>
      <c r="B4911" s="141"/>
      <c r="C4911" s="141"/>
      <c r="D4911" s="141"/>
      <c r="E4911" s="141"/>
      <c r="F4911" s="141"/>
      <c r="G4911" s="141"/>
      <c r="H4911" s="121"/>
    </row>
    <row r="4912" spans="1:9" s="65" customFormat="1">
      <c r="A4912" s="142"/>
      <c r="B4912" s="143"/>
      <c r="C4912" s="143"/>
      <c r="D4912" s="143"/>
      <c r="E4912" s="143"/>
      <c r="F4912" s="84"/>
      <c r="G4912" s="144"/>
      <c r="H4912" s="145"/>
    </row>
    <row r="4913" spans="1:8" s="65" customFormat="1">
      <c r="A4913" s="84"/>
      <c r="B4913" s="83"/>
      <c r="C4913" s="84"/>
      <c r="D4913" s="84"/>
      <c r="E4913" s="84"/>
      <c r="G4913" s="104"/>
      <c r="H4913" s="140"/>
    </row>
    <row r="4914" spans="1:8" s="65" customFormat="1">
      <c r="A4914" s="120"/>
      <c r="B4914" s="73"/>
      <c r="C4914" s="73"/>
      <c r="D4914" s="73"/>
      <c r="E4914" s="73"/>
      <c r="G4914" s="121"/>
      <c r="H4914" s="140"/>
    </row>
    <row r="4915" spans="1:8" s="65" customFormat="1">
      <c r="A4915" s="128"/>
      <c r="B4915" s="141"/>
      <c r="C4915" s="141"/>
      <c r="D4915" s="141"/>
      <c r="E4915" s="141"/>
      <c r="F4915" s="141"/>
      <c r="G4915" s="141"/>
      <c r="H4915" s="140"/>
    </row>
    <row r="4916" spans="1:8" s="65" customFormat="1">
      <c r="A4916" s="150"/>
      <c r="B4916" s="83"/>
      <c r="C4916" s="148"/>
      <c r="D4916" s="160"/>
      <c r="E4916" s="84"/>
      <c r="F4916" s="84"/>
      <c r="G4916" s="144"/>
      <c r="H4916" s="145"/>
    </row>
    <row r="4917" spans="1:8" s="65" customFormat="1">
      <c r="A4917" s="91"/>
      <c r="B4917" s="91"/>
      <c r="C4917" s="91"/>
      <c r="D4917" s="91"/>
      <c r="E4917" s="91"/>
      <c r="G4917" s="104"/>
      <c r="H4917" s="140"/>
    </row>
    <row r="4918" spans="1:8" s="65" customFormat="1">
      <c r="A4918" s="120"/>
      <c r="B4918" s="73"/>
      <c r="C4918" s="73"/>
      <c r="D4918" s="73"/>
      <c r="E4918" s="73"/>
      <c r="G4918" s="121"/>
      <c r="H4918" s="140"/>
    </row>
    <row r="4919" spans="1:8" s="65" customFormat="1">
      <c r="A4919" s="128"/>
      <c r="B4919" s="141"/>
      <c r="C4919" s="141"/>
      <c r="D4919" s="141"/>
      <c r="E4919" s="141"/>
      <c r="F4919" s="141"/>
      <c r="G4919" s="141"/>
      <c r="H4919" s="140"/>
    </row>
    <row r="4920" spans="1:8" s="65" customFormat="1">
      <c r="A4920" s="142"/>
      <c r="B4920" s="143"/>
      <c r="C4920" s="143"/>
      <c r="D4920" s="143"/>
      <c r="E4920" s="143"/>
      <c r="F4920" s="84"/>
      <c r="G4920" s="144"/>
      <c r="H4920" s="145"/>
    </row>
    <row r="4921" spans="1:8" s="65" customFormat="1">
      <c r="A4921" s="91"/>
      <c r="B4921" s="91"/>
      <c r="C4921" s="91"/>
      <c r="D4921" s="91"/>
      <c r="E4921" s="91"/>
      <c r="G4921" s="104"/>
      <c r="H4921" s="140"/>
    </row>
    <row r="4922" spans="1:8" s="65" customFormat="1">
      <c r="A4922" s="120"/>
      <c r="B4922" s="73"/>
      <c r="C4922" s="73"/>
      <c r="D4922" s="73"/>
      <c r="E4922" s="73"/>
      <c r="G4922" s="121"/>
      <c r="H4922" s="140"/>
    </row>
    <row r="4923" spans="1:8" s="65" customFormat="1">
      <c r="A4923" s="128"/>
      <c r="B4923" s="141"/>
      <c r="C4923" s="141"/>
      <c r="D4923" s="141"/>
      <c r="E4923" s="141"/>
      <c r="F4923" s="141"/>
      <c r="G4923" s="141"/>
      <c r="H4923" s="140"/>
    </row>
    <row r="4924" spans="1:8" s="65" customFormat="1">
      <c r="A4924" s="142"/>
      <c r="B4924" s="143"/>
      <c r="C4924" s="143"/>
      <c r="D4924" s="143"/>
      <c r="E4924" s="143"/>
      <c r="F4924" s="84"/>
      <c r="G4924" s="144"/>
      <c r="H4924" s="145"/>
    </row>
    <row r="4925" spans="1:8" s="65" customFormat="1">
      <c r="A4925" s="123"/>
      <c r="B4925" s="95"/>
      <c r="C4925" s="95"/>
      <c r="D4925" s="95"/>
      <c r="E4925" s="95"/>
      <c r="G4925" s="104"/>
      <c r="H4925" s="121"/>
    </row>
    <row r="4926" spans="1:8" s="65" customFormat="1">
      <c r="A4926" s="123"/>
      <c r="B4926" s="95"/>
      <c r="C4926" s="95"/>
      <c r="D4926" s="95"/>
      <c r="E4926" s="95"/>
      <c r="G4926" s="121"/>
      <c r="H4926" s="133"/>
    </row>
    <row r="4927" spans="1:8" s="65" customFormat="1">
      <c r="B4927" s="97"/>
      <c r="C4927" s="98"/>
      <c r="D4927" s="98"/>
      <c r="E4927" s="98"/>
      <c r="G4927" s="128"/>
    </row>
    <row r="4928" spans="1:8" s="65" customFormat="1">
      <c r="B4928" s="97"/>
      <c r="C4928" s="98"/>
      <c r="D4928" s="98"/>
      <c r="E4928" s="98"/>
      <c r="F4928" s="128"/>
      <c r="G4928" s="133"/>
      <c r="H4928" s="134"/>
    </row>
    <row r="4929" spans="1:9" s="65" customFormat="1">
      <c r="A4929" s="633"/>
      <c r="B4929" s="633"/>
      <c r="C4929" s="633"/>
      <c r="D4929" s="633"/>
      <c r="E4929" s="633"/>
      <c r="F4929" s="633"/>
      <c r="G4929" s="633"/>
    </row>
    <row r="4930" spans="1:9" s="65" customFormat="1">
      <c r="H4930" s="156"/>
      <c r="I4930" s="151"/>
    </row>
    <row r="4931" spans="1:9" s="65" customFormat="1">
      <c r="A4931" s="645"/>
      <c r="B4931" s="156"/>
      <c r="C4931" s="156"/>
      <c r="D4931" s="156"/>
      <c r="E4931" s="156"/>
      <c r="F4931" s="156"/>
      <c r="G4931" s="156"/>
      <c r="H4931" s="156"/>
      <c r="I4931" s="152"/>
    </row>
    <row r="4932" spans="1:9" s="65" customFormat="1">
      <c r="A4932" s="645"/>
      <c r="B4932" s="156"/>
      <c r="C4932" s="156"/>
      <c r="D4932" s="156"/>
      <c r="E4932" s="156"/>
      <c r="F4932" s="156"/>
      <c r="G4932" s="156"/>
    </row>
    <row r="4933" spans="1:9" s="65" customFormat="1">
      <c r="A4933" s="69"/>
      <c r="B4933" s="69"/>
      <c r="C4933" s="69"/>
      <c r="D4933" s="69"/>
      <c r="E4933" s="69"/>
    </row>
    <row r="4934" spans="1:9" s="65" customFormat="1">
      <c r="A4934" s="120"/>
      <c r="B4934" s="73"/>
      <c r="C4934" s="73"/>
      <c r="D4934" s="73"/>
      <c r="E4934" s="73"/>
      <c r="F4934" s="121"/>
      <c r="G4934" s="121"/>
      <c r="H4934" s="121"/>
    </row>
    <row r="4935" spans="1:9" s="65" customFormat="1">
      <c r="A4935" s="128"/>
      <c r="B4935" s="141"/>
      <c r="C4935" s="141"/>
      <c r="D4935" s="141"/>
      <c r="E4935" s="141"/>
      <c r="F4935" s="141"/>
      <c r="G4935" s="141"/>
      <c r="H4935" s="121"/>
    </row>
    <row r="4936" spans="1:9" s="65" customFormat="1">
      <c r="A4936" s="142"/>
      <c r="B4936" s="143"/>
      <c r="C4936" s="143"/>
      <c r="D4936" s="143"/>
      <c r="E4936" s="143"/>
      <c r="F4936" s="84"/>
      <c r="G4936" s="144"/>
      <c r="H4936" s="145"/>
    </row>
    <row r="4937" spans="1:9" s="65" customFormat="1">
      <c r="A4937" s="84"/>
      <c r="B4937" s="83"/>
      <c r="C4937" s="84"/>
      <c r="D4937" s="84"/>
      <c r="E4937" s="84"/>
      <c r="G4937" s="104"/>
      <c r="H4937" s="140"/>
    </row>
    <row r="4938" spans="1:9" s="65" customFormat="1">
      <c r="A4938" s="120"/>
      <c r="B4938" s="73"/>
      <c r="C4938" s="73"/>
      <c r="D4938" s="73"/>
      <c r="E4938" s="73"/>
      <c r="G4938" s="121"/>
      <c r="H4938" s="140"/>
    </row>
    <row r="4939" spans="1:9" s="65" customFormat="1">
      <c r="A4939" s="128"/>
      <c r="B4939" s="141"/>
      <c r="C4939" s="141"/>
      <c r="D4939" s="141"/>
      <c r="E4939" s="141"/>
      <c r="F4939" s="141"/>
      <c r="G4939" s="141"/>
      <c r="H4939" s="140"/>
    </row>
    <row r="4940" spans="1:9" s="65" customFormat="1">
      <c r="A4940" s="150"/>
      <c r="B4940" s="83"/>
      <c r="C4940" s="148"/>
      <c r="D4940" s="160"/>
      <c r="E4940" s="84"/>
      <c r="F4940" s="84"/>
      <c r="G4940" s="144"/>
      <c r="H4940" s="145"/>
    </row>
    <row r="4941" spans="1:9" s="65" customFormat="1">
      <c r="A4941" s="91"/>
      <c r="B4941" s="91"/>
      <c r="C4941" s="91"/>
      <c r="D4941" s="91"/>
      <c r="E4941" s="91"/>
      <c r="G4941" s="104"/>
      <c r="H4941" s="140"/>
    </row>
    <row r="4942" spans="1:9" s="65" customFormat="1">
      <c r="A4942" s="120"/>
      <c r="B4942" s="73"/>
      <c r="C4942" s="73"/>
      <c r="D4942" s="73"/>
      <c r="E4942" s="73"/>
      <c r="G4942" s="121"/>
      <c r="H4942" s="140"/>
    </row>
    <row r="4943" spans="1:9" s="65" customFormat="1">
      <c r="A4943" s="128"/>
      <c r="B4943" s="141"/>
      <c r="C4943" s="141"/>
      <c r="D4943" s="141"/>
      <c r="E4943" s="141"/>
      <c r="F4943" s="141"/>
      <c r="G4943" s="141"/>
      <c r="H4943" s="140"/>
    </row>
    <row r="4944" spans="1:9" s="65" customFormat="1">
      <c r="A4944" s="142"/>
      <c r="B4944" s="143"/>
      <c r="C4944" s="143"/>
      <c r="D4944" s="143"/>
      <c r="E4944" s="143"/>
      <c r="F4944" s="84"/>
      <c r="G4944" s="144"/>
      <c r="H4944" s="145"/>
    </row>
    <row r="4945" spans="1:9" s="65" customFormat="1">
      <c r="A4945" s="91"/>
      <c r="B4945" s="91"/>
      <c r="C4945" s="91"/>
      <c r="D4945" s="91"/>
      <c r="E4945" s="91"/>
      <c r="G4945" s="104"/>
      <c r="H4945" s="140"/>
    </row>
    <row r="4946" spans="1:9" s="65" customFormat="1">
      <c r="A4946" s="120"/>
      <c r="B4946" s="73"/>
      <c r="C4946" s="73"/>
      <c r="D4946" s="73"/>
      <c r="E4946" s="73"/>
      <c r="G4946" s="121"/>
      <c r="H4946" s="140"/>
    </row>
    <row r="4947" spans="1:9" s="65" customFormat="1">
      <c r="A4947" s="128"/>
      <c r="B4947" s="141"/>
      <c r="C4947" s="141"/>
      <c r="D4947" s="141"/>
      <c r="E4947" s="141"/>
      <c r="F4947" s="141"/>
      <c r="G4947" s="141"/>
      <c r="H4947" s="140"/>
    </row>
    <row r="4948" spans="1:9" s="65" customFormat="1">
      <c r="A4948" s="142"/>
      <c r="B4948" s="143"/>
      <c r="C4948" s="143"/>
      <c r="D4948" s="143"/>
      <c r="E4948" s="143"/>
      <c r="F4948" s="84"/>
      <c r="G4948" s="144"/>
      <c r="H4948" s="145"/>
    </row>
    <row r="4949" spans="1:9" s="65" customFormat="1">
      <c r="A4949" s="123"/>
      <c r="B4949" s="95"/>
      <c r="C4949" s="95"/>
      <c r="D4949" s="95"/>
      <c r="E4949" s="95"/>
      <c r="G4949" s="104"/>
      <c r="H4949" s="121"/>
    </row>
    <row r="4950" spans="1:9" s="65" customFormat="1">
      <c r="A4950" s="123"/>
      <c r="B4950" s="95"/>
      <c r="C4950" s="95"/>
      <c r="D4950" s="95"/>
      <c r="E4950" s="95"/>
      <c r="G4950" s="121"/>
      <c r="H4950" s="133"/>
    </row>
    <row r="4951" spans="1:9" s="65" customFormat="1">
      <c r="B4951" s="97"/>
      <c r="C4951" s="98"/>
      <c r="D4951" s="98"/>
      <c r="E4951" s="98"/>
      <c r="G4951" s="128"/>
    </row>
    <row r="4952" spans="1:9" s="65" customFormat="1">
      <c r="B4952" s="97"/>
      <c r="C4952" s="98"/>
      <c r="D4952" s="98"/>
      <c r="E4952" s="98"/>
      <c r="F4952" s="128"/>
      <c r="G4952" s="133"/>
      <c r="H4952" s="134"/>
    </row>
    <row r="4953" spans="1:9" s="65" customFormat="1">
      <c r="A4953" s="633"/>
      <c r="B4953" s="633"/>
      <c r="C4953" s="633"/>
      <c r="D4953" s="633"/>
      <c r="E4953" s="633"/>
      <c r="F4953" s="633"/>
      <c r="G4953" s="633"/>
    </row>
    <row r="4954" spans="1:9" s="65" customFormat="1">
      <c r="H4954" s="157"/>
      <c r="I4954" s="158"/>
    </row>
    <row r="4955" spans="1:9" s="65" customFormat="1">
      <c r="A4955" s="653"/>
      <c r="B4955" s="157"/>
      <c r="C4955" s="157"/>
      <c r="D4955" s="157"/>
      <c r="E4955" s="157"/>
      <c r="F4955" s="157"/>
      <c r="G4955" s="157"/>
      <c r="H4955" s="157"/>
      <c r="I4955" s="159"/>
    </row>
    <row r="4956" spans="1:9" s="65" customFormat="1">
      <c r="A4956" s="653"/>
      <c r="B4956" s="157"/>
      <c r="C4956" s="157"/>
      <c r="D4956" s="157"/>
      <c r="E4956" s="157"/>
      <c r="F4956" s="157"/>
      <c r="G4956" s="157"/>
    </row>
    <row r="4957" spans="1:9" s="65" customFormat="1">
      <c r="A4957" s="69"/>
      <c r="B4957" s="69"/>
      <c r="C4957" s="69"/>
      <c r="D4957" s="69"/>
      <c r="E4957" s="69"/>
    </row>
    <row r="4958" spans="1:9" s="65" customFormat="1">
      <c r="A4958" s="120"/>
      <c r="B4958" s="73"/>
      <c r="C4958" s="73"/>
      <c r="D4958" s="73"/>
      <c r="E4958" s="73"/>
      <c r="F4958" s="121"/>
      <c r="G4958" s="121"/>
      <c r="H4958" s="121"/>
    </row>
    <row r="4959" spans="1:9" s="65" customFormat="1">
      <c r="A4959" s="128"/>
      <c r="B4959" s="141"/>
      <c r="C4959" s="141"/>
      <c r="D4959" s="141"/>
      <c r="E4959" s="141"/>
      <c r="F4959" s="141"/>
      <c r="G4959" s="141"/>
      <c r="H4959" s="121"/>
    </row>
    <row r="4960" spans="1:9" s="65" customFormat="1">
      <c r="A4960" s="142"/>
      <c r="B4960" s="143"/>
      <c r="C4960" s="143"/>
      <c r="D4960" s="143"/>
      <c r="E4960" s="143"/>
      <c r="F4960" s="84"/>
      <c r="G4960" s="144"/>
      <c r="H4960" s="145"/>
    </row>
    <row r="4961" spans="1:8" s="65" customFormat="1">
      <c r="A4961" s="84"/>
      <c r="B4961" s="83"/>
      <c r="C4961" s="84"/>
      <c r="D4961" s="84"/>
      <c r="E4961" s="84"/>
      <c r="G4961" s="104"/>
      <c r="H4961" s="140"/>
    </row>
    <row r="4962" spans="1:8" s="65" customFormat="1">
      <c r="A4962" s="120"/>
      <c r="B4962" s="73"/>
      <c r="C4962" s="73"/>
      <c r="D4962" s="73"/>
      <c r="E4962" s="73"/>
      <c r="G4962" s="121"/>
      <c r="H4962" s="140"/>
    </row>
    <row r="4963" spans="1:8" s="65" customFormat="1">
      <c r="A4963" s="128"/>
      <c r="B4963" s="141"/>
      <c r="C4963" s="141"/>
      <c r="D4963" s="141"/>
      <c r="E4963" s="141"/>
      <c r="F4963" s="141"/>
      <c r="G4963" s="141"/>
      <c r="H4963" s="140"/>
    </row>
    <row r="4964" spans="1:8" s="65" customFormat="1">
      <c r="A4964" s="150"/>
      <c r="B4964" s="83"/>
      <c r="C4964" s="148"/>
      <c r="D4964" s="160"/>
      <c r="E4964" s="84"/>
      <c r="F4964" s="84"/>
      <c r="G4964" s="144"/>
      <c r="H4964" s="145"/>
    </row>
    <row r="4965" spans="1:8" s="65" customFormat="1">
      <c r="A4965" s="91"/>
      <c r="B4965" s="91"/>
      <c r="C4965" s="91"/>
      <c r="D4965" s="91"/>
      <c r="E4965" s="91"/>
      <c r="G4965" s="104"/>
      <c r="H4965" s="140"/>
    </row>
    <row r="4966" spans="1:8" s="65" customFormat="1">
      <c r="A4966" s="120"/>
      <c r="B4966" s="73"/>
      <c r="C4966" s="73"/>
      <c r="D4966" s="73"/>
      <c r="E4966" s="73"/>
      <c r="G4966" s="121"/>
      <c r="H4966" s="140"/>
    </row>
    <row r="4967" spans="1:8" s="65" customFormat="1">
      <c r="A4967" s="128"/>
      <c r="B4967" s="141"/>
      <c r="C4967" s="141"/>
      <c r="D4967" s="141"/>
      <c r="E4967" s="141"/>
      <c r="F4967" s="141"/>
      <c r="G4967" s="141"/>
      <c r="H4967" s="140"/>
    </row>
    <row r="4968" spans="1:8" s="65" customFormat="1">
      <c r="A4968" s="142"/>
      <c r="B4968" s="143"/>
      <c r="C4968" s="143"/>
      <c r="D4968" s="143"/>
      <c r="E4968" s="143"/>
      <c r="F4968" s="84"/>
      <c r="G4968" s="144"/>
      <c r="H4968" s="145"/>
    </row>
    <row r="4969" spans="1:8" s="65" customFormat="1">
      <c r="A4969" s="91"/>
      <c r="B4969" s="91"/>
      <c r="C4969" s="91"/>
      <c r="D4969" s="91"/>
      <c r="E4969" s="91"/>
      <c r="G4969" s="104"/>
      <c r="H4969" s="140"/>
    </row>
    <row r="4970" spans="1:8" s="65" customFormat="1">
      <c r="A4970" s="120"/>
      <c r="B4970" s="73"/>
      <c r="C4970" s="73"/>
      <c r="D4970" s="73"/>
      <c r="E4970" s="73"/>
      <c r="G4970" s="121"/>
      <c r="H4970" s="140"/>
    </row>
    <row r="4971" spans="1:8" s="65" customFormat="1">
      <c r="A4971" s="128"/>
      <c r="B4971" s="141"/>
      <c r="C4971" s="141"/>
      <c r="D4971" s="141"/>
      <c r="E4971" s="141"/>
      <c r="F4971" s="141"/>
      <c r="G4971" s="141"/>
      <c r="H4971" s="140"/>
    </row>
    <row r="4972" spans="1:8" s="65" customFormat="1">
      <c r="A4972" s="142"/>
      <c r="B4972" s="143"/>
      <c r="C4972" s="143"/>
      <c r="D4972" s="143"/>
      <c r="E4972" s="143"/>
      <c r="F4972" s="84"/>
      <c r="G4972" s="144"/>
      <c r="H4972" s="145"/>
    </row>
    <row r="4973" spans="1:8" s="65" customFormat="1">
      <c r="A4973" s="123"/>
      <c r="B4973" s="95"/>
      <c r="C4973" s="95"/>
      <c r="D4973" s="95"/>
      <c r="E4973" s="95"/>
      <c r="G4973" s="104"/>
      <c r="H4973" s="121"/>
    </row>
    <row r="4974" spans="1:8" s="65" customFormat="1">
      <c r="A4974" s="123"/>
      <c r="B4974" s="95"/>
      <c r="C4974" s="95"/>
      <c r="D4974" s="95"/>
      <c r="E4974" s="95"/>
      <c r="G4974" s="121"/>
      <c r="H4974" s="133"/>
    </row>
    <row r="4975" spans="1:8" s="65" customFormat="1">
      <c r="B4975" s="97"/>
      <c r="C4975" s="98"/>
      <c r="D4975" s="98"/>
      <c r="E4975" s="98"/>
      <c r="G4975" s="128"/>
    </row>
    <row r="4976" spans="1:8" s="65" customFormat="1">
      <c r="B4976" s="97"/>
      <c r="C4976" s="98"/>
      <c r="D4976" s="98"/>
      <c r="E4976" s="98"/>
      <c r="F4976" s="128"/>
      <c r="G4976" s="133"/>
      <c r="H4976" s="134"/>
    </row>
    <row r="4977" spans="1:9" s="65" customFormat="1">
      <c r="A4977" s="633"/>
      <c r="B4977" s="633"/>
      <c r="C4977" s="633"/>
      <c r="D4977" s="633"/>
      <c r="E4977" s="633"/>
      <c r="F4977" s="633"/>
      <c r="G4977" s="633"/>
    </row>
    <row r="4978" spans="1:9" s="65" customFormat="1">
      <c r="H4978" s="157"/>
      <c r="I4978" s="158"/>
    </row>
    <row r="4979" spans="1:9" s="65" customFormat="1">
      <c r="A4979" s="653"/>
      <c r="B4979" s="157"/>
      <c r="C4979" s="157"/>
      <c r="D4979" s="157"/>
      <c r="E4979" s="157"/>
      <c r="F4979" s="157"/>
      <c r="G4979" s="157"/>
      <c r="H4979" s="157"/>
      <c r="I4979" s="159"/>
    </row>
    <row r="4980" spans="1:9" s="65" customFormat="1">
      <c r="A4980" s="653"/>
      <c r="B4980" s="157"/>
      <c r="C4980" s="157"/>
      <c r="D4980" s="157"/>
      <c r="E4980" s="157"/>
      <c r="F4980" s="157"/>
      <c r="G4980" s="157"/>
    </row>
    <row r="4981" spans="1:9" s="65" customFormat="1">
      <c r="A4981" s="69"/>
      <c r="B4981" s="69"/>
      <c r="C4981" s="69"/>
      <c r="D4981" s="69"/>
      <c r="E4981" s="69"/>
    </row>
    <row r="4982" spans="1:9" s="65" customFormat="1">
      <c r="A4982" s="120"/>
      <c r="B4982" s="73"/>
      <c r="C4982" s="73"/>
      <c r="D4982" s="73"/>
      <c r="E4982" s="73"/>
      <c r="F4982" s="121"/>
      <c r="G4982" s="121"/>
      <c r="H4982" s="121"/>
    </row>
    <row r="4983" spans="1:9" s="65" customFormat="1">
      <c r="A4983" s="128"/>
      <c r="B4983" s="141"/>
      <c r="C4983" s="141"/>
      <c r="D4983" s="141"/>
      <c r="E4983" s="141"/>
      <c r="F4983" s="141"/>
      <c r="G4983" s="141"/>
      <c r="H4983" s="121"/>
    </row>
    <row r="4984" spans="1:9" s="65" customFormat="1">
      <c r="A4984" s="142"/>
      <c r="B4984" s="143"/>
      <c r="C4984" s="143"/>
      <c r="D4984" s="143"/>
      <c r="E4984" s="143"/>
      <c r="F4984" s="84"/>
      <c r="G4984" s="144"/>
      <c r="H4984" s="145"/>
    </row>
    <row r="4985" spans="1:9" s="65" customFormat="1">
      <c r="A4985" s="84"/>
      <c r="B4985" s="83"/>
      <c r="C4985" s="84"/>
      <c r="D4985" s="84"/>
      <c r="E4985" s="84"/>
      <c r="G4985" s="104"/>
      <c r="H4985" s="140"/>
    </row>
    <row r="4986" spans="1:9" s="65" customFormat="1">
      <c r="A4986" s="120"/>
      <c r="B4986" s="73"/>
      <c r="C4986" s="73"/>
      <c r="D4986" s="73"/>
      <c r="E4986" s="73"/>
      <c r="G4986" s="121"/>
      <c r="H4986" s="140"/>
    </row>
    <row r="4987" spans="1:9" s="65" customFormat="1">
      <c r="A4987" s="128"/>
      <c r="B4987" s="141"/>
      <c r="C4987" s="141"/>
      <c r="D4987" s="141"/>
      <c r="E4987" s="141"/>
      <c r="F4987" s="141"/>
      <c r="G4987" s="141"/>
      <c r="H4987" s="140"/>
    </row>
    <row r="4988" spans="1:9" s="65" customFormat="1">
      <c r="A4988" s="150"/>
      <c r="B4988" s="83"/>
      <c r="C4988" s="148"/>
      <c r="D4988" s="160"/>
      <c r="E4988" s="84"/>
      <c r="F4988" s="84"/>
      <c r="G4988" s="144"/>
      <c r="H4988" s="145"/>
    </row>
    <row r="4989" spans="1:9" s="65" customFormat="1">
      <c r="A4989" s="91"/>
      <c r="B4989" s="91"/>
      <c r="C4989" s="91"/>
      <c r="D4989" s="91"/>
      <c r="E4989" s="91"/>
      <c r="G4989" s="104"/>
      <c r="H4989" s="140"/>
    </row>
    <row r="4990" spans="1:9" s="65" customFormat="1">
      <c r="A4990" s="120"/>
      <c r="B4990" s="73"/>
      <c r="C4990" s="73"/>
      <c r="D4990" s="73"/>
      <c r="E4990" s="73"/>
      <c r="G4990" s="121"/>
      <c r="H4990" s="140"/>
    </row>
    <row r="4991" spans="1:9" s="65" customFormat="1">
      <c r="A4991" s="128"/>
      <c r="B4991" s="141"/>
      <c r="C4991" s="141"/>
      <c r="D4991" s="141"/>
      <c r="E4991" s="141"/>
      <c r="F4991" s="141"/>
      <c r="G4991" s="141"/>
      <c r="H4991" s="140"/>
    </row>
    <row r="4992" spans="1:9" s="65" customFormat="1">
      <c r="A4992" s="142"/>
      <c r="B4992" s="143"/>
      <c r="C4992" s="143"/>
      <c r="D4992" s="143"/>
      <c r="E4992" s="143"/>
      <c r="F4992" s="84"/>
      <c r="G4992" s="144"/>
      <c r="H4992" s="145"/>
    </row>
    <row r="4993" spans="1:9" s="65" customFormat="1">
      <c r="A4993" s="91"/>
      <c r="B4993" s="91"/>
      <c r="C4993" s="91"/>
      <c r="D4993" s="91"/>
      <c r="E4993" s="91"/>
      <c r="G4993" s="104"/>
      <c r="H4993" s="140"/>
    </row>
    <row r="4994" spans="1:9" s="65" customFormat="1">
      <c r="A4994" s="120"/>
      <c r="B4994" s="73"/>
      <c r="C4994" s="73"/>
      <c r="D4994" s="73"/>
      <c r="E4994" s="73"/>
      <c r="G4994" s="121"/>
      <c r="H4994" s="140"/>
    </row>
    <row r="4995" spans="1:9" s="65" customFormat="1">
      <c r="A4995" s="128"/>
      <c r="B4995" s="141"/>
      <c r="C4995" s="141"/>
      <c r="D4995" s="141"/>
      <c r="E4995" s="141"/>
      <c r="F4995" s="141"/>
      <c r="G4995" s="141"/>
      <c r="H4995" s="140"/>
    </row>
    <row r="4996" spans="1:9" s="65" customFormat="1">
      <c r="A4996" s="142"/>
      <c r="B4996" s="143"/>
      <c r="C4996" s="143"/>
      <c r="D4996" s="143"/>
      <c r="E4996" s="143"/>
      <c r="F4996" s="84"/>
      <c r="G4996" s="144"/>
      <c r="H4996" s="145"/>
    </row>
    <row r="4997" spans="1:9" s="65" customFormat="1">
      <c r="A4997" s="123"/>
      <c r="B4997" s="95"/>
      <c r="C4997" s="95"/>
      <c r="D4997" s="95"/>
      <c r="E4997" s="95"/>
      <c r="G4997" s="104"/>
      <c r="H4997" s="121"/>
    </row>
    <row r="4998" spans="1:9" s="65" customFormat="1">
      <c r="A4998" s="123"/>
      <c r="B4998" s="95"/>
      <c r="C4998" s="95"/>
      <c r="D4998" s="95"/>
      <c r="E4998" s="95"/>
      <c r="G4998" s="121"/>
      <c r="H4998" s="133"/>
    </row>
    <row r="4999" spans="1:9" s="65" customFormat="1">
      <c r="B4999" s="97"/>
      <c r="C4999" s="98"/>
      <c r="D4999" s="98"/>
      <c r="E4999" s="98"/>
      <c r="G4999" s="128"/>
    </row>
    <row r="5000" spans="1:9" s="65" customFormat="1">
      <c r="B5000" s="97"/>
      <c r="C5000" s="98"/>
      <c r="D5000" s="98"/>
      <c r="E5000" s="98"/>
      <c r="F5000" s="128"/>
      <c r="G5000" s="133"/>
      <c r="H5000" s="134"/>
    </row>
    <row r="5001" spans="1:9" s="65" customFormat="1">
      <c r="A5001" s="633"/>
      <c r="B5001" s="633"/>
      <c r="C5001" s="633"/>
      <c r="D5001" s="633"/>
      <c r="E5001" s="633"/>
      <c r="F5001" s="633"/>
      <c r="G5001" s="633"/>
    </row>
    <row r="5002" spans="1:9" s="65" customFormat="1">
      <c r="H5002" s="157"/>
      <c r="I5002" s="158"/>
    </row>
    <row r="5003" spans="1:9" s="65" customFormat="1">
      <c r="A5003" s="653"/>
      <c r="B5003" s="157"/>
      <c r="C5003" s="157"/>
      <c r="D5003" s="157"/>
      <c r="E5003" s="157"/>
      <c r="F5003" s="157"/>
      <c r="G5003" s="157"/>
      <c r="H5003" s="157"/>
      <c r="I5003" s="159"/>
    </row>
    <row r="5004" spans="1:9" s="65" customFormat="1">
      <c r="A5004" s="653"/>
      <c r="B5004" s="157"/>
      <c r="C5004" s="157"/>
      <c r="D5004" s="157"/>
      <c r="E5004" s="157"/>
      <c r="F5004" s="157"/>
      <c r="G5004" s="157"/>
    </row>
    <row r="5005" spans="1:9" s="65" customFormat="1">
      <c r="A5005" s="69"/>
      <c r="B5005" s="69"/>
      <c r="C5005" s="69"/>
      <c r="D5005" s="69"/>
      <c r="E5005" s="69"/>
    </row>
    <row r="5006" spans="1:9" s="65" customFormat="1">
      <c r="A5006" s="120"/>
      <c r="B5006" s="73"/>
      <c r="C5006" s="73"/>
      <c r="D5006" s="73"/>
      <c r="E5006" s="73"/>
      <c r="F5006" s="121"/>
      <c r="G5006" s="121"/>
      <c r="H5006" s="121"/>
    </row>
    <row r="5007" spans="1:9" s="65" customFormat="1">
      <c r="A5007" s="128"/>
      <c r="B5007" s="141"/>
      <c r="C5007" s="141"/>
      <c r="D5007" s="141"/>
      <c r="E5007" s="141"/>
      <c r="F5007" s="141"/>
      <c r="G5007" s="141"/>
      <c r="H5007" s="121"/>
    </row>
    <row r="5008" spans="1:9" s="65" customFormat="1">
      <c r="A5008" s="142"/>
      <c r="B5008" s="143"/>
      <c r="C5008" s="143"/>
      <c r="D5008" s="143"/>
      <c r="E5008" s="143"/>
      <c r="F5008" s="84"/>
      <c r="G5008" s="144"/>
      <c r="H5008" s="145"/>
    </row>
    <row r="5009" spans="1:8" s="65" customFormat="1">
      <c r="A5009" s="84"/>
      <c r="B5009" s="83"/>
      <c r="C5009" s="84"/>
      <c r="D5009" s="84"/>
      <c r="E5009" s="84"/>
      <c r="G5009" s="104"/>
      <c r="H5009" s="140"/>
    </row>
    <row r="5010" spans="1:8" s="65" customFormat="1">
      <c r="A5010" s="120"/>
      <c r="B5010" s="73"/>
      <c r="C5010" s="73"/>
      <c r="D5010" s="73"/>
      <c r="E5010" s="73"/>
      <c r="G5010" s="121"/>
      <c r="H5010" s="140"/>
    </row>
    <row r="5011" spans="1:8" s="65" customFormat="1">
      <c r="A5011" s="128"/>
      <c r="B5011" s="141"/>
      <c r="C5011" s="141"/>
      <c r="D5011" s="141"/>
      <c r="E5011" s="141"/>
      <c r="F5011" s="141"/>
      <c r="G5011" s="141"/>
      <c r="H5011" s="140"/>
    </row>
    <row r="5012" spans="1:8" s="65" customFormat="1">
      <c r="A5012" s="150"/>
      <c r="B5012" s="83"/>
      <c r="C5012" s="148"/>
      <c r="D5012" s="160"/>
      <c r="E5012" s="84"/>
      <c r="F5012" s="84"/>
      <c r="G5012" s="144"/>
      <c r="H5012" s="145"/>
    </row>
    <row r="5013" spans="1:8" s="65" customFormat="1">
      <c r="A5013" s="91"/>
      <c r="B5013" s="91"/>
      <c r="C5013" s="91"/>
      <c r="D5013" s="91"/>
      <c r="E5013" s="91"/>
      <c r="G5013" s="104"/>
      <c r="H5013" s="140"/>
    </row>
    <row r="5014" spans="1:8" s="65" customFormat="1">
      <c r="A5014" s="120"/>
      <c r="B5014" s="73"/>
      <c r="C5014" s="73"/>
      <c r="D5014" s="73"/>
      <c r="E5014" s="73"/>
      <c r="G5014" s="121"/>
      <c r="H5014" s="140"/>
    </row>
    <row r="5015" spans="1:8" s="65" customFormat="1">
      <c r="A5015" s="128"/>
      <c r="B5015" s="141"/>
      <c r="C5015" s="141"/>
      <c r="D5015" s="141"/>
      <c r="E5015" s="141"/>
      <c r="F5015" s="141"/>
      <c r="G5015" s="141"/>
      <c r="H5015" s="140"/>
    </row>
    <row r="5016" spans="1:8" s="65" customFormat="1">
      <c r="A5016" s="142"/>
      <c r="B5016" s="143"/>
      <c r="C5016" s="143"/>
      <c r="D5016" s="143"/>
      <c r="E5016" s="143"/>
      <c r="F5016" s="84"/>
      <c r="G5016" s="144"/>
      <c r="H5016" s="145"/>
    </row>
    <row r="5017" spans="1:8" s="65" customFormat="1">
      <c r="A5017" s="91"/>
      <c r="B5017" s="91"/>
      <c r="C5017" s="91"/>
      <c r="D5017" s="91"/>
      <c r="E5017" s="91"/>
      <c r="G5017" s="104"/>
      <c r="H5017" s="140"/>
    </row>
    <row r="5018" spans="1:8" s="65" customFormat="1">
      <c r="A5018" s="120"/>
      <c r="B5018" s="73"/>
      <c r="C5018" s="73"/>
      <c r="D5018" s="73"/>
      <c r="E5018" s="73"/>
      <c r="G5018" s="121"/>
      <c r="H5018" s="140"/>
    </row>
    <row r="5019" spans="1:8" s="65" customFormat="1">
      <c r="A5019" s="128"/>
      <c r="B5019" s="141"/>
      <c r="C5019" s="141"/>
      <c r="D5019" s="141"/>
      <c r="E5019" s="141"/>
      <c r="F5019" s="141"/>
      <c r="G5019" s="141"/>
      <c r="H5019" s="140"/>
    </row>
    <row r="5020" spans="1:8" s="65" customFormat="1">
      <c r="A5020" s="142"/>
      <c r="B5020" s="143"/>
      <c r="C5020" s="143"/>
      <c r="D5020" s="143"/>
      <c r="E5020" s="143"/>
      <c r="F5020" s="84"/>
      <c r="G5020" s="144"/>
      <c r="H5020" s="145"/>
    </row>
    <row r="5021" spans="1:8" s="65" customFormat="1">
      <c r="A5021" s="123"/>
      <c r="B5021" s="95"/>
      <c r="C5021" s="95"/>
      <c r="D5021" s="95"/>
      <c r="E5021" s="95"/>
      <c r="G5021" s="104"/>
      <c r="H5021" s="121"/>
    </row>
    <row r="5022" spans="1:8" s="65" customFormat="1">
      <c r="A5022" s="123"/>
      <c r="B5022" s="95"/>
      <c r="C5022" s="95"/>
      <c r="D5022" s="95"/>
      <c r="E5022" s="95"/>
      <c r="G5022" s="121"/>
      <c r="H5022" s="133"/>
    </row>
    <row r="5023" spans="1:8" s="65" customFormat="1">
      <c r="B5023" s="97"/>
      <c r="C5023" s="98"/>
      <c r="D5023" s="98"/>
      <c r="E5023" s="98"/>
      <c r="G5023" s="128"/>
    </row>
    <row r="5024" spans="1:8" s="65" customFormat="1">
      <c r="B5024" s="97"/>
      <c r="C5024" s="98"/>
      <c r="D5024" s="98"/>
      <c r="E5024" s="98"/>
      <c r="F5024" s="128"/>
      <c r="G5024" s="133"/>
      <c r="H5024" s="134"/>
    </row>
    <row r="5025" spans="1:9" s="65" customFormat="1">
      <c r="A5025" s="633"/>
      <c r="B5025" s="633"/>
      <c r="C5025" s="633"/>
      <c r="D5025" s="633"/>
      <c r="E5025" s="633"/>
      <c r="F5025" s="633"/>
      <c r="G5025" s="633"/>
    </row>
    <row r="5026" spans="1:9" s="65" customFormat="1">
      <c r="H5026" s="157"/>
      <c r="I5026" s="158"/>
    </row>
    <row r="5027" spans="1:9" s="65" customFormat="1">
      <c r="A5027" s="653"/>
      <c r="B5027" s="157"/>
      <c r="C5027" s="157"/>
      <c r="D5027" s="157"/>
      <c r="E5027" s="157"/>
      <c r="F5027" s="157"/>
      <c r="G5027" s="157"/>
      <c r="H5027" s="157"/>
      <c r="I5027" s="159"/>
    </row>
    <row r="5028" spans="1:9" s="65" customFormat="1">
      <c r="A5028" s="653"/>
      <c r="B5028" s="157"/>
      <c r="C5028" s="157"/>
      <c r="D5028" s="157"/>
      <c r="E5028" s="157"/>
      <c r="F5028" s="157"/>
      <c r="G5028" s="157"/>
    </row>
    <row r="5029" spans="1:9" s="65" customFormat="1">
      <c r="A5029" s="69"/>
      <c r="B5029" s="69"/>
      <c r="C5029" s="69"/>
      <c r="D5029" s="69"/>
      <c r="E5029" s="69"/>
    </row>
    <row r="5030" spans="1:9" s="65" customFormat="1">
      <c r="A5030" s="120"/>
      <c r="B5030" s="73"/>
      <c r="C5030" s="73"/>
      <c r="D5030" s="73"/>
      <c r="E5030" s="73"/>
      <c r="F5030" s="121"/>
      <c r="G5030" s="121"/>
      <c r="H5030" s="121"/>
    </row>
    <row r="5031" spans="1:9" s="65" customFormat="1">
      <c r="A5031" s="128"/>
      <c r="B5031" s="141"/>
      <c r="C5031" s="141"/>
      <c r="D5031" s="141"/>
      <c r="E5031" s="141"/>
      <c r="F5031" s="141"/>
      <c r="G5031" s="141"/>
      <c r="H5031" s="121"/>
    </row>
    <row r="5032" spans="1:9" s="65" customFormat="1">
      <c r="A5032" s="142"/>
      <c r="B5032" s="143"/>
      <c r="C5032" s="143"/>
      <c r="D5032" s="143"/>
      <c r="E5032" s="143"/>
      <c r="F5032" s="84"/>
      <c r="G5032" s="144"/>
      <c r="H5032" s="145"/>
    </row>
    <row r="5033" spans="1:9" s="65" customFormat="1">
      <c r="A5033" s="84"/>
      <c r="B5033" s="83"/>
      <c r="C5033" s="84"/>
      <c r="D5033" s="84"/>
      <c r="E5033" s="84"/>
      <c r="G5033" s="104"/>
      <c r="H5033" s="140"/>
    </row>
    <row r="5034" spans="1:9" s="65" customFormat="1">
      <c r="A5034" s="120"/>
      <c r="B5034" s="73"/>
      <c r="C5034" s="73"/>
      <c r="D5034" s="73"/>
      <c r="E5034" s="73"/>
      <c r="G5034" s="121"/>
      <c r="H5034" s="140"/>
    </row>
    <row r="5035" spans="1:9" s="65" customFormat="1">
      <c r="A5035" s="128"/>
      <c r="B5035" s="141"/>
      <c r="C5035" s="141"/>
      <c r="D5035" s="141"/>
      <c r="E5035" s="141"/>
      <c r="F5035" s="141"/>
      <c r="G5035" s="141"/>
      <c r="H5035" s="140"/>
    </row>
    <row r="5036" spans="1:9" s="65" customFormat="1">
      <c r="A5036" s="150"/>
      <c r="B5036" s="83"/>
      <c r="C5036" s="148"/>
      <c r="D5036" s="160"/>
      <c r="E5036" s="84"/>
      <c r="F5036" s="84"/>
      <c r="G5036" s="144"/>
      <c r="H5036" s="145"/>
    </row>
    <row r="5037" spans="1:9" s="65" customFormat="1">
      <c r="A5037" s="91"/>
      <c r="B5037" s="91"/>
      <c r="C5037" s="91"/>
      <c r="D5037" s="91"/>
      <c r="E5037" s="91"/>
      <c r="G5037" s="104"/>
      <c r="H5037" s="140"/>
    </row>
    <row r="5038" spans="1:9" s="65" customFormat="1">
      <c r="A5038" s="120"/>
      <c r="B5038" s="73"/>
      <c r="C5038" s="73"/>
      <c r="D5038" s="73"/>
      <c r="E5038" s="73"/>
      <c r="G5038" s="121"/>
      <c r="H5038" s="140"/>
    </row>
    <row r="5039" spans="1:9" s="65" customFormat="1">
      <c r="A5039" s="128"/>
      <c r="B5039" s="141"/>
      <c r="C5039" s="141"/>
      <c r="D5039" s="141"/>
      <c r="E5039" s="141"/>
      <c r="F5039" s="141"/>
      <c r="G5039" s="141"/>
      <c r="H5039" s="140"/>
    </row>
    <row r="5040" spans="1:9" s="65" customFormat="1">
      <c r="A5040" s="142"/>
      <c r="B5040" s="143"/>
      <c r="C5040" s="143"/>
      <c r="D5040" s="143"/>
      <c r="E5040" s="143"/>
      <c r="F5040" s="84"/>
      <c r="G5040" s="144"/>
      <c r="H5040" s="145"/>
    </row>
    <row r="5041" spans="1:9" s="65" customFormat="1">
      <c r="A5041" s="91"/>
      <c r="B5041" s="91"/>
      <c r="C5041" s="91"/>
      <c r="D5041" s="91"/>
      <c r="E5041" s="91"/>
      <c r="G5041" s="104"/>
      <c r="H5041" s="140"/>
    </row>
    <row r="5042" spans="1:9" s="65" customFormat="1">
      <c r="A5042" s="120"/>
      <c r="B5042" s="73"/>
      <c r="C5042" s="73"/>
      <c r="D5042" s="73"/>
      <c r="E5042" s="73"/>
      <c r="G5042" s="121"/>
      <c r="H5042" s="140"/>
    </row>
    <row r="5043" spans="1:9" s="65" customFormat="1">
      <c r="A5043" s="128"/>
      <c r="B5043" s="141"/>
      <c r="C5043" s="141"/>
      <c r="D5043" s="141"/>
      <c r="E5043" s="141"/>
      <c r="F5043" s="141"/>
      <c r="G5043" s="141"/>
      <c r="H5043" s="140"/>
    </row>
    <row r="5044" spans="1:9" s="65" customFormat="1">
      <c r="A5044" s="142"/>
      <c r="B5044" s="143"/>
      <c r="C5044" s="143"/>
      <c r="D5044" s="143"/>
      <c r="E5044" s="143"/>
      <c r="F5044" s="84"/>
      <c r="G5044" s="144"/>
      <c r="H5044" s="145"/>
    </row>
    <row r="5045" spans="1:9" s="65" customFormat="1">
      <c r="A5045" s="123"/>
      <c r="B5045" s="95"/>
      <c r="C5045" s="95"/>
      <c r="D5045" s="95"/>
      <c r="E5045" s="95"/>
      <c r="G5045" s="104"/>
      <c r="H5045" s="121"/>
    </row>
    <row r="5046" spans="1:9" s="65" customFormat="1">
      <c r="A5046" s="123"/>
      <c r="B5046" s="95"/>
      <c r="C5046" s="95"/>
      <c r="D5046" s="95"/>
      <c r="E5046" s="95"/>
      <c r="G5046" s="121"/>
      <c r="H5046" s="133"/>
    </row>
    <row r="5047" spans="1:9" s="65" customFormat="1">
      <c r="B5047" s="97"/>
      <c r="C5047" s="98"/>
      <c r="D5047" s="98"/>
      <c r="E5047" s="98"/>
      <c r="G5047" s="128"/>
    </row>
    <row r="5048" spans="1:9" s="65" customFormat="1">
      <c r="B5048" s="97"/>
      <c r="C5048" s="98"/>
      <c r="D5048" s="98"/>
      <c r="E5048" s="98"/>
      <c r="F5048" s="128"/>
      <c r="G5048" s="133"/>
      <c r="H5048" s="134"/>
    </row>
    <row r="5049" spans="1:9" s="65" customFormat="1">
      <c r="A5049" s="633"/>
      <c r="B5049" s="633"/>
      <c r="C5049" s="633"/>
      <c r="D5049" s="633"/>
      <c r="E5049" s="633"/>
      <c r="F5049" s="633"/>
      <c r="G5049" s="633"/>
    </row>
    <row r="5050" spans="1:9" s="65" customFormat="1">
      <c r="H5050" s="157"/>
      <c r="I5050" s="158"/>
    </row>
    <row r="5051" spans="1:9" s="65" customFormat="1">
      <c r="A5051" s="653"/>
      <c r="B5051" s="157"/>
      <c r="C5051" s="157"/>
      <c r="D5051" s="157"/>
      <c r="E5051" s="157"/>
      <c r="F5051" s="157"/>
      <c r="G5051" s="157"/>
      <c r="H5051" s="157"/>
      <c r="I5051" s="159"/>
    </row>
    <row r="5052" spans="1:9" s="65" customFormat="1">
      <c r="A5052" s="653"/>
      <c r="B5052" s="157"/>
      <c r="C5052" s="157"/>
      <c r="D5052" s="157"/>
      <c r="E5052" s="157"/>
      <c r="F5052" s="157"/>
      <c r="G5052" s="157"/>
    </row>
    <row r="5053" spans="1:9" s="65" customFormat="1">
      <c r="A5053" s="69"/>
      <c r="B5053" s="69"/>
      <c r="C5053" s="69"/>
      <c r="D5053" s="69"/>
      <c r="E5053" s="69"/>
    </row>
    <row r="5054" spans="1:9" s="65" customFormat="1">
      <c r="A5054" s="120"/>
      <c r="B5054" s="73"/>
      <c r="C5054" s="73"/>
      <c r="D5054" s="73"/>
      <c r="E5054" s="73"/>
      <c r="F5054" s="121"/>
      <c r="G5054" s="121"/>
      <c r="H5054" s="121"/>
    </row>
    <row r="5055" spans="1:9" s="65" customFormat="1">
      <c r="A5055" s="128"/>
      <c r="B5055" s="141"/>
      <c r="C5055" s="141"/>
      <c r="D5055" s="141"/>
      <c r="E5055" s="141"/>
      <c r="F5055" s="141"/>
      <c r="G5055" s="141"/>
      <c r="H5055" s="121"/>
    </row>
    <row r="5056" spans="1:9" s="65" customFormat="1">
      <c r="A5056" s="142"/>
      <c r="B5056" s="143"/>
      <c r="C5056" s="143"/>
      <c r="D5056" s="143"/>
      <c r="E5056" s="143"/>
      <c r="F5056" s="84"/>
      <c r="G5056" s="144"/>
      <c r="H5056" s="145"/>
    </row>
    <row r="5057" spans="1:8" s="65" customFormat="1">
      <c r="A5057" s="84"/>
      <c r="B5057" s="83"/>
      <c r="C5057" s="84"/>
      <c r="D5057" s="84"/>
      <c r="E5057" s="84"/>
      <c r="G5057" s="104"/>
      <c r="H5057" s="140"/>
    </row>
    <row r="5058" spans="1:8" s="65" customFormat="1">
      <c r="A5058" s="120"/>
      <c r="B5058" s="73"/>
      <c r="C5058" s="73"/>
      <c r="D5058" s="73"/>
      <c r="E5058" s="73"/>
      <c r="G5058" s="121"/>
      <c r="H5058" s="140"/>
    </row>
    <row r="5059" spans="1:8" s="65" customFormat="1">
      <c r="A5059" s="128"/>
      <c r="B5059" s="141"/>
      <c r="C5059" s="141"/>
      <c r="D5059" s="141"/>
      <c r="E5059" s="141"/>
      <c r="F5059" s="141"/>
      <c r="G5059" s="141"/>
      <c r="H5059" s="140"/>
    </row>
    <row r="5060" spans="1:8" s="65" customFormat="1">
      <c r="A5060" s="150"/>
      <c r="B5060" s="83"/>
      <c r="C5060" s="148"/>
      <c r="D5060" s="160"/>
      <c r="E5060" s="84"/>
      <c r="F5060" s="84"/>
      <c r="G5060" s="144"/>
      <c r="H5060" s="145"/>
    </row>
    <row r="5061" spans="1:8" s="65" customFormat="1">
      <c r="A5061" s="91"/>
      <c r="B5061" s="91"/>
      <c r="C5061" s="91"/>
      <c r="D5061" s="91"/>
      <c r="E5061" s="91"/>
      <c r="G5061" s="104"/>
      <c r="H5061" s="140"/>
    </row>
    <row r="5062" spans="1:8" s="65" customFormat="1">
      <c r="A5062" s="120"/>
      <c r="B5062" s="73"/>
      <c r="C5062" s="73"/>
      <c r="D5062" s="73"/>
      <c r="E5062" s="73"/>
      <c r="G5062" s="121"/>
      <c r="H5062" s="140"/>
    </row>
    <row r="5063" spans="1:8" s="65" customFormat="1">
      <c r="A5063" s="128"/>
      <c r="B5063" s="141"/>
      <c r="C5063" s="141"/>
      <c r="D5063" s="141"/>
      <c r="E5063" s="141"/>
      <c r="F5063" s="141"/>
      <c r="G5063" s="141"/>
      <c r="H5063" s="140"/>
    </row>
    <row r="5064" spans="1:8" s="65" customFormat="1">
      <c r="A5064" s="142"/>
      <c r="B5064" s="143"/>
      <c r="C5064" s="143"/>
      <c r="D5064" s="143"/>
      <c r="E5064" s="143"/>
      <c r="F5064" s="84"/>
      <c r="G5064" s="144"/>
      <c r="H5064" s="145"/>
    </row>
    <row r="5065" spans="1:8" s="65" customFormat="1">
      <c r="A5065" s="91"/>
      <c r="B5065" s="91"/>
      <c r="C5065" s="91"/>
      <c r="D5065" s="91"/>
      <c r="E5065" s="91"/>
      <c r="G5065" s="104"/>
      <c r="H5065" s="140"/>
    </row>
    <row r="5066" spans="1:8" s="65" customFormat="1">
      <c r="A5066" s="120"/>
      <c r="B5066" s="73"/>
      <c r="C5066" s="73"/>
      <c r="D5066" s="73"/>
      <c r="E5066" s="73"/>
      <c r="G5066" s="121"/>
      <c r="H5066" s="140"/>
    </row>
    <row r="5067" spans="1:8" s="65" customFormat="1">
      <c r="A5067" s="128"/>
      <c r="B5067" s="141"/>
      <c r="C5067" s="141"/>
      <c r="D5067" s="141"/>
      <c r="E5067" s="141"/>
      <c r="F5067" s="141"/>
      <c r="G5067" s="141"/>
      <c r="H5067" s="140"/>
    </row>
    <row r="5068" spans="1:8" s="65" customFormat="1">
      <c r="A5068" s="142"/>
      <c r="B5068" s="143"/>
      <c r="C5068" s="143"/>
      <c r="D5068" s="143"/>
      <c r="E5068" s="143"/>
      <c r="F5068" s="84"/>
      <c r="G5068" s="144"/>
      <c r="H5068" s="145"/>
    </row>
    <row r="5069" spans="1:8" s="65" customFormat="1">
      <c r="A5069" s="123"/>
      <c r="B5069" s="95"/>
      <c r="C5069" s="95"/>
      <c r="D5069" s="95"/>
      <c r="E5069" s="95"/>
      <c r="G5069" s="104"/>
      <c r="H5069" s="121"/>
    </row>
    <row r="5070" spans="1:8" s="65" customFormat="1">
      <c r="A5070" s="123"/>
      <c r="B5070" s="95"/>
      <c r="C5070" s="95"/>
      <c r="D5070" s="95"/>
      <c r="E5070" s="95"/>
      <c r="G5070" s="121"/>
      <c r="H5070" s="133"/>
    </row>
    <row r="5071" spans="1:8" s="65" customFormat="1">
      <c r="B5071" s="97"/>
      <c r="C5071" s="98"/>
      <c r="D5071" s="98"/>
      <c r="E5071" s="98"/>
      <c r="G5071" s="128"/>
    </row>
    <row r="5072" spans="1:8" s="65" customFormat="1">
      <c r="B5072" s="97"/>
      <c r="C5072" s="98"/>
      <c r="D5072" s="98"/>
      <c r="E5072" s="98"/>
      <c r="F5072" s="128"/>
      <c r="G5072" s="133"/>
      <c r="H5072" s="134"/>
    </row>
    <row r="5073" spans="1:9" s="65" customFormat="1">
      <c r="A5073" s="633"/>
      <c r="B5073" s="633"/>
      <c r="C5073" s="633"/>
      <c r="D5073" s="633"/>
      <c r="E5073" s="633"/>
      <c r="F5073" s="633"/>
      <c r="G5073" s="633"/>
    </row>
    <row r="5074" spans="1:9" s="65" customFormat="1">
      <c r="H5074" s="157"/>
      <c r="I5074" s="158"/>
    </row>
    <row r="5075" spans="1:9" s="65" customFormat="1">
      <c r="A5075" s="653"/>
      <c r="B5075" s="157"/>
      <c r="C5075" s="157"/>
      <c r="D5075" s="157"/>
      <c r="E5075" s="157"/>
      <c r="F5075" s="157"/>
      <c r="G5075" s="157"/>
      <c r="H5075" s="157"/>
      <c r="I5075" s="159"/>
    </row>
    <row r="5076" spans="1:9" s="65" customFormat="1">
      <c r="A5076" s="653"/>
      <c r="B5076" s="157"/>
      <c r="C5076" s="157"/>
      <c r="D5076" s="157"/>
      <c r="E5076" s="157"/>
      <c r="F5076" s="157"/>
      <c r="G5076" s="157"/>
    </row>
    <row r="5077" spans="1:9" s="65" customFormat="1">
      <c r="A5077" s="69"/>
      <c r="B5077" s="69"/>
      <c r="C5077" s="69"/>
      <c r="D5077" s="69"/>
      <c r="E5077" s="69"/>
    </row>
    <row r="5078" spans="1:9" s="65" customFormat="1">
      <c r="A5078" s="120"/>
      <c r="B5078" s="73"/>
      <c r="C5078" s="73"/>
      <c r="D5078" s="73"/>
      <c r="E5078" s="73"/>
      <c r="F5078" s="121"/>
      <c r="G5078" s="121"/>
      <c r="H5078" s="121"/>
    </row>
    <row r="5079" spans="1:9" s="65" customFormat="1">
      <c r="A5079" s="128"/>
      <c r="B5079" s="141"/>
      <c r="C5079" s="141"/>
      <c r="D5079" s="141"/>
      <c r="E5079" s="141"/>
      <c r="F5079" s="141"/>
      <c r="G5079" s="141"/>
      <c r="H5079" s="121"/>
    </row>
    <row r="5080" spans="1:9" s="65" customFormat="1">
      <c r="A5080" s="142"/>
      <c r="B5080" s="143"/>
      <c r="C5080" s="143"/>
      <c r="D5080" s="143"/>
      <c r="E5080" s="143"/>
      <c r="F5080" s="84"/>
      <c r="G5080" s="144"/>
      <c r="H5080" s="145"/>
    </row>
    <row r="5081" spans="1:9" s="65" customFormat="1">
      <c r="A5081" s="84"/>
      <c r="B5081" s="83"/>
      <c r="C5081" s="84"/>
      <c r="D5081" s="84"/>
      <c r="E5081" s="84"/>
      <c r="G5081" s="104"/>
      <c r="H5081" s="140"/>
    </row>
    <row r="5082" spans="1:9" s="65" customFormat="1">
      <c r="A5082" s="120"/>
      <c r="B5082" s="73"/>
      <c r="C5082" s="73"/>
      <c r="D5082" s="73"/>
      <c r="E5082" s="73"/>
      <c r="G5082" s="121"/>
      <c r="H5082" s="140"/>
    </row>
    <row r="5083" spans="1:9" s="65" customFormat="1">
      <c r="A5083" s="128"/>
      <c r="B5083" s="141"/>
      <c r="C5083" s="141"/>
      <c r="D5083" s="141"/>
      <c r="E5083" s="141"/>
      <c r="F5083" s="141"/>
      <c r="G5083" s="141"/>
      <c r="H5083" s="140"/>
    </row>
    <row r="5084" spans="1:9" s="65" customFormat="1">
      <c r="A5084" s="150"/>
      <c r="B5084" s="83"/>
      <c r="C5084" s="148"/>
      <c r="D5084" s="160"/>
      <c r="E5084" s="84"/>
      <c r="F5084" s="84"/>
      <c r="G5084" s="144"/>
      <c r="H5084" s="145"/>
    </row>
    <row r="5085" spans="1:9" s="65" customFormat="1">
      <c r="A5085" s="91"/>
      <c r="B5085" s="91"/>
      <c r="C5085" s="91"/>
      <c r="D5085" s="91"/>
      <c r="E5085" s="91"/>
      <c r="G5085" s="104"/>
      <c r="H5085" s="140"/>
    </row>
    <row r="5086" spans="1:9" s="65" customFormat="1">
      <c r="A5086" s="120"/>
      <c r="B5086" s="73"/>
      <c r="C5086" s="73"/>
      <c r="D5086" s="73"/>
      <c r="E5086" s="73"/>
      <c r="G5086" s="121"/>
      <c r="H5086" s="140"/>
    </row>
    <row r="5087" spans="1:9" s="65" customFormat="1">
      <c r="A5087" s="128"/>
      <c r="B5087" s="141"/>
      <c r="C5087" s="141"/>
      <c r="D5087" s="141"/>
      <c r="E5087" s="141"/>
      <c r="F5087" s="141"/>
      <c r="G5087" s="141"/>
      <c r="H5087" s="140"/>
    </row>
    <row r="5088" spans="1:9" s="65" customFormat="1">
      <c r="A5088" s="142"/>
      <c r="B5088" s="143"/>
      <c r="C5088" s="143"/>
      <c r="D5088" s="143"/>
      <c r="E5088" s="143"/>
      <c r="F5088" s="84"/>
      <c r="G5088" s="144"/>
      <c r="H5088" s="145"/>
    </row>
    <row r="5089" spans="1:9" s="65" customFormat="1">
      <c r="A5089" s="91"/>
      <c r="B5089" s="91"/>
      <c r="C5089" s="91"/>
      <c r="D5089" s="91"/>
      <c r="E5089" s="91"/>
      <c r="G5089" s="104"/>
      <c r="H5089" s="140"/>
    </row>
    <row r="5090" spans="1:9" s="65" customFormat="1">
      <c r="A5090" s="120"/>
      <c r="B5090" s="73"/>
      <c r="C5090" s="73"/>
      <c r="D5090" s="73"/>
      <c r="E5090" s="73"/>
      <c r="G5090" s="121"/>
      <c r="H5090" s="140"/>
    </row>
    <row r="5091" spans="1:9" s="65" customFormat="1">
      <c r="A5091" s="128"/>
      <c r="B5091" s="141"/>
      <c r="C5091" s="141"/>
      <c r="D5091" s="141"/>
      <c r="E5091" s="141"/>
      <c r="F5091" s="141"/>
      <c r="G5091" s="141"/>
      <c r="H5091" s="140"/>
    </row>
    <row r="5092" spans="1:9" s="65" customFormat="1">
      <c r="A5092" s="142"/>
      <c r="B5092" s="143"/>
      <c r="C5092" s="143"/>
      <c r="D5092" s="143"/>
      <c r="E5092" s="143"/>
      <c r="F5092" s="84"/>
      <c r="G5092" s="144"/>
      <c r="H5092" s="145"/>
    </row>
    <row r="5093" spans="1:9" s="65" customFormat="1">
      <c r="A5093" s="123"/>
      <c r="B5093" s="95"/>
      <c r="C5093" s="95"/>
      <c r="D5093" s="95"/>
      <c r="E5093" s="95"/>
      <c r="G5093" s="104"/>
      <c r="H5093" s="121"/>
    </row>
    <row r="5094" spans="1:9" s="65" customFormat="1">
      <c r="A5094" s="123"/>
      <c r="B5094" s="95"/>
      <c r="C5094" s="95"/>
      <c r="D5094" s="95"/>
      <c r="E5094" s="95"/>
      <c r="G5094" s="121"/>
      <c r="H5094" s="133"/>
    </row>
    <row r="5095" spans="1:9" s="65" customFormat="1">
      <c r="B5095" s="97"/>
      <c r="C5095" s="98"/>
      <c r="D5095" s="98"/>
      <c r="E5095" s="98"/>
      <c r="G5095" s="128"/>
    </row>
    <row r="5096" spans="1:9" s="65" customFormat="1">
      <c r="B5096" s="97"/>
      <c r="C5096" s="98"/>
      <c r="D5096" s="98"/>
      <c r="E5096" s="98"/>
      <c r="F5096" s="128"/>
      <c r="G5096" s="133"/>
      <c r="H5096" s="134"/>
    </row>
    <row r="5097" spans="1:9" s="65" customFormat="1">
      <c r="A5097" s="633"/>
      <c r="B5097" s="633"/>
      <c r="C5097" s="633"/>
      <c r="D5097" s="633"/>
      <c r="E5097" s="633"/>
      <c r="F5097" s="633"/>
      <c r="G5097" s="633"/>
    </row>
    <row r="5098" spans="1:9" s="65" customFormat="1">
      <c r="H5098" s="157"/>
      <c r="I5098" s="158"/>
    </row>
    <row r="5099" spans="1:9" s="65" customFormat="1">
      <c r="A5099" s="653"/>
      <c r="B5099" s="157"/>
      <c r="C5099" s="157"/>
      <c r="D5099" s="157"/>
      <c r="E5099" s="157"/>
      <c r="F5099" s="157"/>
      <c r="G5099" s="157"/>
      <c r="H5099" s="157"/>
      <c r="I5099" s="159"/>
    </row>
    <row r="5100" spans="1:9" s="65" customFormat="1">
      <c r="A5100" s="653"/>
      <c r="B5100" s="157"/>
      <c r="C5100" s="157"/>
      <c r="D5100" s="157"/>
      <c r="E5100" s="157"/>
      <c r="F5100" s="157"/>
      <c r="G5100" s="157"/>
    </row>
    <row r="5101" spans="1:9" s="65" customFormat="1">
      <c r="A5101" s="69"/>
      <c r="B5101" s="69"/>
      <c r="C5101" s="69"/>
      <c r="D5101" s="69"/>
      <c r="E5101" s="69"/>
    </row>
    <row r="5102" spans="1:9" s="65" customFormat="1">
      <c r="A5102" s="120"/>
      <c r="B5102" s="73"/>
      <c r="C5102" s="73"/>
      <c r="D5102" s="73"/>
      <c r="E5102" s="73"/>
      <c r="F5102" s="121"/>
      <c r="G5102" s="121"/>
      <c r="H5102" s="121"/>
    </row>
    <row r="5103" spans="1:9" s="65" customFormat="1">
      <c r="A5103" s="128"/>
      <c r="B5103" s="141"/>
      <c r="C5103" s="141"/>
      <c r="D5103" s="141"/>
      <c r="E5103" s="141"/>
      <c r="F5103" s="141"/>
      <c r="G5103" s="141"/>
      <c r="H5103" s="121"/>
    </row>
    <row r="5104" spans="1:9" s="65" customFormat="1">
      <c r="A5104" s="142"/>
      <c r="B5104" s="143"/>
      <c r="C5104" s="143"/>
      <c r="D5104" s="143"/>
      <c r="E5104" s="143"/>
      <c r="F5104" s="84"/>
      <c r="G5104" s="144"/>
      <c r="H5104" s="145"/>
    </row>
    <row r="5105" spans="1:8" s="65" customFormat="1">
      <c r="A5105" s="84"/>
      <c r="B5105" s="83"/>
      <c r="C5105" s="84"/>
      <c r="D5105" s="84"/>
      <c r="E5105" s="84"/>
      <c r="G5105" s="104"/>
      <c r="H5105" s="140"/>
    </row>
    <row r="5106" spans="1:8" s="65" customFormat="1">
      <c r="A5106" s="120"/>
      <c r="B5106" s="73"/>
      <c r="C5106" s="73"/>
      <c r="D5106" s="73"/>
      <c r="E5106" s="73"/>
      <c r="G5106" s="121"/>
      <c r="H5106" s="140"/>
    </row>
    <row r="5107" spans="1:8" s="65" customFormat="1">
      <c r="A5107" s="128"/>
      <c r="B5107" s="141"/>
      <c r="C5107" s="141"/>
      <c r="D5107" s="141"/>
      <c r="E5107" s="141"/>
      <c r="F5107" s="141"/>
      <c r="G5107" s="141"/>
      <c r="H5107" s="140"/>
    </row>
    <row r="5108" spans="1:8" s="65" customFormat="1">
      <c r="A5108" s="150"/>
      <c r="B5108" s="83"/>
      <c r="C5108" s="148"/>
      <c r="D5108" s="160"/>
      <c r="E5108" s="84"/>
      <c r="F5108" s="84"/>
      <c r="G5108" s="144"/>
      <c r="H5108" s="145"/>
    </row>
    <row r="5109" spans="1:8" s="65" customFormat="1">
      <c r="A5109" s="91"/>
      <c r="B5109" s="91"/>
      <c r="C5109" s="91"/>
      <c r="D5109" s="91"/>
      <c r="E5109" s="91"/>
      <c r="G5109" s="104"/>
      <c r="H5109" s="140"/>
    </row>
    <row r="5110" spans="1:8" s="65" customFormat="1">
      <c r="A5110" s="120"/>
      <c r="B5110" s="73"/>
      <c r="C5110" s="73"/>
      <c r="D5110" s="73"/>
      <c r="E5110" s="73"/>
      <c r="G5110" s="121"/>
      <c r="H5110" s="140"/>
    </row>
    <row r="5111" spans="1:8" s="65" customFormat="1">
      <c r="A5111" s="128"/>
      <c r="B5111" s="141"/>
      <c r="C5111" s="141"/>
      <c r="D5111" s="141"/>
      <c r="E5111" s="141"/>
      <c r="F5111" s="141"/>
      <c r="G5111" s="141"/>
      <c r="H5111" s="140"/>
    </row>
    <row r="5112" spans="1:8" s="65" customFormat="1">
      <c r="A5112" s="142"/>
      <c r="B5112" s="143"/>
      <c r="C5112" s="143"/>
      <c r="D5112" s="143"/>
      <c r="E5112" s="143"/>
      <c r="F5112" s="84"/>
      <c r="G5112" s="144"/>
      <c r="H5112" s="145"/>
    </row>
    <row r="5113" spans="1:8" s="65" customFormat="1">
      <c r="A5113" s="91"/>
      <c r="B5113" s="91"/>
      <c r="C5113" s="91"/>
      <c r="D5113" s="91"/>
      <c r="E5113" s="91"/>
      <c r="G5113" s="104"/>
      <c r="H5113" s="140"/>
    </row>
    <row r="5114" spans="1:8" s="65" customFormat="1">
      <c r="A5114" s="120"/>
      <c r="B5114" s="73"/>
      <c r="C5114" s="73"/>
      <c r="D5114" s="73"/>
      <c r="E5114" s="73"/>
      <c r="G5114" s="121"/>
      <c r="H5114" s="140"/>
    </row>
    <row r="5115" spans="1:8" s="65" customFormat="1">
      <c r="A5115" s="128"/>
      <c r="B5115" s="141"/>
      <c r="C5115" s="141"/>
      <c r="D5115" s="141"/>
      <c r="E5115" s="141"/>
      <c r="F5115" s="141"/>
      <c r="G5115" s="141"/>
      <c r="H5115" s="140"/>
    </row>
    <row r="5116" spans="1:8" s="65" customFormat="1">
      <c r="A5116" s="142"/>
      <c r="B5116" s="143"/>
      <c r="C5116" s="143"/>
      <c r="D5116" s="143"/>
      <c r="E5116" s="143"/>
      <c r="F5116" s="84"/>
      <c r="G5116" s="144"/>
      <c r="H5116" s="145"/>
    </row>
    <row r="5117" spans="1:8" s="65" customFormat="1">
      <c r="A5117" s="123"/>
      <c r="B5117" s="95"/>
      <c r="C5117" s="95"/>
      <c r="D5117" s="95"/>
      <c r="E5117" s="95"/>
      <c r="G5117" s="104"/>
      <c r="H5117" s="121"/>
    </row>
    <row r="5118" spans="1:8" s="65" customFormat="1">
      <c r="A5118" s="123"/>
      <c r="B5118" s="95"/>
      <c r="C5118" s="95"/>
      <c r="D5118" s="95"/>
      <c r="E5118" s="95"/>
      <c r="G5118" s="121"/>
      <c r="H5118" s="133"/>
    </row>
    <row r="5119" spans="1:8" s="65" customFormat="1">
      <c r="B5119" s="97"/>
      <c r="C5119" s="98"/>
      <c r="D5119" s="98"/>
      <c r="E5119" s="98"/>
      <c r="G5119" s="128"/>
    </row>
    <row r="5120" spans="1:8" s="65" customFormat="1">
      <c r="B5120" s="97"/>
      <c r="C5120" s="98"/>
      <c r="D5120" s="98"/>
      <c r="E5120" s="98"/>
      <c r="F5120" s="128"/>
      <c r="G5120" s="133"/>
      <c r="H5120" s="134"/>
    </row>
    <row r="5121" spans="1:9" s="65" customFormat="1">
      <c r="A5121" s="633"/>
      <c r="B5121" s="633"/>
      <c r="C5121" s="633"/>
      <c r="D5121" s="633"/>
      <c r="E5121" s="633"/>
      <c r="F5121" s="633"/>
      <c r="G5121" s="633"/>
    </row>
    <row r="5122" spans="1:9" s="65" customFormat="1">
      <c r="H5122" s="157"/>
      <c r="I5122" s="158"/>
    </row>
    <row r="5123" spans="1:9" s="65" customFormat="1">
      <c r="A5123" s="653"/>
      <c r="B5123" s="157"/>
      <c r="C5123" s="157"/>
      <c r="D5123" s="157"/>
      <c r="E5123" s="157"/>
      <c r="F5123" s="157"/>
      <c r="G5123" s="157"/>
      <c r="H5123" s="157"/>
      <c r="I5123" s="159"/>
    </row>
    <row r="5124" spans="1:9" s="65" customFormat="1">
      <c r="A5124" s="653"/>
      <c r="B5124" s="157"/>
      <c r="C5124" s="157"/>
      <c r="D5124" s="157"/>
      <c r="E5124" s="157"/>
      <c r="F5124" s="157"/>
      <c r="G5124" s="157"/>
    </row>
    <row r="5125" spans="1:9" s="65" customFormat="1">
      <c r="A5125" s="69"/>
      <c r="B5125" s="69"/>
      <c r="C5125" s="69"/>
      <c r="D5125" s="69"/>
      <c r="E5125" s="69"/>
    </row>
    <row r="5126" spans="1:9" s="65" customFormat="1">
      <c r="A5126" s="120"/>
      <c r="B5126" s="73"/>
      <c r="C5126" s="73"/>
      <c r="D5126" s="73"/>
      <c r="E5126" s="73"/>
      <c r="F5126" s="121"/>
      <c r="G5126" s="121"/>
      <c r="H5126" s="121"/>
    </row>
    <row r="5127" spans="1:9" s="65" customFormat="1">
      <c r="A5127" s="128"/>
      <c r="B5127" s="141"/>
      <c r="C5127" s="141"/>
      <c r="D5127" s="141"/>
      <c r="E5127" s="141"/>
      <c r="F5127" s="141"/>
      <c r="G5127" s="141"/>
      <c r="H5127" s="121"/>
    </row>
    <row r="5128" spans="1:9" s="65" customFormat="1">
      <c r="A5128" s="142"/>
      <c r="B5128" s="143"/>
      <c r="C5128" s="143"/>
      <c r="D5128" s="143"/>
      <c r="E5128" s="143"/>
      <c r="F5128" s="84"/>
      <c r="G5128" s="144"/>
      <c r="H5128" s="145"/>
    </row>
    <row r="5129" spans="1:9" s="65" customFormat="1">
      <c r="A5129" s="84"/>
      <c r="B5129" s="83"/>
      <c r="C5129" s="84"/>
      <c r="D5129" s="84"/>
      <c r="E5129" s="84"/>
      <c r="G5129" s="104"/>
      <c r="H5129" s="140"/>
    </row>
    <row r="5130" spans="1:9" s="65" customFormat="1">
      <c r="A5130" s="120"/>
      <c r="B5130" s="73"/>
      <c r="C5130" s="73"/>
      <c r="D5130" s="73"/>
      <c r="E5130" s="73"/>
      <c r="G5130" s="121"/>
      <c r="H5130" s="140"/>
    </row>
    <row r="5131" spans="1:9" s="65" customFormat="1">
      <c r="A5131" s="128"/>
      <c r="B5131" s="141"/>
      <c r="C5131" s="141"/>
      <c r="D5131" s="141"/>
      <c r="E5131" s="141"/>
      <c r="F5131" s="141"/>
      <c r="G5131" s="141"/>
      <c r="H5131" s="140"/>
    </row>
    <row r="5132" spans="1:9" s="65" customFormat="1">
      <c r="A5132" s="150"/>
      <c r="B5132" s="83"/>
      <c r="C5132" s="148"/>
      <c r="D5132" s="160"/>
      <c r="E5132" s="84"/>
      <c r="F5132" s="84"/>
      <c r="G5132" s="144"/>
      <c r="H5132" s="145"/>
    </row>
    <row r="5133" spans="1:9" s="65" customFormat="1">
      <c r="A5133" s="91"/>
      <c r="B5133" s="91"/>
      <c r="C5133" s="91"/>
      <c r="D5133" s="91"/>
      <c r="E5133" s="91"/>
      <c r="G5133" s="104"/>
      <c r="H5133" s="140"/>
    </row>
    <row r="5134" spans="1:9" s="65" customFormat="1">
      <c r="A5134" s="120"/>
      <c r="B5134" s="73"/>
      <c r="C5134" s="73"/>
      <c r="D5134" s="73"/>
      <c r="E5134" s="73"/>
      <c r="G5134" s="121"/>
      <c r="H5134" s="140"/>
    </row>
    <row r="5135" spans="1:9" s="65" customFormat="1">
      <c r="A5135" s="128"/>
      <c r="B5135" s="141"/>
      <c r="C5135" s="141"/>
      <c r="D5135" s="141"/>
      <c r="E5135" s="141"/>
      <c r="F5135" s="141"/>
      <c r="G5135" s="141"/>
      <c r="H5135" s="140"/>
    </row>
    <row r="5136" spans="1:9" s="65" customFormat="1">
      <c r="A5136" s="142"/>
      <c r="B5136" s="143"/>
      <c r="C5136" s="143"/>
      <c r="D5136" s="143"/>
      <c r="E5136" s="143"/>
      <c r="F5136" s="84"/>
      <c r="G5136" s="144"/>
      <c r="H5136" s="145"/>
    </row>
    <row r="5137" spans="1:9" s="65" customFormat="1">
      <c r="A5137" s="91"/>
      <c r="B5137" s="91"/>
      <c r="C5137" s="91"/>
      <c r="D5137" s="91"/>
      <c r="E5137" s="91"/>
      <c r="G5137" s="104"/>
      <c r="H5137" s="140"/>
    </row>
    <row r="5138" spans="1:9" s="65" customFormat="1">
      <c r="A5138" s="120"/>
      <c r="B5138" s="73"/>
      <c r="C5138" s="73"/>
      <c r="D5138" s="73"/>
      <c r="E5138" s="73"/>
      <c r="G5138" s="121"/>
      <c r="H5138" s="140"/>
    </row>
    <row r="5139" spans="1:9" s="65" customFormat="1">
      <c r="A5139" s="128"/>
      <c r="B5139" s="141"/>
      <c r="C5139" s="141"/>
      <c r="D5139" s="141"/>
      <c r="E5139" s="141"/>
      <c r="F5139" s="141"/>
      <c r="G5139" s="141"/>
      <c r="H5139" s="140"/>
    </row>
    <row r="5140" spans="1:9" s="65" customFormat="1">
      <c r="A5140" s="142"/>
      <c r="B5140" s="143"/>
      <c r="C5140" s="143"/>
      <c r="D5140" s="143"/>
      <c r="E5140" s="143"/>
      <c r="F5140" s="84"/>
      <c r="G5140" s="144"/>
      <c r="H5140" s="145"/>
    </row>
    <row r="5141" spans="1:9" s="65" customFormat="1">
      <c r="A5141" s="123"/>
      <c r="B5141" s="95"/>
      <c r="C5141" s="95"/>
      <c r="D5141" s="95"/>
      <c r="E5141" s="95"/>
      <c r="G5141" s="104"/>
      <c r="H5141" s="121"/>
    </row>
    <row r="5142" spans="1:9" s="65" customFormat="1">
      <c r="A5142" s="123"/>
      <c r="B5142" s="95"/>
      <c r="C5142" s="95"/>
      <c r="D5142" s="95"/>
      <c r="E5142" s="95"/>
      <c r="G5142" s="121"/>
      <c r="H5142" s="133"/>
    </row>
    <row r="5143" spans="1:9" s="65" customFormat="1">
      <c r="B5143" s="97"/>
      <c r="C5143" s="98"/>
      <c r="D5143" s="98"/>
      <c r="E5143" s="98"/>
      <c r="G5143" s="128"/>
    </row>
    <row r="5144" spans="1:9" s="65" customFormat="1">
      <c r="B5144" s="97"/>
      <c r="C5144" s="98"/>
      <c r="D5144" s="98"/>
      <c r="E5144" s="98"/>
      <c r="F5144" s="128"/>
      <c r="G5144" s="133"/>
      <c r="H5144" s="134"/>
    </row>
    <row r="5145" spans="1:9" s="65" customFormat="1">
      <c r="A5145" s="633"/>
      <c r="B5145" s="633"/>
      <c r="C5145" s="633"/>
      <c r="D5145" s="633"/>
      <c r="E5145" s="633"/>
      <c r="F5145" s="633"/>
      <c r="G5145" s="633"/>
    </row>
    <row r="5146" spans="1:9" s="65" customFormat="1">
      <c r="H5146" s="157"/>
      <c r="I5146" s="158"/>
    </row>
    <row r="5147" spans="1:9" s="65" customFormat="1">
      <c r="A5147" s="653"/>
      <c r="B5147" s="157"/>
      <c r="C5147" s="157"/>
      <c r="D5147" s="157"/>
      <c r="E5147" s="157"/>
      <c r="F5147" s="157"/>
      <c r="G5147" s="157"/>
      <c r="H5147" s="157"/>
      <c r="I5147" s="159"/>
    </row>
    <row r="5148" spans="1:9" s="65" customFormat="1">
      <c r="A5148" s="653"/>
      <c r="B5148" s="157"/>
      <c r="C5148" s="157"/>
      <c r="D5148" s="157"/>
      <c r="E5148" s="157"/>
      <c r="F5148" s="157"/>
      <c r="G5148" s="157"/>
    </row>
    <row r="5149" spans="1:9" s="65" customFormat="1">
      <c r="A5149" s="69"/>
      <c r="B5149" s="69"/>
      <c r="C5149" s="69"/>
      <c r="D5149" s="69"/>
      <c r="E5149" s="69"/>
    </row>
    <row r="5150" spans="1:9" s="65" customFormat="1">
      <c r="A5150" s="120"/>
      <c r="B5150" s="73"/>
      <c r="C5150" s="73"/>
      <c r="D5150" s="73"/>
      <c r="E5150" s="73"/>
      <c r="F5150" s="121"/>
      <c r="G5150" s="121"/>
      <c r="H5150" s="121"/>
    </row>
    <row r="5151" spans="1:9" s="65" customFormat="1">
      <c r="A5151" s="128"/>
      <c r="B5151" s="141"/>
      <c r="C5151" s="141"/>
      <c r="D5151" s="141"/>
      <c r="E5151" s="141"/>
      <c r="F5151" s="141"/>
      <c r="G5151" s="141"/>
      <c r="H5151" s="121"/>
    </row>
    <row r="5152" spans="1:9" s="65" customFormat="1">
      <c r="A5152" s="142"/>
      <c r="B5152" s="143"/>
      <c r="C5152" s="143"/>
      <c r="D5152" s="143"/>
      <c r="E5152" s="143"/>
      <c r="F5152" s="84"/>
      <c r="G5152" s="144"/>
      <c r="H5152" s="145"/>
    </row>
    <row r="5153" spans="1:8" s="65" customFormat="1">
      <c r="A5153" s="84"/>
      <c r="B5153" s="83"/>
      <c r="C5153" s="84"/>
      <c r="D5153" s="84"/>
      <c r="E5153" s="84"/>
      <c r="G5153" s="104"/>
      <c r="H5153" s="140"/>
    </row>
    <row r="5154" spans="1:8" s="65" customFormat="1">
      <c r="A5154" s="120"/>
      <c r="B5154" s="73"/>
      <c r="C5154" s="73"/>
      <c r="D5154" s="73"/>
      <c r="E5154" s="73"/>
      <c r="G5154" s="121"/>
      <c r="H5154" s="140"/>
    </row>
    <row r="5155" spans="1:8" s="65" customFormat="1">
      <c r="A5155" s="128"/>
      <c r="B5155" s="141"/>
      <c r="C5155" s="141"/>
      <c r="D5155" s="141"/>
      <c r="E5155" s="141"/>
      <c r="F5155" s="141"/>
      <c r="G5155" s="141"/>
      <c r="H5155" s="140"/>
    </row>
    <row r="5156" spans="1:8" s="65" customFormat="1">
      <c r="A5156" s="150"/>
      <c r="B5156" s="83"/>
      <c r="C5156" s="148"/>
      <c r="D5156" s="160"/>
      <c r="E5156" s="84"/>
      <c r="F5156" s="84"/>
      <c r="G5156" s="144"/>
      <c r="H5156" s="145"/>
    </row>
    <row r="5157" spans="1:8" s="65" customFormat="1">
      <c r="A5157" s="91"/>
      <c r="B5157" s="91"/>
      <c r="C5157" s="91"/>
      <c r="D5157" s="91"/>
      <c r="E5157" s="91"/>
      <c r="G5157" s="104"/>
      <c r="H5157" s="140"/>
    </row>
    <row r="5158" spans="1:8" s="65" customFormat="1">
      <c r="A5158" s="120"/>
      <c r="B5158" s="73"/>
      <c r="C5158" s="73"/>
      <c r="D5158" s="73"/>
      <c r="E5158" s="73"/>
      <c r="G5158" s="121"/>
      <c r="H5158" s="140"/>
    </row>
    <row r="5159" spans="1:8" s="65" customFormat="1">
      <c r="A5159" s="128"/>
      <c r="B5159" s="141"/>
      <c r="C5159" s="141"/>
      <c r="D5159" s="141"/>
      <c r="E5159" s="141"/>
      <c r="F5159" s="141"/>
      <c r="G5159" s="141"/>
      <c r="H5159" s="140"/>
    </row>
    <row r="5160" spans="1:8" s="65" customFormat="1">
      <c r="A5160" s="142"/>
      <c r="B5160" s="143"/>
      <c r="C5160" s="143"/>
      <c r="D5160" s="143"/>
      <c r="E5160" s="143"/>
      <c r="F5160" s="84"/>
      <c r="G5160" s="144"/>
      <c r="H5160" s="145"/>
    </row>
    <row r="5161" spans="1:8" s="65" customFormat="1">
      <c r="A5161" s="91"/>
      <c r="B5161" s="91"/>
      <c r="C5161" s="91"/>
      <c r="D5161" s="91"/>
      <c r="E5161" s="91"/>
      <c r="G5161" s="104"/>
      <c r="H5161" s="140"/>
    </row>
    <row r="5162" spans="1:8" s="65" customFormat="1">
      <c r="A5162" s="120"/>
      <c r="B5162" s="73"/>
      <c r="C5162" s="73"/>
      <c r="D5162" s="73"/>
      <c r="E5162" s="73"/>
      <c r="G5162" s="121"/>
      <c r="H5162" s="140"/>
    </row>
    <row r="5163" spans="1:8" s="65" customFormat="1">
      <c r="A5163" s="128"/>
      <c r="B5163" s="141"/>
      <c r="C5163" s="141"/>
      <c r="D5163" s="141"/>
      <c r="E5163" s="141"/>
      <c r="F5163" s="141"/>
      <c r="G5163" s="141"/>
      <c r="H5163" s="140"/>
    </row>
    <row r="5164" spans="1:8" s="65" customFormat="1">
      <c r="A5164" s="142"/>
      <c r="B5164" s="143"/>
      <c r="C5164" s="143"/>
      <c r="D5164" s="143"/>
      <c r="E5164" s="143"/>
      <c r="F5164" s="84"/>
      <c r="G5164" s="144"/>
      <c r="H5164" s="145"/>
    </row>
    <row r="5165" spans="1:8" s="65" customFormat="1">
      <c r="A5165" s="123"/>
      <c r="B5165" s="95"/>
      <c r="C5165" s="95"/>
      <c r="D5165" s="95"/>
      <c r="E5165" s="95"/>
      <c r="G5165" s="104"/>
      <c r="H5165" s="121"/>
    </row>
    <row r="5166" spans="1:8" s="65" customFormat="1">
      <c r="A5166" s="123"/>
      <c r="B5166" s="95"/>
      <c r="C5166" s="95"/>
      <c r="D5166" s="95"/>
      <c r="E5166" s="95"/>
      <c r="G5166" s="121"/>
      <c r="H5166" s="133"/>
    </row>
    <row r="5167" spans="1:8" s="65" customFormat="1">
      <c r="B5167" s="97"/>
      <c r="C5167" s="98"/>
      <c r="D5167" s="98"/>
      <c r="E5167" s="98"/>
      <c r="G5167" s="128"/>
    </row>
    <row r="5168" spans="1:8" s="65" customFormat="1">
      <c r="B5168" s="97"/>
      <c r="C5168" s="98"/>
      <c r="D5168" s="98"/>
      <c r="E5168" s="98"/>
      <c r="F5168" s="128"/>
      <c r="G5168" s="133"/>
      <c r="H5168" s="134"/>
    </row>
    <row r="5169" spans="1:9" s="65" customFormat="1">
      <c r="A5169" s="633"/>
      <c r="B5169" s="633"/>
      <c r="C5169" s="633"/>
      <c r="D5169" s="633"/>
      <c r="E5169" s="633"/>
      <c r="F5169" s="633"/>
      <c r="G5169" s="633"/>
    </row>
    <row r="5170" spans="1:9" s="65" customFormat="1">
      <c r="H5170" s="156"/>
      <c r="I5170" s="151"/>
    </row>
    <row r="5171" spans="1:9" s="65" customFormat="1">
      <c r="A5171" s="645"/>
      <c r="B5171" s="156"/>
      <c r="C5171" s="156"/>
      <c r="D5171" s="156"/>
      <c r="E5171" s="156"/>
      <c r="F5171" s="156"/>
      <c r="G5171" s="156"/>
      <c r="H5171" s="156"/>
      <c r="I5171" s="152"/>
    </row>
    <row r="5172" spans="1:9" s="65" customFormat="1">
      <c r="A5172" s="645"/>
      <c r="B5172" s="156"/>
      <c r="C5172" s="156"/>
      <c r="D5172" s="156"/>
      <c r="E5172" s="156"/>
      <c r="F5172" s="156"/>
      <c r="G5172" s="156"/>
    </row>
    <row r="5173" spans="1:9" s="65" customFormat="1">
      <c r="A5173" s="69"/>
      <c r="B5173" s="69"/>
      <c r="C5173" s="69"/>
      <c r="D5173" s="69"/>
      <c r="E5173" s="69"/>
    </row>
    <row r="5174" spans="1:9" s="65" customFormat="1">
      <c r="A5174" s="120"/>
      <c r="B5174" s="73"/>
      <c r="C5174" s="73"/>
      <c r="D5174" s="73"/>
      <c r="E5174" s="73"/>
      <c r="F5174" s="121"/>
      <c r="G5174" s="121"/>
      <c r="H5174" s="121"/>
    </row>
    <row r="5175" spans="1:9" s="65" customFormat="1">
      <c r="A5175" s="128"/>
      <c r="B5175" s="141"/>
      <c r="C5175" s="141"/>
      <c r="D5175" s="141"/>
      <c r="E5175" s="141"/>
      <c r="F5175" s="141"/>
      <c r="G5175" s="141"/>
      <c r="H5175" s="121"/>
    </row>
    <row r="5176" spans="1:9" s="65" customFormat="1">
      <c r="A5176" s="142"/>
      <c r="B5176" s="143"/>
      <c r="C5176" s="143"/>
      <c r="D5176" s="143"/>
      <c r="E5176" s="143"/>
      <c r="F5176" s="84"/>
      <c r="G5176" s="144"/>
      <c r="H5176" s="145"/>
    </row>
    <row r="5177" spans="1:9" s="65" customFormat="1">
      <c r="A5177" s="84"/>
      <c r="B5177" s="83"/>
      <c r="C5177" s="84"/>
      <c r="D5177" s="84"/>
      <c r="E5177" s="84"/>
      <c r="G5177" s="104"/>
      <c r="H5177" s="140"/>
    </row>
    <row r="5178" spans="1:9" s="65" customFormat="1">
      <c r="A5178" s="120"/>
      <c r="B5178" s="73"/>
      <c r="C5178" s="73"/>
      <c r="D5178" s="73"/>
      <c r="E5178" s="73"/>
      <c r="G5178" s="121"/>
      <c r="H5178" s="140"/>
    </row>
    <row r="5179" spans="1:9" s="65" customFormat="1">
      <c r="A5179" s="128"/>
      <c r="B5179" s="141"/>
      <c r="C5179" s="141"/>
      <c r="D5179" s="141"/>
      <c r="E5179" s="141"/>
      <c r="F5179" s="141"/>
      <c r="G5179" s="141"/>
      <c r="H5179" s="140"/>
    </row>
    <row r="5180" spans="1:9" s="65" customFormat="1">
      <c r="A5180" s="150"/>
      <c r="B5180" s="83"/>
      <c r="C5180" s="148"/>
      <c r="D5180" s="160"/>
      <c r="E5180" s="84"/>
      <c r="F5180" s="84"/>
      <c r="G5180" s="144"/>
      <c r="H5180" s="145"/>
    </row>
    <row r="5181" spans="1:9" s="65" customFormat="1">
      <c r="A5181" s="91"/>
      <c r="B5181" s="91"/>
      <c r="C5181" s="91"/>
      <c r="D5181" s="91"/>
      <c r="E5181" s="91"/>
      <c r="G5181" s="104"/>
      <c r="H5181" s="140"/>
    </row>
    <row r="5182" spans="1:9" s="65" customFormat="1">
      <c r="A5182" s="120"/>
      <c r="B5182" s="73"/>
      <c r="C5182" s="73"/>
      <c r="D5182" s="73"/>
      <c r="E5182" s="73"/>
      <c r="G5182" s="121"/>
      <c r="H5182" s="140"/>
    </row>
    <row r="5183" spans="1:9" s="65" customFormat="1">
      <c r="A5183" s="128"/>
      <c r="B5183" s="141"/>
      <c r="C5183" s="141"/>
      <c r="D5183" s="141"/>
      <c r="E5183" s="141"/>
      <c r="F5183" s="141"/>
      <c r="G5183" s="141"/>
      <c r="H5183" s="140"/>
    </row>
    <row r="5184" spans="1:9" s="65" customFormat="1">
      <c r="A5184" s="142"/>
      <c r="B5184" s="143"/>
      <c r="C5184" s="143"/>
      <c r="D5184" s="143"/>
      <c r="E5184" s="143"/>
      <c r="F5184" s="84"/>
      <c r="G5184" s="144"/>
      <c r="H5184" s="145"/>
    </row>
    <row r="5185" spans="1:9" s="65" customFormat="1">
      <c r="A5185" s="91"/>
      <c r="B5185" s="91"/>
      <c r="C5185" s="91"/>
      <c r="D5185" s="91"/>
      <c r="E5185" s="91"/>
      <c r="G5185" s="104"/>
      <c r="H5185" s="140"/>
    </row>
    <row r="5186" spans="1:9" s="65" customFormat="1">
      <c r="A5186" s="120"/>
      <c r="B5186" s="73"/>
      <c r="C5186" s="73"/>
      <c r="D5186" s="73"/>
      <c r="E5186" s="73"/>
      <c r="G5186" s="121"/>
      <c r="H5186" s="140"/>
    </row>
    <row r="5187" spans="1:9" s="65" customFormat="1">
      <c r="A5187" s="128"/>
      <c r="B5187" s="141"/>
      <c r="C5187" s="141"/>
      <c r="D5187" s="141"/>
      <c r="E5187" s="141"/>
      <c r="F5187" s="141"/>
      <c r="G5187" s="141"/>
      <c r="H5187" s="140"/>
    </row>
    <row r="5188" spans="1:9" s="65" customFormat="1">
      <c r="A5188" s="142"/>
      <c r="B5188" s="143"/>
      <c r="C5188" s="143"/>
      <c r="D5188" s="143"/>
      <c r="E5188" s="143"/>
      <c r="F5188" s="84"/>
      <c r="G5188" s="144"/>
      <c r="H5188" s="145"/>
    </row>
    <row r="5189" spans="1:9" s="65" customFormat="1">
      <c r="A5189" s="123"/>
      <c r="B5189" s="95"/>
      <c r="C5189" s="95"/>
      <c r="D5189" s="95"/>
      <c r="E5189" s="95"/>
      <c r="G5189" s="104"/>
      <c r="H5189" s="121"/>
    </row>
    <row r="5190" spans="1:9" s="65" customFormat="1">
      <c r="A5190" s="123"/>
      <c r="B5190" s="95"/>
      <c r="C5190" s="95"/>
      <c r="D5190" s="95"/>
      <c r="E5190" s="95"/>
      <c r="G5190" s="121"/>
      <c r="H5190" s="133"/>
    </row>
    <row r="5191" spans="1:9" s="65" customFormat="1">
      <c r="B5191" s="97"/>
      <c r="C5191" s="98"/>
      <c r="D5191" s="98"/>
      <c r="E5191" s="98"/>
      <c r="G5191" s="128"/>
    </row>
    <row r="5192" spans="1:9" s="65" customFormat="1">
      <c r="B5192" s="97"/>
      <c r="C5192" s="98"/>
      <c r="D5192" s="98"/>
      <c r="E5192" s="98"/>
      <c r="F5192" s="128"/>
      <c r="G5192" s="133"/>
      <c r="H5192" s="134"/>
    </row>
    <row r="5193" spans="1:9" s="65" customFormat="1">
      <c r="A5193" s="633"/>
      <c r="B5193" s="633"/>
      <c r="C5193" s="633"/>
      <c r="D5193" s="633"/>
      <c r="E5193" s="633"/>
      <c r="F5193" s="633"/>
      <c r="G5193" s="633"/>
    </row>
    <row r="5194" spans="1:9" s="65" customFormat="1">
      <c r="H5194" s="156"/>
      <c r="I5194" s="151"/>
    </row>
    <row r="5195" spans="1:9" s="65" customFormat="1">
      <c r="A5195" s="645"/>
      <c r="B5195" s="156"/>
      <c r="C5195" s="156"/>
      <c r="D5195" s="156"/>
      <c r="E5195" s="156"/>
      <c r="F5195" s="156"/>
      <c r="G5195" s="156"/>
      <c r="H5195" s="156"/>
      <c r="I5195" s="152"/>
    </row>
    <row r="5196" spans="1:9" s="65" customFormat="1">
      <c r="A5196" s="645"/>
      <c r="B5196" s="156"/>
      <c r="C5196" s="156"/>
      <c r="D5196" s="156"/>
      <c r="E5196" s="156"/>
      <c r="F5196" s="156"/>
      <c r="G5196" s="156"/>
    </row>
    <row r="5197" spans="1:9" s="65" customFormat="1">
      <c r="A5197" s="69"/>
      <c r="B5197" s="69"/>
      <c r="C5197" s="69"/>
      <c r="D5197" s="69"/>
      <c r="E5197" s="69"/>
    </row>
    <row r="5198" spans="1:9" s="65" customFormat="1">
      <c r="A5198" s="120"/>
      <c r="B5198" s="73"/>
      <c r="C5198" s="73"/>
      <c r="D5198" s="73"/>
      <c r="E5198" s="73"/>
      <c r="F5198" s="121"/>
      <c r="G5198" s="121"/>
      <c r="H5198" s="121"/>
    </row>
    <row r="5199" spans="1:9" s="65" customFormat="1">
      <c r="A5199" s="128"/>
      <c r="B5199" s="141"/>
      <c r="C5199" s="141"/>
      <c r="D5199" s="141"/>
      <c r="E5199" s="141"/>
      <c r="F5199" s="141"/>
      <c r="G5199" s="141"/>
      <c r="H5199" s="121"/>
    </row>
    <row r="5200" spans="1:9" s="65" customFormat="1">
      <c r="A5200" s="142"/>
      <c r="B5200" s="143"/>
      <c r="C5200" s="143"/>
      <c r="D5200" s="143"/>
      <c r="E5200" s="143"/>
      <c r="F5200" s="84"/>
      <c r="G5200" s="144"/>
      <c r="H5200" s="145"/>
    </row>
    <row r="5201" spans="1:8" s="65" customFormat="1">
      <c r="A5201" s="84"/>
      <c r="B5201" s="83"/>
      <c r="C5201" s="84"/>
      <c r="D5201" s="84"/>
      <c r="E5201" s="84"/>
      <c r="G5201" s="104"/>
      <c r="H5201" s="140"/>
    </row>
    <row r="5202" spans="1:8" s="65" customFormat="1">
      <c r="A5202" s="120"/>
      <c r="B5202" s="73"/>
      <c r="C5202" s="73"/>
      <c r="D5202" s="73"/>
      <c r="E5202" s="73"/>
      <c r="G5202" s="121"/>
      <c r="H5202" s="140"/>
    </row>
    <row r="5203" spans="1:8" s="65" customFormat="1">
      <c r="A5203" s="128"/>
      <c r="B5203" s="141"/>
      <c r="C5203" s="141"/>
      <c r="D5203" s="141"/>
      <c r="E5203" s="141"/>
      <c r="F5203" s="141"/>
      <c r="G5203" s="141"/>
      <c r="H5203" s="140"/>
    </row>
    <row r="5204" spans="1:8" s="65" customFormat="1">
      <c r="A5204" s="150"/>
      <c r="B5204" s="83"/>
      <c r="C5204" s="148"/>
      <c r="D5204" s="160"/>
      <c r="E5204" s="84"/>
      <c r="F5204" s="84"/>
      <c r="G5204" s="144"/>
      <c r="H5204" s="145"/>
    </row>
    <row r="5205" spans="1:8" s="65" customFormat="1">
      <c r="A5205" s="91"/>
      <c r="B5205" s="91"/>
      <c r="C5205" s="91"/>
      <c r="D5205" s="91"/>
      <c r="E5205" s="91"/>
      <c r="G5205" s="104"/>
      <c r="H5205" s="140"/>
    </row>
    <row r="5206" spans="1:8" s="65" customFormat="1">
      <c r="A5206" s="120"/>
      <c r="B5206" s="73"/>
      <c r="C5206" s="73"/>
      <c r="D5206" s="73"/>
      <c r="E5206" s="73"/>
      <c r="G5206" s="121"/>
      <c r="H5206" s="140"/>
    </row>
    <row r="5207" spans="1:8" s="65" customFormat="1">
      <c r="A5207" s="128"/>
      <c r="B5207" s="141"/>
      <c r="C5207" s="141"/>
      <c r="D5207" s="141"/>
      <c r="E5207" s="141"/>
      <c r="F5207" s="141"/>
      <c r="G5207" s="141"/>
      <c r="H5207" s="140"/>
    </row>
    <row r="5208" spans="1:8" s="65" customFormat="1">
      <c r="A5208" s="142"/>
      <c r="B5208" s="143"/>
      <c r="C5208" s="143"/>
      <c r="D5208" s="143"/>
      <c r="E5208" s="143"/>
      <c r="F5208" s="84"/>
      <c r="G5208" s="144"/>
      <c r="H5208" s="145"/>
    </row>
    <row r="5209" spans="1:8" s="65" customFormat="1">
      <c r="A5209" s="91"/>
      <c r="B5209" s="91"/>
      <c r="C5209" s="91"/>
      <c r="D5209" s="91"/>
      <c r="E5209" s="91"/>
      <c r="G5209" s="104"/>
      <c r="H5209" s="140"/>
    </row>
    <row r="5210" spans="1:8" s="65" customFormat="1">
      <c r="A5210" s="120"/>
      <c r="B5210" s="73"/>
      <c r="C5210" s="73"/>
      <c r="D5210" s="73"/>
      <c r="E5210" s="73"/>
      <c r="G5210" s="121"/>
      <c r="H5210" s="140"/>
    </row>
    <row r="5211" spans="1:8" s="65" customFormat="1">
      <c r="A5211" s="128"/>
      <c r="B5211" s="141"/>
      <c r="C5211" s="141"/>
      <c r="D5211" s="141"/>
      <c r="E5211" s="141"/>
      <c r="F5211" s="141"/>
      <c r="G5211" s="141"/>
      <c r="H5211" s="140"/>
    </row>
    <row r="5212" spans="1:8" s="65" customFormat="1">
      <c r="A5212" s="142"/>
      <c r="B5212" s="143"/>
      <c r="C5212" s="143"/>
      <c r="D5212" s="143"/>
      <c r="E5212" s="143"/>
      <c r="F5212" s="84"/>
      <c r="G5212" s="144"/>
      <c r="H5212" s="145"/>
    </row>
    <row r="5213" spans="1:8" s="65" customFormat="1">
      <c r="A5213" s="123"/>
      <c r="B5213" s="95"/>
      <c r="C5213" s="95"/>
      <c r="D5213" s="95"/>
      <c r="E5213" s="95"/>
      <c r="G5213" s="104"/>
      <c r="H5213" s="121"/>
    </row>
    <row r="5214" spans="1:8" s="65" customFormat="1">
      <c r="A5214" s="123"/>
      <c r="B5214" s="95"/>
      <c r="C5214" s="95"/>
      <c r="D5214" s="95"/>
      <c r="E5214" s="95"/>
      <c r="G5214" s="121"/>
      <c r="H5214" s="133"/>
    </row>
    <row r="5215" spans="1:8" s="65" customFormat="1">
      <c r="B5215" s="97"/>
      <c r="C5215" s="98"/>
      <c r="D5215" s="98"/>
      <c r="E5215" s="98"/>
      <c r="G5215" s="128"/>
    </row>
    <row r="5216" spans="1:8" s="65" customFormat="1">
      <c r="B5216" s="97"/>
      <c r="C5216" s="98"/>
      <c r="D5216" s="98"/>
      <c r="E5216" s="98"/>
      <c r="F5216" s="128"/>
      <c r="G5216" s="133"/>
      <c r="H5216" s="134"/>
    </row>
    <row r="5217" spans="1:9" s="65" customFormat="1">
      <c r="A5217" s="633"/>
      <c r="B5217" s="633"/>
      <c r="C5217" s="633"/>
      <c r="D5217" s="633"/>
      <c r="E5217" s="633"/>
      <c r="F5217" s="633"/>
      <c r="G5217" s="633"/>
    </row>
    <row r="5218" spans="1:9" s="65" customFormat="1">
      <c r="H5218" s="156"/>
      <c r="I5218" s="151"/>
    </row>
    <row r="5219" spans="1:9" s="65" customFormat="1">
      <c r="A5219" s="645"/>
      <c r="B5219" s="156"/>
      <c r="C5219" s="156"/>
      <c r="D5219" s="156"/>
      <c r="E5219" s="156"/>
      <c r="F5219" s="156"/>
      <c r="G5219" s="156"/>
      <c r="H5219" s="156"/>
      <c r="I5219" s="152"/>
    </row>
    <row r="5220" spans="1:9" s="65" customFormat="1">
      <c r="A5220" s="645"/>
      <c r="B5220" s="156"/>
      <c r="C5220" s="156"/>
      <c r="D5220" s="156"/>
      <c r="E5220" s="156"/>
      <c r="F5220" s="156"/>
      <c r="G5220" s="156"/>
    </row>
    <row r="5221" spans="1:9" s="65" customFormat="1">
      <c r="A5221" s="69"/>
      <c r="B5221" s="69"/>
      <c r="C5221" s="69"/>
      <c r="D5221" s="69"/>
      <c r="E5221" s="69"/>
    </row>
    <row r="5222" spans="1:9" s="65" customFormat="1">
      <c r="A5222" s="120"/>
      <c r="B5222" s="73"/>
      <c r="C5222" s="73"/>
      <c r="D5222" s="73"/>
      <c r="E5222" s="73"/>
      <c r="F5222" s="121"/>
      <c r="G5222" s="121"/>
      <c r="H5222" s="121"/>
    </row>
    <row r="5223" spans="1:9" s="65" customFormat="1">
      <c r="A5223" s="128"/>
      <c r="B5223" s="141"/>
      <c r="C5223" s="141"/>
      <c r="D5223" s="141"/>
      <c r="E5223" s="141"/>
      <c r="F5223" s="141"/>
      <c r="G5223" s="141"/>
      <c r="H5223" s="121"/>
    </row>
    <row r="5224" spans="1:9" s="65" customFormat="1">
      <c r="A5224" s="142"/>
      <c r="B5224" s="143"/>
      <c r="C5224" s="143"/>
      <c r="D5224" s="143"/>
      <c r="E5224" s="143"/>
      <c r="F5224" s="84"/>
      <c r="G5224" s="144"/>
      <c r="H5224" s="145"/>
    </row>
    <row r="5225" spans="1:9" s="65" customFormat="1">
      <c r="A5225" s="84"/>
      <c r="B5225" s="83"/>
      <c r="C5225" s="84"/>
      <c r="D5225" s="84"/>
      <c r="E5225" s="84"/>
      <c r="G5225" s="104"/>
      <c r="H5225" s="140"/>
    </row>
    <row r="5226" spans="1:9" s="65" customFormat="1">
      <c r="A5226" s="120"/>
      <c r="B5226" s="73"/>
      <c r="C5226" s="73"/>
      <c r="D5226" s="73"/>
      <c r="E5226" s="73"/>
      <c r="G5226" s="121"/>
      <c r="H5226" s="140"/>
    </row>
    <row r="5227" spans="1:9" s="65" customFormat="1">
      <c r="A5227" s="128"/>
      <c r="B5227" s="141"/>
      <c r="C5227" s="141"/>
      <c r="D5227" s="141"/>
      <c r="E5227" s="141"/>
      <c r="F5227" s="141"/>
      <c r="G5227" s="141"/>
      <c r="H5227" s="140"/>
    </row>
    <row r="5228" spans="1:9" s="65" customFormat="1">
      <c r="A5228" s="150"/>
      <c r="B5228" s="83"/>
      <c r="C5228" s="148"/>
      <c r="D5228" s="160"/>
      <c r="E5228" s="84"/>
      <c r="F5228" s="84"/>
      <c r="G5228" s="144"/>
      <c r="H5228" s="145"/>
    </row>
    <row r="5229" spans="1:9" s="65" customFormat="1">
      <c r="A5229" s="91"/>
      <c r="B5229" s="91"/>
      <c r="C5229" s="91"/>
      <c r="D5229" s="91"/>
      <c r="E5229" s="91"/>
      <c r="G5229" s="104"/>
      <c r="H5229" s="140"/>
    </row>
    <row r="5230" spans="1:9" s="65" customFormat="1">
      <c r="A5230" s="120"/>
      <c r="B5230" s="73"/>
      <c r="C5230" s="73"/>
      <c r="D5230" s="73"/>
      <c r="E5230" s="73"/>
      <c r="G5230" s="121"/>
      <c r="H5230" s="140"/>
    </row>
    <row r="5231" spans="1:9" s="65" customFormat="1">
      <c r="A5231" s="128"/>
      <c r="B5231" s="141"/>
      <c r="C5231" s="141"/>
      <c r="D5231" s="141"/>
      <c r="E5231" s="141"/>
      <c r="F5231" s="141"/>
      <c r="G5231" s="141"/>
      <c r="H5231" s="140"/>
    </row>
    <row r="5232" spans="1:9" s="65" customFormat="1">
      <c r="A5232" s="142"/>
      <c r="B5232" s="143"/>
      <c r="C5232" s="143"/>
      <c r="D5232" s="143"/>
      <c r="E5232" s="143"/>
      <c r="F5232" s="84"/>
      <c r="G5232" s="144"/>
      <c r="H5232" s="145"/>
    </row>
    <row r="5233" spans="1:9" s="65" customFormat="1">
      <c r="A5233" s="91"/>
      <c r="B5233" s="91"/>
      <c r="C5233" s="91"/>
      <c r="D5233" s="91"/>
      <c r="E5233" s="91"/>
      <c r="G5233" s="104"/>
      <c r="H5233" s="140"/>
    </row>
    <row r="5234" spans="1:9" s="65" customFormat="1">
      <c r="A5234" s="120"/>
      <c r="B5234" s="73"/>
      <c r="C5234" s="73"/>
      <c r="D5234" s="73"/>
      <c r="E5234" s="73"/>
      <c r="G5234" s="121"/>
      <c r="H5234" s="140"/>
    </row>
    <row r="5235" spans="1:9" s="65" customFormat="1">
      <c r="A5235" s="128"/>
      <c r="B5235" s="141"/>
      <c r="C5235" s="141"/>
      <c r="D5235" s="141"/>
      <c r="E5235" s="141"/>
      <c r="F5235" s="141"/>
      <c r="G5235" s="141"/>
      <c r="H5235" s="140"/>
    </row>
    <row r="5236" spans="1:9" s="65" customFormat="1">
      <c r="A5236" s="142"/>
      <c r="B5236" s="143"/>
      <c r="C5236" s="143"/>
      <c r="D5236" s="143"/>
      <c r="E5236" s="143"/>
      <c r="F5236" s="84"/>
      <c r="G5236" s="144"/>
      <c r="H5236" s="145"/>
    </row>
    <row r="5237" spans="1:9" s="65" customFormat="1">
      <c r="A5237" s="123"/>
      <c r="B5237" s="95"/>
      <c r="C5237" s="95"/>
      <c r="D5237" s="95"/>
      <c r="E5237" s="95"/>
      <c r="G5237" s="104"/>
      <c r="H5237" s="121"/>
    </row>
    <row r="5238" spans="1:9" s="65" customFormat="1">
      <c r="A5238" s="123"/>
      <c r="B5238" s="95"/>
      <c r="C5238" s="95"/>
      <c r="D5238" s="95"/>
      <c r="E5238" s="95"/>
      <c r="G5238" s="121"/>
      <c r="H5238" s="133"/>
    </row>
    <row r="5239" spans="1:9" s="65" customFormat="1">
      <c r="B5239" s="97"/>
      <c r="C5239" s="98"/>
      <c r="D5239" s="98"/>
      <c r="E5239" s="98"/>
      <c r="G5239" s="128"/>
    </row>
    <row r="5240" spans="1:9" s="65" customFormat="1">
      <c r="B5240" s="97"/>
      <c r="C5240" s="98"/>
      <c r="D5240" s="98"/>
      <c r="E5240" s="98"/>
      <c r="F5240" s="128"/>
      <c r="G5240" s="133"/>
      <c r="H5240" s="134"/>
    </row>
    <row r="5241" spans="1:9" s="65" customFormat="1">
      <c r="A5241" s="633"/>
      <c r="B5241" s="633"/>
      <c r="C5241" s="633"/>
      <c r="D5241" s="633"/>
      <c r="E5241" s="633"/>
      <c r="F5241" s="633"/>
      <c r="G5241" s="633"/>
    </row>
    <row r="5242" spans="1:9" s="65" customFormat="1">
      <c r="H5242" s="156"/>
      <c r="I5242" s="151"/>
    </row>
    <row r="5243" spans="1:9" s="65" customFormat="1">
      <c r="A5243" s="645"/>
      <c r="B5243" s="156"/>
      <c r="C5243" s="156"/>
      <c r="D5243" s="156"/>
      <c r="E5243" s="156"/>
      <c r="F5243" s="156"/>
      <c r="G5243" s="156"/>
      <c r="H5243" s="156"/>
      <c r="I5243" s="152"/>
    </row>
    <row r="5244" spans="1:9" s="65" customFormat="1">
      <c r="A5244" s="645"/>
      <c r="B5244" s="156"/>
      <c r="C5244" s="156"/>
      <c r="D5244" s="156"/>
      <c r="E5244" s="156"/>
      <c r="F5244" s="156"/>
      <c r="G5244" s="156"/>
    </row>
    <row r="5245" spans="1:9" s="65" customFormat="1">
      <c r="A5245" s="69"/>
      <c r="B5245" s="69"/>
      <c r="C5245" s="69"/>
      <c r="D5245" s="69"/>
      <c r="E5245" s="69"/>
    </row>
    <row r="5246" spans="1:9" s="65" customFormat="1">
      <c r="A5246" s="120"/>
      <c r="B5246" s="73"/>
      <c r="C5246" s="73"/>
      <c r="D5246" s="73"/>
      <c r="E5246" s="73"/>
      <c r="F5246" s="121"/>
      <c r="G5246" s="121"/>
      <c r="H5246" s="121"/>
    </row>
    <row r="5247" spans="1:9" s="65" customFormat="1">
      <c r="A5247" s="128"/>
      <c r="B5247" s="141"/>
      <c r="C5247" s="141"/>
      <c r="D5247" s="141"/>
      <c r="E5247" s="141"/>
      <c r="F5247" s="141"/>
      <c r="G5247" s="141"/>
      <c r="H5247" s="121"/>
    </row>
    <row r="5248" spans="1:9" s="65" customFormat="1">
      <c r="A5248" s="142"/>
      <c r="B5248" s="143"/>
      <c r="C5248" s="143"/>
      <c r="D5248" s="143"/>
      <c r="E5248" s="143"/>
      <c r="F5248" s="84"/>
      <c r="G5248" s="144"/>
      <c r="H5248" s="145"/>
    </row>
    <row r="5249" spans="1:8" s="65" customFormat="1">
      <c r="A5249" s="84"/>
      <c r="B5249" s="83"/>
      <c r="C5249" s="84"/>
      <c r="D5249" s="84"/>
      <c r="E5249" s="84"/>
      <c r="G5249" s="104"/>
      <c r="H5249" s="140"/>
    </row>
    <row r="5250" spans="1:8" s="65" customFormat="1">
      <c r="A5250" s="120"/>
      <c r="B5250" s="73"/>
      <c r="C5250" s="73"/>
      <c r="D5250" s="73"/>
      <c r="E5250" s="73"/>
      <c r="G5250" s="121"/>
      <c r="H5250" s="140"/>
    </row>
    <row r="5251" spans="1:8" s="65" customFormat="1">
      <c r="A5251" s="128"/>
      <c r="B5251" s="141"/>
      <c r="C5251" s="141"/>
      <c r="D5251" s="141"/>
      <c r="E5251" s="141"/>
      <c r="F5251" s="141"/>
      <c r="G5251" s="141"/>
      <c r="H5251" s="140"/>
    </row>
    <row r="5252" spans="1:8" s="65" customFormat="1">
      <c r="A5252" s="150"/>
      <c r="B5252" s="83"/>
      <c r="C5252" s="148"/>
      <c r="D5252" s="160"/>
      <c r="E5252" s="84"/>
      <c r="F5252" s="84"/>
      <c r="G5252" s="144"/>
      <c r="H5252" s="145"/>
    </row>
    <row r="5253" spans="1:8" s="65" customFormat="1">
      <c r="A5253" s="91"/>
      <c r="B5253" s="91"/>
      <c r="C5253" s="91"/>
      <c r="D5253" s="91"/>
      <c r="E5253" s="91"/>
      <c r="G5253" s="104"/>
      <c r="H5253" s="140"/>
    </row>
    <row r="5254" spans="1:8" s="65" customFormat="1">
      <c r="A5254" s="120"/>
      <c r="B5254" s="73"/>
      <c r="C5254" s="73"/>
      <c r="D5254" s="73"/>
      <c r="E5254" s="73"/>
      <c r="G5254" s="121"/>
      <c r="H5254" s="140"/>
    </row>
    <row r="5255" spans="1:8" s="65" customFormat="1">
      <c r="A5255" s="128"/>
      <c r="B5255" s="141"/>
      <c r="C5255" s="141"/>
      <c r="D5255" s="141"/>
      <c r="E5255" s="141"/>
      <c r="F5255" s="141"/>
      <c r="G5255" s="141"/>
      <c r="H5255" s="140"/>
    </row>
    <row r="5256" spans="1:8" s="65" customFormat="1">
      <c r="A5256" s="142"/>
      <c r="B5256" s="143"/>
      <c r="C5256" s="143"/>
      <c r="D5256" s="143"/>
      <c r="E5256" s="143"/>
      <c r="F5256" s="84"/>
      <c r="G5256" s="144"/>
      <c r="H5256" s="145"/>
    </row>
    <row r="5257" spans="1:8" s="65" customFormat="1">
      <c r="A5257" s="91"/>
      <c r="B5257" s="91"/>
      <c r="C5257" s="91"/>
      <c r="D5257" s="91"/>
      <c r="E5257" s="91"/>
      <c r="G5257" s="104"/>
      <c r="H5257" s="140"/>
    </row>
    <row r="5258" spans="1:8" s="65" customFormat="1">
      <c r="A5258" s="120"/>
      <c r="B5258" s="73"/>
      <c r="C5258" s="73"/>
      <c r="D5258" s="73"/>
      <c r="E5258" s="73"/>
      <c r="G5258" s="121"/>
      <c r="H5258" s="140"/>
    </row>
    <row r="5259" spans="1:8" s="65" customFormat="1">
      <c r="A5259" s="128"/>
      <c r="B5259" s="141"/>
      <c r="C5259" s="141"/>
      <c r="D5259" s="141"/>
      <c r="E5259" s="141"/>
      <c r="F5259" s="141"/>
      <c r="G5259" s="141"/>
      <c r="H5259" s="140"/>
    </row>
    <row r="5260" spans="1:8" s="65" customFormat="1">
      <c r="A5260" s="142"/>
      <c r="B5260" s="143"/>
      <c r="C5260" s="143"/>
      <c r="D5260" s="143"/>
      <c r="E5260" s="143"/>
      <c r="F5260" s="84"/>
      <c r="G5260" s="144"/>
      <c r="H5260" s="145"/>
    </row>
    <row r="5261" spans="1:8" s="65" customFormat="1">
      <c r="A5261" s="123"/>
      <c r="B5261" s="95"/>
      <c r="C5261" s="95"/>
      <c r="D5261" s="95"/>
      <c r="E5261" s="95"/>
      <c r="G5261" s="104"/>
      <c r="H5261" s="121"/>
    </row>
    <row r="5262" spans="1:8" s="65" customFormat="1">
      <c r="A5262" s="123"/>
      <c r="B5262" s="95"/>
      <c r="C5262" s="95"/>
      <c r="D5262" s="95"/>
      <c r="E5262" s="95"/>
      <c r="G5262" s="121"/>
      <c r="H5262" s="133"/>
    </row>
    <row r="5263" spans="1:8" s="65" customFormat="1">
      <c r="B5263" s="97"/>
      <c r="C5263" s="98"/>
      <c r="D5263" s="98"/>
      <c r="E5263" s="98"/>
      <c r="G5263" s="128"/>
    </row>
    <row r="5264" spans="1:8" s="65" customFormat="1">
      <c r="B5264" s="97"/>
      <c r="C5264" s="98"/>
      <c r="D5264" s="98"/>
      <c r="E5264" s="98"/>
      <c r="F5264" s="128"/>
      <c r="G5264" s="133"/>
      <c r="H5264" s="134"/>
    </row>
    <row r="5265" spans="1:9" s="65" customFormat="1">
      <c r="A5265" s="633"/>
      <c r="B5265" s="633"/>
      <c r="C5265" s="633"/>
      <c r="D5265" s="633"/>
      <c r="E5265" s="633"/>
      <c r="F5265" s="633"/>
      <c r="G5265" s="633"/>
    </row>
    <row r="5266" spans="1:9" s="65" customFormat="1">
      <c r="H5266" s="156"/>
      <c r="I5266" s="151"/>
    </row>
    <row r="5267" spans="1:9" s="65" customFormat="1">
      <c r="A5267" s="645"/>
      <c r="B5267" s="156"/>
      <c r="C5267" s="156"/>
      <c r="D5267" s="156"/>
      <c r="E5267" s="156"/>
      <c r="F5267" s="156"/>
      <c r="G5267" s="156"/>
      <c r="H5267" s="156"/>
      <c r="I5267" s="152"/>
    </row>
    <row r="5268" spans="1:9" s="65" customFormat="1">
      <c r="A5268" s="645"/>
      <c r="B5268" s="156"/>
      <c r="C5268" s="156"/>
      <c r="D5268" s="156"/>
      <c r="E5268" s="156"/>
      <c r="F5268" s="156"/>
      <c r="G5268" s="156"/>
    </row>
    <row r="5269" spans="1:9" s="65" customFormat="1">
      <c r="A5269" s="69"/>
      <c r="B5269" s="69"/>
      <c r="C5269" s="69"/>
      <c r="D5269" s="69"/>
      <c r="E5269" s="69"/>
    </row>
    <row r="5270" spans="1:9" s="65" customFormat="1">
      <c r="A5270" s="120"/>
      <c r="B5270" s="73"/>
      <c r="C5270" s="73"/>
      <c r="D5270" s="73"/>
      <c r="E5270" s="73"/>
      <c r="F5270" s="121"/>
      <c r="G5270" s="121"/>
      <c r="H5270" s="121"/>
    </row>
    <row r="5271" spans="1:9" s="65" customFormat="1">
      <c r="A5271" s="128"/>
      <c r="B5271" s="141"/>
      <c r="C5271" s="141"/>
      <c r="D5271" s="141"/>
      <c r="E5271" s="141"/>
      <c r="F5271" s="141"/>
      <c r="G5271" s="141"/>
      <c r="H5271" s="121"/>
    </row>
    <row r="5272" spans="1:9" s="65" customFormat="1">
      <c r="A5272" s="142"/>
      <c r="B5272" s="143"/>
      <c r="C5272" s="143"/>
      <c r="D5272" s="143"/>
      <c r="E5272" s="143"/>
      <c r="F5272" s="84"/>
      <c r="G5272" s="144"/>
      <c r="H5272" s="145"/>
    </row>
    <row r="5273" spans="1:9" s="65" customFormat="1">
      <c r="A5273" s="84"/>
      <c r="B5273" s="83"/>
      <c r="C5273" s="84"/>
      <c r="D5273" s="84"/>
      <c r="E5273" s="84"/>
      <c r="G5273" s="104"/>
      <c r="H5273" s="140"/>
    </row>
    <row r="5274" spans="1:9" s="65" customFormat="1">
      <c r="A5274" s="120"/>
      <c r="B5274" s="73"/>
      <c r="C5274" s="73"/>
      <c r="D5274" s="73"/>
      <c r="E5274" s="73"/>
      <c r="G5274" s="121"/>
      <c r="H5274" s="140"/>
    </row>
    <row r="5275" spans="1:9" s="65" customFormat="1">
      <c r="A5275" s="128"/>
      <c r="B5275" s="141"/>
      <c r="C5275" s="141"/>
      <c r="D5275" s="141"/>
      <c r="E5275" s="141"/>
      <c r="F5275" s="141"/>
      <c r="G5275" s="141"/>
      <c r="H5275" s="140"/>
    </row>
    <row r="5276" spans="1:9" s="65" customFormat="1">
      <c r="A5276" s="150"/>
      <c r="B5276" s="83"/>
      <c r="C5276" s="148"/>
      <c r="D5276" s="160"/>
      <c r="E5276" s="84"/>
      <c r="F5276" s="84"/>
      <c r="G5276" s="144"/>
      <c r="H5276" s="145"/>
    </row>
    <row r="5277" spans="1:9" s="65" customFormat="1">
      <c r="A5277" s="91"/>
      <c r="B5277" s="91"/>
      <c r="C5277" s="91"/>
      <c r="D5277" s="91"/>
      <c r="E5277" s="91"/>
      <c r="G5277" s="104"/>
      <c r="H5277" s="140"/>
    </row>
    <row r="5278" spans="1:9" s="65" customFormat="1">
      <c r="A5278" s="120"/>
      <c r="B5278" s="73"/>
      <c r="C5278" s="73"/>
      <c r="D5278" s="73"/>
      <c r="E5278" s="73"/>
      <c r="G5278" s="121"/>
      <c r="H5278" s="140"/>
    </row>
    <row r="5279" spans="1:9" s="65" customFormat="1">
      <c r="A5279" s="128"/>
      <c r="B5279" s="141"/>
      <c r="C5279" s="141"/>
      <c r="D5279" s="141"/>
      <c r="E5279" s="141"/>
      <c r="F5279" s="141"/>
      <c r="G5279" s="141"/>
      <c r="H5279" s="140"/>
    </row>
    <row r="5280" spans="1:9" s="65" customFormat="1">
      <c r="A5280" s="142"/>
      <c r="B5280" s="143"/>
      <c r="C5280" s="143"/>
      <c r="D5280" s="143"/>
      <c r="E5280" s="143"/>
      <c r="F5280" s="84"/>
      <c r="G5280" s="144"/>
      <c r="H5280" s="145"/>
    </row>
    <row r="5281" spans="1:9" s="65" customFormat="1">
      <c r="A5281" s="91"/>
      <c r="B5281" s="91"/>
      <c r="C5281" s="91"/>
      <c r="D5281" s="91"/>
      <c r="E5281" s="91"/>
      <c r="G5281" s="104"/>
      <c r="H5281" s="140"/>
    </row>
    <row r="5282" spans="1:9" s="65" customFormat="1">
      <c r="A5282" s="120"/>
      <c r="B5282" s="73"/>
      <c r="C5282" s="73"/>
      <c r="D5282" s="73"/>
      <c r="E5282" s="73"/>
      <c r="G5282" s="121"/>
      <c r="H5282" s="140"/>
    </row>
    <row r="5283" spans="1:9" s="65" customFormat="1">
      <c r="A5283" s="128"/>
      <c r="B5283" s="141"/>
      <c r="C5283" s="141"/>
      <c r="D5283" s="141"/>
      <c r="E5283" s="141"/>
      <c r="F5283" s="141"/>
      <c r="G5283" s="141"/>
      <c r="H5283" s="140"/>
    </row>
    <row r="5284" spans="1:9" s="65" customFormat="1">
      <c r="A5284" s="142"/>
      <c r="B5284" s="143"/>
      <c r="C5284" s="143"/>
      <c r="D5284" s="143"/>
      <c r="E5284" s="143"/>
      <c r="F5284" s="84"/>
      <c r="G5284" s="144"/>
      <c r="H5284" s="145"/>
    </row>
    <row r="5285" spans="1:9" s="65" customFormat="1">
      <c r="A5285" s="123"/>
      <c r="B5285" s="95"/>
      <c r="C5285" s="95"/>
      <c r="D5285" s="95"/>
      <c r="E5285" s="95"/>
      <c r="G5285" s="104"/>
      <c r="H5285" s="121"/>
    </row>
    <row r="5286" spans="1:9" s="65" customFormat="1">
      <c r="A5286" s="123"/>
      <c r="B5286" s="95"/>
      <c r="C5286" s="95"/>
      <c r="D5286" s="95"/>
      <c r="E5286" s="95"/>
      <c r="G5286" s="121"/>
      <c r="H5286" s="133"/>
    </row>
    <row r="5287" spans="1:9" s="65" customFormat="1">
      <c r="B5287" s="97"/>
      <c r="C5287" s="98"/>
      <c r="D5287" s="98"/>
      <c r="E5287" s="98"/>
      <c r="G5287" s="128"/>
    </row>
    <row r="5288" spans="1:9" s="65" customFormat="1">
      <c r="B5288" s="97"/>
      <c r="C5288" s="98"/>
      <c r="D5288" s="98"/>
      <c r="E5288" s="98"/>
      <c r="F5288" s="128"/>
      <c r="G5288" s="133"/>
      <c r="H5288" s="134"/>
    </row>
    <row r="5289" spans="1:9" s="65" customFormat="1">
      <c r="A5289" s="633"/>
      <c r="B5289" s="633"/>
      <c r="C5289" s="633"/>
      <c r="D5289" s="633"/>
      <c r="E5289" s="633"/>
      <c r="F5289" s="633"/>
      <c r="G5289" s="633"/>
    </row>
    <row r="5290" spans="1:9" s="65" customFormat="1">
      <c r="H5290" s="156"/>
      <c r="I5290" s="151"/>
    </row>
    <row r="5291" spans="1:9" s="65" customFormat="1">
      <c r="A5291" s="645"/>
      <c r="B5291" s="156"/>
      <c r="C5291" s="156"/>
      <c r="D5291" s="156"/>
      <c r="E5291" s="156"/>
      <c r="F5291" s="156"/>
      <c r="G5291" s="156"/>
      <c r="H5291" s="156"/>
      <c r="I5291" s="152"/>
    </row>
    <row r="5292" spans="1:9" s="65" customFormat="1">
      <c r="A5292" s="645"/>
      <c r="B5292" s="156"/>
      <c r="C5292" s="156"/>
      <c r="D5292" s="156"/>
      <c r="E5292" s="156"/>
      <c r="F5292" s="156"/>
      <c r="G5292" s="156"/>
    </row>
    <row r="5293" spans="1:9" s="65" customFormat="1">
      <c r="A5293" s="69"/>
      <c r="B5293" s="69"/>
      <c r="C5293" s="69"/>
      <c r="D5293" s="69"/>
      <c r="E5293" s="69"/>
    </row>
    <row r="5294" spans="1:9" s="65" customFormat="1">
      <c r="A5294" s="120"/>
      <c r="B5294" s="73"/>
      <c r="C5294" s="73"/>
      <c r="D5294" s="73"/>
      <c r="E5294" s="73"/>
      <c r="F5294" s="121"/>
      <c r="G5294" s="121"/>
      <c r="H5294" s="121"/>
    </row>
    <row r="5295" spans="1:9" s="65" customFormat="1">
      <c r="A5295" s="128"/>
      <c r="B5295" s="141"/>
      <c r="C5295" s="141"/>
      <c r="D5295" s="141"/>
      <c r="E5295" s="141"/>
      <c r="F5295" s="141"/>
      <c r="G5295" s="141"/>
      <c r="H5295" s="121"/>
    </row>
    <row r="5296" spans="1:9" s="65" customFormat="1">
      <c r="A5296" s="142"/>
      <c r="B5296" s="143"/>
      <c r="C5296" s="143"/>
      <c r="D5296" s="143"/>
      <c r="E5296" s="143"/>
      <c r="F5296" s="84"/>
      <c r="G5296" s="144"/>
      <c r="H5296" s="145"/>
    </row>
    <row r="5297" spans="1:8" s="65" customFormat="1">
      <c r="A5297" s="84"/>
      <c r="B5297" s="83"/>
      <c r="C5297" s="84"/>
      <c r="D5297" s="84"/>
      <c r="E5297" s="84"/>
      <c r="G5297" s="104"/>
      <c r="H5297" s="140"/>
    </row>
    <row r="5298" spans="1:8" s="65" customFormat="1">
      <c r="A5298" s="120"/>
      <c r="B5298" s="73"/>
      <c r="C5298" s="73"/>
      <c r="D5298" s="73"/>
      <c r="E5298" s="73"/>
      <c r="G5298" s="121"/>
      <c r="H5298" s="140"/>
    </row>
    <row r="5299" spans="1:8" s="65" customFormat="1">
      <c r="A5299" s="128"/>
      <c r="B5299" s="141"/>
      <c r="C5299" s="141"/>
      <c r="D5299" s="141"/>
      <c r="E5299" s="141"/>
      <c r="F5299" s="141"/>
      <c r="G5299" s="141"/>
      <c r="H5299" s="140"/>
    </row>
    <row r="5300" spans="1:8" s="65" customFormat="1">
      <c r="A5300" s="150"/>
      <c r="B5300" s="83"/>
      <c r="C5300" s="148"/>
      <c r="D5300" s="160"/>
      <c r="E5300" s="84"/>
      <c r="F5300" s="84"/>
      <c r="G5300" s="144"/>
      <c r="H5300" s="145"/>
    </row>
    <row r="5301" spans="1:8" s="65" customFormat="1">
      <c r="A5301" s="91"/>
      <c r="B5301" s="91"/>
      <c r="C5301" s="91"/>
      <c r="D5301" s="91"/>
      <c r="E5301" s="91"/>
      <c r="G5301" s="104"/>
      <c r="H5301" s="140"/>
    </row>
    <row r="5302" spans="1:8" s="65" customFormat="1">
      <c r="A5302" s="120"/>
      <c r="B5302" s="73"/>
      <c r="C5302" s="73"/>
      <c r="D5302" s="73"/>
      <c r="E5302" s="73"/>
      <c r="G5302" s="121"/>
      <c r="H5302" s="140"/>
    </row>
    <row r="5303" spans="1:8" s="65" customFormat="1">
      <c r="A5303" s="128"/>
      <c r="B5303" s="141"/>
      <c r="C5303" s="141"/>
      <c r="D5303" s="141"/>
      <c r="E5303" s="141"/>
      <c r="F5303" s="141"/>
      <c r="G5303" s="141"/>
      <c r="H5303" s="140"/>
    </row>
    <row r="5304" spans="1:8" s="65" customFormat="1">
      <c r="A5304" s="142"/>
      <c r="B5304" s="143"/>
      <c r="C5304" s="143"/>
      <c r="D5304" s="143"/>
      <c r="E5304" s="143"/>
      <c r="F5304" s="84"/>
      <c r="G5304" s="144"/>
      <c r="H5304" s="145"/>
    </row>
    <row r="5305" spans="1:8" s="65" customFormat="1">
      <c r="A5305" s="91"/>
      <c r="B5305" s="91"/>
      <c r="C5305" s="91"/>
      <c r="D5305" s="91"/>
      <c r="E5305" s="91"/>
      <c r="G5305" s="104"/>
      <c r="H5305" s="140"/>
    </row>
    <row r="5306" spans="1:8" s="65" customFormat="1">
      <c r="A5306" s="120"/>
      <c r="B5306" s="73"/>
      <c r="C5306" s="73"/>
      <c r="D5306" s="73"/>
      <c r="E5306" s="73"/>
      <c r="G5306" s="121"/>
      <c r="H5306" s="140"/>
    </row>
    <row r="5307" spans="1:8" s="65" customFormat="1">
      <c r="A5307" s="128"/>
      <c r="B5307" s="141"/>
      <c r="C5307" s="141"/>
      <c r="D5307" s="141"/>
      <c r="E5307" s="141"/>
      <c r="F5307" s="141"/>
      <c r="G5307" s="141"/>
      <c r="H5307" s="140"/>
    </row>
    <row r="5308" spans="1:8" s="65" customFormat="1">
      <c r="A5308" s="142"/>
      <c r="B5308" s="143"/>
      <c r="C5308" s="143"/>
      <c r="D5308" s="143"/>
      <c r="E5308" s="143"/>
      <c r="F5308" s="84"/>
      <c r="G5308" s="144"/>
      <c r="H5308" s="145"/>
    </row>
    <row r="5309" spans="1:8" s="65" customFormat="1">
      <c r="A5309" s="123"/>
      <c r="B5309" s="95"/>
      <c r="C5309" s="95"/>
      <c r="D5309" s="95"/>
      <c r="E5309" s="95"/>
      <c r="G5309" s="104"/>
      <c r="H5309" s="121"/>
    </row>
    <row r="5310" spans="1:8" s="65" customFormat="1">
      <c r="A5310" s="123"/>
      <c r="B5310" s="95"/>
      <c r="C5310" s="95"/>
      <c r="D5310" s="95"/>
      <c r="E5310" s="95"/>
      <c r="G5310" s="121"/>
      <c r="H5310" s="133"/>
    </row>
    <row r="5311" spans="1:8" s="65" customFormat="1">
      <c r="B5311" s="97"/>
      <c r="C5311" s="98"/>
      <c r="D5311" s="98"/>
      <c r="E5311" s="98"/>
      <c r="G5311" s="128"/>
    </row>
    <row r="5312" spans="1:8" s="65" customFormat="1">
      <c r="B5312" s="97"/>
      <c r="C5312" s="98"/>
      <c r="D5312" s="98"/>
      <c r="E5312" s="98"/>
      <c r="F5312" s="128"/>
      <c r="G5312" s="133"/>
      <c r="H5312" s="134"/>
    </row>
    <row r="5313" spans="1:9" s="65" customFormat="1">
      <c r="A5313" s="633"/>
      <c r="B5313" s="633"/>
      <c r="C5313" s="633"/>
      <c r="D5313" s="633"/>
      <c r="E5313" s="633"/>
      <c r="F5313" s="633"/>
      <c r="G5313" s="633"/>
    </row>
    <row r="5314" spans="1:9" s="65" customFormat="1">
      <c r="H5314" s="156"/>
      <c r="I5314" s="151"/>
    </row>
    <row r="5315" spans="1:9" s="65" customFormat="1">
      <c r="A5315" s="645"/>
      <c r="B5315" s="156"/>
      <c r="C5315" s="156"/>
      <c r="D5315" s="156"/>
      <c r="E5315" s="156"/>
      <c r="F5315" s="156"/>
      <c r="G5315" s="156"/>
      <c r="H5315" s="156"/>
      <c r="I5315" s="152"/>
    </row>
    <row r="5316" spans="1:9" s="65" customFormat="1">
      <c r="A5316" s="645"/>
      <c r="B5316" s="156"/>
      <c r="C5316" s="156"/>
      <c r="D5316" s="156"/>
      <c r="E5316" s="156"/>
      <c r="F5316" s="156"/>
      <c r="G5316" s="156"/>
    </row>
    <row r="5317" spans="1:9" s="65" customFormat="1">
      <c r="A5317" s="69"/>
      <c r="B5317" s="69"/>
      <c r="C5317" s="69"/>
      <c r="D5317" s="69"/>
      <c r="E5317" s="69"/>
    </row>
    <row r="5318" spans="1:9" s="65" customFormat="1">
      <c r="A5318" s="120"/>
      <c r="B5318" s="73"/>
      <c r="C5318" s="73"/>
      <c r="D5318" s="73"/>
      <c r="E5318" s="73"/>
      <c r="F5318" s="121"/>
      <c r="G5318" s="121"/>
      <c r="H5318" s="121"/>
    </row>
    <row r="5319" spans="1:9" s="65" customFormat="1">
      <c r="A5319" s="128"/>
      <c r="B5319" s="141"/>
      <c r="C5319" s="141"/>
      <c r="D5319" s="141"/>
      <c r="E5319" s="141"/>
      <c r="F5319" s="141"/>
      <c r="G5319" s="141"/>
      <c r="H5319" s="121"/>
    </row>
    <row r="5320" spans="1:9" s="65" customFormat="1">
      <c r="A5320" s="142"/>
      <c r="B5320" s="143"/>
      <c r="C5320" s="143"/>
      <c r="D5320" s="143"/>
      <c r="E5320" s="143"/>
      <c r="F5320" s="84"/>
      <c r="G5320" s="144"/>
      <c r="H5320" s="145"/>
    </row>
    <row r="5321" spans="1:9" s="65" customFormat="1">
      <c r="A5321" s="84"/>
      <c r="B5321" s="83"/>
      <c r="C5321" s="84"/>
      <c r="D5321" s="84"/>
      <c r="E5321" s="84"/>
      <c r="G5321" s="104"/>
      <c r="H5321" s="140"/>
    </row>
    <row r="5322" spans="1:9" s="65" customFormat="1">
      <c r="A5322" s="120"/>
      <c r="B5322" s="73"/>
      <c r="C5322" s="73"/>
      <c r="D5322" s="73"/>
      <c r="E5322" s="73"/>
      <c r="G5322" s="121"/>
      <c r="H5322" s="140"/>
    </row>
    <row r="5323" spans="1:9" s="65" customFormat="1">
      <c r="A5323" s="128"/>
      <c r="B5323" s="141"/>
      <c r="C5323" s="141"/>
      <c r="D5323" s="141"/>
      <c r="E5323" s="141"/>
      <c r="F5323" s="141"/>
      <c r="G5323" s="141"/>
      <c r="H5323" s="140"/>
    </row>
    <row r="5324" spans="1:9" s="65" customFormat="1">
      <c r="A5324" s="150"/>
      <c r="B5324" s="83"/>
      <c r="C5324" s="148"/>
      <c r="D5324" s="160"/>
      <c r="E5324" s="84"/>
      <c r="F5324" s="84"/>
      <c r="G5324" s="144"/>
      <c r="H5324" s="145"/>
    </row>
    <row r="5325" spans="1:9" s="65" customFormat="1">
      <c r="A5325" s="91"/>
      <c r="B5325" s="91"/>
      <c r="C5325" s="91"/>
      <c r="D5325" s="91"/>
      <c r="E5325" s="91"/>
      <c r="G5325" s="104"/>
      <c r="H5325" s="140"/>
    </row>
    <row r="5326" spans="1:9" s="65" customFormat="1">
      <c r="A5326" s="120"/>
      <c r="B5326" s="73"/>
      <c r="C5326" s="73"/>
      <c r="D5326" s="73"/>
      <c r="E5326" s="73"/>
      <c r="G5326" s="121"/>
      <c r="H5326" s="140"/>
    </row>
    <row r="5327" spans="1:9" s="65" customFormat="1">
      <c r="A5327" s="128"/>
      <c r="B5327" s="141"/>
      <c r="C5327" s="141"/>
      <c r="D5327" s="141"/>
      <c r="E5327" s="141"/>
      <c r="F5327" s="141"/>
      <c r="G5327" s="141"/>
      <c r="H5327" s="140"/>
    </row>
    <row r="5328" spans="1:9" s="65" customFormat="1">
      <c r="A5328" s="142"/>
      <c r="B5328" s="143"/>
      <c r="C5328" s="143"/>
      <c r="D5328" s="143"/>
      <c r="E5328" s="143"/>
      <c r="F5328" s="84"/>
      <c r="G5328" s="144"/>
      <c r="H5328" s="145"/>
    </row>
    <row r="5329" spans="1:9" s="65" customFormat="1">
      <c r="A5329" s="91"/>
      <c r="B5329" s="91"/>
      <c r="C5329" s="91"/>
      <c r="D5329" s="91"/>
      <c r="E5329" s="91"/>
      <c r="G5329" s="104"/>
      <c r="H5329" s="140"/>
    </row>
    <row r="5330" spans="1:9" s="65" customFormat="1">
      <c r="A5330" s="120"/>
      <c r="B5330" s="73"/>
      <c r="C5330" s="73"/>
      <c r="D5330" s="73"/>
      <c r="E5330" s="73"/>
      <c r="G5330" s="121"/>
      <c r="H5330" s="140"/>
    </row>
    <row r="5331" spans="1:9" s="65" customFormat="1">
      <c r="A5331" s="128"/>
      <c r="B5331" s="141"/>
      <c r="C5331" s="141"/>
      <c r="D5331" s="141"/>
      <c r="E5331" s="141"/>
      <c r="F5331" s="141"/>
      <c r="G5331" s="141"/>
      <c r="H5331" s="140"/>
    </row>
    <row r="5332" spans="1:9" s="65" customFormat="1">
      <c r="A5332" s="142"/>
      <c r="B5332" s="143"/>
      <c r="C5332" s="143"/>
      <c r="D5332" s="143"/>
      <c r="E5332" s="143"/>
      <c r="F5332" s="84"/>
      <c r="G5332" s="144"/>
      <c r="H5332" s="145"/>
    </row>
    <row r="5333" spans="1:9" s="65" customFormat="1">
      <c r="A5333" s="123"/>
      <c r="B5333" s="95"/>
      <c r="C5333" s="95"/>
      <c r="D5333" s="95"/>
      <c r="E5333" s="95"/>
      <c r="G5333" s="104"/>
      <c r="H5333" s="121"/>
    </row>
    <row r="5334" spans="1:9" s="65" customFormat="1">
      <c r="A5334" s="123"/>
      <c r="B5334" s="95"/>
      <c r="C5334" s="95"/>
      <c r="D5334" s="95"/>
      <c r="E5334" s="95"/>
      <c r="G5334" s="121"/>
      <c r="H5334" s="133"/>
    </row>
    <row r="5335" spans="1:9" s="65" customFormat="1">
      <c r="B5335" s="97"/>
      <c r="C5335" s="98"/>
      <c r="D5335" s="98"/>
      <c r="E5335" s="98"/>
      <c r="G5335" s="128"/>
    </row>
    <row r="5336" spans="1:9" s="65" customFormat="1">
      <c r="B5336" s="97"/>
      <c r="C5336" s="98"/>
      <c r="D5336" s="98"/>
      <c r="E5336" s="98"/>
      <c r="F5336" s="128"/>
      <c r="G5336" s="133"/>
      <c r="H5336" s="134"/>
    </row>
    <row r="5337" spans="1:9" s="65" customFormat="1">
      <c r="A5337" s="633"/>
      <c r="B5337" s="633"/>
      <c r="C5337" s="633"/>
      <c r="D5337" s="633"/>
      <c r="E5337" s="633"/>
      <c r="F5337" s="633"/>
      <c r="G5337" s="633"/>
    </row>
    <row r="5338" spans="1:9" s="65" customFormat="1">
      <c r="H5338" s="156"/>
      <c r="I5338" s="151"/>
    </row>
    <row r="5339" spans="1:9" s="65" customFormat="1">
      <c r="A5339" s="645"/>
      <c r="B5339" s="156"/>
      <c r="C5339" s="156"/>
      <c r="D5339" s="156"/>
      <c r="E5339" s="156"/>
      <c r="F5339" s="156"/>
      <c r="G5339" s="156"/>
      <c r="H5339" s="156"/>
      <c r="I5339" s="152"/>
    </row>
    <row r="5340" spans="1:9" s="65" customFormat="1">
      <c r="A5340" s="645"/>
      <c r="B5340" s="156"/>
      <c r="C5340" s="156"/>
      <c r="D5340" s="156"/>
      <c r="E5340" s="156"/>
      <c r="F5340" s="156"/>
      <c r="G5340" s="156"/>
    </row>
    <row r="5341" spans="1:9" s="65" customFormat="1">
      <c r="A5341" s="69"/>
      <c r="B5341" s="69"/>
      <c r="C5341" s="69"/>
      <c r="D5341" s="69"/>
      <c r="E5341" s="69"/>
    </row>
    <row r="5342" spans="1:9" s="65" customFormat="1">
      <c r="A5342" s="120"/>
      <c r="B5342" s="73"/>
      <c r="C5342" s="73"/>
      <c r="D5342" s="73"/>
      <c r="E5342" s="73"/>
      <c r="F5342" s="121"/>
      <c r="G5342" s="121"/>
      <c r="H5342" s="121"/>
    </row>
    <row r="5343" spans="1:9" s="65" customFormat="1">
      <c r="A5343" s="128"/>
      <c r="B5343" s="141"/>
      <c r="C5343" s="141"/>
      <c r="D5343" s="141"/>
      <c r="E5343" s="141"/>
      <c r="F5343" s="141"/>
      <c r="G5343" s="141"/>
      <c r="H5343" s="121"/>
    </row>
    <row r="5344" spans="1:9" s="65" customFormat="1">
      <c r="A5344" s="142"/>
      <c r="B5344" s="143"/>
      <c r="C5344" s="143"/>
      <c r="D5344" s="143"/>
      <c r="E5344" s="143"/>
      <c r="F5344" s="84"/>
      <c r="G5344" s="144"/>
      <c r="H5344" s="145"/>
    </row>
    <row r="5345" spans="1:8" s="65" customFormat="1">
      <c r="A5345" s="84"/>
      <c r="B5345" s="83"/>
      <c r="C5345" s="84"/>
      <c r="D5345" s="84"/>
      <c r="E5345" s="84"/>
      <c r="G5345" s="104"/>
      <c r="H5345" s="140"/>
    </row>
    <row r="5346" spans="1:8" s="65" customFormat="1">
      <c r="A5346" s="120"/>
      <c r="B5346" s="73"/>
      <c r="C5346" s="73"/>
      <c r="D5346" s="73"/>
      <c r="E5346" s="73"/>
      <c r="G5346" s="121"/>
      <c r="H5346" s="140"/>
    </row>
    <row r="5347" spans="1:8" s="65" customFormat="1">
      <c r="A5347" s="128"/>
      <c r="B5347" s="141"/>
      <c r="C5347" s="141"/>
      <c r="D5347" s="141"/>
      <c r="E5347" s="141"/>
      <c r="F5347" s="141"/>
      <c r="G5347" s="141"/>
      <c r="H5347" s="140"/>
    </row>
    <row r="5348" spans="1:8" s="65" customFormat="1">
      <c r="A5348" s="150"/>
      <c r="B5348" s="83"/>
      <c r="C5348" s="148"/>
      <c r="D5348" s="160"/>
      <c r="E5348" s="84"/>
      <c r="F5348" s="84"/>
      <c r="G5348" s="144"/>
      <c r="H5348" s="145"/>
    </row>
    <row r="5349" spans="1:8" s="65" customFormat="1">
      <c r="A5349" s="91"/>
      <c r="B5349" s="91"/>
      <c r="C5349" s="91"/>
      <c r="D5349" s="91"/>
      <c r="E5349" s="91"/>
      <c r="G5349" s="104"/>
      <c r="H5349" s="140"/>
    </row>
    <row r="5350" spans="1:8" s="65" customFormat="1">
      <c r="A5350" s="120"/>
      <c r="B5350" s="73"/>
      <c r="C5350" s="73"/>
      <c r="D5350" s="73"/>
      <c r="E5350" s="73"/>
      <c r="G5350" s="121"/>
      <c r="H5350" s="140"/>
    </row>
    <row r="5351" spans="1:8" s="65" customFormat="1">
      <c r="A5351" s="128"/>
      <c r="B5351" s="141"/>
      <c r="C5351" s="141"/>
      <c r="D5351" s="141"/>
      <c r="E5351" s="141"/>
      <c r="F5351" s="141"/>
      <c r="G5351" s="141"/>
      <c r="H5351" s="140"/>
    </row>
    <row r="5352" spans="1:8" s="65" customFormat="1">
      <c r="A5352" s="142"/>
      <c r="B5352" s="143"/>
      <c r="C5352" s="143"/>
      <c r="D5352" s="143"/>
      <c r="E5352" s="143"/>
      <c r="F5352" s="84"/>
      <c r="G5352" s="144"/>
      <c r="H5352" s="145"/>
    </row>
    <row r="5353" spans="1:8" s="65" customFormat="1">
      <c r="A5353" s="91"/>
      <c r="B5353" s="91"/>
      <c r="C5353" s="91"/>
      <c r="D5353" s="91"/>
      <c r="E5353" s="91"/>
      <c r="G5353" s="104"/>
      <c r="H5353" s="140"/>
    </row>
    <row r="5354" spans="1:8" s="65" customFormat="1">
      <c r="A5354" s="120"/>
      <c r="B5354" s="73"/>
      <c r="C5354" s="73"/>
      <c r="D5354" s="73"/>
      <c r="E5354" s="73"/>
      <c r="G5354" s="121"/>
      <c r="H5354" s="140"/>
    </row>
    <row r="5355" spans="1:8" s="65" customFormat="1">
      <c r="A5355" s="128"/>
      <c r="B5355" s="141"/>
      <c r="C5355" s="141"/>
      <c r="D5355" s="141"/>
      <c r="E5355" s="141"/>
      <c r="F5355" s="141"/>
      <c r="G5355" s="141"/>
      <c r="H5355" s="140"/>
    </row>
    <row r="5356" spans="1:8" s="65" customFormat="1">
      <c r="A5356" s="142"/>
      <c r="B5356" s="143"/>
      <c r="C5356" s="143"/>
      <c r="D5356" s="143"/>
      <c r="E5356" s="143"/>
      <c r="F5356" s="84"/>
      <c r="G5356" s="144"/>
      <c r="H5356" s="145"/>
    </row>
    <row r="5357" spans="1:8" s="65" customFormat="1">
      <c r="A5357" s="123"/>
      <c r="B5357" s="95"/>
      <c r="C5357" s="95"/>
      <c r="D5357" s="95"/>
      <c r="E5357" s="95"/>
      <c r="G5357" s="104"/>
      <c r="H5357" s="121"/>
    </row>
    <row r="5358" spans="1:8" s="65" customFormat="1">
      <c r="A5358" s="123"/>
      <c r="B5358" s="95"/>
      <c r="C5358" s="95"/>
      <c r="D5358" s="95"/>
      <c r="E5358" s="95"/>
      <c r="G5358" s="121"/>
      <c r="H5358" s="133"/>
    </row>
    <row r="5359" spans="1:8" s="65" customFormat="1">
      <c r="B5359" s="97"/>
      <c r="C5359" s="98"/>
      <c r="D5359" s="98"/>
      <c r="E5359" s="98"/>
      <c r="G5359" s="128"/>
    </row>
    <row r="5360" spans="1:8" s="65" customFormat="1">
      <c r="B5360" s="97"/>
      <c r="C5360" s="98"/>
      <c r="D5360" s="98"/>
      <c r="E5360" s="98"/>
      <c r="F5360" s="128"/>
      <c r="G5360" s="133"/>
      <c r="H5360" s="134"/>
    </row>
    <row r="5361" spans="1:9" s="65" customFormat="1">
      <c r="A5361" s="633"/>
      <c r="B5361" s="633"/>
      <c r="C5361" s="633"/>
      <c r="D5361" s="633"/>
      <c r="E5361" s="633"/>
      <c r="F5361" s="633"/>
      <c r="G5361" s="633"/>
    </row>
    <row r="5362" spans="1:9" s="65" customFormat="1">
      <c r="H5362" s="156"/>
      <c r="I5362" s="151"/>
    </row>
    <row r="5363" spans="1:9" s="65" customFormat="1">
      <c r="A5363" s="645"/>
      <c r="B5363" s="156"/>
      <c r="C5363" s="156"/>
      <c r="D5363" s="156"/>
      <c r="E5363" s="156"/>
      <c r="F5363" s="156"/>
      <c r="G5363" s="156"/>
      <c r="H5363" s="156"/>
      <c r="I5363" s="152"/>
    </row>
    <row r="5364" spans="1:9" s="65" customFormat="1">
      <c r="A5364" s="645"/>
      <c r="B5364" s="156"/>
      <c r="C5364" s="156"/>
      <c r="D5364" s="156"/>
      <c r="E5364" s="156"/>
      <c r="F5364" s="156"/>
      <c r="G5364" s="156"/>
    </row>
    <row r="5365" spans="1:9" s="65" customFormat="1">
      <c r="A5365" s="69"/>
      <c r="B5365" s="69"/>
      <c r="C5365" s="69"/>
      <c r="D5365" s="69"/>
      <c r="E5365" s="69"/>
    </row>
    <row r="5366" spans="1:9" s="65" customFormat="1">
      <c r="A5366" s="120"/>
      <c r="B5366" s="73"/>
      <c r="C5366" s="73"/>
      <c r="D5366" s="73"/>
      <c r="E5366" s="73"/>
      <c r="F5366" s="121"/>
      <c r="G5366" s="121"/>
      <c r="H5366" s="121"/>
    </row>
    <row r="5367" spans="1:9" s="65" customFormat="1">
      <c r="A5367" s="128"/>
      <c r="B5367" s="141"/>
      <c r="C5367" s="141"/>
      <c r="D5367" s="141"/>
      <c r="E5367" s="141"/>
      <c r="F5367" s="141"/>
      <c r="G5367" s="141"/>
      <c r="H5367" s="121"/>
    </row>
    <row r="5368" spans="1:9" s="65" customFormat="1">
      <c r="A5368" s="142"/>
      <c r="B5368" s="143"/>
      <c r="C5368" s="143"/>
      <c r="D5368" s="143"/>
      <c r="E5368" s="143"/>
      <c r="F5368" s="84"/>
      <c r="G5368" s="144"/>
      <c r="H5368" s="145"/>
    </row>
    <row r="5369" spans="1:9" s="65" customFormat="1">
      <c r="A5369" s="84"/>
      <c r="B5369" s="83"/>
      <c r="C5369" s="84"/>
      <c r="D5369" s="84"/>
      <c r="E5369" s="84"/>
      <c r="G5369" s="104"/>
      <c r="H5369" s="140"/>
    </row>
    <row r="5370" spans="1:9" s="65" customFormat="1">
      <c r="A5370" s="120"/>
      <c r="B5370" s="73"/>
      <c r="C5370" s="73"/>
      <c r="D5370" s="73"/>
      <c r="E5370" s="73"/>
      <c r="G5370" s="121"/>
      <c r="H5370" s="140"/>
    </row>
    <row r="5371" spans="1:9" s="65" customFormat="1">
      <c r="A5371" s="128"/>
      <c r="B5371" s="141"/>
      <c r="C5371" s="141"/>
      <c r="D5371" s="141"/>
      <c r="E5371" s="141"/>
      <c r="F5371" s="141"/>
      <c r="G5371" s="141"/>
      <c r="H5371" s="140"/>
    </row>
    <row r="5372" spans="1:9" s="65" customFormat="1">
      <c r="A5372" s="150"/>
      <c r="B5372" s="83"/>
      <c r="C5372" s="148"/>
      <c r="D5372" s="160"/>
      <c r="E5372" s="84"/>
      <c r="F5372" s="84"/>
      <c r="G5372" s="144"/>
      <c r="H5372" s="145"/>
    </row>
    <row r="5373" spans="1:9" s="65" customFormat="1">
      <c r="A5373" s="91"/>
      <c r="B5373" s="91"/>
      <c r="C5373" s="91"/>
      <c r="D5373" s="91"/>
      <c r="E5373" s="91"/>
      <c r="G5373" s="104"/>
      <c r="H5373" s="140"/>
    </row>
    <row r="5374" spans="1:9" s="65" customFormat="1">
      <c r="A5374" s="120"/>
      <c r="B5374" s="73"/>
      <c r="C5374" s="73"/>
      <c r="D5374" s="73"/>
      <c r="E5374" s="73"/>
      <c r="G5374" s="121"/>
      <c r="H5374" s="140"/>
    </row>
    <row r="5375" spans="1:9" s="65" customFormat="1">
      <c r="A5375" s="128"/>
      <c r="B5375" s="141"/>
      <c r="C5375" s="141"/>
      <c r="D5375" s="141"/>
      <c r="E5375" s="141"/>
      <c r="F5375" s="141"/>
      <c r="G5375" s="141"/>
      <c r="H5375" s="140"/>
    </row>
    <row r="5376" spans="1:9" s="65" customFormat="1">
      <c r="A5376" s="142"/>
      <c r="B5376" s="143"/>
      <c r="C5376" s="143"/>
      <c r="D5376" s="143"/>
      <c r="E5376" s="143"/>
      <c r="F5376" s="84"/>
      <c r="G5376" s="144"/>
      <c r="H5376" s="145"/>
    </row>
    <row r="5377" spans="1:9" s="65" customFormat="1">
      <c r="A5377" s="91"/>
      <c r="B5377" s="91"/>
      <c r="C5377" s="91"/>
      <c r="D5377" s="91"/>
      <c r="E5377" s="91"/>
      <c r="G5377" s="104"/>
      <c r="H5377" s="140"/>
    </row>
    <row r="5378" spans="1:9" s="65" customFormat="1">
      <c r="A5378" s="120"/>
      <c r="B5378" s="73"/>
      <c r="C5378" s="73"/>
      <c r="D5378" s="73"/>
      <c r="E5378" s="73"/>
      <c r="G5378" s="121"/>
      <c r="H5378" s="140"/>
    </row>
    <row r="5379" spans="1:9" s="65" customFormat="1">
      <c r="A5379" s="128"/>
      <c r="B5379" s="141"/>
      <c r="C5379" s="141"/>
      <c r="D5379" s="141"/>
      <c r="E5379" s="141"/>
      <c r="F5379" s="141"/>
      <c r="G5379" s="141"/>
      <c r="H5379" s="140"/>
    </row>
    <row r="5380" spans="1:9" s="65" customFormat="1">
      <c r="A5380" s="142"/>
      <c r="B5380" s="143"/>
      <c r="C5380" s="143"/>
      <c r="D5380" s="143"/>
      <c r="E5380" s="143"/>
      <c r="F5380" s="84"/>
      <c r="G5380" s="144"/>
      <c r="H5380" s="145"/>
    </row>
    <row r="5381" spans="1:9" s="65" customFormat="1">
      <c r="A5381" s="123"/>
      <c r="B5381" s="95"/>
      <c r="C5381" s="95"/>
      <c r="D5381" s="95"/>
      <c r="E5381" s="95"/>
      <c r="G5381" s="104"/>
      <c r="H5381" s="121"/>
    </row>
    <row r="5382" spans="1:9" s="65" customFormat="1">
      <c r="A5382" s="123"/>
      <c r="B5382" s="95"/>
      <c r="C5382" s="95"/>
      <c r="D5382" s="95"/>
      <c r="E5382" s="95"/>
      <c r="G5382" s="121"/>
      <c r="H5382" s="133"/>
    </row>
    <row r="5383" spans="1:9" s="65" customFormat="1">
      <c r="B5383" s="97"/>
      <c r="C5383" s="98"/>
      <c r="D5383" s="98"/>
      <c r="E5383" s="98"/>
      <c r="G5383" s="128"/>
    </row>
    <row r="5384" spans="1:9" s="65" customFormat="1">
      <c r="B5384" s="97"/>
      <c r="C5384" s="98"/>
      <c r="D5384" s="98"/>
      <c r="E5384" s="98"/>
      <c r="F5384" s="128"/>
      <c r="G5384" s="133"/>
      <c r="H5384" s="134"/>
    </row>
    <row r="5385" spans="1:9" s="65" customFormat="1">
      <c r="A5385" s="633"/>
      <c r="B5385" s="633"/>
      <c r="C5385" s="633"/>
      <c r="D5385" s="633"/>
      <c r="E5385" s="633"/>
      <c r="F5385" s="633"/>
      <c r="G5385" s="633"/>
    </row>
    <row r="5386" spans="1:9" s="65" customFormat="1">
      <c r="H5386" s="156"/>
      <c r="I5386" s="151"/>
    </row>
    <row r="5387" spans="1:9" s="65" customFormat="1">
      <c r="A5387" s="645"/>
      <c r="B5387" s="156"/>
      <c r="C5387" s="156"/>
      <c r="D5387" s="156"/>
      <c r="E5387" s="156"/>
      <c r="F5387" s="156"/>
      <c r="G5387" s="156"/>
      <c r="H5387" s="156"/>
      <c r="I5387" s="152"/>
    </row>
    <row r="5388" spans="1:9" s="65" customFormat="1">
      <c r="A5388" s="645"/>
      <c r="B5388" s="156"/>
      <c r="C5388" s="156"/>
      <c r="D5388" s="156"/>
      <c r="E5388" s="156"/>
      <c r="F5388" s="156"/>
      <c r="G5388" s="156"/>
    </row>
    <row r="5389" spans="1:9" s="65" customFormat="1">
      <c r="A5389" s="69"/>
      <c r="B5389" s="69"/>
      <c r="C5389" s="69"/>
      <c r="D5389" s="69"/>
      <c r="E5389" s="69"/>
    </row>
    <row r="5390" spans="1:9" s="65" customFormat="1">
      <c r="A5390" s="120"/>
      <c r="B5390" s="73"/>
      <c r="C5390" s="73"/>
      <c r="D5390" s="73"/>
      <c r="E5390" s="73"/>
      <c r="F5390" s="121"/>
      <c r="G5390" s="121"/>
      <c r="H5390" s="121"/>
    </row>
    <row r="5391" spans="1:9" s="65" customFormat="1">
      <c r="A5391" s="128"/>
      <c r="B5391" s="141"/>
      <c r="C5391" s="141"/>
      <c r="D5391" s="141"/>
      <c r="E5391" s="141"/>
      <c r="F5391" s="141"/>
      <c r="G5391" s="141"/>
      <c r="H5391" s="121"/>
    </row>
    <row r="5392" spans="1:9" s="65" customFormat="1">
      <c r="A5392" s="142"/>
      <c r="B5392" s="143"/>
      <c r="C5392" s="143"/>
      <c r="D5392" s="143"/>
      <c r="E5392" s="143"/>
      <c r="F5392" s="84"/>
      <c r="G5392" s="144"/>
      <c r="H5392" s="145"/>
    </row>
    <row r="5393" spans="1:8" s="65" customFormat="1">
      <c r="A5393" s="84"/>
      <c r="B5393" s="83"/>
      <c r="C5393" s="84"/>
      <c r="D5393" s="84"/>
      <c r="E5393" s="84"/>
      <c r="G5393" s="104"/>
      <c r="H5393" s="140"/>
    </row>
    <row r="5394" spans="1:8" s="65" customFormat="1">
      <c r="A5394" s="120"/>
      <c r="B5394" s="73"/>
      <c r="C5394" s="73"/>
      <c r="D5394" s="73"/>
      <c r="E5394" s="73"/>
      <c r="G5394" s="121"/>
      <c r="H5394" s="140"/>
    </row>
    <row r="5395" spans="1:8" s="65" customFormat="1">
      <c r="A5395" s="128"/>
      <c r="B5395" s="141"/>
      <c r="C5395" s="141"/>
      <c r="D5395" s="141"/>
      <c r="E5395" s="141"/>
      <c r="F5395" s="141"/>
      <c r="G5395" s="141"/>
      <c r="H5395" s="140"/>
    </row>
    <row r="5396" spans="1:8" s="65" customFormat="1">
      <c r="A5396" s="150"/>
      <c r="B5396" s="83"/>
      <c r="C5396" s="148"/>
      <c r="D5396" s="160"/>
      <c r="E5396" s="84"/>
      <c r="F5396" s="84"/>
      <c r="G5396" s="144"/>
      <c r="H5396" s="145"/>
    </row>
    <row r="5397" spans="1:8" s="65" customFormat="1">
      <c r="A5397" s="91"/>
      <c r="B5397" s="91"/>
      <c r="C5397" s="91"/>
      <c r="D5397" s="91"/>
      <c r="E5397" s="91"/>
      <c r="G5397" s="104"/>
      <c r="H5397" s="140"/>
    </row>
    <row r="5398" spans="1:8" s="65" customFormat="1">
      <c r="A5398" s="120"/>
      <c r="B5398" s="73"/>
      <c r="C5398" s="73"/>
      <c r="D5398" s="73"/>
      <c r="E5398" s="73"/>
      <c r="G5398" s="121"/>
      <c r="H5398" s="140"/>
    </row>
    <row r="5399" spans="1:8" s="65" customFormat="1">
      <c r="A5399" s="128"/>
      <c r="B5399" s="141"/>
      <c r="C5399" s="141"/>
      <c r="D5399" s="141"/>
      <c r="E5399" s="141"/>
      <c r="F5399" s="141"/>
      <c r="G5399" s="141"/>
      <c r="H5399" s="140"/>
    </row>
    <row r="5400" spans="1:8" s="65" customFormat="1">
      <c r="A5400" s="142"/>
      <c r="B5400" s="143"/>
      <c r="C5400" s="143"/>
      <c r="D5400" s="143"/>
      <c r="E5400" s="143"/>
      <c r="F5400" s="84"/>
      <c r="G5400" s="144"/>
      <c r="H5400" s="145"/>
    </row>
    <row r="5401" spans="1:8" s="65" customFormat="1">
      <c r="A5401" s="91"/>
      <c r="B5401" s="91"/>
      <c r="C5401" s="91"/>
      <c r="D5401" s="91"/>
      <c r="E5401" s="91"/>
      <c r="G5401" s="104"/>
      <c r="H5401" s="140"/>
    </row>
    <row r="5402" spans="1:8" s="65" customFormat="1">
      <c r="A5402" s="120"/>
      <c r="B5402" s="73"/>
      <c r="C5402" s="73"/>
      <c r="D5402" s="73"/>
      <c r="E5402" s="73"/>
      <c r="G5402" s="121"/>
      <c r="H5402" s="140"/>
    </row>
    <row r="5403" spans="1:8" s="65" customFormat="1">
      <c r="A5403" s="128"/>
      <c r="B5403" s="141"/>
      <c r="C5403" s="141"/>
      <c r="D5403" s="141"/>
      <c r="E5403" s="141"/>
      <c r="F5403" s="141"/>
      <c r="G5403" s="141"/>
      <c r="H5403" s="140"/>
    </row>
    <row r="5404" spans="1:8" s="65" customFormat="1">
      <c r="A5404" s="142"/>
      <c r="B5404" s="143"/>
      <c r="C5404" s="143"/>
      <c r="D5404" s="143"/>
      <c r="E5404" s="143"/>
      <c r="F5404" s="84"/>
      <c r="G5404" s="144"/>
      <c r="H5404" s="145"/>
    </row>
    <row r="5405" spans="1:8" s="65" customFormat="1">
      <c r="A5405" s="123"/>
      <c r="B5405" s="95"/>
      <c r="C5405" s="95"/>
      <c r="D5405" s="95"/>
      <c r="E5405" s="95"/>
      <c r="G5405" s="104"/>
      <c r="H5405" s="121"/>
    </row>
    <row r="5406" spans="1:8" s="65" customFormat="1">
      <c r="A5406" s="123"/>
      <c r="B5406" s="95"/>
      <c r="C5406" s="95"/>
      <c r="D5406" s="95"/>
      <c r="E5406" s="95"/>
      <c r="G5406" s="121"/>
      <c r="H5406" s="133"/>
    </row>
    <row r="5407" spans="1:8" s="65" customFormat="1">
      <c r="B5407" s="97"/>
      <c r="C5407" s="98"/>
      <c r="D5407" s="98"/>
      <c r="E5407" s="98"/>
      <c r="G5407" s="128"/>
    </row>
    <row r="5408" spans="1:8" s="65" customFormat="1">
      <c r="B5408" s="97"/>
      <c r="C5408" s="98"/>
      <c r="D5408" s="98"/>
      <c r="E5408" s="98"/>
      <c r="F5408" s="128"/>
      <c r="G5408" s="133"/>
      <c r="H5408" s="134"/>
    </row>
    <row r="5409" spans="1:9" s="65" customFormat="1">
      <c r="A5409" s="633"/>
      <c r="B5409" s="633"/>
      <c r="C5409" s="633"/>
      <c r="D5409" s="633"/>
      <c r="E5409" s="633"/>
      <c r="F5409" s="633"/>
      <c r="G5409" s="633"/>
    </row>
    <row r="5410" spans="1:9" s="65" customFormat="1">
      <c r="H5410" s="156"/>
      <c r="I5410" s="151"/>
    </row>
    <row r="5411" spans="1:9" s="65" customFormat="1">
      <c r="A5411" s="645"/>
      <c r="B5411" s="156"/>
      <c r="C5411" s="156"/>
      <c r="D5411" s="156"/>
      <c r="E5411" s="156"/>
      <c r="F5411" s="156"/>
      <c r="G5411" s="156"/>
      <c r="H5411" s="156"/>
      <c r="I5411" s="152"/>
    </row>
    <row r="5412" spans="1:9" s="65" customFormat="1">
      <c r="A5412" s="645"/>
      <c r="B5412" s="156"/>
      <c r="C5412" s="156"/>
      <c r="D5412" s="156"/>
      <c r="E5412" s="156"/>
      <c r="F5412" s="156"/>
      <c r="G5412" s="156"/>
    </row>
    <row r="5413" spans="1:9" s="65" customFormat="1">
      <c r="A5413" s="69"/>
      <c r="B5413" s="69"/>
      <c r="C5413" s="69"/>
      <c r="D5413" s="69"/>
      <c r="E5413" s="69"/>
    </row>
    <row r="5414" spans="1:9" s="65" customFormat="1">
      <c r="A5414" s="120"/>
      <c r="B5414" s="73"/>
      <c r="C5414" s="73"/>
      <c r="D5414" s="73"/>
      <c r="E5414" s="73"/>
      <c r="F5414" s="121"/>
      <c r="G5414" s="121"/>
      <c r="H5414" s="121"/>
    </row>
    <row r="5415" spans="1:9" s="65" customFormat="1">
      <c r="A5415" s="128"/>
      <c r="B5415" s="141"/>
      <c r="C5415" s="141"/>
      <c r="D5415" s="141"/>
      <c r="E5415" s="141"/>
      <c r="F5415" s="141"/>
      <c r="G5415" s="141"/>
      <c r="H5415" s="121"/>
    </row>
    <row r="5416" spans="1:9" s="65" customFormat="1">
      <c r="A5416" s="142"/>
      <c r="B5416" s="143"/>
      <c r="C5416" s="143"/>
      <c r="D5416" s="143"/>
      <c r="E5416" s="143"/>
      <c r="F5416" s="84"/>
      <c r="G5416" s="144"/>
      <c r="H5416" s="145"/>
    </row>
    <row r="5417" spans="1:9" s="65" customFormat="1">
      <c r="A5417" s="84"/>
      <c r="B5417" s="83"/>
      <c r="C5417" s="84"/>
      <c r="D5417" s="84"/>
      <c r="E5417" s="84"/>
      <c r="G5417" s="104"/>
      <c r="H5417" s="140"/>
    </row>
    <row r="5418" spans="1:9" s="65" customFormat="1">
      <c r="A5418" s="120"/>
      <c r="B5418" s="73"/>
      <c r="C5418" s="73"/>
      <c r="D5418" s="73"/>
      <c r="E5418" s="73"/>
      <c r="G5418" s="121"/>
      <c r="H5418" s="140"/>
    </row>
    <row r="5419" spans="1:9" s="65" customFormat="1">
      <c r="A5419" s="128"/>
      <c r="B5419" s="141"/>
      <c r="C5419" s="141"/>
      <c r="D5419" s="141"/>
      <c r="E5419" s="141"/>
      <c r="F5419" s="141"/>
      <c r="G5419" s="141"/>
      <c r="H5419" s="140"/>
    </row>
    <row r="5420" spans="1:9" s="65" customFormat="1">
      <c r="A5420" s="150"/>
      <c r="B5420" s="83"/>
      <c r="C5420" s="148"/>
      <c r="D5420" s="160"/>
      <c r="E5420" s="84"/>
      <c r="F5420" s="84"/>
      <c r="G5420" s="144"/>
      <c r="H5420" s="145"/>
    </row>
    <row r="5421" spans="1:9" s="65" customFormat="1">
      <c r="A5421" s="91"/>
      <c r="B5421" s="91"/>
      <c r="C5421" s="91"/>
      <c r="D5421" s="91"/>
      <c r="E5421" s="91"/>
      <c r="G5421" s="104"/>
      <c r="H5421" s="140"/>
    </row>
    <row r="5422" spans="1:9" s="65" customFormat="1">
      <c r="A5422" s="120"/>
      <c r="B5422" s="73"/>
      <c r="C5422" s="73"/>
      <c r="D5422" s="73"/>
      <c r="E5422" s="73"/>
      <c r="G5422" s="121"/>
      <c r="H5422" s="140"/>
    </row>
    <row r="5423" spans="1:9" s="65" customFormat="1">
      <c r="A5423" s="128"/>
      <c r="B5423" s="141"/>
      <c r="C5423" s="141"/>
      <c r="D5423" s="141"/>
      <c r="E5423" s="141"/>
      <c r="F5423" s="141"/>
      <c r="G5423" s="141"/>
      <c r="H5423" s="140"/>
    </row>
    <row r="5424" spans="1:9" s="65" customFormat="1">
      <c r="A5424" s="142"/>
      <c r="B5424" s="143"/>
      <c r="C5424" s="143"/>
      <c r="D5424" s="143"/>
      <c r="E5424" s="143"/>
      <c r="F5424" s="84"/>
      <c r="G5424" s="144"/>
      <c r="H5424" s="145"/>
    </row>
    <row r="5425" spans="1:9" s="65" customFormat="1">
      <c r="A5425" s="91"/>
      <c r="B5425" s="91"/>
      <c r="C5425" s="91"/>
      <c r="D5425" s="91"/>
      <c r="E5425" s="91"/>
      <c r="G5425" s="104"/>
      <c r="H5425" s="140"/>
    </row>
    <row r="5426" spans="1:9" s="65" customFormat="1">
      <c r="A5426" s="120"/>
      <c r="B5426" s="73"/>
      <c r="C5426" s="73"/>
      <c r="D5426" s="73"/>
      <c r="E5426" s="73"/>
      <c r="G5426" s="121"/>
      <c r="H5426" s="140"/>
    </row>
    <row r="5427" spans="1:9" s="65" customFormat="1">
      <c r="A5427" s="128"/>
      <c r="B5427" s="141"/>
      <c r="C5427" s="141"/>
      <c r="D5427" s="141"/>
      <c r="E5427" s="141"/>
      <c r="F5427" s="141"/>
      <c r="G5427" s="141"/>
      <c r="H5427" s="140"/>
    </row>
    <row r="5428" spans="1:9" s="65" customFormat="1">
      <c r="A5428" s="142"/>
      <c r="B5428" s="143"/>
      <c r="C5428" s="143"/>
      <c r="D5428" s="143"/>
      <c r="E5428" s="143"/>
      <c r="F5428" s="84"/>
      <c r="G5428" s="144"/>
      <c r="H5428" s="145"/>
    </row>
    <row r="5429" spans="1:9" s="65" customFormat="1">
      <c r="A5429" s="123"/>
      <c r="B5429" s="95"/>
      <c r="C5429" s="95"/>
      <c r="D5429" s="95"/>
      <c r="E5429" s="95"/>
      <c r="G5429" s="104"/>
      <c r="H5429" s="121"/>
    </row>
    <row r="5430" spans="1:9" s="65" customFormat="1">
      <c r="A5430" s="123"/>
      <c r="B5430" s="95"/>
      <c r="C5430" s="95"/>
      <c r="D5430" s="95"/>
      <c r="E5430" s="95"/>
      <c r="G5430" s="121"/>
      <c r="H5430" s="133"/>
    </row>
    <row r="5431" spans="1:9" s="65" customFormat="1">
      <c r="B5431" s="97"/>
      <c r="C5431" s="98"/>
      <c r="D5431" s="98"/>
      <c r="E5431" s="98"/>
      <c r="G5431" s="128"/>
    </row>
    <row r="5432" spans="1:9" s="65" customFormat="1">
      <c r="B5432" s="97"/>
      <c r="C5432" s="98"/>
      <c r="D5432" s="98"/>
      <c r="E5432" s="98"/>
      <c r="F5432" s="128"/>
      <c r="G5432" s="133"/>
      <c r="H5432" s="134"/>
    </row>
    <row r="5433" spans="1:9" s="65" customFormat="1">
      <c r="A5433" s="633"/>
      <c r="B5433" s="633"/>
      <c r="C5433" s="633"/>
      <c r="D5433" s="633"/>
      <c r="E5433" s="633"/>
      <c r="F5433" s="633"/>
      <c r="G5433" s="633"/>
    </row>
    <row r="5434" spans="1:9" s="65" customFormat="1">
      <c r="H5434" s="156"/>
      <c r="I5434" s="151"/>
    </row>
    <row r="5435" spans="1:9" s="65" customFormat="1">
      <c r="A5435" s="645"/>
      <c r="B5435" s="156"/>
      <c r="C5435" s="156"/>
      <c r="D5435" s="156"/>
      <c r="E5435" s="156"/>
      <c r="F5435" s="156"/>
      <c r="G5435" s="156"/>
      <c r="H5435" s="156"/>
      <c r="I5435" s="152"/>
    </row>
    <row r="5436" spans="1:9" s="65" customFormat="1">
      <c r="A5436" s="645"/>
      <c r="B5436" s="156"/>
      <c r="C5436" s="156"/>
      <c r="D5436" s="156"/>
      <c r="E5436" s="156"/>
      <c r="F5436" s="156"/>
      <c r="G5436" s="156"/>
    </row>
    <row r="5437" spans="1:9" s="65" customFormat="1">
      <c r="A5437" s="69"/>
      <c r="B5437" s="69"/>
      <c r="C5437" s="69"/>
      <c r="D5437" s="69"/>
      <c r="E5437" s="69"/>
    </row>
    <row r="5438" spans="1:9" s="65" customFormat="1">
      <c r="A5438" s="120"/>
      <c r="B5438" s="73"/>
      <c r="C5438" s="73"/>
      <c r="D5438" s="73"/>
      <c r="E5438" s="73"/>
      <c r="F5438" s="121"/>
      <c r="G5438" s="121"/>
      <c r="H5438" s="121"/>
    </row>
    <row r="5439" spans="1:9" s="65" customFormat="1">
      <c r="A5439" s="128"/>
      <c r="B5439" s="141"/>
      <c r="C5439" s="141"/>
      <c r="D5439" s="141"/>
      <c r="E5439" s="141"/>
      <c r="F5439" s="141"/>
      <c r="G5439" s="141"/>
      <c r="H5439" s="121"/>
    </row>
    <row r="5440" spans="1:9" s="65" customFormat="1">
      <c r="A5440" s="142"/>
      <c r="B5440" s="143"/>
      <c r="C5440" s="143"/>
      <c r="D5440" s="143"/>
      <c r="E5440" s="143"/>
      <c r="F5440" s="84"/>
      <c r="G5440" s="144"/>
      <c r="H5440" s="145"/>
    </row>
    <row r="5441" spans="1:8" s="65" customFormat="1">
      <c r="A5441" s="84"/>
      <c r="B5441" s="83"/>
      <c r="C5441" s="84"/>
      <c r="D5441" s="84"/>
      <c r="E5441" s="84"/>
      <c r="G5441" s="104"/>
      <c r="H5441" s="140"/>
    </row>
    <row r="5442" spans="1:8" s="65" customFormat="1">
      <c r="A5442" s="120"/>
      <c r="B5442" s="73"/>
      <c r="C5442" s="73"/>
      <c r="D5442" s="73"/>
      <c r="E5442" s="73"/>
      <c r="G5442" s="121"/>
      <c r="H5442" s="140"/>
    </row>
    <row r="5443" spans="1:8" s="65" customFormat="1">
      <c r="A5443" s="128"/>
      <c r="B5443" s="141"/>
      <c r="C5443" s="141"/>
      <c r="D5443" s="141"/>
      <c r="E5443" s="141"/>
      <c r="F5443" s="141"/>
      <c r="G5443" s="141"/>
      <c r="H5443" s="140"/>
    </row>
    <row r="5444" spans="1:8" s="65" customFormat="1">
      <c r="A5444" s="150"/>
      <c r="B5444" s="83"/>
      <c r="C5444" s="148"/>
      <c r="D5444" s="160"/>
      <c r="E5444" s="84"/>
      <c r="F5444" s="84"/>
      <c r="G5444" s="144"/>
      <c r="H5444" s="145"/>
    </row>
    <row r="5445" spans="1:8" s="65" customFormat="1">
      <c r="A5445" s="91"/>
      <c r="B5445" s="91"/>
      <c r="C5445" s="91"/>
      <c r="D5445" s="91"/>
      <c r="E5445" s="91"/>
      <c r="G5445" s="104"/>
      <c r="H5445" s="140"/>
    </row>
    <row r="5446" spans="1:8" s="65" customFormat="1">
      <c r="A5446" s="120"/>
      <c r="B5446" s="73"/>
      <c r="C5446" s="73"/>
      <c r="D5446" s="73"/>
      <c r="E5446" s="73"/>
      <c r="G5446" s="121"/>
      <c r="H5446" s="140"/>
    </row>
    <row r="5447" spans="1:8" s="65" customFormat="1">
      <c r="A5447" s="128"/>
      <c r="B5447" s="141"/>
      <c r="C5447" s="141"/>
      <c r="D5447" s="141"/>
      <c r="E5447" s="141"/>
      <c r="F5447" s="141"/>
      <c r="G5447" s="141"/>
      <c r="H5447" s="140"/>
    </row>
    <row r="5448" spans="1:8" s="65" customFormat="1">
      <c r="A5448" s="142"/>
      <c r="B5448" s="143"/>
      <c r="C5448" s="143"/>
      <c r="D5448" s="143"/>
      <c r="E5448" s="143"/>
      <c r="F5448" s="84"/>
      <c r="G5448" s="144"/>
      <c r="H5448" s="145"/>
    </row>
    <row r="5449" spans="1:8" s="65" customFormat="1">
      <c r="A5449" s="91"/>
      <c r="B5449" s="91"/>
      <c r="C5449" s="91"/>
      <c r="D5449" s="91"/>
      <c r="E5449" s="91"/>
      <c r="G5449" s="104"/>
      <c r="H5449" s="140"/>
    </row>
    <row r="5450" spans="1:8" s="65" customFormat="1">
      <c r="A5450" s="120"/>
      <c r="B5450" s="73"/>
      <c r="C5450" s="73"/>
      <c r="D5450" s="73"/>
      <c r="E5450" s="73"/>
      <c r="G5450" s="121"/>
      <c r="H5450" s="140"/>
    </row>
    <row r="5451" spans="1:8" s="65" customFormat="1">
      <c r="A5451" s="128"/>
      <c r="B5451" s="141"/>
      <c r="C5451" s="141"/>
      <c r="D5451" s="141"/>
      <c r="E5451" s="141"/>
      <c r="F5451" s="141"/>
      <c r="G5451" s="141"/>
      <c r="H5451" s="140"/>
    </row>
    <row r="5452" spans="1:8" s="65" customFormat="1">
      <c r="A5452" s="142"/>
      <c r="B5452" s="143"/>
      <c r="C5452" s="143"/>
      <c r="D5452" s="143"/>
      <c r="E5452" s="143"/>
      <c r="F5452" s="84"/>
      <c r="G5452" s="144"/>
      <c r="H5452" s="145"/>
    </row>
    <row r="5453" spans="1:8" s="65" customFormat="1">
      <c r="A5453" s="123"/>
      <c r="B5453" s="95"/>
      <c r="C5453" s="95"/>
      <c r="D5453" s="95"/>
      <c r="E5453" s="95"/>
      <c r="G5453" s="104"/>
      <c r="H5453" s="121"/>
    </row>
    <row r="5454" spans="1:8" s="65" customFormat="1">
      <c r="A5454" s="123"/>
      <c r="B5454" s="95"/>
      <c r="C5454" s="95"/>
      <c r="D5454" s="95"/>
      <c r="E5454" s="95"/>
      <c r="G5454" s="121"/>
      <c r="H5454" s="133"/>
    </row>
    <row r="5455" spans="1:8" s="65" customFormat="1">
      <c r="B5455" s="97"/>
      <c r="C5455" s="98"/>
      <c r="D5455" s="98"/>
      <c r="E5455" s="98"/>
      <c r="G5455" s="128"/>
    </row>
    <row r="5456" spans="1:8" s="65" customFormat="1">
      <c r="B5456" s="97"/>
      <c r="C5456" s="98"/>
      <c r="D5456" s="98"/>
      <c r="E5456" s="98"/>
      <c r="F5456" s="128"/>
      <c r="G5456" s="133"/>
      <c r="H5456" s="134"/>
    </row>
    <row r="5457" spans="1:9" s="65" customFormat="1">
      <c r="A5457" s="633"/>
      <c r="B5457" s="633"/>
      <c r="C5457" s="633"/>
      <c r="D5457" s="633"/>
      <c r="E5457" s="633"/>
      <c r="F5457" s="633"/>
      <c r="G5457" s="633"/>
    </row>
    <row r="5458" spans="1:9" s="65" customFormat="1">
      <c r="H5458" s="156"/>
      <c r="I5458" s="151"/>
    </row>
    <row r="5459" spans="1:9" s="65" customFormat="1">
      <c r="A5459" s="645"/>
      <c r="B5459" s="156"/>
      <c r="C5459" s="156"/>
      <c r="D5459" s="156"/>
      <c r="E5459" s="156"/>
      <c r="F5459" s="156"/>
      <c r="G5459" s="156"/>
      <c r="H5459" s="156"/>
      <c r="I5459" s="152"/>
    </row>
    <row r="5460" spans="1:9" s="65" customFormat="1">
      <c r="A5460" s="645"/>
      <c r="B5460" s="156"/>
      <c r="C5460" s="156"/>
      <c r="D5460" s="156"/>
      <c r="E5460" s="156"/>
      <c r="F5460" s="156"/>
      <c r="G5460" s="156"/>
    </row>
    <row r="5461" spans="1:9" s="65" customFormat="1">
      <c r="A5461" s="69"/>
      <c r="B5461" s="69"/>
      <c r="C5461" s="69"/>
      <c r="D5461" s="69"/>
      <c r="E5461" s="69"/>
    </row>
    <row r="5462" spans="1:9" s="65" customFormat="1">
      <c r="A5462" s="120"/>
      <c r="B5462" s="73"/>
      <c r="C5462" s="73"/>
      <c r="D5462" s="73"/>
      <c r="E5462" s="73"/>
      <c r="F5462" s="121"/>
      <c r="G5462" s="121"/>
      <c r="H5462" s="121"/>
    </row>
    <row r="5463" spans="1:9" s="65" customFormat="1">
      <c r="A5463" s="128"/>
      <c r="B5463" s="141"/>
      <c r="C5463" s="141"/>
      <c r="D5463" s="141"/>
      <c r="E5463" s="141"/>
      <c r="F5463" s="141"/>
      <c r="G5463" s="141"/>
      <c r="H5463" s="121"/>
    </row>
    <row r="5464" spans="1:9" s="65" customFormat="1">
      <c r="A5464" s="142"/>
      <c r="B5464" s="143"/>
      <c r="C5464" s="143"/>
      <c r="D5464" s="143"/>
      <c r="E5464" s="143"/>
      <c r="F5464" s="84"/>
      <c r="G5464" s="144"/>
      <c r="H5464" s="145"/>
    </row>
    <row r="5465" spans="1:9" s="65" customFormat="1">
      <c r="A5465" s="84"/>
      <c r="B5465" s="83"/>
      <c r="C5465" s="84"/>
      <c r="D5465" s="84"/>
      <c r="E5465" s="84"/>
      <c r="G5465" s="104"/>
      <c r="H5465" s="140"/>
    </row>
    <row r="5466" spans="1:9" s="65" customFormat="1">
      <c r="A5466" s="120"/>
      <c r="B5466" s="73"/>
      <c r="C5466" s="73"/>
      <c r="D5466" s="73"/>
      <c r="E5466" s="73"/>
      <c r="G5466" s="121"/>
      <c r="H5466" s="140"/>
    </row>
    <row r="5467" spans="1:9" s="65" customFormat="1">
      <c r="A5467" s="128"/>
      <c r="B5467" s="141"/>
      <c r="C5467" s="141"/>
      <c r="D5467" s="141"/>
      <c r="E5467" s="141"/>
      <c r="F5467" s="141"/>
      <c r="G5467" s="141"/>
      <c r="H5467" s="140"/>
    </row>
    <row r="5468" spans="1:9" s="65" customFormat="1">
      <c r="A5468" s="150"/>
      <c r="B5468" s="83"/>
      <c r="C5468" s="148"/>
      <c r="D5468" s="160"/>
      <c r="E5468" s="84"/>
      <c r="F5468" s="84"/>
      <c r="G5468" s="144"/>
      <c r="H5468" s="145"/>
    </row>
    <row r="5469" spans="1:9" s="65" customFormat="1">
      <c r="A5469" s="91"/>
      <c r="B5469" s="91"/>
      <c r="C5469" s="91"/>
      <c r="D5469" s="91"/>
      <c r="E5469" s="91"/>
      <c r="G5469" s="104"/>
      <c r="H5469" s="140"/>
    </row>
    <row r="5470" spans="1:9" s="65" customFormat="1">
      <c r="A5470" s="120"/>
      <c r="B5470" s="73"/>
      <c r="C5470" s="73"/>
      <c r="D5470" s="73"/>
      <c r="E5470" s="73"/>
      <c r="G5470" s="121"/>
      <c r="H5470" s="140"/>
    </row>
    <row r="5471" spans="1:9" s="65" customFormat="1">
      <c r="A5471" s="128"/>
      <c r="B5471" s="141"/>
      <c r="C5471" s="141"/>
      <c r="D5471" s="141"/>
      <c r="E5471" s="141"/>
      <c r="F5471" s="141"/>
      <c r="G5471" s="141"/>
      <c r="H5471" s="140"/>
    </row>
    <row r="5472" spans="1:9" s="65" customFormat="1">
      <c r="A5472" s="142"/>
      <c r="B5472" s="143"/>
      <c r="C5472" s="143"/>
      <c r="D5472" s="143"/>
      <c r="E5472" s="143"/>
      <c r="F5472" s="84"/>
      <c r="G5472" s="144"/>
      <c r="H5472" s="145"/>
    </row>
    <row r="5473" spans="1:9" s="65" customFormat="1">
      <c r="A5473" s="91"/>
      <c r="B5473" s="91"/>
      <c r="C5473" s="91"/>
      <c r="D5473" s="91"/>
      <c r="E5473" s="91"/>
      <c r="G5473" s="104"/>
      <c r="H5473" s="140"/>
    </row>
    <row r="5474" spans="1:9" s="65" customFormat="1">
      <c r="A5474" s="120"/>
      <c r="B5474" s="73"/>
      <c r="C5474" s="73"/>
      <c r="D5474" s="73"/>
      <c r="E5474" s="73"/>
      <c r="G5474" s="121"/>
      <c r="H5474" s="140"/>
    </row>
    <row r="5475" spans="1:9" s="65" customFormat="1">
      <c r="A5475" s="128"/>
      <c r="B5475" s="141"/>
      <c r="C5475" s="141"/>
      <c r="D5475" s="141"/>
      <c r="E5475" s="141"/>
      <c r="F5475" s="141"/>
      <c r="G5475" s="141"/>
      <c r="H5475" s="140"/>
    </row>
    <row r="5476" spans="1:9" s="65" customFormat="1">
      <c r="A5476" s="142"/>
      <c r="B5476" s="143"/>
      <c r="C5476" s="143"/>
      <c r="D5476" s="143"/>
      <c r="E5476" s="143"/>
      <c r="F5476" s="84"/>
      <c r="G5476" s="144"/>
      <c r="H5476" s="145"/>
    </row>
    <row r="5477" spans="1:9" s="65" customFormat="1">
      <c r="A5477" s="123"/>
      <c r="B5477" s="95"/>
      <c r="C5477" s="95"/>
      <c r="D5477" s="95"/>
      <c r="E5477" s="95"/>
      <c r="G5477" s="104"/>
      <c r="H5477" s="121"/>
    </row>
    <row r="5478" spans="1:9" s="65" customFormat="1">
      <c r="A5478" s="123"/>
      <c r="B5478" s="95"/>
      <c r="C5478" s="95"/>
      <c r="D5478" s="95"/>
      <c r="E5478" s="95"/>
      <c r="G5478" s="121"/>
      <c r="H5478" s="133"/>
    </row>
    <row r="5479" spans="1:9" s="65" customFormat="1">
      <c r="B5479" s="97"/>
      <c r="C5479" s="98"/>
      <c r="D5479" s="98"/>
      <c r="E5479" s="98"/>
      <c r="G5479" s="128"/>
    </row>
    <row r="5480" spans="1:9" s="65" customFormat="1">
      <c r="B5480" s="97"/>
      <c r="C5480" s="98"/>
      <c r="D5480" s="98"/>
      <c r="E5480" s="98"/>
      <c r="F5480" s="128"/>
      <c r="G5480" s="133"/>
      <c r="H5480" s="134"/>
    </row>
    <row r="5481" spans="1:9" s="65" customFormat="1">
      <c r="A5481" s="633"/>
      <c r="B5481" s="633"/>
      <c r="C5481" s="633"/>
      <c r="D5481" s="633"/>
      <c r="E5481" s="633"/>
      <c r="F5481" s="633"/>
      <c r="G5481" s="633"/>
    </row>
    <row r="5482" spans="1:9" s="65" customFormat="1">
      <c r="H5482" s="156"/>
      <c r="I5482" s="151"/>
    </row>
    <row r="5483" spans="1:9" s="65" customFormat="1">
      <c r="A5483" s="645"/>
      <c r="B5483" s="156"/>
      <c r="C5483" s="156"/>
      <c r="D5483" s="156"/>
      <c r="E5483" s="156"/>
      <c r="F5483" s="156"/>
      <c r="G5483" s="156"/>
      <c r="H5483" s="156"/>
      <c r="I5483" s="152"/>
    </row>
    <row r="5484" spans="1:9" s="65" customFormat="1">
      <c r="A5484" s="645"/>
      <c r="B5484" s="156"/>
      <c r="C5484" s="156"/>
      <c r="D5484" s="156"/>
      <c r="E5484" s="156"/>
      <c r="F5484" s="156"/>
      <c r="G5484" s="156"/>
    </row>
    <row r="5485" spans="1:9" s="65" customFormat="1">
      <c r="A5485" s="69"/>
      <c r="B5485" s="69"/>
      <c r="C5485" s="69"/>
      <c r="D5485" s="69"/>
      <c r="E5485" s="69"/>
    </row>
    <row r="5486" spans="1:9" s="65" customFormat="1">
      <c r="A5486" s="120"/>
      <c r="B5486" s="73"/>
      <c r="C5486" s="73"/>
      <c r="D5486" s="73"/>
      <c r="E5486" s="73"/>
      <c r="F5486" s="121"/>
      <c r="G5486" s="121"/>
      <c r="H5486" s="121"/>
    </row>
    <row r="5487" spans="1:9" s="65" customFormat="1">
      <c r="A5487" s="128"/>
      <c r="B5487" s="141"/>
      <c r="C5487" s="141"/>
      <c r="D5487" s="141"/>
      <c r="E5487" s="141"/>
      <c r="F5487" s="141"/>
      <c r="G5487" s="141"/>
      <c r="H5487" s="121"/>
    </row>
    <row r="5488" spans="1:9" s="65" customFormat="1">
      <c r="A5488" s="142"/>
      <c r="B5488" s="143"/>
      <c r="C5488" s="143"/>
      <c r="D5488" s="143"/>
      <c r="E5488" s="143"/>
      <c r="F5488" s="84"/>
      <c r="G5488" s="144"/>
      <c r="H5488" s="145"/>
    </row>
    <row r="5489" spans="1:8" s="65" customFormat="1">
      <c r="A5489" s="84"/>
      <c r="B5489" s="83"/>
      <c r="C5489" s="84"/>
      <c r="D5489" s="84"/>
      <c r="E5489" s="84"/>
      <c r="G5489" s="104"/>
      <c r="H5489" s="140"/>
    </row>
    <row r="5490" spans="1:8" s="65" customFormat="1">
      <c r="A5490" s="120"/>
      <c r="B5490" s="73"/>
      <c r="C5490" s="73"/>
      <c r="D5490" s="73"/>
      <c r="E5490" s="73"/>
      <c r="G5490" s="121"/>
      <c r="H5490" s="140"/>
    </row>
    <row r="5491" spans="1:8" s="65" customFormat="1">
      <c r="A5491" s="128"/>
      <c r="B5491" s="141"/>
      <c r="C5491" s="141"/>
      <c r="D5491" s="141"/>
      <c r="E5491" s="141"/>
      <c r="F5491" s="141"/>
      <c r="G5491" s="141"/>
      <c r="H5491" s="140"/>
    </row>
    <row r="5492" spans="1:8" s="65" customFormat="1">
      <c r="A5492" s="150"/>
      <c r="B5492" s="83"/>
      <c r="C5492" s="148"/>
      <c r="D5492" s="160"/>
      <c r="E5492" s="84"/>
      <c r="F5492" s="84"/>
      <c r="G5492" s="144"/>
      <c r="H5492" s="145"/>
    </row>
    <row r="5493" spans="1:8" s="65" customFormat="1">
      <c r="A5493" s="91"/>
      <c r="B5493" s="91"/>
      <c r="C5493" s="91"/>
      <c r="D5493" s="91"/>
      <c r="E5493" s="91"/>
      <c r="G5493" s="104"/>
      <c r="H5493" s="140"/>
    </row>
    <row r="5494" spans="1:8" s="65" customFormat="1">
      <c r="A5494" s="120"/>
      <c r="B5494" s="73"/>
      <c r="C5494" s="73"/>
      <c r="D5494" s="73"/>
      <c r="E5494" s="73"/>
      <c r="G5494" s="121"/>
      <c r="H5494" s="140"/>
    </row>
    <row r="5495" spans="1:8" s="65" customFormat="1">
      <c r="A5495" s="128"/>
      <c r="B5495" s="141"/>
      <c r="C5495" s="141"/>
      <c r="D5495" s="141"/>
      <c r="E5495" s="141"/>
      <c r="F5495" s="141"/>
      <c r="G5495" s="141"/>
      <c r="H5495" s="140"/>
    </row>
    <row r="5496" spans="1:8" s="65" customFormat="1">
      <c r="A5496" s="142"/>
      <c r="B5496" s="143"/>
      <c r="C5496" s="143"/>
      <c r="D5496" s="143"/>
      <c r="E5496" s="143"/>
      <c r="F5496" s="84"/>
      <c r="G5496" s="144"/>
      <c r="H5496" s="145"/>
    </row>
    <row r="5497" spans="1:8" s="65" customFormat="1">
      <c r="A5497" s="91"/>
      <c r="B5497" s="91"/>
      <c r="C5497" s="91"/>
      <c r="D5497" s="91"/>
      <c r="E5497" s="91"/>
      <c r="G5497" s="104"/>
      <c r="H5497" s="140"/>
    </row>
    <row r="5498" spans="1:8" s="65" customFormat="1">
      <c r="A5498" s="120"/>
      <c r="B5498" s="73"/>
      <c r="C5498" s="73"/>
      <c r="D5498" s="73"/>
      <c r="E5498" s="73"/>
      <c r="G5498" s="121"/>
      <c r="H5498" s="140"/>
    </row>
    <row r="5499" spans="1:8" s="65" customFormat="1">
      <c r="A5499" s="128"/>
      <c r="B5499" s="141"/>
      <c r="C5499" s="141"/>
      <c r="D5499" s="141"/>
      <c r="E5499" s="141"/>
      <c r="F5499" s="141"/>
      <c r="G5499" s="141"/>
      <c r="H5499" s="140"/>
    </row>
    <row r="5500" spans="1:8" s="65" customFormat="1">
      <c r="A5500" s="142"/>
      <c r="B5500" s="143"/>
      <c r="C5500" s="143"/>
      <c r="D5500" s="143"/>
      <c r="E5500" s="143"/>
      <c r="F5500" s="84"/>
      <c r="G5500" s="144"/>
      <c r="H5500" s="145"/>
    </row>
    <row r="5501" spans="1:8" s="65" customFormat="1">
      <c r="A5501" s="123"/>
      <c r="B5501" s="95"/>
      <c r="C5501" s="95"/>
      <c r="D5501" s="95"/>
      <c r="E5501" s="95"/>
      <c r="G5501" s="104"/>
      <c r="H5501" s="121"/>
    </row>
    <row r="5502" spans="1:8" s="65" customFormat="1">
      <c r="A5502" s="123"/>
      <c r="B5502" s="95"/>
      <c r="C5502" s="95"/>
      <c r="D5502" s="95"/>
      <c r="E5502" s="95"/>
      <c r="G5502" s="121"/>
      <c r="H5502" s="133"/>
    </row>
    <row r="5503" spans="1:8" s="65" customFormat="1">
      <c r="B5503" s="97"/>
      <c r="C5503" s="98"/>
      <c r="D5503" s="98"/>
      <c r="E5503" s="98"/>
      <c r="G5503" s="128"/>
    </row>
    <row r="5504" spans="1:8" s="65" customFormat="1">
      <c r="B5504" s="97"/>
      <c r="C5504" s="98"/>
      <c r="D5504" s="98"/>
      <c r="E5504" s="98"/>
      <c r="F5504" s="128"/>
      <c r="G5504" s="133"/>
      <c r="H5504" s="134"/>
    </row>
    <row r="5505" spans="1:9" s="65" customFormat="1">
      <c r="A5505" s="633"/>
      <c r="B5505" s="633"/>
      <c r="C5505" s="633"/>
      <c r="D5505" s="633"/>
      <c r="E5505" s="633"/>
      <c r="F5505" s="633"/>
      <c r="G5505" s="633"/>
    </row>
    <row r="5506" spans="1:9" s="65" customFormat="1">
      <c r="H5506" s="156"/>
      <c r="I5506" s="151"/>
    </row>
    <row r="5507" spans="1:9" s="65" customFormat="1">
      <c r="A5507" s="645"/>
      <c r="B5507" s="156"/>
      <c r="C5507" s="156"/>
      <c r="D5507" s="156"/>
      <c r="E5507" s="156"/>
      <c r="F5507" s="156"/>
      <c r="G5507" s="156"/>
      <c r="H5507" s="156"/>
      <c r="I5507" s="152"/>
    </row>
    <row r="5508" spans="1:9" s="65" customFormat="1">
      <c r="A5508" s="645"/>
      <c r="B5508" s="156"/>
      <c r="C5508" s="156"/>
      <c r="D5508" s="156"/>
      <c r="E5508" s="156"/>
      <c r="F5508" s="156"/>
      <c r="G5508" s="156"/>
    </row>
    <row r="5509" spans="1:9" s="65" customFormat="1">
      <c r="A5509" s="69"/>
      <c r="B5509" s="69"/>
      <c r="C5509" s="69"/>
      <c r="D5509" s="69"/>
      <c r="E5509" s="69"/>
    </row>
    <row r="5510" spans="1:9" s="65" customFormat="1">
      <c r="A5510" s="120"/>
      <c r="B5510" s="73"/>
      <c r="C5510" s="73"/>
      <c r="D5510" s="73"/>
      <c r="E5510" s="73"/>
      <c r="F5510" s="121"/>
      <c r="G5510" s="121"/>
      <c r="H5510" s="121"/>
    </row>
    <row r="5511" spans="1:9" s="65" customFormat="1">
      <c r="A5511" s="128"/>
      <c r="B5511" s="141"/>
      <c r="C5511" s="141"/>
      <c r="D5511" s="141"/>
      <c r="E5511" s="141"/>
      <c r="F5511" s="141"/>
      <c r="G5511" s="141"/>
      <c r="H5511" s="121"/>
    </row>
    <row r="5512" spans="1:9" s="65" customFormat="1">
      <c r="A5512" s="142"/>
      <c r="B5512" s="143"/>
      <c r="C5512" s="143"/>
      <c r="D5512" s="143"/>
      <c r="E5512" s="143"/>
      <c r="F5512" s="84"/>
      <c r="G5512" s="144"/>
      <c r="H5512" s="145"/>
    </row>
    <row r="5513" spans="1:9" s="65" customFormat="1">
      <c r="A5513" s="84"/>
      <c r="B5513" s="83"/>
      <c r="C5513" s="84"/>
      <c r="D5513" s="84"/>
      <c r="E5513" s="84"/>
      <c r="G5513" s="104"/>
      <c r="H5513" s="140"/>
    </row>
    <row r="5514" spans="1:9" s="65" customFormat="1">
      <c r="A5514" s="120"/>
      <c r="B5514" s="73"/>
      <c r="C5514" s="73"/>
      <c r="D5514" s="73"/>
      <c r="E5514" s="73"/>
      <c r="G5514" s="121"/>
      <c r="H5514" s="140"/>
    </row>
    <row r="5515" spans="1:9" s="65" customFormat="1">
      <c r="A5515" s="128"/>
      <c r="B5515" s="141"/>
      <c r="C5515" s="141"/>
      <c r="D5515" s="141"/>
      <c r="E5515" s="141"/>
      <c r="F5515" s="141"/>
      <c r="G5515" s="141"/>
      <c r="H5515" s="140"/>
    </row>
    <row r="5516" spans="1:9" s="65" customFormat="1">
      <c r="A5516" s="150"/>
      <c r="B5516" s="83"/>
      <c r="C5516" s="148"/>
      <c r="D5516" s="160"/>
      <c r="E5516" s="84"/>
      <c r="F5516" s="84"/>
      <c r="G5516" s="144"/>
      <c r="H5516" s="145"/>
    </row>
    <row r="5517" spans="1:9" s="65" customFormat="1">
      <c r="A5517" s="91"/>
      <c r="B5517" s="91"/>
      <c r="C5517" s="91"/>
      <c r="D5517" s="91"/>
      <c r="E5517" s="91"/>
      <c r="G5517" s="104"/>
      <c r="H5517" s="140"/>
    </row>
    <row r="5518" spans="1:9" s="65" customFormat="1">
      <c r="A5518" s="120"/>
      <c r="B5518" s="73"/>
      <c r="C5518" s="73"/>
      <c r="D5518" s="73"/>
      <c r="E5518" s="73"/>
      <c r="G5518" s="121"/>
      <c r="H5518" s="140"/>
    </row>
    <row r="5519" spans="1:9" s="65" customFormat="1">
      <c r="A5519" s="128"/>
      <c r="B5519" s="141"/>
      <c r="C5519" s="141"/>
      <c r="D5519" s="141"/>
      <c r="E5519" s="141"/>
      <c r="F5519" s="141"/>
      <c r="G5519" s="141"/>
      <c r="H5519" s="140"/>
    </row>
    <row r="5520" spans="1:9" s="65" customFormat="1">
      <c r="A5520" s="142"/>
      <c r="B5520" s="143"/>
      <c r="C5520" s="143"/>
      <c r="D5520" s="143"/>
      <c r="E5520" s="143"/>
      <c r="F5520" s="84"/>
      <c r="G5520" s="144"/>
      <c r="H5520" s="145"/>
    </row>
    <row r="5521" spans="1:9" s="65" customFormat="1">
      <c r="A5521" s="91"/>
      <c r="B5521" s="91"/>
      <c r="C5521" s="91"/>
      <c r="D5521" s="91"/>
      <c r="E5521" s="91"/>
      <c r="G5521" s="104"/>
      <c r="H5521" s="140"/>
    </row>
    <row r="5522" spans="1:9" s="65" customFormat="1">
      <c r="A5522" s="120"/>
      <c r="B5522" s="73"/>
      <c r="C5522" s="73"/>
      <c r="D5522" s="73"/>
      <c r="E5522" s="73"/>
      <c r="G5522" s="121"/>
      <c r="H5522" s="140"/>
    </row>
    <row r="5523" spans="1:9" s="65" customFormat="1">
      <c r="A5523" s="128"/>
      <c r="B5523" s="141"/>
      <c r="C5523" s="141"/>
      <c r="D5523" s="141"/>
      <c r="E5523" s="141"/>
      <c r="F5523" s="141"/>
      <c r="G5523" s="141"/>
      <c r="H5523" s="140"/>
    </row>
    <row r="5524" spans="1:9" s="65" customFormat="1">
      <c r="A5524" s="142"/>
      <c r="B5524" s="143"/>
      <c r="C5524" s="143"/>
      <c r="D5524" s="143"/>
      <c r="E5524" s="143"/>
      <c r="F5524" s="84"/>
      <c r="G5524" s="144"/>
      <c r="H5524" s="145"/>
    </row>
    <row r="5525" spans="1:9" s="65" customFormat="1">
      <c r="A5525" s="123"/>
      <c r="B5525" s="95"/>
      <c r="C5525" s="95"/>
      <c r="D5525" s="95"/>
      <c r="E5525" s="95"/>
      <c r="G5525" s="104"/>
      <c r="H5525" s="121"/>
    </row>
    <row r="5526" spans="1:9" s="65" customFormat="1">
      <c r="A5526" s="123"/>
      <c r="B5526" s="95"/>
      <c r="C5526" s="95"/>
      <c r="D5526" s="95"/>
      <c r="E5526" s="95"/>
      <c r="G5526" s="121"/>
      <c r="H5526" s="133"/>
    </row>
    <row r="5527" spans="1:9" s="65" customFormat="1">
      <c r="B5527" s="97"/>
      <c r="C5527" s="98"/>
      <c r="D5527" s="98"/>
      <c r="E5527" s="98"/>
      <c r="G5527" s="128"/>
    </row>
    <row r="5528" spans="1:9" s="65" customFormat="1">
      <c r="B5528" s="97"/>
      <c r="C5528" s="98"/>
      <c r="D5528" s="98"/>
      <c r="E5528" s="98"/>
      <c r="F5528" s="128"/>
      <c r="G5528" s="133"/>
      <c r="H5528" s="134"/>
    </row>
    <row r="5529" spans="1:9" s="65" customFormat="1">
      <c r="A5529" s="633"/>
      <c r="B5529" s="633"/>
      <c r="C5529" s="633"/>
      <c r="D5529" s="633"/>
      <c r="E5529" s="633"/>
      <c r="F5529" s="633"/>
      <c r="G5529" s="633"/>
    </row>
    <row r="5530" spans="1:9" s="65" customFormat="1">
      <c r="H5530" s="156"/>
      <c r="I5530" s="151"/>
    </row>
    <row r="5531" spans="1:9" s="65" customFormat="1">
      <c r="A5531" s="645"/>
      <c r="B5531" s="156"/>
      <c r="C5531" s="156"/>
      <c r="D5531" s="156"/>
      <c r="E5531" s="156"/>
      <c r="F5531" s="156"/>
      <c r="G5531" s="156"/>
      <c r="H5531" s="156"/>
      <c r="I5531" s="152"/>
    </row>
    <row r="5532" spans="1:9" s="65" customFormat="1">
      <c r="A5532" s="645"/>
      <c r="B5532" s="156"/>
      <c r="C5532" s="156"/>
      <c r="D5532" s="156"/>
      <c r="E5532" s="156"/>
      <c r="F5532" s="156"/>
      <c r="G5532" s="156"/>
    </row>
    <row r="5533" spans="1:9" s="65" customFormat="1">
      <c r="A5533" s="69"/>
      <c r="B5533" s="69"/>
      <c r="C5533" s="69"/>
      <c r="D5533" s="69"/>
      <c r="E5533" s="69"/>
    </row>
    <row r="5534" spans="1:9" s="65" customFormat="1">
      <c r="A5534" s="120"/>
      <c r="B5534" s="73"/>
      <c r="C5534" s="73"/>
      <c r="D5534" s="73"/>
      <c r="E5534" s="73"/>
      <c r="F5534" s="121"/>
      <c r="G5534" s="121"/>
      <c r="H5534" s="121"/>
    </row>
    <row r="5535" spans="1:9" s="65" customFormat="1">
      <c r="A5535" s="128"/>
      <c r="B5535" s="141"/>
      <c r="C5535" s="141"/>
      <c r="D5535" s="141"/>
      <c r="E5535" s="141"/>
      <c r="F5535" s="141"/>
      <c r="G5535" s="141"/>
      <c r="H5535" s="121"/>
    </row>
    <row r="5536" spans="1:9" s="65" customFormat="1">
      <c r="A5536" s="142"/>
      <c r="B5536" s="143"/>
      <c r="C5536" s="143"/>
      <c r="D5536" s="143"/>
      <c r="E5536" s="143"/>
      <c r="F5536" s="84"/>
      <c r="G5536" s="144"/>
      <c r="H5536" s="145"/>
    </row>
    <row r="5537" spans="1:8" s="65" customFormat="1">
      <c r="A5537" s="84"/>
      <c r="B5537" s="83"/>
      <c r="C5537" s="84"/>
      <c r="D5537" s="84"/>
      <c r="E5537" s="84"/>
      <c r="G5537" s="104"/>
      <c r="H5537" s="140"/>
    </row>
    <row r="5538" spans="1:8" s="65" customFormat="1">
      <c r="A5538" s="120"/>
      <c r="B5538" s="73"/>
      <c r="C5538" s="73"/>
      <c r="D5538" s="73"/>
      <c r="E5538" s="73"/>
      <c r="G5538" s="121"/>
      <c r="H5538" s="140"/>
    </row>
    <row r="5539" spans="1:8" s="65" customFormat="1">
      <c r="A5539" s="128"/>
      <c r="B5539" s="141"/>
      <c r="C5539" s="141"/>
      <c r="D5539" s="141"/>
      <c r="E5539" s="141"/>
      <c r="F5539" s="141"/>
      <c r="G5539" s="141"/>
      <c r="H5539" s="140"/>
    </row>
    <row r="5540" spans="1:8" s="65" customFormat="1">
      <c r="A5540" s="150"/>
      <c r="B5540" s="83"/>
      <c r="C5540" s="148"/>
      <c r="D5540" s="160"/>
      <c r="E5540" s="84"/>
      <c r="F5540" s="84"/>
      <c r="G5540" s="144"/>
      <c r="H5540" s="145"/>
    </row>
    <row r="5541" spans="1:8" s="65" customFormat="1">
      <c r="A5541" s="91"/>
      <c r="B5541" s="91"/>
      <c r="C5541" s="91"/>
      <c r="D5541" s="91"/>
      <c r="E5541" s="91"/>
      <c r="G5541" s="104"/>
      <c r="H5541" s="140"/>
    </row>
    <row r="5542" spans="1:8" s="65" customFormat="1">
      <c r="A5542" s="120"/>
      <c r="B5542" s="73"/>
      <c r="C5542" s="73"/>
      <c r="D5542" s="73"/>
      <c r="E5542" s="73"/>
      <c r="G5542" s="121"/>
      <c r="H5542" s="140"/>
    </row>
    <row r="5543" spans="1:8" s="65" customFormat="1">
      <c r="A5543" s="128"/>
      <c r="B5543" s="141"/>
      <c r="C5543" s="141"/>
      <c r="D5543" s="141"/>
      <c r="E5543" s="141"/>
      <c r="F5543" s="141"/>
      <c r="G5543" s="141"/>
      <c r="H5543" s="140"/>
    </row>
    <row r="5544" spans="1:8" s="65" customFormat="1">
      <c r="A5544" s="142"/>
      <c r="B5544" s="143"/>
      <c r="C5544" s="143"/>
      <c r="D5544" s="143"/>
      <c r="E5544" s="143"/>
      <c r="F5544" s="84"/>
      <c r="G5544" s="144"/>
      <c r="H5544" s="145"/>
    </row>
    <row r="5545" spans="1:8" s="65" customFormat="1">
      <c r="A5545" s="91"/>
      <c r="B5545" s="91"/>
      <c r="C5545" s="91"/>
      <c r="D5545" s="91"/>
      <c r="E5545" s="91"/>
      <c r="G5545" s="104"/>
      <c r="H5545" s="140"/>
    </row>
    <row r="5546" spans="1:8" s="65" customFormat="1">
      <c r="A5546" s="120"/>
      <c r="B5546" s="73"/>
      <c r="C5546" s="73"/>
      <c r="D5546" s="73"/>
      <c r="E5546" s="73"/>
      <c r="G5546" s="121"/>
      <c r="H5546" s="140"/>
    </row>
    <row r="5547" spans="1:8" s="65" customFormat="1">
      <c r="A5547" s="128"/>
      <c r="B5547" s="141"/>
      <c r="C5547" s="141"/>
      <c r="D5547" s="141"/>
      <c r="E5547" s="141"/>
      <c r="F5547" s="141"/>
      <c r="G5547" s="141"/>
      <c r="H5547" s="140"/>
    </row>
    <row r="5548" spans="1:8" s="65" customFormat="1">
      <c r="A5548" s="142"/>
      <c r="B5548" s="143"/>
      <c r="C5548" s="143"/>
      <c r="D5548" s="143"/>
      <c r="E5548" s="143"/>
      <c r="F5548" s="84"/>
      <c r="G5548" s="144"/>
      <c r="H5548" s="145"/>
    </row>
    <row r="5549" spans="1:8" s="65" customFormat="1">
      <c r="A5549" s="123"/>
      <c r="B5549" s="95"/>
      <c r="C5549" s="95"/>
      <c r="D5549" s="95"/>
      <c r="E5549" s="95"/>
      <c r="G5549" s="104"/>
      <c r="H5549" s="121"/>
    </row>
    <row r="5550" spans="1:8" s="65" customFormat="1">
      <c r="A5550" s="123"/>
      <c r="B5550" s="95"/>
      <c r="C5550" s="95"/>
      <c r="D5550" s="95"/>
      <c r="E5550" s="95"/>
      <c r="G5550" s="121"/>
      <c r="H5550" s="133"/>
    </row>
    <row r="5551" spans="1:8" s="65" customFormat="1">
      <c r="B5551" s="97"/>
      <c r="C5551" s="98"/>
      <c r="D5551" s="98"/>
      <c r="E5551" s="98"/>
      <c r="G5551" s="128"/>
    </row>
    <row r="5552" spans="1:8" s="65" customFormat="1">
      <c r="B5552" s="97"/>
      <c r="C5552" s="98"/>
      <c r="D5552" s="98"/>
      <c r="E5552" s="98"/>
      <c r="F5552" s="128"/>
      <c r="G5552" s="133"/>
      <c r="H5552" s="134"/>
    </row>
    <row r="5553" spans="1:9" s="65" customFormat="1">
      <c r="A5553" s="633"/>
      <c r="B5553" s="633"/>
      <c r="C5553" s="633"/>
      <c r="D5553" s="633"/>
      <c r="E5553" s="633"/>
      <c r="F5553" s="633"/>
      <c r="G5553" s="633"/>
    </row>
    <row r="5554" spans="1:9" s="65" customFormat="1">
      <c r="H5554" s="156"/>
      <c r="I5554" s="151"/>
    </row>
    <row r="5555" spans="1:9" s="65" customFormat="1">
      <c r="A5555" s="645"/>
      <c r="B5555" s="156"/>
      <c r="C5555" s="156"/>
      <c r="D5555" s="156"/>
      <c r="E5555" s="156"/>
      <c r="F5555" s="156"/>
      <c r="G5555" s="156"/>
      <c r="H5555" s="156"/>
      <c r="I5555" s="152"/>
    </row>
    <row r="5556" spans="1:9" s="65" customFormat="1">
      <c r="A5556" s="645"/>
      <c r="B5556" s="156"/>
      <c r="C5556" s="156"/>
      <c r="D5556" s="156"/>
      <c r="E5556" s="156"/>
      <c r="F5556" s="156"/>
      <c r="G5556" s="156"/>
    </row>
    <row r="5557" spans="1:9" s="65" customFormat="1">
      <c r="A5557" s="69"/>
      <c r="B5557" s="69"/>
      <c r="C5557" s="69"/>
      <c r="D5557" s="69"/>
      <c r="E5557" s="69"/>
    </row>
    <row r="5558" spans="1:9" s="65" customFormat="1">
      <c r="A5558" s="120"/>
      <c r="B5558" s="73"/>
      <c r="C5558" s="73"/>
      <c r="D5558" s="73"/>
      <c r="E5558" s="73"/>
      <c r="F5558" s="121"/>
      <c r="G5558" s="121"/>
      <c r="H5558" s="121"/>
    </row>
    <row r="5559" spans="1:9" s="65" customFormat="1">
      <c r="A5559" s="128"/>
      <c r="B5559" s="141"/>
      <c r="C5559" s="141"/>
      <c r="D5559" s="141"/>
      <c r="E5559" s="141"/>
      <c r="F5559" s="141"/>
      <c r="G5559" s="141"/>
      <c r="H5559" s="121"/>
    </row>
    <row r="5560" spans="1:9" s="65" customFormat="1">
      <c r="A5560" s="142"/>
      <c r="B5560" s="143"/>
      <c r="C5560" s="143"/>
      <c r="D5560" s="143"/>
      <c r="E5560" s="143"/>
      <c r="F5560" s="84"/>
      <c r="G5560" s="144"/>
      <c r="H5560" s="145"/>
    </row>
    <row r="5561" spans="1:9" s="65" customFormat="1">
      <c r="A5561" s="84"/>
      <c r="B5561" s="83"/>
      <c r="C5561" s="84"/>
      <c r="D5561" s="84"/>
      <c r="E5561" s="84"/>
      <c r="G5561" s="104"/>
      <c r="H5561" s="140"/>
    </row>
    <row r="5562" spans="1:9" s="65" customFormat="1">
      <c r="A5562" s="120"/>
      <c r="B5562" s="73"/>
      <c r="C5562" s="73"/>
      <c r="D5562" s="73"/>
      <c r="E5562" s="73"/>
      <c r="G5562" s="121"/>
      <c r="H5562" s="140"/>
    </row>
    <row r="5563" spans="1:9" s="65" customFormat="1">
      <c r="A5563" s="128"/>
      <c r="B5563" s="141"/>
      <c r="C5563" s="141"/>
      <c r="D5563" s="141"/>
      <c r="E5563" s="141"/>
      <c r="F5563" s="141"/>
      <c r="G5563" s="141"/>
      <c r="H5563" s="140"/>
    </row>
    <row r="5564" spans="1:9" s="65" customFormat="1">
      <c r="A5564" s="150"/>
      <c r="B5564" s="83"/>
      <c r="C5564" s="148"/>
      <c r="D5564" s="160"/>
      <c r="E5564" s="84"/>
      <c r="F5564" s="84"/>
      <c r="G5564" s="144"/>
      <c r="H5564" s="145"/>
    </row>
    <row r="5565" spans="1:9" s="65" customFormat="1">
      <c r="A5565" s="91"/>
      <c r="B5565" s="91"/>
      <c r="C5565" s="91"/>
      <c r="D5565" s="91"/>
      <c r="E5565" s="91"/>
      <c r="G5565" s="104"/>
      <c r="H5565" s="140"/>
    </row>
    <row r="5566" spans="1:9" s="65" customFormat="1">
      <c r="A5566" s="120"/>
      <c r="B5566" s="73"/>
      <c r="C5566" s="73"/>
      <c r="D5566" s="73"/>
      <c r="E5566" s="73"/>
      <c r="G5566" s="121"/>
      <c r="H5566" s="140"/>
    </row>
    <row r="5567" spans="1:9" s="65" customFormat="1">
      <c r="A5567" s="128"/>
      <c r="B5567" s="141"/>
      <c r="C5567" s="141"/>
      <c r="D5567" s="141"/>
      <c r="E5567" s="141"/>
      <c r="F5567" s="141"/>
      <c r="G5567" s="141"/>
      <c r="H5567" s="140"/>
    </row>
    <row r="5568" spans="1:9" s="65" customFormat="1">
      <c r="A5568" s="142"/>
      <c r="B5568" s="143"/>
      <c r="C5568" s="143"/>
      <c r="D5568" s="143"/>
      <c r="E5568" s="143"/>
      <c r="F5568" s="84"/>
      <c r="G5568" s="144"/>
      <c r="H5568" s="145"/>
    </row>
    <row r="5569" spans="1:9" s="65" customFormat="1">
      <c r="A5569" s="91"/>
      <c r="B5569" s="91"/>
      <c r="C5569" s="91"/>
      <c r="D5569" s="91"/>
      <c r="E5569" s="91"/>
      <c r="G5569" s="104"/>
      <c r="H5569" s="140"/>
    </row>
    <row r="5570" spans="1:9" s="65" customFormat="1">
      <c r="A5570" s="120"/>
      <c r="B5570" s="73"/>
      <c r="C5570" s="73"/>
      <c r="D5570" s="73"/>
      <c r="E5570" s="73"/>
      <c r="G5570" s="121"/>
      <c r="H5570" s="140"/>
    </row>
    <row r="5571" spans="1:9" s="65" customFormat="1">
      <c r="A5571" s="128"/>
      <c r="B5571" s="141"/>
      <c r="C5571" s="141"/>
      <c r="D5571" s="141"/>
      <c r="E5571" s="141"/>
      <c r="F5571" s="141"/>
      <c r="G5571" s="141"/>
      <c r="H5571" s="140"/>
    </row>
    <row r="5572" spans="1:9" s="65" customFormat="1">
      <c r="A5572" s="142"/>
      <c r="B5572" s="143"/>
      <c r="C5572" s="143"/>
      <c r="D5572" s="143"/>
      <c r="E5572" s="143"/>
      <c r="F5572" s="84"/>
      <c r="G5572" s="144"/>
      <c r="H5572" s="145"/>
    </row>
    <row r="5573" spans="1:9" s="65" customFormat="1">
      <c r="A5573" s="123"/>
      <c r="B5573" s="95"/>
      <c r="C5573" s="95"/>
      <c r="D5573" s="95"/>
      <c r="E5573" s="95"/>
      <c r="G5573" s="104"/>
      <c r="H5573" s="121"/>
    </row>
    <row r="5574" spans="1:9" s="65" customFormat="1">
      <c r="A5574" s="123"/>
      <c r="B5574" s="95"/>
      <c r="C5574" s="95"/>
      <c r="D5574" s="95"/>
      <c r="E5574" s="95"/>
      <c r="G5574" s="121"/>
      <c r="H5574" s="133"/>
    </row>
    <row r="5575" spans="1:9" s="65" customFormat="1">
      <c r="B5575" s="97"/>
      <c r="C5575" s="98"/>
      <c r="D5575" s="98"/>
      <c r="E5575" s="98"/>
      <c r="G5575" s="128"/>
    </row>
    <row r="5576" spans="1:9" s="65" customFormat="1">
      <c r="B5576" s="97"/>
      <c r="C5576" s="98"/>
      <c r="D5576" s="98"/>
      <c r="E5576" s="98"/>
      <c r="F5576" s="128"/>
      <c r="G5576" s="133"/>
      <c r="H5576" s="134"/>
    </row>
    <row r="5577" spans="1:9" s="65" customFormat="1">
      <c r="A5577" s="633"/>
      <c r="B5577" s="633"/>
      <c r="C5577" s="633"/>
      <c r="D5577" s="633"/>
      <c r="E5577" s="633"/>
      <c r="F5577" s="633"/>
      <c r="G5577" s="633"/>
    </row>
    <row r="5578" spans="1:9" s="65" customFormat="1">
      <c r="H5578" s="156"/>
      <c r="I5578" s="151"/>
    </row>
    <row r="5579" spans="1:9" s="65" customFormat="1">
      <c r="A5579" s="645"/>
      <c r="B5579" s="156"/>
      <c r="C5579" s="156"/>
      <c r="D5579" s="156"/>
      <c r="E5579" s="156"/>
      <c r="F5579" s="156"/>
      <c r="G5579" s="156"/>
      <c r="H5579" s="156"/>
      <c r="I5579" s="152"/>
    </row>
    <row r="5580" spans="1:9" s="65" customFormat="1">
      <c r="A5580" s="645"/>
      <c r="B5580" s="156"/>
      <c r="C5580" s="156"/>
      <c r="D5580" s="156"/>
      <c r="E5580" s="156"/>
      <c r="F5580" s="156"/>
      <c r="G5580" s="156"/>
    </row>
    <row r="5581" spans="1:9" s="65" customFormat="1">
      <c r="A5581" s="69"/>
      <c r="B5581" s="69"/>
      <c r="C5581" s="69"/>
      <c r="D5581" s="69"/>
      <c r="E5581" s="69"/>
    </row>
    <row r="5582" spans="1:9" s="65" customFormat="1">
      <c r="A5582" s="120"/>
      <c r="B5582" s="73"/>
      <c r="C5582" s="73"/>
      <c r="D5582" s="73"/>
      <c r="E5582" s="73"/>
      <c r="F5582" s="121"/>
      <c r="G5582" s="121"/>
      <c r="H5582" s="121"/>
    </row>
    <row r="5583" spans="1:9" s="65" customFormat="1">
      <c r="A5583" s="128"/>
      <c r="B5583" s="141"/>
      <c r="C5583" s="141"/>
      <c r="D5583" s="141"/>
      <c r="E5583" s="141"/>
      <c r="F5583" s="141"/>
      <c r="G5583" s="141"/>
      <c r="H5583" s="121"/>
    </row>
    <row r="5584" spans="1:9" s="65" customFormat="1">
      <c r="A5584" s="142"/>
      <c r="B5584" s="143"/>
      <c r="C5584" s="143"/>
      <c r="D5584" s="143"/>
      <c r="E5584" s="143"/>
      <c r="F5584" s="84"/>
      <c r="G5584" s="144"/>
      <c r="H5584" s="145"/>
    </row>
    <row r="5585" spans="1:8" s="65" customFormat="1">
      <c r="A5585" s="84"/>
      <c r="B5585" s="83"/>
      <c r="C5585" s="84"/>
      <c r="D5585" s="84"/>
      <c r="E5585" s="84"/>
      <c r="G5585" s="104"/>
      <c r="H5585" s="140"/>
    </row>
    <row r="5586" spans="1:8" s="65" customFormat="1">
      <c r="A5586" s="120"/>
      <c r="B5586" s="73"/>
      <c r="C5586" s="73"/>
      <c r="D5586" s="73"/>
      <c r="E5586" s="73"/>
      <c r="G5586" s="121"/>
      <c r="H5586" s="140"/>
    </row>
    <row r="5587" spans="1:8" s="65" customFormat="1">
      <c r="A5587" s="128"/>
      <c r="B5587" s="141"/>
      <c r="C5587" s="141"/>
      <c r="D5587" s="141"/>
      <c r="E5587" s="141"/>
      <c r="F5587" s="141"/>
      <c r="G5587" s="141"/>
      <c r="H5587" s="140"/>
    </row>
    <row r="5588" spans="1:8" s="65" customFormat="1">
      <c r="A5588" s="150"/>
      <c r="B5588" s="83"/>
      <c r="C5588" s="148"/>
      <c r="D5588" s="160"/>
      <c r="E5588" s="84"/>
      <c r="F5588" s="84"/>
      <c r="G5588" s="144"/>
      <c r="H5588" s="145"/>
    </row>
    <row r="5589" spans="1:8" s="65" customFormat="1">
      <c r="A5589" s="91"/>
      <c r="B5589" s="91"/>
      <c r="C5589" s="91"/>
      <c r="D5589" s="91"/>
      <c r="E5589" s="91"/>
      <c r="G5589" s="104"/>
      <c r="H5589" s="140"/>
    </row>
    <row r="5590" spans="1:8" s="65" customFormat="1">
      <c r="A5590" s="120"/>
      <c r="B5590" s="73"/>
      <c r="C5590" s="73"/>
      <c r="D5590" s="73"/>
      <c r="E5590" s="73"/>
      <c r="G5590" s="121"/>
      <c r="H5590" s="140"/>
    </row>
    <row r="5591" spans="1:8" s="65" customFormat="1">
      <c r="A5591" s="128"/>
      <c r="B5591" s="141"/>
      <c r="C5591" s="141"/>
      <c r="D5591" s="141"/>
      <c r="E5591" s="141"/>
      <c r="F5591" s="141"/>
      <c r="G5591" s="141"/>
      <c r="H5591" s="140"/>
    </row>
    <row r="5592" spans="1:8" s="65" customFormat="1">
      <c r="A5592" s="142"/>
      <c r="B5592" s="143"/>
      <c r="C5592" s="143"/>
      <c r="D5592" s="143"/>
      <c r="E5592" s="143"/>
      <c r="F5592" s="84"/>
      <c r="G5592" s="144"/>
      <c r="H5592" s="145"/>
    </row>
    <row r="5593" spans="1:8" s="65" customFormat="1">
      <c r="A5593" s="91"/>
      <c r="B5593" s="91"/>
      <c r="C5593" s="91"/>
      <c r="D5593" s="91"/>
      <c r="E5593" s="91"/>
      <c r="G5593" s="104"/>
      <c r="H5593" s="140"/>
    </row>
    <row r="5594" spans="1:8" s="65" customFormat="1">
      <c r="A5594" s="120"/>
      <c r="B5594" s="73"/>
      <c r="C5594" s="73"/>
      <c r="D5594" s="73"/>
      <c r="E5594" s="73"/>
      <c r="G5594" s="121"/>
      <c r="H5594" s="140"/>
    </row>
    <row r="5595" spans="1:8" s="65" customFormat="1">
      <c r="A5595" s="128"/>
      <c r="B5595" s="141"/>
      <c r="C5595" s="141"/>
      <c r="D5595" s="141"/>
      <c r="E5595" s="141"/>
      <c r="F5595" s="141"/>
      <c r="G5595" s="141"/>
      <c r="H5595" s="140"/>
    </row>
    <row r="5596" spans="1:8" s="65" customFormat="1">
      <c r="A5596" s="142"/>
      <c r="B5596" s="143"/>
      <c r="C5596" s="143"/>
      <c r="D5596" s="143"/>
      <c r="E5596" s="143"/>
      <c r="F5596" s="84"/>
      <c r="G5596" s="144"/>
      <c r="H5596" s="145"/>
    </row>
    <row r="5597" spans="1:8" s="65" customFormat="1">
      <c r="A5597" s="123"/>
      <c r="B5597" s="95"/>
      <c r="C5597" s="95"/>
      <c r="D5597" s="95"/>
      <c r="E5597" s="95"/>
      <c r="G5597" s="104"/>
      <c r="H5597" s="121"/>
    </row>
    <row r="5598" spans="1:8" s="65" customFormat="1">
      <c r="A5598" s="123"/>
      <c r="B5598" s="95"/>
      <c r="C5598" s="95"/>
      <c r="D5598" s="95"/>
      <c r="E5598" s="95"/>
      <c r="G5598" s="121"/>
      <c r="H5598" s="133"/>
    </row>
    <row r="5599" spans="1:8" s="65" customFormat="1">
      <c r="B5599" s="97"/>
      <c r="C5599" s="98"/>
      <c r="D5599" s="98"/>
      <c r="E5599" s="98"/>
      <c r="G5599" s="128"/>
    </row>
    <row r="5600" spans="1:8" s="65" customFormat="1">
      <c r="B5600" s="97"/>
      <c r="C5600" s="98"/>
      <c r="D5600" s="98"/>
      <c r="E5600" s="98"/>
      <c r="F5600" s="128"/>
      <c r="G5600" s="133"/>
      <c r="H5600" s="134"/>
    </row>
    <row r="5601" spans="1:9" s="65" customFormat="1">
      <c r="A5601" s="633"/>
      <c r="B5601" s="633"/>
      <c r="C5601" s="633"/>
      <c r="D5601" s="633"/>
      <c r="E5601" s="633"/>
      <c r="F5601" s="633"/>
      <c r="G5601" s="633"/>
    </row>
    <row r="5602" spans="1:9" s="65" customFormat="1">
      <c r="H5602" s="156"/>
      <c r="I5602" s="151"/>
    </row>
    <row r="5603" spans="1:9" s="65" customFormat="1">
      <c r="A5603" s="645"/>
      <c r="B5603" s="156"/>
      <c r="C5603" s="156"/>
      <c r="D5603" s="156"/>
      <c r="E5603" s="156"/>
      <c r="F5603" s="156"/>
      <c r="G5603" s="156"/>
      <c r="H5603" s="156"/>
      <c r="I5603" s="152"/>
    </row>
    <row r="5604" spans="1:9" s="65" customFormat="1">
      <c r="A5604" s="645"/>
      <c r="B5604" s="156"/>
      <c r="C5604" s="156"/>
      <c r="D5604" s="156"/>
      <c r="E5604" s="156"/>
      <c r="F5604" s="156"/>
      <c r="G5604" s="156"/>
    </row>
    <row r="5605" spans="1:9" s="65" customFormat="1">
      <c r="A5605" s="69"/>
      <c r="B5605" s="69"/>
      <c r="C5605" s="69"/>
      <c r="D5605" s="69"/>
      <c r="E5605" s="69"/>
    </row>
    <row r="5606" spans="1:9" s="65" customFormat="1">
      <c r="A5606" s="120"/>
      <c r="B5606" s="73"/>
      <c r="C5606" s="73"/>
      <c r="D5606" s="73"/>
      <c r="E5606" s="73"/>
      <c r="F5606" s="121"/>
      <c r="G5606" s="121"/>
      <c r="H5606" s="121"/>
    </row>
    <row r="5607" spans="1:9" s="65" customFormat="1">
      <c r="A5607" s="128"/>
      <c r="B5607" s="141"/>
      <c r="C5607" s="141"/>
      <c r="D5607" s="141"/>
      <c r="E5607" s="141"/>
      <c r="F5607" s="141"/>
      <c r="G5607" s="141"/>
      <c r="H5607" s="121"/>
    </row>
    <row r="5608" spans="1:9" s="65" customFormat="1">
      <c r="A5608" s="142"/>
      <c r="B5608" s="143"/>
      <c r="C5608" s="143"/>
      <c r="D5608" s="143"/>
      <c r="E5608" s="143"/>
      <c r="F5608" s="84"/>
      <c r="G5608" s="144"/>
      <c r="H5608" s="145"/>
    </row>
    <row r="5609" spans="1:9" s="65" customFormat="1">
      <c r="A5609" s="84"/>
      <c r="B5609" s="83"/>
      <c r="C5609" s="84"/>
      <c r="D5609" s="84"/>
      <c r="E5609" s="84"/>
      <c r="G5609" s="104"/>
      <c r="H5609" s="140"/>
    </row>
    <row r="5610" spans="1:9" s="65" customFormat="1">
      <c r="A5610" s="120"/>
      <c r="B5610" s="73"/>
      <c r="C5610" s="73"/>
      <c r="D5610" s="73"/>
      <c r="E5610" s="73"/>
      <c r="G5610" s="121"/>
      <c r="H5610" s="140"/>
    </row>
    <row r="5611" spans="1:9" s="65" customFormat="1">
      <c r="A5611" s="128"/>
      <c r="B5611" s="141"/>
      <c r="C5611" s="141"/>
      <c r="D5611" s="141"/>
      <c r="E5611" s="141"/>
      <c r="F5611" s="141"/>
      <c r="G5611" s="141"/>
      <c r="H5611" s="140"/>
    </row>
    <row r="5612" spans="1:9" s="65" customFormat="1">
      <c r="A5612" s="150"/>
      <c r="B5612" s="83"/>
      <c r="C5612" s="148"/>
      <c r="D5612" s="160"/>
      <c r="E5612" s="84"/>
      <c r="F5612" s="84"/>
      <c r="G5612" s="144"/>
      <c r="H5612" s="145"/>
    </row>
    <row r="5613" spans="1:9" s="65" customFormat="1">
      <c r="A5613" s="91"/>
      <c r="B5613" s="91"/>
      <c r="C5613" s="91"/>
      <c r="D5613" s="91"/>
      <c r="E5613" s="91"/>
      <c r="G5613" s="104"/>
      <c r="H5613" s="140"/>
    </row>
    <row r="5614" spans="1:9" s="65" customFormat="1">
      <c r="A5614" s="120"/>
      <c r="B5614" s="73"/>
      <c r="C5614" s="73"/>
      <c r="D5614" s="73"/>
      <c r="E5614" s="73"/>
      <c r="G5614" s="121"/>
      <c r="H5614" s="140"/>
    </row>
    <row r="5615" spans="1:9" s="65" customFormat="1">
      <c r="A5615" s="128"/>
      <c r="B5615" s="141"/>
      <c r="C5615" s="141"/>
      <c r="D5615" s="141"/>
      <c r="E5615" s="141"/>
      <c r="F5615" s="141"/>
      <c r="G5615" s="141"/>
      <c r="H5615" s="140"/>
    </row>
    <row r="5616" spans="1:9" s="65" customFormat="1">
      <c r="A5616" s="142"/>
      <c r="B5616" s="143"/>
      <c r="C5616" s="143"/>
      <c r="D5616" s="143"/>
      <c r="E5616" s="143"/>
      <c r="F5616" s="84"/>
      <c r="G5616" s="144"/>
      <c r="H5616" s="145"/>
    </row>
    <row r="5617" spans="1:9" s="65" customFormat="1">
      <c r="A5617" s="91"/>
      <c r="B5617" s="91"/>
      <c r="C5617" s="91"/>
      <c r="D5617" s="91"/>
      <c r="E5617" s="91"/>
      <c r="G5617" s="104"/>
      <c r="H5617" s="140"/>
    </row>
    <row r="5618" spans="1:9" s="65" customFormat="1">
      <c r="A5618" s="120"/>
      <c r="B5618" s="73"/>
      <c r="C5618" s="73"/>
      <c r="D5618" s="73"/>
      <c r="E5618" s="73"/>
      <c r="G5618" s="121"/>
      <c r="H5618" s="140"/>
    </row>
    <row r="5619" spans="1:9" s="65" customFormat="1">
      <c r="A5619" s="128"/>
      <c r="B5619" s="141"/>
      <c r="C5619" s="141"/>
      <c r="D5619" s="141"/>
      <c r="E5619" s="141"/>
      <c r="F5619" s="141"/>
      <c r="G5619" s="141"/>
      <c r="H5619" s="140"/>
    </row>
    <row r="5620" spans="1:9" s="65" customFormat="1">
      <c r="A5620" s="142"/>
      <c r="B5620" s="143"/>
      <c r="C5620" s="143"/>
      <c r="D5620" s="143"/>
      <c r="E5620" s="143"/>
      <c r="F5620" s="84"/>
      <c r="G5620" s="144"/>
      <c r="H5620" s="145"/>
    </row>
    <row r="5621" spans="1:9" s="65" customFormat="1">
      <c r="A5621" s="123"/>
      <c r="B5621" s="95"/>
      <c r="C5621" s="95"/>
      <c r="D5621" s="95"/>
      <c r="E5621" s="95"/>
      <c r="G5621" s="104"/>
      <c r="H5621" s="121"/>
    </row>
    <row r="5622" spans="1:9" s="65" customFormat="1">
      <c r="A5622" s="123"/>
      <c r="B5622" s="95"/>
      <c r="C5622" s="95"/>
      <c r="D5622" s="95"/>
      <c r="E5622" s="95"/>
      <c r="G5622" s="121"/>
      <c r="H5622" s="133"/>
    </row>
    <row r="5623" spans="1:9" s="65" customFormat="1">
      <c r="B5623" s="97"/>
      <c r="C5623" s="98"/>
      <c r="D5623" s="98"/>
      <c r="E5623" s="98"/>
      <c r="G5623" s="128"/>
    </row>
    <row r="5624" spans="1:9" s="65" customFormat="1">
      <c r="B5624" s="97"/>
      <c r="C5624" s="98"/>
      <c r="D5624" s="98"/>
      <c r="E5624" s="98"/>
      <c r="F5624" s="128"/>
      <c r="G5624" s="133"/>
      <c r="H5624" s="134"/>
    </row>
    <row r="5625" spans="1:9" s="65" customFormat="1">
      <c r="A5625" s="633"/>
      <c r="B5625" s="633"/>
      <c r="C5625" s="633"/>
      <c r="D5625" s="633"/>
      <c r="E5625" s="633"/>
      <c r="F5625" s="633"/>
      <c r="G5625" s="633"/>
    </row>
    <row r="5626" spans="1:9" s="65" customFormat="1">
      <c r="H5626" s="156"/>
      <c r="I5626" s="151"/>
    </row>
    <row r="5627" spans="1:9" s="65" customFormat="1">
      <c r="A5627" s="645"/>
      <c r="B5627" s="156"/>
      <c r="C5627" s="156"/>
      <c r="D5627" s="156"/>
      <c r="E5627" s="156"/>
      <c r="F5627" s="156"/>
      <c r="G5627" s="156"/>
      <c r="H5627" s="156"/>
      <c r="I5627" s="152"/>
    </row>
    <row r="5628" spans="1:9" s="65" customFormat="1">
      <c r="A5628" s="645"/>
      <c r="B5628" s="156"/>
      <c r="C5628" s="156"/>
      <c r="D5628" s="156"/>
      <c r="E5628" s="156"/>
      <c r="F5628" s="156"/>
      <c r="G5628" s="156"/>
    </row>
    <row r="5629" spans="1:9" s="65" customFormat="1">
      <c r="A5629" s="69"/>
      <c r="B5629" s="69"/>
      <c r="C5629" s="69"/>
      <c r="D5629" s="69"/>
      <c r="E5629" s="69"/>
    </row>
    <row r="5630" spans="1:9" s="65" customFormat="1">
      <c r="A5630" s="120"/>
      <c r="B5630" s="73"/>
      <c r="C5630" s="73"/>
      <c r="D5630" s="73"/>
      <c r="E5630" s="73"/>
      <c r="F5630" s="121"/>
      <c r="G5630" s="121"/>
      <c r="H5630" s="121"/>
    </row>
    <row r="5631" spans="1:9" s="65" customFormat="1">
      <c r="A5631" s="128"/>
      <c r="B5631" s="141"/>
      <c r="C5631" s="141"/>
      <c r="D5631" s="141"/>
      <c r="E5631" s="141"/>
      <c r="F5631" s="141"/>
      <c r="G5631" s="141"/>
      <c r="H5631" s="121"/>
    </row>
    <row r="5632" spans="1:9" s="65" customFormat="1">
      <c r="A5632" s="142"/>
      <c r="B5632" s="143"/>
      <c r="C5632" s="143"/>
      <c r="D5632" s="143"/>
      <c r="E5632" s="143"/>
      <c r="F5632" s="84"/>
      <c r="G5632" s="144"/>
      <c r="H5632" s="145"/>
    </row>
    <row r="5633" spans="1:8" s="65" customFormat="1">
      <c r="A5633" s="84"/>
      <c r="B5633" s="83"/>
      <c r="C5633" s="84"/>
      <c r="D5633" s="84"/>
      <c r="E5633" s="84"/>
      <c r="G5633" s="104"/>
      <c r="H5633" s="140"/>
    </row>
    <row r="5634" spans="1:8" s="65" customFormat="1">
      <c r="A5634" s="120"/>
      <c r="B5634" s="73"/>
      <c r="C5634" s="73"/>
      <c r="D5634" s="73"/>
      <c r="E5634" s="73"/>
      <c r="G5634" s="121"/>
      <c r="H5634" s="140"/>
    </row>
    <row r="5635" spans="1:8" s="65" customFormat="1">
      <c r="A5635" s="128"/>
      <c r="B5635" s="141"/>
      <c r="C5635" s="141"/>
      <c r="D5635" s="141"/>
      <c r="E5635" s="141"/>
      <c r="F5635" s="141"/>
      <c r="G5635" s="141"/>
      <c r="H5635" s="140"/>
    </row>
    <row r="5636" spans="1:8" s="65" customFormat="1">
      <c r="A5636" s="150"/>
      <c r="B5636" s="83"/>
      <c r="C5636" s="148"/>
      <c r="D5636" s="160"/>
      <c r="E5636" s="84"/>
      <c r="F5636" s="84"/>
      <c r="G5636" s="144"/>
      <c r="H5636" s="145"/>
    </row>
    <row r="5637" spans="1:8" s="65" customFormat="1">
      <c r="A5637" s="91"/>
      <c r="B5637" s="91"/>
      <c r="C5637" s="91"/>
      <c r="D5637" s="91"/>
      <c r="E5637" s="91"/>
      <c r="G5637" s="104"/>
      <c r="H5637" s="140"/>
    </row>
    <row r="5638" spans="1:8" s="65" customFormat="1">
      <c r="A5638" s="120"/>
      <c r="B5638" s="73"/>
      <c r="C5638" s="73"/>
      <c r="D5638" s="73"/>
      <c r="E5638" s="73"/>
      <c r="G5638" s="121"/>
      <c r="H5638" s="140"/>
    </row>
    <row r="5639" spans="1:8" s="65" customFormat="1">
      <c r="A5639" s="128"/>
      <c r="B5639" s="141"/>
      <c r="C5639" s="141"/>
      <c r="D5639" s="141"/>
      <c r="E5639" s="141"/>
      <c r="F5639" s="141"/>
      <c r="G5639" s="141"/>
      <c r="H5639" s="140"/>
    </row>
    <row r="5640" spans="1:8" s="65" customFormat="1">
      <c r="A5640" s="142"/>
      <c r="B5640" s="143"/>
      <c r="C5640" s="143"/>
      <c r="D5640" s="143"/>
      <c r="E5640" s="143"/>
      <c r="F5640" s="84"/>
      <c r="G5640" s="144"/>
      <c r="H5640" s="145"/>
    </row>
    <row r="5641" spans="1:8" s="65" customFormat="1">
      <c r="A5641" s="91"/>
      <c r="B5641" s="91"/>
      <c r="C5641" s="91"/>
      <c r="D5641" s="91"/>
      <c r="E5641" s="91"/>
      <c r="G5641" s="104"/>
      <c r="H5641" s="140"/>
    </row>
    <row r="5642" spans="1:8" s="65" customFormat="1">
      <c r="A5642" s="120"/>
      <c r="B5642" s="73"/>
      <c r="C5642" s="73"/>
      <c r="D5642" s="73"/>
      <c r="E5642" s="73"/>
      <c r="G5642" s="121"/>
      <c r="H5642" s="140"/>
    </row>
    <row r="5643" spans="1:8" s="65" customFormat="1">
      <c r="A5643" s="128"/>
      <c r="B5643" s="141"/>
      <c r="C5643" s="141"/>
      <c r="D5643" s="141"/>
      <c r="E5643" s="141"/>
      <c r="F5643" s="141"/>
      <c r="G5643" s="141"/>
      <c r="H5643" s="140"/>
    </row>
    <row r="5644" spans="1:8" s="65" customFormat="1">
      <c r="A5644" s="142"/>
      <c r="B5644" s="143"/>
      <c r="C5644" s="143"/>
      <c r="D5644" s="143"/>
      <c r="E5644" s="143"/>
      <c r="F5644" s="84"/>
      <c r="G5644" s="144"/>
      <c r="H5644" s="145"/>
    </row>
    <row r="5645" spans="1:8" s="65" customFormat="1">
      <c r="A5645" s="123"/>
      <c r="B5645" s="95"/>
      <c r="C5645" s="95"/>
      <c r="D5645" s="95"/>
      <c r="E5645" s="95"/>
      <c r="G5645" s="104"/>
      <c r="H5645" s="121"/>
    </row>
    <row r="5646" spans="1:8" s="65" customFormat="1">
      <c r="A5646" s="123"/>
      <c r="B5646" s="95"/>
      <c r="C5646" s="95"/>
      <c r="D5646" s="95"/>
      <c r="E5646" s="95"/>
      <c r="G5646" s="121"/>
      <c r="H5646" s="133"/>
    </row>
    <row r="5647" spans="1:8" s="65" customFormat="1">
      <c r="B5647" s="97"/>
      <c r="C5647" s="98"/>
      <c r="D5647" s="98"/>
      <c r="E5647" s="98"/>
      <c r="G5647" s="128"/>
    </row>
    <row r="5648" spans="1:8" s="65" customFormat="1">
      <c r="B5648" s="97"/>
      <c r="C5648" s="98"/>
      <c r="D5648" s="98"/>
      <c r="E5648" s="98"/>
      <c r="F5648" s="128"/>
      <c r="G5648" s="133"/>
      <c r="H5648" s="134"/>
    </row>
    <row r="5649" spans="1:9" s="65" customFormat="1">
      <c r="A5649" s="633"/>
      <c r="B5649" s="633"/>
      <c r="C5649" s="633"/>
      <c r="D5649" s="633"/>
      <c r="E5649" s="633"/>
      <c r="F5649" s="633"/>
      <c r="G5649" s="633"/>
    </row>
    <row r="5650" spans="1:9" s="65" customFormat="1">
      <c r="H5650" s="156"/>
      <c r="I5650" s="151"/>
    </row>
    <row r="5651" spans="1:9" s="65" customFormat="1">
      <c r="A5651" s="645"/>
      <c r="B5651" s="156"/>
      <c r="C5651" s="156"/>
      <c r="D5651" s="156"/>
      <c r="E5651" s="156"/>
      <c r="F5651" s="156"/>
      <c r="G5651" s="156"/>
      <c r="H5651" s="156"/>
      <c r="I5651" s="152"/>
    </row>
    <row r="5652" spans="1:9" s="65" customFormat="1">
      <c r="A5652" s="645"/>
      <c r="B5652" s="156"/>
      <c r="C5652" s="156"/>
      <c r="D5652" s="156"/>
      <c r="E5652" s="156"/>
      <c r="F5652" s="156"/>
      <c r="G5652" s="156"/>
    </row>
    <row r="5653" spans="1:9" s="65" customFormat="1">
      <c r="A5653" s="69"/>
      <c r="B5653" s="69"/>
      <c r="C5653" s="69"/>
      <c r="D5653" s="69"/>
      <c r="E5653" s="69"/>
    </row>
    <row r="5654" spans="1:9" s="65" customFormat="1">
      <c r="A5654" s="120"/>
      <c r="B5654" s="73"/>
      <c r="C5654" s="73"/>
      <c r="D5654" s="73"/>
      <c r="E5654" s="73"/>
      <c r="F5654" s="121"/>
      <c r="G5654" s="121"/>
      <c r="H5654" s="121"/>
    </row>
    <row r="5655" spans="1:9" s="65" customFormat="1">
      <c r="A5655" s="128"/>
      <c r="B5655" s="141"/>
      <c r="C5655" s="141"/>
      <c r="D5655" s="141"/>
      <c r="E5655" s="141"/>
      <c r="F5655" s="141"/>
      <c r="G5655" s="141"/>
      <c r="H5655" s="121"/>
    </row>
    <row r="5656" spans="1:9" s="65" customFormat="1">
      <c r="A5656" s="142"/>
      <c r="B5656" s="143"/>
      <c r="C5656" s="143"/>
      <c r="D5656" s="143"/>
      <c r="E5656" s="143"/>
      <c r="F5656" s="84"/>
      <c r="G5656" s="144"/>
      <c r="H5656" s="145"/>
    </row>
    <row r="5657" spans="1:9" s="65" customFormat="1">
      <c r="A5657" s="84"/>
      <c r="B5657" s="83"/>
      <c r="C5657" s="84"/>
      <c r="D5657" s="84"/>
      <c r="E5657" s="84"/>
      <c r="G5657" s="104"/>
      <c r="H5657" s="140"/>
    </row>
    <row r="5658" spans="1:9" s="65" customFormat="1">
      <c r="A5658" s="120"/>
      <c r="B5658" s="73"/>
      <c r="C5658" s="73"/>
      <c r="D5658" s="73"/>
      <c r="E5658" s="73"/>
      <c r="G5658" s="121"/>
      <c r="H5658" s="140"/>
    </row>
    <row r="5659" spans="1:9" s="65" customFormat="1">
      <c r="A5659" s="128"/>
      <c r="B5659" s="141"/>
      <c r="C5659" s="141"/>
      <c r="D5659" s="141"/>
      <c r="E5659" s="141"/>
      <c r="F5659" s="141"/>
      <c r="G5659" s="141"/>
      <c r="H5659" s="140"/>
    </row>
    <row r="5660" spans="1:9" s="65" customFormat="1">
      <c r="A5660" s="150"/>
      <c r="B5660" s="83"/>
      <c r="C5660" s="148"/>
      <c r="D5660" s="160"/>
      <c r="E5660" s="84"/>
      <c r="F5660" s="84"/>
      <c r="G5660" s="144"/>
      <c r="H5660" s="145"/>
    </row>
    <row r="5661" spans="1:9" s="65" customFormat="1">
      <c r="A5661" s="91"/>
      <c r="B5661" s="91"/>
      <c r="C5661" s="91"/>
      <c r="D5661" s="91"/>
      <c r="E5661" s="91"/>
      <c r="G5661" s="104"/>
      <c r="H5661" s="140"/>
    </row>
    <row r="5662" spans="1:9" s="65" customFormat="1">
      <c r="A5662" s="120"/>
      <c r="B5662" s="73"/>
      <c r="C5662" s="73"/>
      <c r="D5662" s="73"/>
      <c r="E5662" s="73"/>
      <c r="G5662" s="121"/>
      <c r="H5662" s="140"/>
    </row>
    <row r="5663" spans="1:9" s="65" customFormat="1">
      <c r="A5663" s="128"/>
      <c r="B5663" s="141"/>
      <c r="C5663" s="141"/>
      <c r="D5663" s="141"/>
      <c r="E5663" s="141"/>
      <c r="F5663" s="141"/>
      <c r="G5663" s="141"/>
      <c r="H5663" s="140"/>
    </row>
    <row r="5664" spans="1:9" s="65" customFormat="1">
      <c r="A5664" s="142"/>
      <c r="B5664" s="143"/>
      <c r="C5664" s="143"/>
      <c r="D5664" s="143"/>
      <c r="E5664" s="143"/>
      <c r="F5664" s="84"/>
      <c r="G5664" s="144"/>
      <c r="H5664" s="145"/>
    </row>
    <row r="5665" spans="1:9" s="65" customFormat="1">
      <c r="A5665" s="91"/>
      <c r="B5665" s="91"/>
      <c r="C5665" s="91"/>
      <c r="D5665" s="91"/>
      <c r="E5665" s="91"/>
      <c r="G5665" s="104"/>
      <c r="H5665" s="140"/>
    </row>
    <row r="5666" spans="1:9" s="65" customFormat="1">
      <c r="A5666" s="120"/>
      <c r="B5666" s="73"/>
      <c r="C5666" s="73"/>
      <c r="D5666" s="73"/>
      <c r="E5666" s="73"/>
      <c r="G5666" s="121"/>
      <c r="H5666" s="140"/>
    </row>
    <row r="5667" spans="1:9" s="65" customFormat="1">
      <c r="A5667" s="128"/>
      <c r="B5667" s="141"/>
      <c r="C5667" s="141"/>
      <c r="D5667" s="141"/>
      <c r="E5667" s="141"/>
      <c r="F5667" s="141"/>
      <c r="G5667" s="141"/>
      <c r="H5667" s="140"/>
    </row>
    <row r="5668" spans="1:9" s="65" customFormat="1">
      <c r="A5668" s="142"/>
      <c r="B5668" s="143"/>
      <c r="C5668" s="143"/>
      <c r="D5668" s="143"/>
      <c r="E5668" s="143"/>
      <c r="F5668" s="84"/>
      <c r="G5668" s="144"/>
      <c r="H5668" s="145"/>
    </row>
    <row r="5669" spans="1:9" s="65" customFormat="1">
      <c r="A5669" s="123"/>
      <c r="B5669" s="95"/>
      <c r="C5669" s="95"/>
      <c r="D5669" s="95"/>
      <c r="E5669" s="95"/>
      <c r="G5669" s="104"/>
      <c r="H5669" s="121"/>
    </row>
    <row r="5670" spans="1:9" s="65" customFormat="1">
      <c r="A5670" s="123"/>
      <c r="B5670" s="95"/>
      <c r="C5670" s="95"/>
      <c r="D5670" s="95"/>
      <c r="E5670" s="95"/>
      <c r="G5670" s="121"/>
      <c r="H5670" s="133"/>
    </row>
    <row r="5671" spans="1:9" s="65" customFormat="1">
      <c r="B5671" s="97"/>
      <c r="C5671" s="98"/>
      <c r="D5671" s="98"/>
      <c r="E5671" s="98"/>
      <c r="G5671" s="128"/>
    </row>
    <row r="5672" spans="1:9" s="65" customFormat="1">
      <c r="B5672" s="97"/>
      <c r="C5672" s="98"/>
      <c r="D5672" s="98"/>
      <c r="E5672" s="98"/>
      <c r="F5672" s="128"/>
      <c r="G5672" s="133"/>
      <c r="H5672" s="134"/>
    </row>
    <row r="5673" spans="1:9" s="65" customFormat="1">
      <c r="A5673" s="633"/>
      <c r="B5673" s="633"/>
      <c r="C5673" s="633"/>
      <c r="D5673" s="633"/>
      <c r="E5673" s="633"/>
      <c r="F5673" s="633"/>
      <c r="G5673" s="633"/>
    </row>
    <row r="5674" spans="1:9" s="65" customFormat="1">
      <c r="H5674" s="156"/>
      <c r="I5674" s="151"/>
    </row>
    <row r="5675" spans="1:9" s="65" customFormat="1">
      <c r="A5675" s="645"/>
      <c r="B5675" s="156"/>
      <c r="C5675" s="156"/>
      <c r="D5675" s="156"/>
      <c r="E5675" s="156"/>
      <c r="F5675" s="156"/>
      <c r="G5675" s="156"/>
      <c r="H5675" s="156"/>
      <c r="I5675" s="152"/>
    </row>
    <row r="5676" spans="1:9" s="65" customFormat="1">
      <c r="A5676" s="645"/>
      <c r="B5676" s="156"/>
      <c r="C5676" s="156"/>
      <c r="D5676" s="156"/>
      <c r="E5676" s="156"/>
      <c r="F5676" s="156"/>
      <c r="G5676" s="156"/>
    </row>
    <row r="5677" spans="1:9" s="65" customFormat="1">
      <c r="A5677" s="69"/>
      <c r="B5677" s="69"/>
      <c r="C5677" s="69"/>
      <c r="D5677" s="69"/>
      <c r="E5677" s="69"/>
    </row>
    <row r="5678" spans="1:9" s="65" customFormat="1">
      <c r="A5678" s="120"/>
      <c r="B5678" s="73"/>
      <c r="C5678" s="73"/>
      <c r="D5678" s="73"/>
      <c r="E5678" s="73"/>
      <c r="F5678" s="121"/>
      <c r="G5678" s="121"/>
      <c r="H5678" s="121"/>
    </row>
    <row r="5679" spans="1:9" s="65" customFormat="1">
      <c r="A5679" s="128"/>
      <c r="B5679" s="141"/>
      <c r="C5679" s="141"/>
      <c r="D5679" s="141"/>
      <c r="E5679" s="141"/>
      <c r="F5679" s="141"/>
      <c r="G5679" s="141"/>
      <c r="H5679" s="121"/>
    </row>
    <row r="5680" spans="1:9" s="65" customFormat="1">
      <c r="A5680" s="142"/>
      <c r="B5680" s="143"/>
      <c r="C5680" s="143"/>
      <c r="D5680" s="143"/>
      <c r="E5680" s="143"/>
      <c r="F5680" s="84"/>
      <c r="G5680" s="144"/>
      <c r="H5680" s="145"/>
    </row>
    <row r="5681" spans="1:8" s="65" customFormat="1">
      <c r="A5681" s="84"/>
      <c r="B5681" s="83"/>
      <c r="C5681" s="84"/>
      <c r="D5681" s="84"/>
      <c r="E5681" s="84"/>
      <c r="G5681" s="104"/>
      <c r="H5681" s="140"/>
    </row>
    <row r="5682" spans="1:8" s="65" customFormat="1">
      <c r="A5682" s="120"/>
      <c r="B5682" s="73"/>
      <c r="C5682" s="73"/>
      <c r="D5682" s="73"/>
      <c r="E5682" s="73"/>
      <c r="G5682" s="121"/>
      <c r="H5682" s="140"/>
    </row>
    <row r="5683" spans="1:8" s="65" customFormat="1">
      <c r="A5683" s="128"/>
      <c r="B5683" s="141"/>
      <c r="C5683" s="141"/>
      <c r="D5683" s="141"/>
      <c r="E5683" s="141"/>
      <c r="F5683" s="141"/>
      <c r="G5683" s="141"/>
      <c r="H5683" s="140"/>
    </row>
    <row r="5684" spans="1:8" s="65" customFormat="1">
      <c r="A5684" s="150"/>
      <c r="B5684" s="83"/>
      <c r="C5684" s="148"/>
      <c r="D5684" s="160"/>
      <c r="E5684" s="84"/>
      <c r="F5684" s="84"/>
      <c r="G5684" s="144"/>
      <c r="H5684" s="145"/>
    </row>
    <row r="5685" spans="1:8" s="65" customFormat="1">
      <c r="A5685" s="91"/>
      <c r="B5685" s="91"/>
      <c r="C5685" s="91"/>
      <c r="D5685" s="91"/>
      <c r="E5685" s="91"/>
      <c r="G5685" s="104"/>
      <c r="H5685" s="140"/>
    </row>
    <row r="5686" spans="1:8" s="65" customFormat="1">
      <c r="A5686" s="120"/>
      <c r="B5686" s="73"/>
      <c r="C5686" s="73"/>
      <c r="D5686" s="73"/>
      <c r="E5686" s="73"/>
      <c r="G5686" s="121"/>
      <c r="H5686" s="140"/>
    </row>
    <row r="5687" spans="1:8" s="65" customFormat="1">
      <c r="A5687" s="128"/>
      <c r="B5687" s="141"/>
      <c r="C5687" s="141"/>
      <c r="D5687" s="141"/>
      <c r="E5687" s="141"/>
      <c r="F5687" s="141"/>
      <c r="G5687" s="141"/>
      <c r="H5687" s="140"/>
    </row>
    <row r="5688" spans="1:8" s="65" customFormat="1">
      <c r="A5688" s="142"/>
      <c r="B5688" s="143"/>
      <c r="C5688" s="143"/>
      <c r="D5688" s="143"/>
      <c r="E5688" s="143"/>
      <c r="F5688" s="84"/>
      <c r="G5688" s="144"/>
      <c r="H5688" s="145"/>
    </row>
    <row r="5689" spans="1:8" s="65" customFormat="1">
      <c r="A5689" s="91"/>
      <c r="B5689" s="91"/>
      <c r="C5689" s="91"/>
      <c r="D5689" s="91"/>
      <c r="E5689" s="91"/>
      <c r="G5689" s="104"/>
      <c r="H5689" s="140"/>
    </row>
    <row r="5690" spans="1:8" s="65" customFormat="1">
      <c r="A5690" s="120"/>
      <c r="B5690" s="73"/>
      <c r="C5690" s="73"/>
      <c r="D5690" s="73"/>
      <c r="E5690" s="73"/>
      <c r="G5690" s="121"/>
      <c r="H5690" s="140"/>
    </row>
    <row r="5691" spans="1:8" s="65" customFormat="1">
      <c r="A5691" s="128"/>
      <c r="B5691" s="141"/>
      <c r="C5691" s="141"/>
      <c r="D5691" s="141"/>
      <c r="E5691" s="141"/>
      <c r="F5691" s="141"/>
      <c r="G5691" s="141"/>
      <c r="H5691" s="140"/>
    </row>
    <row r="5692" spans="1:8" s="65" customFormat="1">
      <c r="A5692" s="142"/>
      <c r="B5692" s="143"/>
      <c r="C5692" s="143"/>
      <c r="D5692" s="143"/>
      <c r="E5692" s="143"/>
      <c r="F5692" s="84"/>
      <c r="G5692" s="144"/>
      <c r="H5692" s="145"/>
    </row>
    <row r="5693" spans="1:8" s="65" customFormat="1">
      <c r="A5693" s="123"/>
      <c r="B5693" s="95"/>
      <c r="C5693" s="95"/>
      <c r="D5693" s="95"/>
      <c r="E5693" s="95"/>
      <c r="G5693" s="104"/>
      <c r="H5693" s="121"/>
    </row>
    <row r="5694" spans="1:8" s="65" customFormat="1">
      <c r="A5694" s="123"/>
      <c r="B5694" s="95"/>
      <c r="C5694" s="95"/>
      <c r="D5694" s="95"/>
      <c r="E5694" s="95"/>
      <c r="G5694" s="121"/>
      <c r="H5694" s="133"/>
    </row>
    <row r="5695" spans="1:8" s="65" customFormat="1">
      <c r="B5695" s="97"/>
      <c r="C5695" s="98"/>
      <c r="D5695" s="98"/>
      <c r="E5695" s="98"/>
      <c r="G5695" s="128"/>
    </row>
    <row r="5696" spans="1:8" s="65" customFormat="1">
      <c r="B5696" s="97"/>
      <c r="C5696" s="98"/>
      <c r="D5696" s="98"/>
      <c r="E5696" s="98"/>
      <c r="F5696" s="128"/>
      <c r="G5696" s="133"/>
      <c r="H5696" s="134"/>
    </row>
    <row r="5697" spans="1:9" s="65" customFormat="1">
      <c r="A5697" s="633"/>
      <c r="B5697" s="633"/>
      <c r="C5697" s="633"/>
      <c r="D5697" s="633"/>
      <c r="E5697" s="633"/>
      <c r="F5697" s="633"/>
      <c r="G5697" s="633"/>
    </row>
    <row r="5698" spans="1:9" s="65" customFormat="1">
      <c r="H5698" s="156"/>
      <c r="I5698" s="151"/>
    </row>
    <row r="5699" spans="1:9" s="65" customFormat="1">
      <c r="A5699" s="645"/>
      <c r="B5699" s="156"/>
      <c r="C5699" s="156"/>
      <c r="D5699" s="156"/>
      <c r="E5699" s="156"/>
      <c r="F5699" s="156"/>
      <c r="G5699" s="156"/>
      <c r="H5699" s="156"/>
      <c r="I5699" s="152"/>
    </row>
    <row r="5700" spans="1:9" s="65" customFormat="1">
      <c r="A5700" s="645"/>
      <c r="B5700" s="156"/>
      <c r="C5700" s="156"/>
      <c r="D5700" s="156"/>
      <c r="E5700" s="156"/>
      <c r="F5700" s="156"/>
      <c r="G5700" s="156"/>
    </row>
    <row r="5701" spans="1:9" s="65" customFormat="1">
      <c r="A5701" s="69"/>
      <c r="B5701" s="69"/>
      <c r="C5701" s="69"/>
      <c r="D5701" s="69"/>
      <c r="E5701" s="69"/>
    </row>
    <row r="5702" spans="1:9" s="65" customFormat="1">
      <c r="A5702" s="120"/>
      <c r="B5702" s="73"/>
      <c r="C5702" s="73"/>
      <c r="D5702" s="73"/>
      <c r="E5702" s="73"/>
      <c r="F5702" s="121"/>
      <c r="G5702" s="121"/>
      <c r="H5702" s="121"/>
    </row>
    <row r="5703" spans="1:9" s="65" customFormat="1">
      <c r="A5703" s="128"/>
      <c r="B5703" s="141"/>
      <c r="C5703" s="141"/>
      <c r="D5703" s="141"/>
      <c r="E5703" s="141"/>
      <c r="F5703" s="141"/>
      <c r="G5703" s="141"/>
      <c r="H5703" s="121"/>
    </row>
    <row r="5704" spans="1:9" s="65" customFormat="1">
      <c r="A5704" s="142"/>
      <c r="B5704" s="143"/>
      <c r="C5704" s="143"/>
      <c r="D5704" s="143"/>
      <c r="E5704" s="143"/>
      <c r="F5704" s="84"/>
      <c r="G5704" s="144"/>
      <c r="H5704" s="145"/>
    </row>
    <row r="5705" spans="1:9" s="65" customFormat="1">
      <c r="A5705" s="84"/>
      <c r="B5705" s="83"/>
      <c r="C5705" s="84"/>
      <c r="D5705" s="84"/>
      <c r="E5705" s="84"/>
      <c r="G5705" s="104"/>
      <c r="H5705" s="140"/>
    </row>
    <row r="5706" spans="1:9" s="65" customFormat="1">
      <c r="A5706" s="120"/>
      <c r="B5706" s="73"/>
      <c r="C5706" s="73"/>
      <c r="D5706" s="73"/>
      <c r="E5706" s="73"/>
      <c r="G5706" s="121"/>
      <c r="H5706" s="140"/>
    </row>
    <row r="5707" spans="1:9" s="65" customFormat="1">
      <c r="A5707" s="128"/>
      <c r="B5707" s="141"/>
      <c r="C5707" s="141"/>
      <c r="D5707" s="141"/>
      <c r="E5707" s="141"/>
      <c r="F5707" s="141"/>
      <c r="G5707" s="141"/>
      <c r="H5707" s="140"/>
    </row>
    <row r="5708" spans="1:9" s="65" customFormat="1">
      <c r="A5708" s="150"/>
      <c r="B5708" s="83"/>
      <c r="C5708" s="148"/>
      <c r="D5708" s="160"/>
      <c r="E5708" s="84"/>
      <c r="F5708" s="84"/>
      <c r="G5708" s="144"/>
      <c r="H5708" s="145"/>
    </row>
    <row r="5709" spans="1:9" s="65" customFormat="1">
      <c r="A5709" s="91"/>
      <c r="B5709" s="91"/>
      <c r="C5709" s="91"/>
      <c r="D5709" s="91"/>
      <c r="E5709" s="91"/>
      <c r="G5709" s="104"/>
      <c r="H5709" s="140"/>
    </row>
    <row r="5710" spans="1:9" s="65" customFormat="1">
      <c r="A5710" s="120"/>
      <c r="B5710" s="73"/>
      <c r="C5710" s="73"/>
      <c r="D5710" s="73"/>
      <c r="E5710" s="73"/>
      <c r="G5710" s="121"/>
      <c r="H5710" s="140"/>
    </row>
    <row r="5711" spans="1:9" s="65" customFormat="1">
      <c r="A5711" s="128"/>
      <c r="B5711" s="141"/>
      <c r="C5711" s="141"/>
      <c r="D5711" s="141"/>
      <c r="E5711" s="141"/>
      <c r="F5711" s="141"/>
      <c r="G5711" s="141"/>
      <c r="H5711" s="140"/>
    </row>
    <row r="5712" spans="1:9" s="65" customFormat="1">
      <c r="A5712" s="142"/>
      <c r="B5712" s="143"/>
      <c r="C5712" s="143"/>
      <c r="D5712" s="143"/>
      <c r="E5712" s="143"/>
      <c r="F5712" s="84"/>
      <c r="G5712" s="144"/>
      <c r="H5712" s="145"/>
    </row>
    <row r="5713" spans="1:9" s="65" customFormat="1">
      <c r="A5713" s="91"/>
      <c r="B5713" s="91"/>
      <c r="C5713" s="91"/>
      <c r="D5713" s="91"/>
      <c r="E5713" s="91"/>
      <c r="G5713" s="104"/>
      <c r="H5713" s="140"/>
    </row>
    <row r="5714" spans="1:9" s="65" customFormat="1">
      <c r="A5714" s="120"/>
      <c r="B5714" s="73"/>
      <c r="C5714" s="73"/>
      <c r="D5714" s="73"/>
      <c r="E5714" s="73"/>
      <c r="G5714" s="121"/>
      <c r="H5714" s="140"/>
    </row>
    <row r="5715" spans="1:9" s="65" customFormat="1">
      <c r="A5715" s="128"/>
      <c r="B5715" s="141"/>
      <c r="C5715" s="141"/>
      <c r="D5715" s="141"/>
      <c r="E5715" s="141"/>
      <c r="F5715" s="141"/>
      <c r="G5715" s="141"/>
      <c r="H5715" s="140"/>
    </row>
    <row r="5716" spans="1:9" s="65" customFormat="1">
      <c r="A5716" s="142"/>
      <c r="B5716" s="143"/>
      <c r="C5716" s="143"/>
      <c r="D5716" s="143"/>
      <c r="E5716" s="143"/>
      <c r="F5716" s="84"/>
      <c r="G5716" s="144"/>
      <c r="H5716" s="145"/>
    </row>
    <row r="5717" spans="1:9" s="65" customFormat="1">
      <c r="A5717" s="123"/>
      <c r="B5717" s="95"/>
      <c r="C5717" s="95"/>
      <c r="D5717" s="95"/>
      <c r="E5717" s="95"/>
      <c r="G5717" s="104"/>
      <c r="H5717" s="121"/>
    </row>
    <row r="5718" spans="1:9" s="65" customFormat="1">
      <c r="A5718" s="123"/>
      <c r="B5718" s="95"/>
      <c r="C5718" s="95"/>
      <c r="D5718" s="95"/>
      <c r="E5718" s="95"/>
      <c r="G5718" s="121"/>
      <c r="H5718" s="133"/>
    </row>
    <row r="5719" spans="1:9" s="65" customFormat="1">
      <c r="B5719" s="97"/>
      <c r="C5719" s="98"/>
      <c r="D5719" s="98"/>
      <c r="E5719" s="98"/>
      <c r="G5719" s="128"/>
    </row>
    <row r="5720" spans="1:9" s="65" customFormat="1">
      <c r="B5720" s="97"/>
      <c r="C5720" s="98"/>
      <c r="D5720" s="98"/>
      <c r="E5720" s="98"/>
      <c r="F5720" s="128"/>
      <c r="G5720" s="133"/>
      <c r="H5720" s="134"/>
    </row>
    <row r="5721" spans="1:9" s="65" customFormat="1">
      <c r="A5721" s="633"/>
      <c r="B5721" s="633"/>
      <c r="C5721" s="633"/>
      <c r="D5721" s="633"/>
      <c r="E5721" s="633"/>
      <c r="F5721" s="633"/>
      <c r="G5721" s="633"/>
    </row>
    <row r="5722" spans="1:9" s="65" customFormat="1">
      <c r="H5722" s="156"/>
      <c r="I5722" s="151"/>
    </row>
    <row r="5723" spans="1:9" s="65" customFormat="1">
      <c r="A5723" s="645"/>
      <c r="B5723" s="156"/>
      <c r="C5723" s="156"/>
      <c r="D5723" s="156"/>
      <c r="E5723" s="156"/>
      <c r="F5723" s="156"/>
      <c r="G5723" s="156"/>
      <c r="H5723" s="156"/>
      <c r="I5723" s="152"/>
    </row>
    <row r="5724" spans="1:9" s="65" customFormat="1">
      <c r="A5724" s="645"/>
      <c r="B5724" s="156"/>
      <c r="C5724" s="156"/>
      <c r="D5724" s="156"/>
      <c r="E5724" s="156"/>
      <c r="F5724" s="156"/>
      <c r="G5724" s="156"/>
    </row>
    <row r="5725" spans="1:9" s="65" customFormat="1">
      <c r="A5725" s="69"/>
      <c r="B5725" s="69"/>
      <c r="C5725" s="69"/>
      <c r="D5725" s="69"/>
      <c r="E5725" s="69"/>
    </row>
    <row r="5726" spans="1:9" s="65" customFormat="1">
      <c r="A5726" s="120"/>
      <c r="B5726" s="73"/>
      <c r="C5726" s="73"/>
      <c r="D5726" s="73"/>
      <c r="E5726" s="73"/>
      <c r="F5726" s="121"/>
      <c r="G5726" s="121"/>
      <c r="H5726" s="121"/>
    </row>
    <row r="5727" spans="1:9" s="65" customFormat="1">
      <c r="A5727" s="128"/>
      <c r="B5727" s="141"/>
      <c r="C5727" s="141"/>
      <c r="D5727" s="141"/>
      <c r="E5727" s="141"/>
      <c r="F5727" s="141"/>
      <c r="G5727" s="141"/>
      <c r="H5727" s="121"/>
    </row>
    <row r="5728" spans="1:9" s="65" customFormat="1">
      <c r="A5728" s="142"/>
      <c r="B5728" s="143"/>
      <c r="C5728" s="143"/>
      <c r="D5728" s="143"/>
      <c r="E5728" s="143"/>
      <c r="F5728" s="84"/>
      <c r="G5728" s="144"/>
      <c r="H5728" s="145"/>
    </row>
    <row r="5729" spans="1:8" s="65" customFormat="1">
      <c r="A5729" s="84"/>
      <c r="B5729" s="83"/>
      <c r="C5729" s="84"/>
      <c r="D5729" s="84"/>
      <c r="E5729" s="84"/>
      <c r="G5729" s="104"/>
      <c r="H5729" s="140"/>
    </row>
    <row r="5730" spans="1:8" s="65" customFormat="1">
      <c r="A5730" s="120"/>
      <c r="B5730" s="73"/>
      <c r="C5730" s="73"/>
      <c r="D5730" s="73"/>
      <c r="E5730" s="73"/>
      <c r="G5730" s="121"/>
      <c r="H5730" s="140"/>
    </row>
    <row r="5731" spans="1:8" s="65" customFormat="1">
      <c r="A5731" s="128"/>
      <c r="B5731" s="141"/>
      <c r="C5731" s="141"/>
      <c r="D5731" s="141"/>
      <c r="E5731" s="141"/>
      <c r="F5731" s="141"/>
      <c r="G5731" s="141"/>
      <c r="H5731" s="140"/>
    </row>
    <row r="5732" spans="1:8" s="65" customFormat="1">
      <c r="A5732" s="150"/>
      <c r="B5732" s="83"/>
      <c r="C5732" s="148"/>
      <c r="D5732" s="160"/>
      <c r="E5732" s="84"/>
      <c r="F5732" s="84"/>
      <c r="G5732" s="144"/>
      <c r="H5732" s="145"/>
    </row>
    <row r="5733" spans="1:8" s="65" customFormat="1">
      <c r="A5733" s="91"/>
      <c r="B5733" s="91"/>
      <c r="C5733" s="91"/>
      <c r="D5733" s="91"/>
      <c r="E5733" s="91"/>
      <c r="G5733" s="104"/>
      <c r="H5733" s="140"/>
    </row>
    <row r="5734" spans="1:8" s="65" customFormat="1">
      <c r="A5734" s="120"/>
      <c r="B5734" s="73"/>
      <c r="C5734" s="73"/>
      <c r="D5734" s="73"/>
      <c r="E5734" s="73"/>
      <c r="G5734" s="121"/>
      <c r="H5734" s="140"/>
    </row>
    <row r="5735" spans="1:8" s="65" customFormat="1">
      <c r="A5735" s="128"/>
      <c r="B5735" s="141"/>
      <c r="C5735" s="141"/>
      <c r="D5735" s="141"/>
      <c r="E5735" s="141"/>
      <c r="F5735" s="141"/>
      <c r="G5735" s="141"/>
      <c r="H5735" s="140"/>
    </row>
    <row r="5736" spans="1:8" s="65" customFormat="1">
      <c r="A5736" s="142"/>
      <c r="B5736" s="143"/>
      <c r="C5736" s="143"/>
      <c r="D5736" s="143"/>
      <c r="E5736" s="143"/>
      <c r="F5736" s="84"/>
      <c r="G5736" s="144"/>
      <c r="H5736" s="145"/>
    </row>
    <row r="5737" spans="1:8" s="65" customFormat="1">
      <c r="A5737" s="91"/>
      <c r="B5737" s="91"/>
      <c r="C5737" s="91"/>
      <c r="D5737" s="91"/>
      <c r="E5737" s="91"/>
      <c r="G5737" s="104"/>
      <c r="H5737" s="140"/>
    </row>
    <row r="5738" spans="1:8" s="65" customFormat="1">
      <c r="A5738" s="120"/>
      <c r="B5738" s="73"/>
      <c r="C5738" s="73"/>
      <c r="D5738" s="73"/>
      <c r="E5738" s="73"/>
      <c r="G5738" s="121"/>
      <c r="H5738" s="140"/>
    </row>
    <row r="5739" spans="1:8" s="65" customFormat="1">
      <c r="A5739" s="128"/>
      <c r="B5739" s="141"/>
      <c r="C5739" s="141"/>
      <c r="D5739" s="141"/>
      <c r="E5739" s="141"/>
      <c r="F5739" s="141"/>
      <c r="G5739" s="141"/>
      <c r="H5739" s="140"/>
    </row>
    <row r="5740" spans="1:8" s="65" customFormat="1">
      <c r="A5740" s="142"/>
      <c r="B5740" s="143"/>
      <c r="C5740" s="143"/>
      <c r="D5740" s="143"/>
      <c r="E5740" s="143"/>
      <c r="F5740" s="84"/>
      <c r="G5740" s="144"/>
      <c r="H5740" s="145"/>
    </row>
    <row r="5741" spans="1:8" s="65" customFormat="1">
      <c r="A5741" s="123"/>
      <c r="B5741" s="95"/>
      <c r="C5741" s="95"/>
      <c r="D5741" s="95"/>
      <c r="E5741" s="95"/>
      <c r="G5741" s="104"/>
      <c r="H5741" s="121"/>
    </row>
    <row r="5742" spans="1:8" s="65" customFormat="1">
      <c r="A5742" s="123"/>
      <c r="B5742" s="95"/>
      <c r="C5742" s="95"/>
      <c r="D5742" s="95"/>
      <c r="E5742" s="95"/>
      <c r="G5742" s="121"/>
      <c r="H5742" s="133"/>
    </row>
    <row r="5743" spans="1:8" s="65" customFormat="1">
      <c r="B5743" s="97"/>
      <c r="C5743" s="98"/>
      <c r="D5743" s="98"/>
      <c r="E5743" s="98"/>
      <c r="G5743" s="128"/>
    </row>
    <row r="5744" spans="1:8" s="65" customFormat="1">
      <c r="B5744" s="97"/>
      <c r="C5744" s="98"/>
      <c r="D5744" s="98"/>
      <c r="E5744" s="98"/>
      <c r="F5744" s="128"/>
      <c r="G5744" s="133"/>
      <c r="H5744" s="134"/>
    </row>
    <row r="5745" spans="1:9" s="65" customFormat="1">
      <c r="A5745" s="633"/>
      <c r="B5745" s="633"/>
      <c r="C5745" s="633"/>
      <c r="D5745" s="633"/>
      <c r="E5745" s="633"/>
      <c r="F5745" s="633"/>
      <c r="G5745" s="633"/>
    </row>
    <row r="5746" spans="1:9" s="65" customFormat="1">
      <c r="H5746" s="156"/>
      <c r="I5746" s="151"/>
    </row>
    <row r="5747" spans="1:9" s="65" customFormat="1">
      <c r="A5747" s="645"/>
      <c r="B5747" s="156"/>
      <c r="C5747" s="156"/>
      <c r="D5747" s="156"/>
      <c r="E5747" s="156"/>
      <c r="F5747" s="156"/>
      <c r="G5747" s="156"/>
      <c r="H5747" s="156"/>
      <c r="I5747" s="152"/>
    </row>
    <row r="5748" spans="1:9" s="65" customFormat="1">
      <c r="A5748" s="645"/>
      <c r="B5748" s="156"/>
      <c r="C5748" s="156"/>
      <c r="D5748" s="156"/>
      <c r="E5748" s="156"/>
      <c r="F5748" s="156"/>
      <c r="G5748" s="156"/>
    </row>
    <row r="5749" spans="1:9" s="65" customFormat="1">
      <c r="A5749" s="69"/>
      <c r="B5749" s="69"/>
      <c r="C5749" s="69"/>
      <c r="D5749" s="69"/>
      <c r="E5749" s="69"/>
    </row>
    <row r="5750" spans="1:9" s="65" customFormat="1">
      <c r="A5750" s="120"/>
      <c r="B5750" s="73"/>
      <c r="C5750" s="73"/>
      <c r="D5750" s="73"/>
      <c r="E5750" s="73"/>
      <c r="F5750" s="121"/>
      <c r="G5750" s="121"/>
      <c r="H5750" s="121"/>
    </row>
    <row r="5751" spans="1:9" s="65" customFormat="1">
      <c r="A5751" s="128"/>
      <c r="B5751" s="141"/>
      <c r="C5751" s="141"/>
      <c r="D5751" s="141"/>
      <c r="E5751" s="141"/>
      <c r="F5751" s="141"/>
      <c r="G5751" s="141"/>
      <c r="H5751" s="121"/>
    </row>
    <row r="5752" spans="1:9" s="65" customFormat="1">
      <c r="A5752" s="142"/>
      <c r="B5752" s="143"/>
      <c r="C5752" s="143"/>
      <c r="D5752" s="143"/>
      <c r="E5752" s="143"/>
      <c r="F5752" s="84"/>
      <c r="G5752" s="144"/>
      <c r="H5752" s="145"/>
    </row>
    <row r="5753" spans="1:9" s="65" customFormat="1">
      <c r="A5753" s="84"/>
      <c r="B5753" s="83"/>
      <c r="C5753" s="84"/>
      <c r="D5753" s="84"/>
      <c r="E5753" s="84"/>
      <c r="G5753" s="104"/>
      <c r="H5753" s="140"/>
    </row>
    <row r="5754" spans="1:9" s="65" customFormat="1">
      <c r="A5754" s="120"/>
      <c r="B5754" s="73"/>
      <c r="C5754" s="73"/>
      <c r="D5754" s="73"/>
      <c r="E5754" s="73"/>
      <c r="G5754" s="121"/>
      <c r="H5754" s="140"/>
    </row>
    <row r="5755" spans="1:9" s="65" customFormat="1">
      <c r="A5755" s="128"/>
      <c r="B5755" s="141"/>
      <c r="C5755" s="141"/>
      <c r="D5755" s="141"/>
      <c r="E5755" s="141"/>
      <c r="F5755" s="141"/>
      <c r="G5755" s="141"/>
      <c r="H5755" s="140"/>
    </row>
    <row r="5756" spans="1:9" s="65" customFormat="1">
      <c r="A5756" s="150"/>
      <c r="B5756" s="83"/>
      <c r="C5756" s="148"/>
      <c r="D5756" s="160"/>
      <c r="E5756" s="84"/>
      <c r="F5756" s="84"/>
      <c r="G5756" s="144"/>
      <c r="H5756" s="145"/>
    </row>
    <row r="5757" spans="1:9" s="65" customFormat="1">
      <c r="A5757" s="91"/>
      <c r="B5757" s="91"/>
      <c r="C5757" s="91"/>
      <c r="D5757" s="91"/>
      <c r="E5757" s="91"/>
      <c r="G5757" s="104"/>
      <c r="H5757" s="140"/>
    </row>
    <row r="5758" spans="1:9" s="65" customFormat="1">
      <c r="A5758" s="120"/>
      <c r="B5758" s="73"/>
      <c r="C5758" s="73"/>
      <c r="D5758" s="73"/>
      <c r="E5758" s="73"/>
      <c r="G5758" s="121"/>
      <c r="H5758" s="140"/>
    </row>
    <row r="5759" spans="1:9" s="65" customFormat="1">
      <c r="A5759" s="128"/>
      <c r="B5759" s="141"/>
      <c r="C5759" s="141"/>
      <c r="D5759" s="141"/>
      <c r="E5759" s="141"/>
      <c r="F5759" s="141"/>
      <c r="G5759" s="141"/>
      <c r="H5759" s="140"/>
    </row>
    <row r="5760" spans="1:9" s="65" customFormat="1">
      <c r="A5760" s="142"/>
      <c r="B5760" s="143"/>
      <c r="C5760" s="143"/>
      <c r="D5760" s="143"/>
      <c r="E5760" s="143"/>
      <c r="F5760" s="84"/>
      <c r="G5760" s="144"/>
      <c r="H5760" s="145"/>
    </row>
    <row r="5761" spans="1:9" s="65" customFormat="1">
      <c r="A5761" s="91"/>
      <c r="B5761" s="91"/>
      <c r="C5761" s="91"/>
      <c r="D5761" s="91"/>
      <c r="E5761" s="91"/>
      <c r="G5761" s="104"/>
      <c r="H5761" s="140"/>
    </row>
    <row r="5762" spans="1:9" s="65" customFormat="1">
      <c r="A5762" s="120"/>
      <c r="B5762" s="73"/>
      <c r="C5762" s="73"/>
      <c r="D5762" s="73"/>
      <c r="E5762" s="73"/>
      <c r="G5762" s="121"/>
      <c r="H5762" s="140"/>
    </row>
    <row r="5763" spans="1:9" s="65" customFormat="1">
      <c r="A5763" s="128"/>
      <c r="B5763" s="141"/>
      <c r="C5763" s="141"/>
      <c r="D5763" s="141"/>
      <c r="E5763" s="141"/>
      <c r="F5763" s="141"/>
      <c r="G5763" s="141"/>
      <c r="H5763" s="140"/>
    </row>
    <row r="5764" spans="1:9" s="65" customFormat="1">
      <c r="A5764" s="142"/>
      <c r="B5764" s="143"/>
      <c r="C5764" s="143"/>
      <c r="D5764" s="143"/>
      <c r="E5764" s="143"/>
      <c r="F5764" s="84"/>
      <c r="G5764" s="144"/>
      <c r="H5764" s="145"/>
    </row>
    <row r="5765" spans="1:9" s="65" customFormat="1">
      <c r="A5765" s="123"/>
      <c r="B5765" s="95"/>
      <c r="C5765" s="95"/>
      <c r="D5765" s="95"/>
      <c r="E5765" s="95"/>
      <c r="G5765" s="104"/>
      <c r="H5765" s="121"/>
    </row>
    <row r="5766" spans="1:9" s="65" customFormat="1">
      <c r="A5766" s="123"/>
      <c r="B5766" s="95"/>
      <c r="C5766" s="95"/>
      <c r="D5766" s="95"/>
      <c r="E5766" s="95"/>
      <c r="G5766" s="121"/>
      <c r="H5766" s="133"/>
    </row>
    <row r="5767" spans="1:9" s="65" customFormat="1">
      <c r="B5767" s="97"/>
      <c r="C5767" s="98"/>
      <c r="D5767" s="98"/>
      <c r="E5767" s="98"/>
      <c r="G5767" s="128"/>
    </row>
    <row r="5768" spans="1:9" s="65" customFormat="1">
      <c r="B5768" s="97"/>
      <c r="C5768" s="98"/>
      <c r="D5768" s="98"/>
      <c r="E5768" s="98"/>
      <c r="F5768" s="128"/>
      <c r="G5768" s="133"/>
      <c r="H5768" s="134"/>
    </row>
    <row r="5769" spans="1:9" s="65" customFormat="1">
      <c r="A5769" s="633"/>
      <c r="B5769" s="633"/>
      <c r="C5769" s="633"/>
      <c r="D5769" s="633"/>
      <c r="E5769" s="633"/>
      <c r="F5769" s="633"/>
      <c r="G5769" s="633"/>
    </row>
    <row r="5770" spans="1:9" s="65" customFormat="1">
      <c r="H5770" s="156"/>
      <c r="I5770" s="151"/>
    </row>
    <row r="5771" spans="1:9" s="65" customFormat="1">
      <c r="A5771" s="645"/>
      <c r="B5771" s="156"/>
      <c r="C5771" s="156"/>
      <c r="D5771" s="156"/>
      <c r="E5771" s="156"/>
      <c r="F5771" s="156"/>
      <c r="G5771" s="156"/>
      <c r="H5771" s="156"/>
      <c r="I5771" s="152"/>
    </row>
    <row r="5772" spans="1:9" s="65" customFormat="1">
      <c r="A5772" s="645"/>
      <c r="B5772" s="156"/>
      <c r="C5772" s="156"/>
      <c r="D5772" s="156"/>
      <c r="E5772" s="156"/>
      <c r="F5772" s="156"/>
      <c r="G5772" s="156"/>
    </row>
    <row r="5773" spans="1:9" s="65" customFormat="1">
      <c r="A5773" s="69"/>
      <c r="B5773" s="69"/>
      <c r="C5773" s="69"/>
      <c r="D5773" s="69"/>
      <c r="E5773" s="69"/>
    </row>
    <row r="5774" spans="1:9" s="65" customFormat="1">
      <c r="A5774" s="120"/>
      <c r="B5774" s="73"/>
      <c r="C5774" s="73"/>
      <c r="D5774" s="73"/>
      <c r="E5774" s="73"/>
      <c r="F5774" s="121"/>
      <c r="G5774" s="121"/>
      <c r="H5774" s="121"/>
    </row>
    <row r="5775" spans="1:9" s="65" customFormat="1">
      <c r="A5775" s="128"/>
      <c r="B5775" s="141"/>
      <c r="C5775" s="141"/>
      <c r="D5775" s="141"/>
      <c r="E5775" s="141"/>
      <c r="F5775" s="141"/>
      <c r="G5775" s="141"/>
      <c r="H5775" s="121"/>
    </row>
    <row r="5776" spans="1:9" s="65" customFormat="1">
      <c r="A5776" s="142"/>
      <c r="B5776" s="143"/>
      <c r="C5776" s="143"/>
      <c r="D5776" s="143"/>
      <c r="E5776" s="143"/>
      <c r="F5776" s="84"/>
      <c r="G5776" s="144"/>
      <c r="H5776" s="145"/>
    </row>
    <row r="5777" spans="1:8" s="65" customFormat="1">
      <c r="A5777" s="84"/>
      <c r="B5777" s="83"/>
      <c r="C5777" s="84"/>
      <c r="D5777" s="84"/>
      <c r="E5777" s="84"/>
      <c r="G5777" s="104"/>
      <c r="H5777" s="140"/>
    </row>
    <row r="5778" spans="1:8" s="65" customFormat="1">
      <c r="A5778" s="120"/>
      <c r="B5778" s="73"/>
      <c r="C5778" s="73"/>
      <c r="D5778" s="73"/>
      <c r="E5778" s="73"/>
      <c r="G5778" s="121"/>
      <c r="H5778" s="140"/>
    </row>
    <row r="5779" spans="1:8" s="65" customFormat="1">
      <c r="A5779" s="128"/>
      <c r="B5779" s="141"/>
      <c r="C5779" s="141"/>
      <c r="D5779" s="141"/>
      <c r="E5779" s="141"/>
      <c r="F5779" s="141"/>
      <c r="G5779" s="141"/>
      <c r="H5779" s="140"/>
    </row>
    <row r="5780" spans="1:8" s="65" customFormat="1">
      <c r="A5780" s="150"/>
      <c r="B5780" s="83"/>
      <c r="C5780" s="148"/>
      <c r="D5780" s="160"/>
      <c r="E5780" s="84"/>
      <c r="F5780" s="84"/>
      <c r="G5780" s="144"/>
      <c r="H5780" s="145"/>
    </row>
    <row r="5781" spans="1:8" s="65" customFormat="1">
      <c r="A5781" s="91"/>
      <c r="B5781" s="91"/>
      <c r="C5781" s="91"/>
      <c r="D5781" s="91"/>
      <c r="E5781" s="91"/>
      <c r="G5781" s="104"/>
      <c r="H5781" s="140"/>
    </row>
    <row r="5782" spans="1:8" s="65" customFormat="1">
      <c r="A5782" s="120"/>
      <c r="B5782" s="73"/>
      <c r="C5782" s="73"/>
      <c r="D5782" s="73"/>
      <c r="E5782" s="73"/>
      <c r="G5782" s="121"/>
      <c r="H5782" s="140"/>
    </row>
    <row r="5783" spans="1:8" s="65" customFormat="1">
      <c r="A5783" s="128"/>
      <c r="B5783" s="141"/>
      <c r="C5783" s="141"/>
      <c r="D5783" s="141"/>
      <c r="E5783" s="141"/>
      <c r="F5783" s="141"/>
      <c r="G5783" s="141"/>
      <c r="H5783" s="140"/>
    </row>
    <row r="5784" spans="1:8" s="65" customFormat="1">
      <c r="A5784" s="142"/>
      <c r="B5784" s="143"/>
      <c r="C5784" s="143"/>
      <c r="D5784" s="143"/>
      <c r="E5784" s="143"/>
      <c r="F5784" s="84"/>
      <c r="G5784" s="144"/>
      <c r="H5784" s="145"/>
    </row>
    <row r="5785" spans="1:8" s="65" customFormat="1">
      <c r="A5785" s="91"/>
      <c r="B5785" s="91"/>
      <c r="C5785" s="91"/>
      <c r="D5785" s="91"/>
      <c r="E5785" s="91"/>
      <c r="G5785" s="104"/>
      <c r="H5785" s="140"/>
    </row>
    <row r="5786" spans="1:8" s="65" customFormat="1">
      <c r="A5786" s="120"/>
      <c r="B5786" s="73"/>
      <c r="C5786" s="73"/>
      <c r="D5786" s="73"/>
      <c r="E5786" s="73"/>
      <c r="G5786" s="121"/>
      <c r="H5786" s="140"/>
    </row>
    <row r="5787" spans="1:8" s="65" customFormat="1">
      <c r="A5787" s="128"/>
      <c r="B5787" s="141"/>
      <c r="C5787" s="141"/>
      <c r="D5787" s="141"/>
      <c r="E5787" s="141"/>
      <c r="F5787" s="141"/>
      <c r="G5787" s="141"/>
      <c r="H5787" s="140"/>
    </row>
    <row r="5788" spans="1:8" s="65" customFormat="1">
      <c r="A5788" s="142"/>
      <c r="B5788" s="143"/>
      <c r="C5788" s="143"/>
      <c r="D5788" s="143"/>
      <c r="E5788" s="143"/>
      <c r="F5788" s="84"/>
      <c r="G5788" s="144"/>
      <c r="H5788" s="145"/>
    </row>
    <row r="5789" spans="1:8" s="65" customFormat="1">
      <c r="A5789" s="123"/>
      <c r="B5789" s="95"/>
      <c r="C5789" s="95"/>
      <c r="D5789" s="95"/>
      <c r="E5789" s="95"/>
      <c r="G5789" s="104"/>
      <c r="H5789" s="121"/>
    </row>
    <row r="5790" spans="1:8" s="65" customFormat="1">
      <c r="A5790" s="123"/>
      <c r="B5790" s="95"/>
      <c r="C5790" s="95"/>
      <c r="D5790" s="95"/>
      <c r="E5790" s="95"/>
      <c r="G5790" s="121"/>
      <c r="H5790" s="133"/>
    </row>
    <row r="5791" spans="1:8" s="65" customFormat="1">
      <c r="B5791" s="97"/>
      <c r="C5791" s="98"/>
      <c r="D5791" s="98"/>
      <c r="E5791" s="98"/>
      <c r="G5791" s="128"/>
    </row>
    <row r="5792" spans="1:8" s="65" customFormat="1">
      <c r="B5792" s="97"/>
      <c r="C5792" s="98"/>
      <c r="D5792" s="98"/>
      <c r="E5792" s="98"/>
      <c r="F5792" s="128"/>
      <c r="G5792" s="133"/>
      <c r="H5792" s="134"/>
    </row>
    <row r="5793" spans="1:9" s="65" customFormat="1">
      <c r="A5793" s="633"/>
      <c r="B5793" s="633"/>
      <c r="C5793" s="633"/>
      <c r="D5793" s="633"/>
      <c r="E5793" s="633"/>
      <c r="F5793" s="633"/>
      <c r="G5793" s="633"/>
    </row>
    <row r="5794" spans="1:9" s="65" customFormat="1">
      <c r="H5794" s="156"/>
      <c r="I5794" s="151"/>
    </row>
    <row r="5795" spans="1:9" s="65" customFormat="1">
      <c r="A5795" s="645"/>
      <c r="B5795" s="156"/>
      <c r="C5795" s="156"/>
      <c r="D5795" s="156"/>
      <c r="E5795" s="156"/>
      <c r="F5795" s="156"/>
      <c r="G5795" s="156"/>
      <c r="H5795" s="156"/>
      <c r="I5795" s="152"/>
    </row>
    <row r="5796" spans="1:9" s="65" customFormat="1">
      <c r="A5796" s="645"/>
      <c r="B5796" s="156"/>
      <c r="C5796" s="156"/>
      <c r="D5796" s="156"/>
      <c r="E5796" s="156"/>
      <c r="F5796" s="156"/>
      <c r="G5796" s="156"/>
    </row>
    <row r="5797" spans="1:9" s="65" customFormat="1">
      <c r="A5797" s="69"/>
      <c r="B5797" s="69"/>
      <c r="C5797" s="69"/>
      <c r="D5797" s="69"/>
      <c r="E5797" s="69"/>
    </row>
    <row r="5798" spans="1:9" s="65" customFormat="1">
      <c r="A5798" s="120"/>
      <c r="B5798" s="73"/>
      <c r="C5798" s="73"/>
      <c r="D5798" s="73"/>
      <c r="E5798" s="73"/>
      <c r="F5798" s="121"/>
      <c r="G5798" s="121"/>
      <c r="H5798" s="121"/>
    </row>
    <row r="5799" spans="1:9" s="65" customFormat="1">
      <c r="A5799" s="128"/>
      <c r="B5799" s="141"/>
      <c r="C5799" s="141"/>
      <c r="D5799" s="141"/>
      <c r="E5799" s="141"/>
      <c r="F5799" s="141"/>
      <c r="G5799" s="141"/>
      <c r="H5799" s="121"/>
    </row>
    <row r="5800" spans="1:9" s="65" customFormat="1">
      <c r="A5800" s="142"/>
      <c r="B5800" s="143"/>
      <c r="C5800" s="143"/>
      <c r="D5800" s="143"/>
      <c r="E5800" s="143"/>
      <c r="F5800" s="84"/>
      <c r="G5800" s="144"/>
      <c r="H5800" s="145"/>
    </row>
    <row r="5801" spans="1:9" s="65" customFormat="1">
      <c r="A5801" s="84"/>
      <c r="B5801" s="83"/>
      <c r="C5801" s="84"/>
      <c r="D5801" s="84"/>
      <c r="E5801" s="84"/>
      <c r="G5801" s="104"/>
      <c r="H5801" s="140"/>
    </row>
    <row r="5802" spans="1:9" s="65" customFormat="1">
      <c r="A5802" s="120"/>
      <c r="B5802" s="73"/>
      <c r="C5802" s="73"/>
      <c r="D5802" s="73"/>
      <c r="E5802" s="73"/>
      <c r="G5802" s="121"/>
      <c r="H5802" s="140"/>
    </row>
    <row r="5803" spans="1:9" s="65" customFormat="1">
      <c r="A5803" s="128"/>
      <c r="B5803" s="141"/>
      <c r="C5803" s="141"/>
      <c r="D5803" s="141"/>
      <c r="E5803" s="141"/>
      <c r="F5803" s="141"/>
      <c r="G5803" s="141"/>
      <c r="H5803" s="140"/>
    </row>
    <row r="5804" spans="1:9" s="65" customFormat="1">
      <c r="A5804" s="150"/>
      <c r="B5804" s="83"/>
      <c r="C5804" s="148"/>
      <c r="D5804" s="160"/>
      <c r="E5804" s="84"/>
      <c r="F5804" s="84"/>
      <c r="G5804" s="144"/>
      <c r="H5804" s="145"/>
    </row>
    <row r="5805" spans="1:9" s="65" customFormat="1">
      <c r="A5805" s="91"/>
      <c r="B5805" s="91"/>
      <c r="C5805" s="91"/>
      <c r="D5805" s="91"/>
      <c r="E5805" s="91"/>
      <c r="G5805" s="104"/>
      <c r="H5805" s="140"/>
    </row>
    <row r="5806" spans="1:9" s="65" customFormat="1">
      <c r="A5806" s="120"/>
      <c r="B5806" s="73"/>
      <c r="C5806" s="73"/>
      <c r="D5806" s="73"/>
      <c r="E5806" s="73"/>
      <c r="G5806" s="121"/>
      <c r="H5806" s="140"/>
    </row>
    <row r="5807" spans="1:9" s="65" customFormat="1">
      <c r="A5807" s="128"/>
      <c r="B5807" s="141"/>
      <c r="C5807" s="141"/>
      <c r="D5807" s="141"/>
      <c r="E5807" s="141"/>
      <c r="F5807" s="141"/>
      <c r="G5807" s="141"/>
      <c r="H5807" s="140"/>
    </row>
    <row r="5808" spans="1:9" s="65" customFormat="1">
      <c r="A5808" s="142"/>
      <c r="B5808" s="143"/>
      <c r="C5808" s="143"/>
      <c r="D5808" s="143"/>
      <c r="E5808" s="143"/>
      <c r="F5808" s="84"/>
      <c r="G5808" s="144"/>
      <c r="H5808" s="145"/>
    </row>
    <row r="5809" spans="1:9" s="65" customFormat="1">
      <c r="A5809" s="91"/>
      <c r="B5809" s="91"/>
      <c r="C5809" s="91"/>
      <c r="D5809" s="91"/>
      <c r="E5809" s="91"/>
      <c r="G5809" s="104"/>
      <c r="H5809" s="140"/>
    </row>
    <row r="5810" spans="1:9" s="65" customFormat="1">
      <c r="A5810" s="120"/>
      <c r="B5810" s="73"/>
      <c r="C5810" s="73"/>
      <c r="D5810" s="73"/>
      <c r="E5810" s="73"/>
      <c r="G5810" s="121"/>
      <c r="H5810" s="140"/>
    </row>
    <row r="5811" spans="1:9" s="65" customFormat="1">
      <c r="A5811" s="128"/>
      <c r="B5811" s="141"/>
      <c r="C5811" s="141"/>
      <c r="D5811" s="141"/>
      <c r="E5811" s="141"/>
      <c r="F5811" s="141"/>
      <c r="G5811" s="141"/>
      <c r="H5811" s="140"/>
    </row>
    <row r="5812" spans="1:9" s="65" customFormat="1">
      <c r="A5812" s="142"/>
      <c r="B5812" s="143"/>
      <c r="C5812" s="143"/>
      <c r="D5812" s="143"/>
      <c r="E5812" s="143"/>
      <c r="F5812" s="84"/>
      <c r="G5812" s="144"/>
      <c r="H5812" s="145"/>
    </row>
    <row r="5813" spans="1:9" s="65" customFormat="1">
      <c r="A5813" s="123"/>
      <c r="B5813" s="95"/>
      <c r="C5813" s="95"/>
      <c r="D5813" s="95"/>
      <c r="E5813" s="95"/>
      <c r="G5813" s="104"/>
      <c r="H5813" s="121"/>
    </row>
    <row r="5814" spans="1:9" s="65" customFormat="1">
      <c r="A5814" s="123"/>
      <c r="B5814" s="95"/>
      <c r="C5814" s="95"/>
      <c r="D5814" s="95"/>
      <c r="E5814" s="95"/>
      <c r="G5814" s="121"/>
      <c r="H5814" s="133"/>
    </row>
    <row r="5815" spans="1:9" s="65" customFormat="1">
      <c r="B5815" s="97"/>
      <c r="C5815" s="98"/>
      <c r="D5815" s="98"/>
      <c r="E5815" s="98"/>
      <c r="G5815" s="128"/>
    </row>
    <row r="5816" spans="1:9" s="65" customFormat="1">
      <c r="B5816" s="97"/>
      <c r="C5816" s="98"/>
      <c r="D5816" s="98"/>
      <c r="E5816" s="98"/>
      <c r="F5816" s="128"/>
      <c r="G5816" s="133"/>
      <c r="H5816" s="134"/>
    </row>
    <row r="5817" spans="1:9" s="65" customFormat="1">
      <c r="A5817" s="633"/>
      <c r="B5817" s="633"/>
      <c r="C5817" s="633"/>
      <c r="D5817" s="633"/>
      <c r="E5817" s="633"/>
      <c r="F5817" s="633"/>
      <c r="G5817" s="633"/>
    </row>
    <row r="5818" spans="1:9" s="65" customFormat="1">
      <c r="H5818" s="156"/>
      <c r="I5818" s="151"/>
    </row>
    <row r="5819" spans="1:9" s="65" customFormat="1">
      <c r="A5819" s="645"/>
      <c r="B5819" s="156"/>
      <c r="C5819" s="156"/>
      <c r="D5819" s="156"/>
      <c r="E5819" s="156"/>
      <c r="F5819" s="156"/>
      <c r="G5819" s="156"/>
      <c r="H5819" s="156"/>
      <c r="I5819" s="152"/>
    </row>
    <row r="5820" spans="1:9" s="65" customFormat="1">
      <c r="A5820" s="645"/>
      <c r="B5820" s="156"/>
      <c r="C5820" s="156"/>
      <c r="D5820" s="156"/>
      <c r="E5820" s="156"/>
      <c r="F5820" s="156"/>
      <c r="G5820" s="156"/>
    </row>
    <row r="5821" spans="1:9" s="65" customFormat="1">
      <c r="A5821" s="69"/>
      <c r="B5821" s="69"/>
      <c r="C5821" s="69"/>
      <c r="D5821" s="69"/>
      <c r="E5821" s="69"/>
    </row>
    <row r="5822" spans="1:9" s="65" customFormat="1">
      <c r="A5822" s="120"/>
      <c r="B5822" s="73"/>
      <c r="C5822" s="73"/>
      <c r="D5822" s="73"/>
      <c r="E5822" s="73"/>
      <c r="F5822" s="121"/>
      <c r="G5822" s="121"/>
      <c r="H5822" s="121"/>
    </row>
    <row r="5823" spans="1:9" s="65" customFormat="1">
      <c r="A5823" s="128"/>
      <c r="B5823" s="141"/>
      <c r="C5823" s="141"/>
      <c r="D5823" s="141"/>
      <c r="E5823" s="141"/>
      <c r="F5823" s="141"/>
      <c r="G5823" s="141"/>
      <c r="H5823" s="121"/>
    </row>
    <row r="5824" spans="1:9" s="65" customFormat="1">
      <c r="A5824" s="142"/>
      <c r="B5824" s="143"/>
      <c r="C5824" s="143"/>
      <c r="D5824" s="143"/>
      <c r="E5824" s="143"/>
      <c r="F5824" s="84"/>
      <c r="G5824" s="144"/>
      <c r="H5824" s="145"/>
    </row>
    <row r="5825" spans="1:8" s="65" customFormat="1">
      <c r="A5825" s="84"/>
      <c r="B5825" s="83"/>
      <c r="C5825" s="84"/>
      <c r="D5825" s="84"/>
      <c r="E5825" s="84"/>
      <c r="G5825" s="104"/>
      <c r="H5825" s="140"/>
    </row>
    <row r="5826" spans="1:8" s="65" customFormat="1">
      <c r="A5826" s="120"/>
      <c r="B5826" s="73"/>
      <c r="C5826" s="73"/>
      <c r="D5826" s="73"/>
      <c r="E5826" s="73"/>
      <c r="G5826" s="121"/>
      <c r="H5826" s="140"/>
    </row>
    <row r="5827" spans="1:8" s="65" customFormat="1">
      <c r="A5827" s="128"/>
      <c r="B5827" s="141"/>
      <c r="C5827" s="141"/>
      <c r="D5827" s="141"/>
      <c r="E5827" s="141"/>
      <c r="F5827" s="141"/>
      <c r="G5827" s="141"/>
      <c r="H5827" s="140"/>
    </row>
    <row r="5828" spans="1:8" s="65" customFormat="1">
      <c r="A5828" s="150"/>
      <c r="B5828" s="83"/>
      <c r="C5828" s="148"/>
      <c r="D5828" s="160"/>
      <c r="E5828" s="84"/>
      <c r="F5828" s="84"/>
      <c r="G5828" s="144"/>
      <c r="H5828" s="145"/>
    </row>
    <row r="5829" spans="1:8" s="65" customFormat="1">
      <c r="A5829" s="91"/>
      <c r="B5829" s="91"/>
      <c r="C5829" s="91"/>
      <c r="D5829" s="91"/>
      <c r="E5829" s="91"/>
      <c r="G5829" s="104"/>
      <c r="H5829" s="140"/>
    </row>
    <row r="5830" spans="1:8" s="65" customFormat="1">
      <c r="A5830" s="120"/>
      <c r="B5830" s="73"/>
      <c r="C5830" s="73"/>
      <c r="D5830" s="73"/>
      <c r="E5830" s="73"/>
      <c r="G5830" s="121"/>
      <c r="H5830" s="140"/>
    </row>
    <row r="5831" spans="1:8" s="65" customFormat="1">
      <c r="A5831" s="128"/>
      <c r="B5831" s="141"/>
      <c r="C5831" s="141"/>
      <c r="D5831" s="141"/>
      <c r="E5831" s="141"/>
      <c r="F5831" s="141"/>
      <c r="G5831" s="141"/>
      <c r="H5831" s="140"/>
    </row>
    <row r="5832" spans="1:8" s="65" customFormat="1">
      <c r="A5832" s="142"/>
      <c r="B5832" s="143"/>
      <c r="C5832" s="143"/>
      <c r="D5832" s="143"/>
      <c r="E5832" s="143"/>
      <c r="F5832" s="84"/>
      <c r="G5832" s="144"/>
      <c r="H5832" s="145"/>
    </row>
    <row r="5833" spans="1:8" s="65" customFormat="1">
      <c r="A5833" s="91"/>
      <c r="B5833" s="91"/>
      <c r="C5833" s="91"/>
      <c r="D5833" s="91"/>
      <c r="E5833" s="91"/>
      <c r="G5833" s="104"/>
      <c r="H5833" s="140"/>
    </row>
    <row r="5834" spans="1:8" s="65" customFormat="1">
      <c r="A5834" s="120"/>
      <c r="B5834" s="73"/>
      <c r="C5834" s="73"/>
      <c r="D5834" s="73"/>
      <c r="E5834" s="73"/>
      <c r="G5834" s="121"/>
      <c r="H5834" s="140"/>
    </row>
    <row r="5835" spans="1:8" s="65" customFormat="1">
      <c r="A5835" s="128"/>
      <c r="B5835" s="141"/>
      <c r="C5835" s="141"/>
      <c r="D5835" s="141"/>
      <c r="E5835" s="141"/>
      <c r="F5835" s="141"/>
      <c r="G5835" s="141"/>
      <c r="H5835" s="140"/>
    </row>
    <row r="5836" spans="1:8" s="65" customFormat="1">
      <c r="A5836" s="142"/>
      <c r="B5836" s="143"/>
      <c r="C5836" s="143"/>
      <c r="D5836" s="143"/>
      <c r="E5836" s="143"/>
      <c r="F5836" s="84"/>
      <c r="G5836" s="144"/>
      <c r="H5836" s="145"/>
    </row>
    <row r="5837" spans="1:8" s="65" customFormat="1">
      <c r="A5837" s="123"/>
      <c r="B5837" s="95"/>
      <c r="C5837" s="95"/>
      <c r="D5837" s="95"/>
      <c r="E5837" s="95"/>
      <c r="G5837" s="104"/>
      <c r="H5837" s="121"/>
    </row>
    <row r="5838" spans="1:8" s="65" customFormat="1">
      <c r="A5838" s="123"/>
      <c r="B5838" s="95"/>
      <c r="C5838" s="95"/>
      <c r="D5838" s="95"/>
      <c r="E5838" s="95"/>
      <c r="G5838" s="121"/>
      <c r="H5838" s="133"/>
    </row>
    <row r="5839" spans="1:8" s="65" customFormat="1">
      <c r="B5839" s="97"/>
      <c r="C5839" s="98"/>
      <c r="D5839" s="98"/>
      <c r="E5839" s="98"/>
      <c r="G5839" s="128"/>
    </row>
    <row r="5840" spans="1:8" s="65" customFormat="1">
      <c r="B5840" s="97"/>
      <c r="C5840" s="98"/>
      <c r="D5840" s="98"/>
      <c r="E5840" s="98"/>
      <c r="F5840" s="128"/>
      <c r="G5840" s="133"/>
      <c r="H5840" s="134"/>
    </row>
    <row r="5841" spans="1:9" s="65" customFormat="1">
      <c r="A5841" s="633"/>
      <c r="B5841" s="633"/>
      <c r="C5841" s="633"/>
      <c r="D5841" s="633"/>
      <c r="E5841" s="633"/>
      <c r="F5841" s="633"/>
      <c r="G5841" s="633"/>
    </row>
    <row r="5842" spans="1:9" s="65" customFormat="1">
      <c r="H5842" s="156"/>
      <c r="I5842" s="151"/>
    </row>
    <row r="5843" spans="1:9" s="65" customFormat="1">
      <c r="A5843" s="645"/>
      <c r="B5843" s="156"/>
      <c r="C5843" s="156"/>
      <c r="D5843" s="156"/>
      <c r="E5843" s="156"/>
      <c r="F5843" s="156"/>
      <c r="G5843" s="156"/>
      <c r="H5843" s="156"/>
      <c r="I5843" s="152"/>
    </row>
    <row r="5844" spans="1:9" s="65" customFormat="1">
      <c r="A5844" s="645"/>
      <c r="B5844" s="156"/>
      <c r="C5844" s="156"/>
      <c r="D5844" s="156"/>
      <c r="E5844" s="156"/>
      <c r="F5844" s="156"/>
      <c r="G5844" s="156"/>
    </row>
    <row r="5845" spans="1:9" s="65" customFormat="1">
      <c r="A5845" s="69"/>
      <c r="B5845" s="69"/>
      <c r="C5845" s="69"/>
      <c r="D5845" s="69"/>
      <c r="E5845" s="69"/>
    </row>
    <row r="5846" spans="1:9" s="65" customFormat="1">
      <c r="A5846" s="120"/>
      <c r="B5846" s="73"/>
      <c r="C5846" s="73"/>
      <c r="D5846" s="73"/>
      <c r="E5846" s="73"/>
      <c r="F5846" s="121"/>
      <c r="G5846" s="121"/>
      <c r="H5846" s="121"/>
    </row>
    <row r="5847" spans="1:9" s="65" customFormat="1">
      <c r="A5847" s="128"/>
      <c r="B5847" s="141"/>
      <c r="C5847" s="141"/>
      <c r="D5847" s="141"/>
      <c r="E5847" s="141"/>
      <c r="F5847" s="141"/>
      <c r="G5847" s="141"/>
      <c r="H5847" s="121"/>
    </row>
    <row r="5848" spans="1:9" s="65" customFormat="1">
      <c r="A5848" s="142"/>
      <c r="B5848" s="143"/>
      <c r="C5848" s="143"/>
      <c r="D5848" s="143"/>
      <c r="E5848" s="143"/>
      <c r="F5848" s="84"/>
      <c r="G5848" s="144"/>
      <c r="H5848" s="145"/>
    </row>
    <row r="5849" spans="1:9" s="65" customFormat="1">
      <c r="A5849" s="84"/>
      <c r="B5849" s="83"/>
      <c r="C5849" s="84"/>
      <c r="D5849" s="84"/>
      <c r="E5849" s="84"/>
      <c r="G5849" s="104"/>
      <c r="H5849" s="140"/>
    </row>
    <row r="5850" spans="1:9" s="65" customFormat="1">
      <c r="A5850" s="120"/>
      <c r="B5850" s="73"/>
      <c r="C5850" s="73"/>
      <c r="D5850" s="73"/>
      <c r="E5850" s="73"/>
      <c r="G5850" s="121"/>
      <c r="H5850" s="140"/>
    </row>
    <row r="5851" spans="1:9" s="65" customFormat="1">
      <c r="A5851" s="128"/>
      <c r="B5851" s="141"/>
      <c r="C5851" s="141"/>
      <c r="D5851" s="141"/>
      <c r="E5851" s="141"/>
      <c r="F5851" s="141"/>
      <c r="G5851" s="141"/>
      <c r="H5851" s="140"/>
    </row>
    <row r="5852" spans="1:9" s="65" customFormat="1">
      <c r="A5852" s="150"/>
      <c r="B5852" s="83"/>
      <c r="C5852" s="148"/>
      <c r="D5852" s="160"/>
      <c r="E5852" s="84"/>
      <c r="F5852" s="84"/>
      <c r="G5852" s="144"/>
      <c r="H5852" s="145"/>
    </row>
    <row r="5853" spans="1:9" s="65" customFormat="1">
      <c r="A5853" s="91"/>
      <c r="B5853" s="91"/>
      <c r="C5853" s="91"/>
      <c r="D5853" s="91"/>
      <c r="E5853" s="91"/>
      <c r="G5853" s="104"/>
      <c r="H5853" s="140"/>
    </row>
    <row r="5854" spans="1:9" s="65" customFormat="1">
      <c r="A5854" s="120"/>
      <c r="B5854" s="73"/>
      <c r="C5854" s="73"/>
      <c r="D5854" s="73"/>
      <c r="E5854" s="73"/>
      <c r="G5854" s="121"/>
      <c r="H5854" s="140"/>
    </row>
    <row r="5855" spans="1:9" s="65" customFormat="1">
      <c r="A5855" s="128"/>
      <c r="B5855" s="141"/>
      <c r="C5855" s="141"/>
      <c r="D5855" s="141"/>
      <c r="E5855" s="141"/>
      <c r="F5855" s="141"/>
      <c r="G5855" s="141"/>
      <c r="H5855" s="140"/>
    </row>
    <row r="5856" spans="1:9" s="65" customFormat="1">
      <c r="A5856" s="142"/>
      <c r="B5856" s="143"/>
      <c r="C5856" s="143"/>
      <c r="D5856" s="143"/>
      <c r="E5856" s="143"/>
      <c r="F5856" s="84"/>
      <c r="G5856" s="144"/>
      <c r="H5856" s="145"/>
    </row>
    <row r="5857" spans="1:9" s="65" customFormat="1">
      <c r="A5857" s="91"/>
      <c r="B5857" s="91"/>
      <c r="C5857" s="91"/>
      <c r="D5857" s="91"/>
      <c r="E5857" s="91"/>
      <c r="G5857" s="104"/>
      <c r="H5857" s="140"/>
    </row>
    <row r="5858" spans="1:9" s="65" customFormat="1">
      <c r="A5858" s="120"/>
      <c r="B5858" s="73"/>
      <c r="C5858" s="73"/>
      <c r="D5858" s="73"/>
      <c r="E5858" s="73"/>
      <c r="G5858" s="121"/>
      <c r="H5858" s="140"/>
    </row>
    <row r="5859" spans="1:9" s="65" customFormat="1">
      <c r="A5859" s="128"/>
      <c r="B5859" s="141"/>
      <c r="C5859" s="141"/>
      <c r="D5859" s="141"/>
      <c r="E5859" s="141"/>
      <c r="F5859" s="141"/>
      <c r="G5859" s="141"/>
      <c r="H5859" s="140"/>
    </row>
    <row r="5860" spans="1:9" s="65" customFormat="1">
      <c r="A5860" s="142"/>
      <c r="B5860" s="143"/>
      <c r="C5860" s="143"/>
      <c r="D5860" s="143"/>
      <c r="E5860" s="143"/>
      <c r="F5860" s="84"/>
      <c r="G5860" s="144"/>
      <c r="H5860" s="145"/>
    </row>
    <row r="5861" spans="1:9" s="65" customFormat="1">
      <c r="A5861" s="123"/>
      <c r="B5861" s="95"/>
      <c r="C5861" s="95"/>
      <c r="D5861" s="95"/>
      <c r="E5861" s="95"/>
      <c r="G5861" s="104"/>
      <c r="H5861" s="121"/>
    </row>
    <row r="5862" spans="1:9" s="65" customFormat="1">
      <c r="A5862" s="123"/>
      <c r="B5862" s="95"/>
      <c r="C5862" s="95"/>
      <c r="D5862" s="95"/>
      <c r="E5862" s="95"/>
      <c r="G5862" s="121"/>
      <c r="H5862" s="133"/>
    </row>
    <row r="5863" spans="1:9" s="65" customFormat="1">
      <c r="B5863" s="97"/>
      <c r="C5863" s="98"/>
      <c r="D5863" s="98"/>
      <c r="E5863" s="98"/>
      <c r="G5863" s="128"/>
    </row>
    <row r="5864" spans="1:9" s="65" customFormat="1">
      <c r="B5864" s="97"/>
      <c r="C5864" s="98"/>
      <c r="D5864" s="98"/>
      <c r="E5864" s="98"/>
      <c r="F5864" s="128"/>
      <c r="G5864" s="133"/>
      <c r="H5864" s="134"/>
    </row>
    <row r="5865" spans="1:9" s="65" customFormat="1">
      <c r="A5865" s="633"/>
      <c r="B5865" s="633"/>
      <c r="C5865" s="633"/>
      <c r="D5865" s="633"/>
      <c r="E5865" s="633"/>
      <c r="F5865" s="633"/>
      <c r="G5865" s="633"/>
    </row>
    <row r="5866" spans="1:9" s="65" customFormat="1">
      <c r="H5866" s="156"/>
      <c r="I5866" s="151"/>
    </row>
    <row r="5867" spans="1:9" s="65" customFormat="1">
      <c r="A5867" s="645"/>
      <c r="B5867" s="156"/>
      <c r="C5867" s="156"/>
      <c r="D5867" s="156"/>
      <c r="E5867" s="156"/>
      <c r="F5867" s="156"/>
      <c r="G5867" s="156"/>
      <c r="H5867" s="156"/>
      <c r="I5867" s="152"/>
    </row>
    <row r="5868" spans="1:9" s="65" customFormat="1">
      <c r="A5868" s="645"/>
      <c r="B5868" s="156"/>
      <c r="C5868" s="156"/>
      <c r="D5868" s="156"/>
      <c r="E5868" s="156"/>
      <c r="F5868" s="156"/>
      <c r="G5868" s="156"/>
    </row>
    <row r="5869" spans="1:9" s="65" customFormat="1">
      <c r="A5869" s="69"/>
      <c r="B5869" s="69"/>
      <c r="C5869" s="69"/>
      <c r="D5869" s="69"/>
      <c r="E5869" s="69"/>
    </row>
    <row r="5870" spans="1:9" s="65" customFormat="1">
      <c r="A5870" s="120"/>
      <c r="B5870" s="73"/>
      <c r="C5870" s="73"/>
      <c r="D5870" s="73"/>
      <c r="E5870" s="73"/>
      <c r="F5870" s="121"/>
      <c r="G5870" s="121"/>
      <c r="H5870" s="121"/>
    </row>
    <row r="5871" spans="1:9" s="65" customFormat="1">
      <c r="A5871" s="128"/>
      <c r="B5871" s="141"/>
      <c r="C5871" s="141"/>
      <c r="D5871" s="141"/>
      <c r="E5871" s="141"/>
      <c r="F5871" s="141"/>
      <c r="G5871" s="141"/>
      <c r="H5871" s="121"/>
    </row>
    <row r="5872" spans="1:9" s="65" customFormat="1">
      <c r="A5872" s="142"/>
      <c r="B5872" s="143"/>
      <c r="C5872" s="143"/>
      <c r="D5872" s="143"/>
      <c r="E5872" s="143"/>
      <c r="F5872" s="84"/>
      <c r="G5872" s="144"/>
      <c r="H5872" s="145"/>
    </row>
    <row r="5873" spans="1:8" s="65" customFormat="1">
      <c r="A5873" s="84"/>
      <c r="B5873" s="83"/>
      <c r="C5873" s="84"/>
      <c r="D5873" s="84"/>
      <c r="E5873" s="84"/>
      <c r="G5873" s="104"/>
      <c r="H5873" s="140"/>
    </row>
    <row r="5874" spans="1:8" s="65" customFormat="1">
      <c r="A5874" s="120"/>
      <c r="B5874" s="73"/>
      <c r="C5874" s="73"/>
      <c r="D5874" s="73"/>
      <c r="E5874" s="73"/>
      <c r="G5874" s="121"/>
      <c r="H5874" s="140"/>
    </row>
    <row r="5875" spans="1:8" s="65" customFormat="1">
      <c r="A5875" s="128"/>
      <c r="B5875" s="141"/>
      <c r="C5875" s="141"/>
      <c r="D5875" s="141"/>
      <c r="E5875" s="141"/>
      <c r="F5875" s="141"/>
      <c r="G5875" s="141"/>
      <c r="H5875" s="140"/>
    </row>
    <row r="5876" spans="1:8" s="65" customFormat="1">
      <c r="A5876" s="150"/>
      <c r="B5876" s="83"/>
      <c r="C5876" s="148"/>
      <c r="D5876" s="160"/>
      <c r="E5876" s="84"/>
      <c r="F5876" s="84"/>
      <c r="G5876" s="144"/>
      <c r="H5876" s="145"/>
    </row>
    <row r="5877" spans="1:8" s="65" customFormat="1">
      <c r="A5877" s="91"/>
      <c r="B5877" s="91"/>
      <c r="C5877" s="91"/>
      <c r="D5877" s="91"/>
      <c r="E5877" s="91"/>
      <c r="G5877" s="104"/>
      <c r="H5877" s="140"/>
    </row>
    <row r="5878" spans="1:8" s="65" customFormat="1">
      <c r="A5878" s="120"/>
      <c r="B5878" s="73"/>
      <c r="C5878" s="73"/>
      <c r="D5878" s="73"/>
      <c r="E5878" s="73"/>
      <c r="G5878" s="121"/>
      <c r="H5878" s="140"/>
    </row>
    <row r="5879" spans="1:8" s="65" customFormat="1">
      <c r="A5879" s="128"/>
      <c r="B5879" s="141"/>
      <c r="C5879" s="141"/>
      <c r="D5879" s="141"/>
      <c r="E5879" s="141"/>
      <c r="F5879" s="141"/>
      <c r="G5879" s="141"/>
      <c r="H5879" s="140"/>
    </row>
    <row r="5880" spans="1:8" s="65" customFormat="1">
      <c r="A5880" s="142"/>
      <c r="B5880" s="143"/>
      <c r="C5880" s="143"/>
      <c r="D5880" s="143"/>
      <c r="E5880" s="143"/>
      <c r="F5880" s="84"/>
      <c r="G5880" s="144"/>
      <c r="H5880" s="145"/>
    </row>
    <row r="5881" spans="1:8" s="65" customFormat="1">
      <c r="A5881" s="91"/>
      <c r="B5881" s="91"/>
      <c r="C5881" s="91"/>
      <c r="D5881" s="91"/>
      <c r="E5881" s="91"/>
      <c r="G5881" s="104"/>
      <c r="H5881" s="140"/>
    </row>
    <row r="5882" spans="1:8" s="65" customFormat="1">
      <c r="A5882" s="120"/>
      <c r="B5882" s="73"/>
      <c r="C5882" s="73"/>
      <c r="D5882" s="73"/>
      <c r="E5882" s="73"/>
      <c r="G5882" s="121"/>
      <c r="H5882" s="140"/>
    </row>
    <row r="5883" spans="1:8" s="65" customFormat="1">
      <c r="A5883" s="128"/>
      <c r="B5883" s="141"/>
      <c r="C5883" s="141"/>
      <c r="D5883" s="141"/>
      <c r="E5883" s="141"/>
      <c r="F5883" s="141"/>
      <c r="G5883" s="141"/>
      <c r="H5883" s="140"/>
    </row>
    <row r="5884" spans="1:8" s="65" customFormat="1">
      <c r="A5884" s="142"/>
      <c r="B5884" s="143"/>
      <c r="C5884" s="143"/>
      <c r="D5884" s="143"/>
      <c r="E5884" s="143"/>
      <c r="F5884" s="84"/>
      <c r="G5884" s="144"/>
      <c r="H5884" s="145"/>
    </row>
    <row r="5885" spans="1:8" s="65" customFormat="1">
      <c r="A5885" s="123"/>
      <c r="B5885" s="95"/>
      <c r="C5885" s="95"/>
      <c r="D5885" s="95"/>
      <c r="E5885" s="95"/>
      <c r="G5885" s="104"/>
      <c r="H5885" s="121"/>
    </row>
    <row r="5886" spans="1:8" s="65" customFormat="1">
      <c r="A5886" s="123"/>
      <c r="B5886" s="95"/>
      <c r="C5886" s="95"/>
      <c r="D5886" s="95"/>
      <c r="E5886" s="95"/>
      <c r="G5886" s="121"/>
      <c r="H5886" s="133"/>
    </row>
    <row r="5887" spans="1:8" s="65" customFormat="1">
      <c r="B5887" s="97"/>
      <c r="C5887" s="98"/>
      <c r="D5887" s="98"/>
      <c r="E5887" s="98"/>
      <c r="G5887" s="128"/>
    </row>
    <row r="5888" spans="1:8" s="65" customFormat="1">
      <c r="B5888" s="97"/>
      <c r="C5888" s="98"/>
      <c r="D5888" s="98"/>
      <c r="E5888" s="98"/>
      <c r="F5888" s="128"/>
      <c r="G5888" s="133"/>
      <c r="H5888" s="134"/>
    </row>
    <row r="5889" spans="1:9" s="65" customFormat="1">
      <c r="A5889" s="633"/>
      <c r="B5889" s="633"/>
      <c r="C5889" s="633"/>
      <c r="D5889" s="633"/>
      <c r="E5889" s="633"/>
      <c r="F5889" s="633"/>
      <c r="G5889" s="633"/>
    </row>
    <row r="5890" spans="1:9" s="65" customFormat="1">
      <c r="H5890" s="156"/>
      <c r="I5890" s="151"/>
    </row>
    <row r="5891" spans="1:9" s="65" customFormat="1">
      <c r="A5891" s="645"/>
      <c r="B5891" s="156"/>
      <c r="C5891" s="156"/>
      <c r="D5891" s="156"/>
      <c r="E5891" s="156"/>
      <c r="F5891" s="156"/>
      <c r="G5891" s="156"/>
      <c r="H5891" s="156"/>
      <c r="I5891" s="152"/>
    </row>
    <row r="5892" spans="1:9" s="65" customFormat="1">
      <c r="A5892" s="645"/>
      <c r="B5892" s="156"/>
      <c r="C5892" s="156"/>
      <c r="D5892" s="156"/>
      <c r="E5892" s="156"/>
      <c r="F5892" s="156"/>
      <c r="G5892" s="156"/>
    </row>
    <row r="5893" spans="1:9" s="65" customFormat="1">
      <c r="A5893" s="69"/>
      <c r="B5893" s="69"/>
      <c r="C5893" s="69"/>
      <c r="D5893" s="69"/>
      <c r="E5893" s="69"/>
    </row>
    <row r="5894" spans="1:9" s="65" customFormat="1">
      <c r="A5894" s="120"/>
      <c r="B5894" s="73"/>
      <c r="C5894" s="73"/>
      <c r="D5894" s="73"/>
      <c r="E5894" s="73"/>
      <c r="F5894" s="121"/>
      <c r="G5894" s="121"/>
      <c r="H5894" s="121"/>
    </row>
    <row r="5895" spans="1:9" s="65" customFormat="1">
      <c r="A5895" s="128"/>
      <c r="B5895" s="141"/>
      <c r="C5895" s="141"/>
      <c r="D5895" s="141"/>
      <c r="E5895" s="141"/>
      <c r="F5895" s="141"/>
      <c r="G5895" s="141"/>
      <c r="H5895" s="121"/>
    </row>
    <row r="5896" spans="1:9" s="65" customFormat="1">
      <c r="A5896" s="142"/>
      <c r="B5896" s="143"/>
      <c r="C5896" s="143"/>
      <c r="D5896" s="143"/>
      <c r="E5896" s="143"/>
      <c r="F5896" s="84"/>
      <c r="G5896" s="144"/>
      <c r="H5896" s="145"/>
    </row>
    <row r="5897" spans="1:9" s="65" customFormat="1">
      <c r="A5897" s="84"/>
      <c r="B5897" s="83"/>
      <c r="C5897" s="84"/>
      <c r="D5897" s="84"/>
      <c r="E5897" s="84"/>
      <c r="G5897" s="104"/>
      <c r="H5897" s="140"/>
    </row>
    <row r="5898" spans="1:9" s="65" customFormat="1">
      <c r="A5898" s="120"/>
      <c r="B5898" s="73"/>
      <c r="C5898" s="73"/>
      <c r="D5898" s="73"/>
      <c r="E5898" s="73"/>
      <c r="G5898" s="121"/>
      <c r="H5898" s="140"/>
    </row>
    <row r="5899" spans="1:9" s="65" customFormat="1">
      <c r="A5899" s="128"/>
      <c r="B5899" s="141"/>
      <c r="C5899" s="141"/>
      <c r="D5899" s="141"/>
      <c r="E5899" s="141"/>
      <c r="F5899" s="141"/>
      <c r="G5899" s="141"/>
      <c r="H5899" s="140"/>
    </row>
    <row r="5900" spans="1:9" s="65" customFormat="1">
      <c r="A5900" s="150"/>
      <c r="B5900" s="83"/>
      <c r="C5900" s="148"/>
      <c r="D5900" s="160"/>
      <c r="E5900" s="84"/>
      <c r="F5900" s="84"/>
      <c r="G5900" s="144"/>
      <c r="H5900" s="145"/>
    </row>
    <row r="5901" spans="1:9" s="65" customFormat="1">
      <c r="A5901" s="91"/>
      <c r="B5901" s="91"/>
      <c r="C5901" s="91"/>
      <c r="D5901" s="91"/>
      <c r="E5901" s="91"/>
      <c r="G5901" s="104"/>
      <c r="H5901" s="140"/>
    </row>
    <row r="5902" spans="1:9" s="65" customFormat="1">
      <c r="A5902" s="120"/>
      <c r="B5902" s="73"/>
      <c r="C5902" s="73"/>
      <c r="D5902" s="73"/>
      <c r="E5902" s="73"/>
      <c r="G5902" s="121"/>
      <c r="H5902" s="140"/>
    </row>
    <row r="5903" spans="1:9" s="65" customFormat="1">
      <c r="A5903" s="128"/>
      <c r="B5903" s="141"/>
      <c r="C5903" s="141"/>
      <c r="D5903" s="141"/>
      <c r="E5903" s="141"/>
      <c r="F5903" s="141"/>
      <c r="G5903" s="141"/>
      <c r="H5903" s="140"/>
    </row>
    <row r="5904" spans="1:9" s="65" customFormat="1">
      <c r="A5904" s="142"/>
      <c r="B5904" s="143"/>
      <c r="C5904" s="143"/>
      <c r="D5904" s="143"/>
      <c r="E5904" s="143"/>
      <c r="F5904" s="84"/>
      <c r="G5904" s="144"/>
      <c r="H5904" s="145"/>
    </row>
    <row r="5905" spans="1:9" s="65" customFormat="1">
      <c r="A5905" s="91"/>
      <c r="B5905" s="91"/>
      <c r="C5905" s="91"/>
      <c r="D5905" s="91"/>
      <c r="E5905" s="91"/>
      <c r="G5905" s="104"/>
      <c r="H5905" s="140"/>
    </row>
    <row r="5906" spans="1:9" s="65" customFormat="1">
      <c r="A5906" s="120"/>
      <c r="B5906" s="73"/>
      <c r="C5906" s="73"/>
      <c r="D5906" s="73"/>
      <c r="E5906" s="73"/>
      <c r="G5906" s="121"/>
      <c r="H5906" s="140"/>
    </row>
    <row r="5907" spans="1:9" s="65" customFormat="1">
      <c r="A5907" s="128"/>
      <c r="B5907" s="141"/>
      <c r="C5907" s="141"/>
      <c r="D5907" s="141"/>
      <c r="E5907" s="141"/>
      <c r="F5907" s="141"/>
      <c r="G5907" s="141"/>
      <c r="H5907" s="140"/>
    </row>
    <row r="5908" spans="1:9" s="65" customFormat="1">
      <c r="A5908" s="142"/>
      <c r="B5908" s="143"/>
      <c r="C5908" s="143"/>
      <c r="D5908" s="143"/>
      <c r="E5908" s="143"/>
      <c r="F5908" s="84"/>
      <c r="G5908" s="144"/>
      <c r="H5908" s="145"/>
    </row>
    <row r="5909" spans="1:9" s="65" customFormat="1">
      <c r="A5909" s="123"/>
      <c r="B5909" s="95"/>
      <c r="C5909" s="95"/>
      <c r="D5909" s="95"/>
      <c r="E5909" s="95"/>
      <c r="G5909" s="104"/>
      <c r="H5909" s="121"/>
    </row>
    <row r="5910" spans="1:9" s="65" customFormat="1">
      <c r="A5910" s="123"/>
      <c r="B5910" s="95"/>
      <c r="C5910" s="95"/>
      <c r="D5910" s="95"/>
      <c r="E5910" s="95"/>
      <c r="G5910" s="121"/>
      <c r="H5910" s="133"/>
    </row>
    <row r="5911" spans="1:9" s="65" customFormat="1">
      <c r="B5911" s="97"/>
      <c r="C5911" s="98"/>
      <c r="D5911" s="98"/>
      <c r="E5911" s="98"/>
      <c r="G5911" s="128"/>
    </row>
    <row r="5912" spans="1:9" s="65" customFormat="1">
      <c r="B5912" s="97"/>
      <c r="C5912" s="98"/>
      <c r="D5912" s="98"/>
      <c r="E5912" s="98"/>
      <c r="F5912" s="128"/>
      <c r="G5912" s="133"/>
      <c r="H5912" s="134"/>
    </row>
    <row r="5913" spans="1:9" s="65" customFormat="1">
      <c r="A5913" s="633"/>
      <c r="B5913" s="633"/>
      <c r="C5913" s="633"/>
      <c r="D5913" s="633"/>
      <c r="E5913" s="633"/>
      <c r="F5913" s="633"/>
      <c r="G5913" s="633"/>
    </row>
    <row r="5914" spans="1:9" s="65" customFormat="1">
      <c r="H5914" s="156"/>
      <c r="I5914" s="151"/>
    </row>
    <row r="5915" spans="1:9" s="65" customFormat="1">
      <c r="A5915" s="645"/>
      <c r="B5915" s="156"/>
      <c r="C5915" s="156"/>
      <c r="D5915" s="156"/>
      <c r="E5915" s="156"/>
      <c r="F5915" s="156"/>
      <c r="G5915" s="156"/>
      <c r="H5915" s="156"/>
      <c r="I5915" s="152"/>
    </row>
    <row r="5916" spans="1:9" s="65" customFormat="1">
      <c r="A5916" s="645"/>
      <c r="B5916" s="156"/>
      <c r="C5916" s="156"/>
      <c r="D5916" s="156"/>
      <c r="E5916" s="156"/>
      <c r="F5916" s="156"/>
      <c r="G5916" s="156"/>
    </row>
    <row r="5917" spans="1:9" s="65" customFormat="1">
      <c r="A5917" s="69"/>
      <c r="B5917" s="69"/>
      <c r="C5917" s="69"/>
      <c r="D5917" s="69"/>
      <c r="E5917" s="69"/>
    </row>
    <row r="5918" spans="1:9" s="65" customFormat="1">
      <c r="A5918" s="120"/>
      <c r="B5918" s="73"/>
      <c r="C5918" s="73"/>
      <c r="D5918" s="73"/>
      <c r="E5918" s="73"/>
      <c r="F5918" s="121"/>
      <c r="G5918" s="121"/>
      <c r="H5918" s="121"/>
    </row>
    <row r="5919" spans="1:9" s="65" customFormat="1">
      <c r="A5919" s="128"/>
      <c r="B5919" s="141"/>
      <c r="C5919" s="141"/>
      <c r="D5919" s="141"/>
      <c r="E5919" s="141"/>
      <c r="F5919" s="141"/>
      <c r="G5919" s="141"/>
      <c r="H5919" s="121"/>
    </row>
    <row r="5920" spans="1:9" s="65" customFormat="1">
      <c r="A5920" s="142"/>
      <c r="B5920" s="143"/>
      <c r="C5920" s="143"/>
      <c r="D5920" s="143"/>
      <c r="E5920" s="143"/>
      <c r="F5920" s="84"/>
      <c r="G5920" s="144"/>
      <c r="H5920" s="145"/>
    </row>
    <row r="5921" spans="1:8" s="65" customFormat="1">
      <c r="A5921" s="84"/>
      <c r="B5921" s="83"/>
      <c r="C5921" s="84"/>
      <c r="D5921" s="84"/>
      <c r="E5921" s="84"/>
      <c r="G5921" s="104"/>
      <c r="H5921" s="140"/>
    </row>
    <row r="5922" spans="1:8" s="65" customFormat="1">
      <c r="A5922" s="120"/>
      <c r="B5922" s="73"/>
      <c r="C5922" s="73"/>
      <c r="D5922" s="73"/>
      <c r="E5922" s="73"/>
      <c r="G5922" s="121"/>
      <c r="H5922" s="140"/>
    </row>
    <row r="5923" spans="1:8" s="65" customFormat="1">
      <c r="A5923" s="128"/>
      <c r="B5923" s="141"/>
      <c r="C5923" s="141"/>
      <c r="D5923" s="141"/>
      <c r="E5923" s="141"/>
      <c r="F5923" s="141"/>
      <c r="G5923" s="141"/>
      <c r="H5923" s="140"/>
    </row>
    <row r="5924" spans="1:8" s="65" customFormat="1">
      <c r="A5924" s="150"/>
      <c r="B5924" s="83"/>
      <c r="C5924" s="148"/>
      <c r="D5924" s="160"/>
      <c r="E5924" s="84"/>
      <c r="F5924" s="84"/>
      <c r="G5924" s="144"/>
      <c r="H5924" s="145"/>
    </row>
    <row r="5925" spans="1:8" s="65" customFormat="1">
      <c r="A5925" s="91"/>
      <c r="B5925" s="91"/>
      <c r="C5925" s="91"/>
      <c r="D5925" s="91"/>
      <c r="E5925" s="91"/>
      <c r="G5925" s="104"/>
      <c r="H5925" s="140"/>
    </row>
    <row r="5926" spans="1:8" s="65" customFormat="1">
      <c r="A5926" s="120"/>
      <c r="B5926" s="73"/>
      <c r="C5926" s="73"/>
      <c r="D5926" s="73"/>
      <c r="E5926" s="73"/>
      <c r="G5926" s="121"/>
      <c r="H5926" s="140"/>
    </row>
    <row r="5927" spans="1:8" s="65" customFormat="1">
      <c r="A5927" s="128"/>
      <c r="B5927" s="141"/>
      <c r="C5927" s="141"/>
      <c r="D5927" s="141"/>
      <c r="E5927" s="141"/>
      <c r="F5927" s="141"/>
      <c r="G5927" s="141"/>
      <c r="H5927" s="140"/>
    </row>
    <row r="5928" spans="1:8" s="65" customFormat="1">
      <c r="A5928" s="142"/>
      <c r="B5928" s="143"/>
      <c r="C5928" s="143"/>
      <c r="D5928" s="143"/>
      <c r="E5928" s="143"/>
      <c r="F5928" s="84"/>
      <c r="G5928" s="144"/>
      <c r="H5928" s="145"/>
    </row>
    <row r="5929" spans="1:8" s="65" customFormat="1">
      <c r="A5929" s="91"/>
      <c r="B5929" s="91"/>
      <c r="C5929" s="91"/>
      <c r="D5929" s="91"/>
      <c r="E5929" s="91"/>
      <c r="G5929" s="104"/>
      <c r="H5929" s="140"/>
    </row>
    <row r="5930" spans="1:8" s="65" customFormat="1">
      <c r="A5930" s="120"/>
      <c r="B5930" s="73"/>
      <c r="C5930" s="73"/>
      <c r="D5930" s="73"/>
      <c r="E5930" s="73"/>
      <c r="G5930" s="121"/>
      <c r="H5930" s="140"/>
    </row>
    <row r="5931" spans="1:8" s="65" customFormat="1">
      <c r="A5931" s="128"/>
      <c r="B5931" s="141"/>
      <c r="C5931" s="141"/>
      <c r="D5931" s="141"/>
      <c r="E5931" s="141"/>
      <c r="F5931" s="141"/>
      <c r="G5931" s="141"/>
      <c r="H5931" s="140"/>
    </row>
    <row r="5932" spans="1:8" s="65" customFormat="1">
      <c r="A5932" s="142"/>
      <c r="B5932" s="143"/>
      <c r="C5932" s="143"/>
      <c r="D5932" s="143"/>
      <c r="E5932" s="143"/>
      <c r="F5932" s="84"/>
      <c r="G5932" s="144"/>
      <c r="H5932" s="145"/>
    </row>
    <row r="5933" spans="1:8" s="65" customFormat="1">
      <c r="A5933" s="123"/>
      <c r="B5933" s="95"/>
      <c r="C5933" s="95"/>
      <c r="D5933" s="95"/>
      <c r="E5933" s="95"/>
      <c r="G5933" s="104"/>
      <c r="H5933" s="121"/>
    </row>
    <row r="5934" spans="1:8" s="65" customFormat="1">
      <c r="A5934" s="123"/>
      <c r="B5934" s="95"/>
      <c r="C5934" s="95"/>
      <c r="D5934" s="95"/>
      <c r="E5934" s="95"/>
      <c r="G5934" s="121"/>
      <c r="H5934" s="133"/>
    </row>
    <row r="5935" spans="1:8" s="65" customFormat="1">
      <c r="B5935" s="97"/>
      <c r="C5935" s="98"/>
      <c r="D5935" s="98"/>
      <c r="E5935" s="98"/>
      <c r="G5935" s="128"/>
    </row>
    <row r="5936" spans="1:8" s="65" customFormat="1">
      <c r="B5936" s="97"/>
      <c r="C5936" s="98"/>
      <c r="D5936" s="98"/>
      <c r="E5936" s="98"/>
      <c r="F5936" s="128"/>
      <c r="G5936" s="133"/>
      <c r="H5936" s="134"/>
    </row>
    <row r="5937" spans="1:9" s="65" customFormat="1">
      <c r="A5937" s="633"/>
      <c r="B5937" s="633"/>
      <c r="C5937" s="633"/>
      <c r="D5937" s="633"/>
      <c r="E5937" s="633"/>
      <c r="F5937" s="633"/>
      <c r="G5937" s="633"/>
    </row>
    <row r="5938" spans="1:9" s="65" customFormat="1">
      <c r="H5938" s="156"/>
      <c r="I5938" s="151"/>
    </row>
    <row r="5939" spans="1:9" s="65" customFormat="1">
      <c r="A5939" s="645"/>
      <c r="B5939" s="156"/>
      <c r="C5939" s="156"/>
      <c r="D5939" s="156"/>
      <c r="E5939" s="156"/>
      <c r="F5939" s="156"/>
      <c r="G5939" s="156"/>
      <c r="H5939" s="156"/>
      <c r="I5939" s="152"/>
    </row>
    <row r="5940" spans="1:9" s="65" customFormat="1">
      <c r="A5940" s="645"/>
      <c r="B5940" s="156"/>
      <c r="C5940" s="156"/>
      <c r="D5940" s="156"/>
      <c r="E5940" s="156"/>
      <c r="F5940" s="156"/>
      <c r="G5940" s="156"/>
    </row>
    <row r="5941" spans="1:9" s="65" customFormat="1">
      <c r="A5941" s="69"/>
      <c r="B5941" s="69"/>
      <c r="C5941" s="69"/>
      <c r="D5941" s="69"/>
      <c r="E5941" s="69"/>
    </row>
    <row r="5942" spans="1:9" s="65" customFormat="1">
      <c r="A5942" s="120"/>
      <c r="B5942" s="73"/>
      <c r="C5942" s="73"/>
      <c r="D5942" s="73"/>
      <c r="E5942" s="73"/>
      <c r="F5942" s="121"/>
      <c r="G5942" s="121"/>
      <c r="H5942" s="121"/>
    </row>
    <row r="5943" spans="1:9" s="65" customFormat="1">
      <c r="A5943" s="128"/>
      <c r="B5943" s="141"/>
      <c r="C5943" s="141"/>
      <c r="D5943" s="141"/>
      <c r="E5943" s="141"/>
      <c r="F5943" s="141"/>
      <c r="G5943" s="141"/>
      <c r="H5943" s="121"/>
    </row>
    <row r="5944" spans="1:9" s="65" customFormat="1">
      <c r="A5944" s="142"/>
      <c r="B5944" s="143"/>
      <c r="C5944" s="143"/>
      <c r="D5944" s="143"/>
      <c r="E5944" s="143"/>
      <c r="F5944" s="84"/>
      <c r="G5944" s="144"/>
      <c r="H5944" s="145"/>
    </row>
    <row r="5945" spans="1:9" s="65" customFormat="1">
      <c r="A5945" s="84"/>
      <c r="B5945" s="83"/>
      <c r="C5945" s="84"/>
      <c r="D5945" s="84"/>
      <c r="E5945" s="84"/>
      <c r="G5945" s="104"/>
      <c r="H5945" s="140"/>
    </row>
    <row r="5946" spans="1:9" s="65" customFormat="1">
      <c r="A5946" s="120"/>
      <c r="B5946" s="73"/>
      <c r="C5946" s="73"/>
      <c r="D5946" s="73"/>
      <c r="E5946" s="73"/>
      <c r="G5946" s="121"/>
      <c r="H5946" s="140"/>
    </row>
    <row r="5947" spans="1:9" s="65" customFormat="1">
      <c r="A5947" s="128"/>
      <c r="B5947" s="141"/>
      <c r="C5947" s="141"/>
      <c r="D5947" s="141"/>
      <c r="E5947" s="141"/>
      <c r="F5947" s="141"/>
      <c r="G5947" s="141"/>
      <c r="H5947" s="140"/>
    </row>
    <row r="5948" spans="1:9" s="65" customFormat="1">
      <c r="A5948" s="150"/>
      <c r="B5948" s="83"/>
      <c r="C5948" s="148"/>
      <c r="D5948" s="160"/>
      <c r="E5948" s="84"/>
      <c r="F5948" s="84"/>
      <c r="G5948" s="144"/>
      <c r="H5948" s="145"/>
    </row>
    <row r="5949" spans="1:9" s="65" customFormat="1">
      <c r="A5949" s="91"/>
      <c r="B5949" s="91"/>
      <c r="C5949" s="91"/>
      <c r="D5949" s="91"/>
      <c r="E5949" s="91"/>
      <c r="G5949" s="104"/>
      <c r="H5949" s="140"/>
    </row>
    <row r="5950" spans="1:9" s="65" customFormat="1">
      <c r="A5950" s="120"/>
      <c r="B5950" s="73"/>
      <c r="C5950" s="73"/>
      <c r="D5950" s="73"/>
      <c r="E5950" s="73"/>
      <c r="G5950" s="121"/>
      <c r="H5950" s="140"/>
    </row>
    <row r="5951" spans="1:9" s="65" customFormat="1">
      <c r="A5951" s="128"/>
      <c r="B5951" s="141"/>
      <c r="C5951" s="141"/>
      <c r="D5951" s="141"/>
      <c r="E5951" s="141"/>
      <c r="F5951" s="141"/>
      <c r="G5951" s="141"/>
      <c r="H5951" s="140"/>
    </row>
    <row r="5952" spans="1:9" s="65" customFormat="1">
      <c r="A5952" s="142"/>
      <c r="B5952" s="143"/>
      <c r="C5952" s="143"/>
      <c r="D5952" s="143"/>
      <c r="E5952" s="143"/>
      <c r="F5952" s="84"/>
      <c r="G5952" s="144"/>
      <c r="H5952" s="145"/>
    </row>
    <row r="5953" spans="1:9" s="65" customFormat="1">
      <c r="A5953" s="91"/>
      <c r="B5953" s="91"/>
      <c r="C5953" s="91"/>
      <c r="D5953" s="91"/>
      <c r="E5953" s="91"/>
      <c r="G5953" s="104"/>
      <c r="H5953" s="140"/>
    </row>
    <row r="5954" spans="1:9" s="65" customFormat="1">
      <c r="A5954" s="120"/>
      <c r="B5954" s="73"/>
      <c r="C5954" s="73"/>
      <c r="D5954" s="73"/>
      <c r="E5954" s="73"/>
      <c r="G5954" s="121"/>
      <c r="H5954" s="140"/>
    </row>
    <row r="5955" spans="1:9" s="65" customFormat="1">
      <c r="A5955" s="128"/>
      <c r="B5955" s="141"/>
      <c r="C5955" s="141"/>
      <c r="D5955" s="141"/>
      <c r="E5955" s="141"/>
      <c r="F5955" s="141"/>
      <c r="G5955" s="141"/>
      <c r="H5955" s="140"/>
    </row>
    <row r="5956" spans="1:9" s="65" customFormat="1">
      <c r="A5956" s="142"/>
      <c r="B5956" s="143"/>
      <c r="C5956" s="143"/>
      <c r="D5956" s="143"/>
      <c r="E5956" s="143"/>
      <c r="F5956" s="84"/>
      <c r="G5956" s="144"/>
      <c r="H5956" s="145"/>
    </row>
    <row r="5957" spans="1:9" s="65" customFormat="1">
      <c r="A5957" s="123"/>
      <c r="B5957" s="95"/>
      <c r="C5957" s="95"/>
      <c r="D5957" s="95"/>
      <c r="E5957" s="95"/>
      <c r="G5957" s="104"/>
      <c r="H5957" s="121"/>
    </row>
    <row r="5958" spans="1:9" s="65" customFormat="1">
      <c r="A5958" s="123"/>
      <c r="B5958" s="95"/>
      <c r="C5958" s="95"/>
      <c r="D5958" s="95"/>
      <c r="E5958" s="95"/>
      <c r="G5958" s="121"/>
      <c r="H5958" s="133"/>
    </row>
    <row r="5959" spans="1:9" s="65" customFormat="1">
      <c r="B5959" s="97"/>
      <c r="C5959" s="98"/>
      <c r="D5959" s="98"/>
      <c r="E5959" s="98"/>
      <c r="G5959" s="128"/>
    </row>
    <row r="5960" spans="1:9" s="65" customFormat="1">
      <c r="B5960" s="97"/>
      <c r="C5960" s="98"/>
      <c r="D5960" s="98"/>
      <c r="E5960" s="98"/>
      <c r="F5960" s="128"/>
      <c r="G5960" s="133"/>
      <c r="H5960" s="134"/>
    </row>
    <row r="5961" spans="1:9" s="65" customFormat="1">
      <c r="A5961" s="633"/>
      <c r="B5961" s="633"/>
      <c r="C5961" s="633"/>
      <c r="D5961" s="633"/>
      <c r="E5961" s="633"/>
      <c r="F5961" s="633"/>
      <c r="G5961" s="633"/>
    </row>
    <row r="5962" spans="1:9" s="65" customFormat="1">
      <c r="H5962" s="156"/>
      <c r="I5962" s="151"/>
    </row>
    <row r="5963" spans="1:9" s="65" customFormat="1">
      <c r="A5963" s="645"/>
      <c r="B5963" s="156"/>
      <c r="C5963" s="156"/>
      <c r="D5963" s="156"/>
      <c r="E5963" s="156"/>
      <c r="F5963" s="156"/>
      <c r="G5963" s="156"/>
      <c r="H5963" s="156"/>
      <c r="I5963" s="152"/>
    </row>
    <row r="5964" spans="1:9" s="65" customFormat="1">
      <c r="A5964" s="645"/>
      <c r="B5964" s="156"/>
      <c r="C5964" s="156"/>
      <c r="D5964" s="156"/>
      <c r="E5964" s="156"/>
      <c r="F5964" s="156"/>
      <c r="G5964" s="156"/>
    </row>
    <row r="5965" spans="1:9" s="65" customFormat="1">
      <c r="A5965" s="69"/>
      <c r="B5965" s="69"/>
      <c r="C5965" s="69"/>
      <c r="D5965" s="69"/>
      <c r="E5965" s="69"/>
    </row>
    <row r="5966" spans="1:9" s="65" customFormat="1">
      <c r="A5966" s="120"/>
      <c r="B5966" s="73"/>
      <c r="C5966" s="73"/>
      <c r="D5966" s="73"/>
      <c r="E5966" s="73"/>
      <c r="F5966" s="121"/>
      <c r="G5966" s="121"/>
      <c r="H5966" s="121"/>
    </row>
    <row r="5967" spans="1:9" s="65" customFormat="1">
      <c r="A5967" s="128"/>
      <c r="B5967" s="141"/>
      <c r="C5967" s="141"/>
      <c r="D5967" s="141"/>
      <c r="E5967" s="141"/>
      <c r="F5967" s="141"/>
      <c r="G5967" s="141"/>
      <c r="H5967" s="121"/>
    </row>
    <row r="5968" spans="1:9" s="65" customFormat="1">
      <c r="A5968" s="142"/>
      <c r="B5968" s="143"/>
      <c r="C5968" s="143"/>
      <c r="D5968" s="143"/>
      <c r="E5968" s="143"/>
      <c r="F5968" s="84"/>
      <c r="G5968" s="144"/>
      <c r="H5968" s="145"/>
    </row>
    <row r="5969" spans="1:8" s="65" customFormat="1">
      <c r="A5969" s="84"/>
      <c r="B5969" s="83"/>
      <c r="C5969" s="84"/>
      <c r="D5969" s="84"/>
      <c r="E5969" s="84"/>
      <c r="G5969" s="104"/>
      <c r="H5969" s="140"/>
    </row>
    <row r="5970" spans="1:8" s="65" customFormat="1">
      <c r="A5970" s="120"/>
      <c r="B5970" s="73"/>
      <c r="C5970" s="73"/>
      <c r="D5970" s="73"/>
      <c r="E5970" s="73"/>
      <c r="G5970" s="121"/>
      <c r="H5970" s="140"/>
    </row>
    <row r="5971" spans="1:8" s="65" customFormat="1">
      <c r="A5971" s="128"/>
      <c r="B5971" s="141"/>
      <c r="C5971" s="141"/>
      <c r="D5971" s="141"/>
      <c r="E5971" s="141"/>
      <c r="F5971" s="141"/>
      <c r="G5971" s="141"/>
      <c r="H5971" s="140"/>
    </row>
    <row r="5972" spans="1:8" s="65" customFormat="1">
      <c r="A5972" s="150"/>
      <c r="B5972" s="83"/>
      <c r="C5972" s="148"/>
      <c r="D5972" s="160"/>
      <c r="E5972" s="84"/>
      <c r="F5972" s="84"/>
      <c r="G5972" s="144"/>
      <c r="H5972" s="145"/>
    </row>
    <row r="5973" spans="1:8" s="65" customFormat="1">
      <c r="A5973" s="91"/>
      <c r="B5973" s="91"/>
      <c r="C5973" s="91"/>
      <c r="D5973" s="91"/>
      <c r="E5973" s="91"/>
      <c r="G5973" s="104"/>
      <c r="H5973" s="140"/>
    </row>
    <row r="5974" spans="1:8" s="65" customFormat="1">
      <c r="A5974" s="120"/>
      <c r="B5974" s="73"/>
      <c r="C5974" s="73"/>
      <c r="D5974" s="73"/>
      <c r="E5974" s="73"/>
      <c r="G5974" s="121"/>
      <c r="H5974" s="140"/>
    </row>
    <row r="5975" spans="1:8" s="65" customFormat="1">
      <c r="A5975" s="128"/>
      <c r="B5975" s="141"/>
      <c r="C5975" s="141"/>
      <c r="D5975" s="141"/>
      <c r="E5975" s="141"/>
      <c r="F5975" s="141"/>
      <c r="G5975" s="141"/>
      <c r="H5975" s="140"/>
    </row>
    <row r="5976" spans="1:8" s="65" customFormat="1">
      <c r="A5976" s="142"/>
      <c r="B5976" s="143"/>
      <c r="C5976" s="143"/>
      <c r="D5976" s="143"/>
      <c r="E5976" s="143"/>
      <c r="F5976" s="84"/>
      <c r="G5976" s="144"/>
      <c r="H5976" s="145"/>
    </row>
    <row r="5977" spans="1:8" s="65" customFormat="1">
      <c r="A5977" s="91"/>
      <c r="B5977" s="91"/>
      <c r="C5977" s="91"/>
      <c r="D5977" s="91"/>
      <c r="E5977" s="91"/>
      <c r="G5977" s="104"/>
      <c r="H5977" s="140"/>
    </row>
    <row r="5978" spans="1:8" s="65" customFormat="1">
      <c r="A5978" s="120"/>
      <c r="B5978" s="73"/>
      <c r="C5978" s="73"/>
      <c r="D5978" s="73"/>
      <c r="E5978" s="73"/>
      <c r="G5978" s="121"/>
      <c r="H5978" s="140"/>
    </row>
    <row r="5979" spans="1:8" s="65" customFormat="1">
      <c r="A5979" s="128"/>
      <c r="B5979" s="141"/>
      <c r="C5979" s="141"/>
      <c r="D5979" s="141"/>
      <c r="E5979" s="141"/>
      <c r="F5979" s="141"/>
      <c r="G5979" s="141"/>
      <c r="H5979" s="140"/>
    </row>
    <row r="5980" spans="1:8" s="65" customFormat="1">
      <c r="A5980" s="142"/>
      <c r="B5980" s="143"/>
      <c r="C5980" s="143"/>
      <c r="D5980" s="143"/>
      <c r="E5980" s="143"/>
      <c r="F5980" s="84"/>
      <c r="G5980" s="144"/>
      <c r="H5980" s="145"/>
    </row>
    <row r="5981" spans="1:8" s="65" customFormat="1">
      <c r="A5981" s="123"/>
      <c r="B5981" s="95"/>
      <c r="C5981" s="95"/>
      <c r="D5981" s="95"/>
      <c r="E5981" s="95"/>
      <c r="G5981" s="104"/>
      <c r="H5981" s="121"/>
    </row>
    <row r="5982" spans="1:8" s="65" customFormat="1">
      <c r="A5982" s="123"/>
      <c r="B5982" s="95"/>
      <c r="C5982" s="95"/>
      <c r="D5982" s="95"/>
      <c r="E5982" s="95"/>
      <c r="G5982" s="121"/>
      <c r="H5982" s="133"/>
    </row>
    <row r="5983" spans="1:8" s="65" customFormat="1">
      <c r="B5983" s="97"/>
      <c r="C5983" s="98"/>
      <c r="D5983" s="98"/>
      <c r="E5983" s="98"/>
      <c r="G5983" s="128"/>
    </row>
    <row r="5984" spans="1:8" s="65" customFormat="1">
      <c r="B5984" s="97"/>
      <c r="C5984" s="98"/>
      <c r="D5984" s="98"/>
      <c r="E5984" s="98"/>
      <c r="F5984" s="128"/>
      <c r="G5984" s="133"/>
      <c r="H5984" s="134"/>
    </row>
    <row r="5985" spans="1:9" s="65" customFormat="1">
      <c r="A5985" s="633"/>
      <c r="B5985" s="633"/>
      <c r="C5985" s="633"/>
      <c r="D5985" s="633"/>
      <c r="E5985" s="633"/>
      <c r="F5985" s="633"/>
      <c r="G5985" s="633"/>
    </row>
    <row r="5986" spans="1:9" s="65" customFormat="1">
      <c r="H5986" s="156"/>
      <c r="I5986" s="151"/>
    </row>
    <row r="5987" spans="1:9" s="65" customFormat="1">
      <c r="A5987" s="645"/>
      <c r="B5987" s="156"/>
      <c r="C5987" s="156"/>
      <c r="D5987" s="156"/>
      <c r="E5987" s="156"/>
      <c r="F5987" s="156"/>
      <c r="G5987" s="156"/>
      <c r="H5987" s="156"/>
      <c r="I5987" s="152"/>
    </row>
    <row r="5988" spans="1:9" s="65" customFormat="1">
      <c r="A5988" s="645"/>
      <c r="B5988" s="156"/>
      <c r="C5988" s="156"/>
      <c r="D5988" s="156"/>
      <c r="E5988" s="156"/>
      <c r="F5988" s="156"/>
      <c r="G5988" s="156"/>
    </row>
    <row r="5989" spans="1:9" s="65" customFormat="1">
      <c r="A5989" s="69"/>
      <c r="B5989" s="69"/>
      <c r="C5989" s="69"/>
      <c r="D5989" s="69"/>
      <c r="E5989" s="69"/>
    </row>
    <row r="5990" spans="1:9" s="65" customFormat="1">
      <c r="A5990" s="120"/>
      <c r="B5990" s="73"/>
      <c r="C5990" s="73"/>
      <c r="D5990" s="73"/>
      <c r="E5990" s="73"/>
      <c r="F5990" s="121"/>
      <c r="G5990" s="121"/>
      <c r="H5990" s="121"/>
    </row>
    <row r="5991" spans="1:9" s="65" customFormat="1">
      <c r="A5991" s="128"/>
      <c r="B5991" s="141"/>
      <c r="C5991" s="141"/>
      <c r="D5991" s="141"/>
      <c r="E5991" s="141"/>
      <c r="F5991" s="141"/>
      <c r="G5991" s="141"/>
      <c r="H5991" s="121"/>
    </row>
    <row r="5992" spans="1:9" s="65" customFormat="1">
      <c r="A5992" s="142"/>
      <c r="B5992" s="143"/>
      <c r="C5992" s="143"/>
      <c r="D5992" s="143"/>
      <c r="E5992" s="143"/>
      <c r="F5992" s="84"/>
      <c r="G5992" s="144"/>
      <c r="H5992" s="145"/>
    </row>
    <row r="5993" spans="1:9" s="65" customFormat="1">
      <c r="A5993" s="84"/>
      <c r="B5993" s="83"/>
      <c r="C5993" s="84"/>
      <c r="D5993" s="84"/>
      <c r="E5993" s="84"/>
      <c r="G5993" s="104"/>
      <c r="H5993" s="140"/>
    </row>
    <row r="5994" spans="1:9" s="65" customFormat="1">
      <c r="A5994" s="120"/>
      <c r="B5994" s="73"/>
      <c r="C5994" s="73"/>
      <c r="D5994" s="73"/>
      <c r="E5994" s="73"/>
      <c r="G5994" s="121"/>
      <c r="H5994" s="140"/>
    </row>
    <row r="5995" spans="1:9" s="65" customFormat="1">
      <c r="A5995" s="128"/>
      <c r="B5995" s="141"/>
      <c r="C5995" s="141"/>
      <c r="D5995" s="141"/>
      <c r="E5995" s="141"/>
      <c r="F5995" s="141"/>
      <c r="G5995" s="141"/>
      <c r="H5995" s="140"/>
    </row>
    <row r="5996" spans="1:9" s="65" customFormat="1">
      <c r="A5996" s="150"/>
      <c r="B5996" s="83"/>
      <c r="C5996" s="148"/>
      <c r="D5996" s="160"/>
      <c r="E5996" s="84"/>
      <c r="F5996" s="84"/>
      <c r="G5996" s="144"/>
      <c r="H5996" s="145"/>
    </row>
    <row r="5997" spans="1:9" s="65" customFormat="1">
      <c r="A5997" s="91"/>
      <c r="B5997" s="91"/>
      <c r="C5997" s="91"/>
      <c r="D5997" s="91"/>
      <c r="E5997" s="91"/>
      <c r="G5997" s="104"/>
      <c r="H5997" s="140"/>
    </row>
    <row r="5998" spans="1:9" s="65" customFormat="1">
      <c r="A5998" s="120"/>
      <c r="B5998" s="73"/>
      <c r="C5998" s="73"/>
      <c r="D5998" s="73"/>
      <c r="E5998" s="73"/>
      <c r="G5998" s="121"/>
      <c r="H5998" s="140"/>
    </row>
    <row r="5999" spans="1:9" s="65" customFormat="1">
      <c r="A5999" s="128"/>
      <c r="B5999" s="141"/>
      <c r="C5999" s="141"/>
      <c r="D5999" s="141"/>
      <c r="E5999" s="141"/>
      <c r="F5999" s="141"/>
      <c r="G5999" s="141"/>
      <c r="H5999" s="140"/>
    </row>
    <row r="6000" spans="1:9" s="65" customFormat="1">
      <c r="A6000" s="142"/>
      <c r="B6000" s="143"/>
      <c r="C6000" s="143"/>
      <c r="D6000" s="143"/>
      <c r="E6000" s="143"/>
      <c r="F6000" s="84"/>
      <c r="G6000" s="144"/>
      <c r="H6000" s="145"/>
    </row>
    <row r="6001" spans="1:9" s="65" customFormat="1">
      <c r="A6001" s="91"/>
      <c r="B6001" s="91"/>
      <c r="C6001" s="91"/>
      <c r="D6001" s="91"/>
      <c r="E6001" s="91"/>
      <c r="G6001" s="104"/>
      <c r="H6001" s="140"/>
    </row>
    <row r="6002" spans="1:9" s="65" customFormat="1">
      <c r="A6002" s="120"/>
      <c r="B6002" s="73"/>
      <c r="C6002" s="73"/>
      <c r="D6002" s="73"/>
      <c r="E6002" s="73"/>
      <c r="G6002" s="121"/>
      <c r="H6002" s="140"/>
    </row>
    <row r="6003" spans="1:9" s="65" customFormat="1">
      <c r="A6003" s="128"/>
      <c r="B6003" s="141"/>
      <c r="C6003" s="141"/>
      <c r="D6003" s="141"/>
      <c r="E6003" s="141"/>
      <c r="F6003" s="141"/>
      <c r="G6003" s="141"/>
      <c r="H6003" s="140"/>
    </row>
    <row r="6004" spans="1:9" s="65" customFormat="1">
      <c r="A6004" s="142"/>
      <c r="B6004" s="143"/>
      <c r="C6004" s="143"/>
      <c r="D6004" s="143"/>
      <c r="E6004" s="143"/>
      <c r="F6004" s="84"/>
      <c r="G6004" s="144"/>
      <c r="H6004" s="145"/>
    </row>
    <row r="6005" spans="1:9" s="65" customFormat="1">
      <c r="A6005" s="123"/>
      <c r="B6005" s="95"/>
      <c r="C6005" s="95"/>
      <c r="D6005" s="95"/>
      <c r="E6005" s="95"/>
      <c r="G6005" s="104"/>
      <c r="H6005" s="121"/>
    </row>
    <row r="6006" spans="1:9" s="65" customFormat="1">
      <c r="A6006" s="123"/>
      <c r="B6006" s="95"/>
      <c r="C6006" s="95"/>
      <c r="D6006" s="95"/>
      <c r="E6006" s="95"/>
      <c r="G6006" s="121"/>
      <c r="H6006" s="133"/>
    </row>
    <row r="6007" spans="1:9" s="65" customFormat="1">
      <c r="B6007" s="97"/>
      <c r="C6007" s="98"/>
      <c r="D6007" s="98"/>
      <c r="E6007" s="98"/>
      <c r="G6007" s="128"/>
    </row>
    <row r="6008" spans="1:9" s="65" customFormat="1">
      <c r="B6008" s="97"/>
      <c r="C6008" s="98"/>
      <c r="D6008" s="98"/>
      <c r="E6008" s="98"/>
      <c r="F6008" s="128"/>
      <c r="G6008" s="133"/>
      <c r="H6008" s="134"/>
    </row>
    <row r="6009" spans="1:9" s="65" customFormat="1">
      <c r="A6009" s="633"/>
      <c r="B6009" s="633"/>
      <c r="C6009" s="633"/>
      <c r="D6009" s="633"/>
      <c r="E6009" s="633"/>
      <c r="F6009" s="633"/>
      <c r="G6009" s="633"/>
    </row>
    <row r="6010" spans="1:9" s="65" customFormat="1">
      <c r="H6010" s="156"/>
      <c r="I6010" s="151"/>
    </row>
    <row r="6011" spans="1:9" s="65" customFormat="1">
      <c r="A6011" s="645"/>
      <c r="B6011" s="156"/>
      <c r="C6011" s="156"/>
      <c r="D6011" s="156"/>
      <c r="E6011" s="156"/>
      <c r="F6011" s="156"/>
      <c r="G6011" s="156"/>
      <c r="H6011" s="156"/>
      <c r="I6011" s="152"/>
    </row>
    <row r="6012" spans="1:9" s="65" customFormat="1">
      <c r="A6012" s="645"/>
      <c r="B6012" s="156"/>
      <c r="C6012" s="156"/>
      <c r="D6012" s="156"/>
      <c r="E6012" s="156"/>
      <c r="F6012" s="156"/>
      <c r="G6012" s="156"/>
    </row>
    <row r="6013" spans="1:9" s="65" customFormat="1">
      <c r="A6013" s="69"/>
      <c r="B6013" s="69"/>
      <c r="C6013" s="69"/>
      <c r="D6013" s="69"/>
      <c r="E6013" s="69"/>
    </row>
    <row r="6014" spans="1:9" s="65" customFormat="1">
      <c r="A6014" s="120"/>
      <c r="B6014" s="73"/>
      <c r="C6014" s="73"/>
      <c r="D6014" s="73"/>
      <c r="E6014" s="73"/>
      <c r="F6014" s="121"/>
      <c r="G6014" s="121"/>
      <c r="H6014" s="121"/>
    </row>
    <row r="6015" spans="1:9" s="65" customFormat="1">
      <c r="A6015" s="128"/>
      <c r="B6015" s="141"/>
      <c r="C6015" s="141"/>
      <c r="D6015" s="141"/>
      <c r="E6015" s="141"/>
      <c r="F6015" s="141"/>
      <c r="G6015" s="141"/>
      <c r="H6015" s="121"/>
    </row>
    <row r="6016" spans="1:9" s="65" customFormat="1">
      <c r="A6016" s="142"/>
      <c r="B6016" s="143"/>
      <c r="C6016" s="143"/>
      <c r="D6016" s="143"/>
      <c r="E6016" s="143"/>
      <c r="F6016" s="84"/>
      <c r="G6016" s="144"/>
      <c r="H6016" s="145"/>
    </row>
    <row r="6017" spans="1:8" s="65" customFormat="1">
      <c r="A6017" s="84"/>
      <c r="B6017" s="83"/>
      <c r="C6017" s="84"/>
      <c r="D6017" s="84"/>
      <c r="E6017" s="84"/>
      <c r="G6017" s="104"/>
      <c r="H6017" s="140"/>
    </row>
    <row r="6018" spans="1:8" s="65" customFormat="1">
      <c r="A6018" s="120"/>
      <c r="B6018" s="73"/>
      <c r="C6018" s="73"/>
      <c r="D6018" s="73"/>
      <c r="E6018" s="73"/>
      <c r="G6018" s="121"/>
      <c r="H6018" s="140"/>
    </row>
    <row r="6019" spans="1:8" s="65" customFormat="1">
      <c r="A6019" s="128"/>
      <c r="B6019" s="141"/>
      <c r="C6019" s="141"/>
      <c r="D6019" s="141"/>
      <c r="E6019" s="141"/>
      <c r="F6019" s="141"/>
      <c r="G6019" s="141"/>
      <c r="H6019" s="140"/>
    </row>
    <row r="6020" spans="1:8" s="65" customFormat="1">
      <c r="A6020" s="150"/>
      <c r="B6020" s="83"/>
      <c r="C6020" s="148"/>
      <c r="D6020" s="160"/>
      <c r="E6020" s="84"/>
      <c r="F6020" s="84"/>
      <c r="G6020" s="144"/>
      <c r="H6020" s="145"/>
    </row>
    <row r="6021" spans="1:8" s="65" customFormat="1">
      <c r="A6021" s="91"/>
      <c r="B6021" s="91"/>
      <c r="C6021" s="91"/>
      <c r="D6021" s="91"/>
      <c r="E6021" s="91"/>
      <c r="G6021" s="104"/>
      <c r="H6021" s="140"/>
    </row>
    <row r="6022" spans="1:8" s="65" customFormat="1">
      <c r="A6022" s="120"/>
      <c r="B6022" s="73"/>
      <c r="C6022" s="73"/>
      <c r="D6022" s="73"/>
      <c r="E6022" s="73"/>
      <c r="G6022" s="121"/>
      <c r="H6022" s="140"/>
    </row>
    <row r="6023" spans="1:8" s="65" customFormat="1">
      <c r="A6023" s="128"/>
      <c r="B6023" s="141"/>
      <c r="C6023" s="141"/>
      <c r="D6023" s="141"/>
      <c r="E6023" s="141"/>
      <c r="F6023" s="141"/>
      <c r="G6023" s="141"/>
      <c r="H6023" s="140"/>
    </row>
    <row r="6024" spans="1:8" s="65" customFormat="1">
      <c r="A6024" s="142"/>
      <c r="B6024" s="143"/>
      <c r="C6024" s="143"/>
      <c r="D6024" s="143"/>
      <c r="E6024" s="143"/>
      <c r="F6024" s="84"/>
      <c r="G6024" s="144"/>
      <c r="H6024" s="145"/>
    </row>
    <row r="6025" spans="1:8" s="65" customFormat="1">
      <c r="A6025" s="91"/>
      <c r="B6025" s="91"/>
      <c r="C6025" s="91"/>
      <c r="D6025" s="91"/>
      <c r="E6025" s="91"/>
      <c r="G6025" s="104"/>
      <c r="H6025" s="140"/>
    </row>
    <row r="6026" spans="1:8" s="65" customFormat="1">
      <c r="A6026" s="120"/>
      <c r="B6026" s="73"/>
      <c r="C6026" s="73"/>
      <c r="D6026" s="73"/>
      <c r="E6026" s="73"/>
      <c r="G6026" s="121"/>
      <c r="H6026" s="140"/>
    </row>
    <row r="6027" spans="1:8" s="65" customFormat="1">
      <c r="A6027" s="128"/>
      <c r="B6027" s="141"/>
      <c r="C6027" s="141"/>
      <c r="D6027" s="141"/>
      <c r="E6027" s="141"/>
      <c r="F6027" s="141"/>
      <c r="G6027" s="141"/>
      <c r="H6027" s="140"/>
    </row>
    <row r="6028" spans="1:8" s="65" customFormat="1">
      <c r="A6028" s="142"/>
      <c r="B6028" s="143"/>
      <c r="C6028" s="143"/>
      <c r="D6028" s="143"/>
      <c r="E6028" s="143"/>
      <c r="F6028" s="84"/>
      <c r="G6028" s="144"/>
      <c r="H6028" s="145"/>
    </row>
    <row r="6029" spans="1:8" s="65" customFormat="1">
      <c r="A6029" s="123"/>
      <c r="B6029" s="95"/>
      <c r="C6029" s="95"/>
      <c r="D6029" s="95"/>
      <c r="E6029" s="95"/>
      <c r="G6029" s="104"/>
      <c r="H6029" s="121"/>
    </row>
    <row r="6030" spans="1:8" s="65" customFormat="1">
      <c r="A6030" s="123"/>
      <c r="B6030" s="95"/>
      <c r="C6030" s="95"/>
      <c r="D6030" s="95"/>
      <c r="E6030" s="95"/>
      <c r="G6030" s="121"/>
      <c r="H6030" s="133"/>
    </row>
    <row r="6031" spans="1:8" s="65" customFormat="1">
      <c r="B6031" s="97"/>
      <c r="C6031" s="98"/>
      <c r="D6031" s="98"/>
      <c r="E6031" s="98"/>
      <c r="G6031" s="128"/>
    </row>
    <row r="6032" spans="1:8" s="65" customFormat="1">
      <c r="B6032" s="97"/>
      <c r="C6032" s="98"/>
      <c r="D6032" s="98"/>
      <c r="E6032" s="98"/>
      <c r="F6032" s="128"/>
      <c r="G6032" s="133"/>
      <c r="H6032" s="134"/>
    </row>
    <row r="6033" spans="1:9" s="65" customFormat="1">
      <c r="A6033" s="633"/>
      <c r="B6033" s="633"/>
      <c r="C6033" s="633"/>
      <c r="D6033" s="633"/>
      <c r="E6033" s="633"/>
      <c r="F6033" s="633"/>
      <c r="G6033" s="633"/>
    </row>
    <row r="6034" spans="1:9" s="65" customFormat="1">
      <c r="H6034" s="156"/>
      <c r="I6034" s="151"/>
    </row>
    <row r="6035" spans="1:9" s="65" customFormat="1">
      <c r="A6035" s="645"/>
      <c r="B6035" s="156"/>
      <c r="C6035" s="156"/>
      <c r="D6035" s="156"/>
      <c r="E6035" s="156"/>
      <c r="F6035" s="156"/>
      <c r="G6035" s="156"/>
      <c r="H6035" s="156"/>
      <c r="I6035" s="152"/>
    </row>
    <row r="6036" spans="1:9" s="65" customFormat="1">
      <c r="A6036" s="645"/>
      <c r="B6036" s="156"/>
      <c r="C6036" s="156"/>
      <c r="D6036" s="156"/>
      <c r="E6036" s="156"/>
      <c r="F6036" s="156"/>
      <c r="G6036" s="156"/>
    </row>
    <row r="6037" spans="1:9" s="65" customFormat="1">
      <c r="A6037" s="69"/>
      <c r="B6037" s="69"/>
      <c r="C6037" s="69"/>
      <c r="D6037" s="69"/>
      <c r="E6037" s="69"/>
    </row>
    <row r="6038" spans="1:9" s="65" customFormat="1">
      <c r="A6038" s="120"/>
      <c r="B6038" s="73"/>
      <c r="C6038" s="73"/>
      <c r="D6038" s="73"/>
      <c r="E6038" s="73"/>
      <c r="F6038" s="121"/>
      <c r="G6038" s="121"/>
      <c r="H6038" s="121"/>
    </row>
    <row r="6039" spans="1:9" s="65" customFormat="1">
      <c r="A6039" s="128"/>
      <c r="B6039" s="141"/>
      <c r="C6039" s="141"/>
      <c r="D6039" s="141"/>
      <c r="E6039" s="141"/>
      <c r="F6039" s="141"/>
      <c r="G6039" s="141"/>
      <c r="H6039" s="121"/>
    </row>
    <row r="6040" spans="1:9" s="65" customFormat="1">
      <c r="A6040" s="142"/>
      <c r="B6040" s="143"/>
      <c r="C6040" s="143"/>
      <c r="D6040" s="143"/>
      <c r="E6040" s="143"/>
      <c r="F6040" s="84"/>
      <c r="G6040" s="144"/>
      <c r="H6040" s="145"/>
    </row>
    <row r="6041" spans="1:9" s="65" customFormat="1">
      <c r="A6041" s="84"/>
      <c r="B6041" s="83"/>
      <c r="C6041" s="84"/>
      <c r="D6041" s="84"/>
      <c r="E6041" s="84"/>
      <c r="G6041" s="104"/>
      <c r="H6041" s="140"/>
    </row>
    <row r="6042" spans="1:9" s="65" customFormat="1">
      <c r="A6042" s="120"/>
      <c r="B6042" s="73"/>
      <c r="C6042" s="73"/>
      <c r="D6042" s="73"/>
      <c r="E6042" s="73"/>
      <c r="G6042" s="121"/>
      <c r="H6042" s="140"/>
    </row>
    <row r="6043" spans="1:9" s="65" customFormat="1">
      <c r="A6043" s="128"/>
      <c r="B6043" s="141"/>
      <c r="C6043" s="141"/>
      <c r="D6043" s="141"/>
      <c r="E6043" s="141"/>
      <c r="F6043" s="141"/>
      <c r="G6043" s="141"/>
      <c r="H6043" s="140"/>
    </row>
    <row r="6044" spans="1:9" s="65" customFormat="1">
      <c r="A6044" s="150"/>
      <c r="B6044" s="83"/>
      <c r="C6044" s="148"/>
      <c r="D6044" s="160"/>
      <c r="E6044" s="84"/>
      <c r="F6044" s="84"/>
      <c r="G6044" s="144"/>
      <c r="H6044" s="145"/>
    </row>
    <row r="6045" spans="1:9" s="65" customFormat="1">
      <c r="A6045" s="91"/>
      <c r="B6045" s="91"/>
      <c r="C6045" s="91"/>
      <c r="D6045" s="91"/>
      <c r="E6045" s="91"/>
      <c r="G6045" s="104"/>
      <c r="H6045" s="140"/>
    </row>
    <row r="6046" spans="1:9" s="65" customFormat="1">
      <c r="A6046" s="120"/>
      <c r="B6046" s="73"/>
      <c r="C6046" s="73"/>
      <c r="D6046" s="73"/>
      <c r="E6046" s="73"/>
      <c r="G6046" s="121"/>
      <c r="H6046" s="140"/>
    </row>
    <row r="6047" spans="1:9" s="65" customFormat="1">
      <c r="A6047" s="128"/>
      <c r="B6047" s="141"/>
      <c r="C6047" s="141"/>
      <c r="D6047" s="141"/>
      <c r="E6047" s="141"/>
      <c r="F6047" s="141"/>
      <c r="G6047" s="141"/>
      <c r="H6047" s="140"/>
    </row>
    <row r="6048" spans="1:9" s="65" customFormat="1">
      <c r="A6048" s="142"/>
      <c r="B6048" s="143"/>
      <c r="C6048" s="143"/>
      <c r="D6048" s="143"/>
      <c r="E6048" s="143"/>
      <c r="F6048" s="84"/>
      <c r="G6048" s="144"/>
      <c r="H6048" s="145"/>
    </row>
    <row r="6049" spans="1:9" s="65" customFormat="1">
      <c r="A6049" s="91"/>
      <c r="B6049" s="91"/>
      <c r="C6049" s="91"/>
      <c r="D6049" s="91"/>
      <c r="E6049" s="91"/>
      <c r="G6049" s="104"/>
      <c r="H6049" s="140"/>
    </row>
    <row r="6050" spans="1:9" s="65" customFormat="1">
      <c r="A6050" s="120"/>
      <c r="B6050" s="73"/>
      <c r="C6050" s="73"/>
      <c r="D6050" s="73"/>
      <c r="E6050" s="73"/>
      <c r="G6050" s="121"/>
      <c r="H6050" s="140"/>
    </row>
    <row r="6051" spans="1:9" s="65" customFormat="1">
      <c r="A6051" s="128"/>
      <c r="B6051" s="141"/>
      <c r="C6051" s="141"/>
      <c r="D6051" s="141"/>
      <c r="E6051" s="141"/>
      <c r="F6051" s="141"/>
      <c r="G6051" s="141"/>
      <c r="H6051" s="140"/>
    </row>
    <row r="6052" spans="1:9" s="65" customFormat="1">
      <c r="A6052" s="142"/>
      <c r="B6052" s="143"/>
      <c r="C6052" s="143"/>
      <c r="D6052" s="143"/>
      <c r="E6052" s="143"/>
      <c r="F6052" s="84"/>
      <c r="G6052" s="144"/>
      <c r="H6052" s="145"/>
    </row>
    <row r="6053" spans="1:9" s="65" customFormat="1">
      <c r="A6053" s="123"/>
      <c r="B6053" s="95"/>
      <c r="C6053" s="95"/>
      <c r="D6053" s="95"/>
      <c r="E6053" s="95"/>
      <c r="G6053" s="104"/>
      <c r="H6053" s="121"/>
    </row>
    <row r="6054" spans="1:9" s="65" customFormat="1">
      <c r="A6054" s="123"/>
      <c r="B6054" s="95"/>
      <c r="C6054" s="95"/>
      <c r="D6054" s="95"/>
      <c r="E6054" s="95"/>
      <c r="G6054" s="121"/>
      <c r="H6054" s="133"/>
    </row>
    <row r="6055" spans="1:9" s="65" customFormat="1">
      <c r="B6055" s="97"/>
      <c r="C6055" s="98"/>
      <c r="D6055" s="98"/>
      <c r="E6055" s="98"/>
      <c r="G6055" s="128"/>
    </row>
    <row r="6056" spans="1:9" s="65" customFormat="1">
      <c r="B6056" s="97"/>
      <c r="C6056" s="98"/>
      <c r="D6056" s="98"/>
      <c r="E6056" s="98"/>
      <c r="F6056" s="128"/>
      <c r="G6056" s="133"/>
      <c r="H6056" s="134"/>
    </row>
    <row r="6057" spans="1:9" s="65" customFormat="1">
      <c r="A6057" s="633"/>
      <c r="B6057" s="633"/>
      <c r="C6057" s="633"/>
      <c r="D6057" s="633"/>
      <c r="E6057" s="633"/>
      <c r="F6057" s="633"/>
      <c r="G6057" s="633"/>
    </row>
    <row r="6058" spans="1:9" s="65" customFormat="1">
      <c r="H6058" s="156"/>
      <c r="I6058" s="151"/>
    </row>
    <row r="6059" spans="1:9" s="65" customFormat="1" ht="18.75" customHeight="1">
      <c r="A6059" s="645"/>
      <c r="B6059" s="156"/>
      <c r="C6059" s="156"/>
      <c r="D6059" s="156"/>
      <c r="E6059" s="156"/>
      <c r="F6059" s="156"/>
      <c r="G6059" s="156"/>
      <c r="H6059" s="156"/>
      <c r="I6059" s="152"/>
    </row>
    <row r="6060" spans="1:9" s="65" customFormat="1">
      <c r="A6060" s="645"/>
      <c r="B6060" s="156"/>
      <c r="C6060" s="156"/>
      <c r="D6060" s="156"/>
      <c r="E6060" s="156"/>
      <c r="F6060" s="156"/>
      <c r="G6060" s="156"/>
    </row>
    <row r="6061" spans="1:9" s="65" customFormat="1">
      <c r="A6061" s="69"/>
      <c r="B6061" s="69"/>
      <c r="C6061" s="69"/>
      <c r="D6061" s="69"/>
      <c r="E6061" s="69"/>
    </row>
    <row r="6062" spans="1:9" s="65" customFormat="1">
      <c r="A6062" s="120"/>
      <c r="B6062" s="73"/>
      <c r="C6062" s="73"/>
      <c r="D6062" s="73"/>
      <c r="E6062" s="73"/>
      <c r="F6062" s="121"/>
      <c r="G6062" s="121"/>
      <c r="H6062" s="121"/>
    </row>
    <row r="6063" spans="1:9" s="65" customFormat="1">
      <c r="A6063" s="128"/>
      <c r="B6063" s="141"/>
      <c r="C6063" s="141"/>
      <c r="D6063" s="141"/>
      <c r="E6063" s="141"/>
      <c r="F6063" s="141"/>
      <c r="G6063" s="141"/>
      <c r="H6063" s="121"/>
    </row>
    <row r="6064" spans="1:9" s="65" customFormat="1">
      <c r="A6064" s="142"/>
      <c r="B6064" s="143"/>
      <c r="C6064" s="143"/>
      <c r="D6064" s="143"/>
      <c r="E6064" s="143"/>
      <c r="F6064" s="84"/>
      <c r="G6064" s="144"/>
      <c r="H6064" s="145"/>
    </row>
    <row r="6065" spans="1:8" s="65" customFormat="1">
      <c r="A6065" s="84"/>
      <c r="B6065" s="83"/>
      <c r="C6065" s="84"/>
      <c r="D6065" s="84"/>
      <c r="E6065" s="84"/>
      <c r="G6065" s="104"/>
      <c r="H6065" s="140"/>
    </row>
    <row r="6066" spans="1:8" s="65" customFormat="1">
      <c r="A6066" s="120"/>
      <c r="B6066" s="73"/>
      <c r="C6066" s="73"/>
      <c r="D6066" s="73"/>
      <c r="E6066" s="73"/>
      <c r="G6066" s="121"/>
      <c r="H6066" s="140"/>
    </row>
    <row r="6067" spans="1:8" s="65" customFormat="1">
      <c r="A6067" s="128"/>
      <c r="B6067" s="141"/>
      <c r="C6067" s="141"/>
      <c r="D6067" s="141"/>
      <c r="E6067" s="141"/>
      <c r="F6067" s="141"/>
      <c r="G6067" s="141"/>
      <c r="H6067" s="140"/>
    </row>
    <row r="6068" spans="1:8" s="65" customFormat="1">
      <c r="A6068" s="150"/>
      <c r="B6068" s="83"/>
      <c r="C6068" s="148"/>
      <c r="D6068" s="160"/>
      <c r="E6068" s="84"/>
      <c r="F6068" s="84"/>
      <c r="G6068" s="144"/>
      <c r="H6068" s="145"/>
    </row>
    <row r="6069" spans="1:8" s="65" customFormat="1">
      <c r="A6069" s="91"/>
      <c r="B6069" s="91"/>
      <c r="C6069" s="91"/>
      <c r="D6069" s="91"/>
      <c r="E6069" s="91"/>
      <c r="G6069" s="104"/>
      <c r="H6069" s="140"/>
    </row>
    <row r="6070" spans="1:8" s="65" customFormat="1">
      <c r="A6070" s="120"/>
      <c r="B6070" s="73"/>
      <c r="C6070" s="73"/>
      <c r="D6070" s="73"/>
      <c r="E6070" s="73"/>
      <c r="G6070" s="121"/>
      <c r="H6070" s="140"/>
    </row>
    <row r="6071" spans="1:8" s="65" customFormat="1">
      <c r="A6071" s="128"/>
      <c r="B6071" s="141"/>
      <c r="C6071" s="141"/>
      <c r="D6071" s="141"/>
      <c r="E6071" s="141"/>
      <c r="F6071" s="141"/>
      <c r="G6071" s="141"/>
      <c r="H6071" s="140"/>
    </row>
    <row r="6072" spans="1:8" s="65" customFormat="1">
      <c r="A6072" s="142"/>
      <c r="B6072" s="143"/>
      <c r="C6072" s="143"/>
      <c r="D6072" s="143"/>
      <c r="E6072" s="143"/>
      <c r="F6072" s="84"/>
      <c r="G6072" s="144"/>
      <c r="H6072" s="145"/>
    </row>
    <row r="6073" spans="1:8" s="65" customFormat="1">
      <c r="A6073" s="91"/>
      <c r="B6073" s="91"/>
      <c r="C6073" s="91"/>
      <c r="D6073" s="91"/>
      <c r="E6073" s="91"/>
      <c r="G6073" s="104"/>
      <c r="H6073" s="140"/>
    </row>
    <row r="6074" spans="1:8" s="65" customFormat="1">
      <c r="A6074" s="120"/>
      <c r="B6074" s="73"/>
      <c r="C6074" s="73"/>
      <c r="D6074" s="73"/>
      <c r="E6074" s="73"/>
      <c r="G6074" s="121"/>
      <c r="H6074" s="140"/>
    </row>
    <row r="6075" spans="1:8" s="65" customFormat="1">
      <c r="A6075" s="128"/>
      <c r="B6075" s="141"/>
      <c r="C6075" s="141"/>
      <c r="D6075" s="141"/>
      <c r="E6075" s="141"/>
      <c r="F6075" s="141"/>
      <c r="G6075" s="141"/>
      <c r="H6075" s="140"/>
    </row>
    <row r="6076" spans="1:8" s="65" customFormat="1">
      <c r="A6076" s="142"/>
      <c r="B6076" s="143"/>
      <c r="C6076" s="143"/>
      <c r="D6076" s="143"/>
      <c r="E6076" s="143"/>
      <c r="F6076" s="84"/>
      <c r="G6076" s="144"/>
      <c r="H6076" s="145"/>
    </row>
    <row r="6077" spans="1:8" s="65" customFormat="1">
      <c r="A6077" s="123"/>
      <c r="B6077" s="95"/>
      <c r="C6077" s="95"/>
      <c r="D6077" s="95"/>
      <c r="E6077" s="95"/>
      <c r="G6077" s="104"/>
      <c r="H6077" s="121"/>
    </row>
    <row r="6078" spans="1:8" s="65" customFormat="1">
      <c r="A6078" s="123"/>
      <c r="B6078" s="95"/>
      <c r="C6078" s="95"/>
      <c r="D6078" s="95"/>
      <c r="E6078" s="95"/>
      <c r="G6078" s="121"/>
      <c r="H6078" s="133"/>
    </row>
    <row r="6079" spans="1:8" s="65" customFormat="1">
      <c r="B6079" s="97"/>
      <c r="C6079" s="98"/>
      <c r="D6079" s="98"/>
      <c r="E6079" s="98"/>
      <c r="G6079" s="128"/>
    </row>
    <row r="6080" spans="1:8" s="65" customFormat="1">
      <c r="B6080" s="97"/>
      <c r="C6080" s="98"/>
      <c r="D6080" s="98"/>
      <c r="E6080" s="98"/>
      <c r="F6080" s="128"/>
      <c r="G6080" s="133"/>
      <c r="H6080" s="134"/>
    </row>
    <row r="6081" spans="1:9" s="65" customFormat="1">
      <c r="A6081" s="633"/>
      <c r="B6081" s="633"/>
      <c r="C6081" s="633"/>
      <c r="D6081" s="633"/>
      <c r="E6081" s="633"/>
      <c r="F6081" s="633"/>
      <c r="G6081" s="633"/>
    </row>
    <row r="6082" spans="1:9" s="65" customFormat="1">
      <c r="H6082" s="156"/>
      <c r="I6082" s="151"/>
    </row>
    <row r="6083" spans="1:9" s="65" customFormat="1">
      <c r="A6083" s="645"/>
      <c r="B6083" s="156"/>
      <c r="C6083" s="156"/>
      <c r="D6083" s="156"/>
      <c r="E6083" s="156"/>
      <c r="F6083" s="156"/>
      <c r="G6083" s="156"/>
      <c r="H6083" s="156"/>
      <c r="I6083" s="152"/>
    </row>
    <row r="6084" spans="1:9" s="65" customFormat="1">
      <c r="A6084" s="645"/>
      <c r="B6084" s="156"/>
      <c r="C6084" s="156"/>
      <c r="D6084" s="156"/>
      <c r="E6084" s="156"/>
      <c r="F6084" s="156"/>
      <c r="G6084" s="156"/>
    </row>
    <row r="6085" spans="1:9" s="65" customFormat="1">
      <c r="A6085" s="69"/>
      <c r="B6085" s="69"/>
      <c r="C6085" s="69"/>
      <c r="D6085" s="69"/>
      <c r="E6085" s="69"/>
    </row>
    <row r="6086" spans="1:9" s="65" customFormat="1">
      <c r="A6086" s="120"/>
      <c r="B6086" s="73"/>
      <c r="C6086" s="73"/>
      <c r="D6086" s="73"/>
      <c r="E6086" s="73"/>
      <c r="F6086" s="121"/>
      <c r="G6086" s="121"/>
      <c r="H6086" s="121"/>
    </row>
    <row r="6087" spans="1:9" s="65" customFormat="1">
      <c r="A6087" s="128"/>
      <c r="B6087" s="141"/>
      <c r="C6087" s="141"/>
      <c r="D6087" s="141"/>
      <c r="E6087" s="141"/>
      <c r="F6087" s="141"/>
      <c r="G6087" s="141"/>
      <c r="H6087" s="121"/>
    </row>
    <row r="6088" spans="1:9" s="65" customFormat="1">
      <c r="A6088" s="84"/>
      <c r="B6088" s="83"/>
      <c r="C6088" s="84"/>
      <c r="D6088" s="84"/>
      <c r="E6088" s="84"/>
      <c r="F6088" s="84"/>
      <c r="G6088" s="144"/>
      <c r="H6088" s="133"/>
    </row>
    <row r="6089" spans="1:9" s="65" customFormat="1">
      <c r="A6089" s="84"/>
      <c r="B6089" s="83"/>
      <c r="C6089" s="84"/>
      <c r="D6089" s="84"/>
      <c r="E6089" s="84"/>
      <c r="G6089" s="104"/>
      <c r="H6089" s="140"/>
    </row>
    <row r="6090" spans="1:9" s="65" customFormat="1">
      <c r="A6090" s="120"/>
      <c r="B6090" s="73"/>
      <c r="C6090" s="73"/>
      <c r="D6090" s="73"/>
      <c r="E6090" s="73"/>
      <c r="G6090" s="121"/>
      <c r="H6090" s="140"/>
    </row>
    <row r="6091" spans="1:9" s="65" customFormat="1">
      <c r="A6091" s="128"/>
      <c r="B6091" s="141"/>
      <c r="C6091" s="141"/>
      <c r="D6091" s="141"/>
      <c r="E6091" s="141"/>
      <c r="F6091" s="141"/>
      <c r="G6091" s="141"/>
      <c r="H6091" s="140"/>
    </row>
    <row r="6092" spans="1:9" s="65" customFormat="1">
      <c r="A6092" s="84"/>
      <c r="B6092" s="83"/>
      <c r="C6092" s="84"/>
      <c r="D6092" s="84"/>
      <c r="E6092" s="84"/>
      <c r="F6092" s="141"/>
      <c r="G6092" s="168"/>
      <c r="H6092" s="140"/>
    </row>
    <row r="6093" spans="1:9" s="65" customFormat="1">
      <c r="A6093" s="150"/>
      <c r="B6093" s="83"/>
      <c r="C6093" s="148"/>
      <c r="D6093" s="84"/>
      <c r="E6093" s="84"/>
      <c r="F6093" s="141"/>
      <c r="G6093" s="168"/>
      <c r="H6093" s="140"/>
    </row>
    <row r="6094" spans="1:9" s="65" customFormat="1">
      <c r="A6094" s="150"/>
      <c r="B6094" s="83"/>
      <c r="C6094" s="148"/>
      <c r="D6094" s="84"/>
      <c r="E6094" s="84"/>
      <c r="F6094" s="141"/>
      <c r="G6094" s="168"/>
      <c r="H6094" s="140"/>
    </row>
    <row r="6095" spans="1:9" s="65" customFormat="1">
      <c r="A6095" s="150"/>
      <c r="B6095" s="83"/>
      <c r="C6095" s="148"/>
      <c r="D6095" s="84"/>
      <c r="E6095" s="84"/>
      <c r="F6095" s="84"/>
      <c r="G6095" s="168"/>
      <c r="H6095" s="133"/>
    </row>
    <row r="6096" spans="1:9" s="65" customFormat="1">
      <c r="A6096" s="91"/>
      <c r="B6096" s="91"/>
      <c r="C6096" s="91"/>
      <c r="D6096" s="91"/>
      <c r="E6096" s="91"/>
      <c r="G6096" s="104"/>
      <c r="H6096" s="140"/>
    </row>
    <row r="6097" spans="1:9" s="65" customFormat="1">
      <c r="A6097" s="120"/>
      <c r="B6097" s="73"/>
      <c r="C6097" s="73"/>
      <c r="D6097" s="73"/>
      <c r="E6097" s="73"/>
      <c r="G6097" s="121"/>
      <c r="H6097" s="140"/>
    </row>
    <row r="6098" spans="1:9" s="65" customFormat="1">
      <c r="A6098" s="128"/>
      <c r="B6098" s="141"/>
      <c r="C6098" s="141"/>
      <c r="D6098" s="141"/>
      <c r="E6098" s="141"/>
      <c r="F6098" s="141"/>
      <c r="G6098" s="141"/>
      <c r="H6098" s="140"/>
    </row>
    <row r="6099" spans="1:9" s="65" customFormat="1">
      <c r="A6099" s="146"/>
      <c r="B6099" s="147"/>
      <c r="C6099" s="148"/>
      <c r="D6099" s="84"/>
      <c r="E6099" s="143"/>
      <c r="F6099" s="84"/>
      <c r="G6099" s="144"/>
      <c r="H6099" s="133"/>
    </row>
    <row r="6100" spans="1:9" s="65" customFormat="1">
      <c r="A6100" s="91"/>
      <c r="B6100" s="91"/>
      <c r="C6100" s="91"/>
      <c r="D6100" s="91"/>
      <c r="E6100" s="91"/>
      <c r="G6100" s="104"/>
      <c r="H6100" s="140"/>
    </row>
    <row r="6101" spans="1:9" s="65" customFormat="1">
      <c r="A6101" s="120"/>
      <c r="B6101" s="73"/>
      <c r="C6101" s="73"/>
      <c r="D6101" s="73"/>
      <c r="E6101" s="73"/>
      <c r="G6101" s="121"/>
      <c r="H6101" s="140"/>
    </row>
    <row r="6102" spans="1:9" s="65" customFormat="1">
      <c r="A6102" s="128"/>
      <c r="B6102" s="141"/>
      <c r="C6102" s="141"/>
      <c r="D6102" s="141"/>
      <c r="E6102" s="141"/>
      <c r="F6102" s="141"/>
      <c r="G6102" s="141"/>
      <c r="H6102" s="140"/>
    </row>
    <row r="6103" spans="1:9" s="65" customFormat="1">
      <c r="A6103" s="142"/>
      <c r="B6103" s="143"/>
      <c r="C6103" s="143"/>
      <c r="D6103" s="143"/>
      <c r="E6103" s="143"/>
      <c r="F6103" s="84"/>
      <c r="G6103" s="144"/>
      <c r="H6103" s="145"/>
    </row>
    <row r="6104" spans="1:9" s="65" customFormat="1">
      <c r="A6104" s="123"/>
      <c r="B6104" s="95"/>
      <c r="C6104" s="95"/>
      <c r="D6104" s="95"/>
      <c r="E6104" s="95"/>
      <c r="G6104" s="104"/>
      <c r="H6104" s="121"/>
    </row>
    <row r="6105" spans="1:9" s="65" customFormat="1">
      <c r="A6105" s="123"/>
      <c r="B6105" s="95"/>
      <c r="C6105" s="95"/>
      <c r="D6105" s="95"/>
      <c r="E6105" s="95"/>
      <c r="G6105" s="121"/>
      <c r="H6105" s="133"/>
    </row>
    <row r="6106" spans="1:9" s="65" customFormat="1">
      <c r="B6106" s="97"/>
      <c r="C6106" s="98"/>
      <c r="D6106" s="98"/>
      <c r="E6106" s="98"/>
      <c r="G6106" s="128"/>
    </row>
    <row r="6107" spans="1:9" s="65" customFormat="1">
      <c r="B6107" s="97"/>
      <c r="C6107" s="98"/>
      <c r="D6107" s="98"/>
      <c r="E6107" s="98"/>
      <c r="F6107" s="128"/>
      <c r="G6107" s="133"/>
      <c r="H6107" s="134"/>
    </row>
    <row r="6108" spans="1:9" s="65" customFormat="1">
      <c r="A6108" s="633"/>
      <c r="B6108" s="633"/>
      <c r="C6108" s="633"/>
      <c r="D6108" s="633"/>
      <c r="E6108" s="633"/>
      <c r="F6108" s="633"/>
      <c r="G6108" s="633"/>
    </row>
    <row r="6109" spans="1:9" s="65" customFormat="1">
      <c r="H6109" s="156"/>
      <c r="I6109" s="151"/>
    </row>
    <row r="6110" spans="1:9" s="65" customFormat="1">
      <c r="A6110" s="645"/>
      <c r="B6110" s="156"/>
      <c r="C6110" s="156"/>
      <c r="D6110" s="156"/>
      <c r="E6110" s="156"/>
      <c r="F6110" s="156"/>
      <c r="G6110" s="156"/>
      <c r="H6110" s="156"/>
      <c r="I6110" s="152"/>
    </row>
    <row r="6111" spans="1:9" s="65" customFormat="1">
      <c r="A6111" s="645"/>
      <c r="B6111" s="156"/>
      <c r="C6111" s="156"/>
      <c r="D6111" s="156"/>
      <c r="E6111" s="156"/>
      <c r="F6111" s="156"/>
      <c r="G6111" s="156"/>
    </row>
    <row r="6112" spans="1:9" s="65" customFormat="1">
      <c r="A6112" s="69"/>
      <c r="B6112" s="69"/>
      <c r="C6112" s="69"/>
      <c r="D6112" s="69"/>
      <c r="E6112" s="69"/>
    </row>
    <row r="6113" spans="1:8" s="65" customFormat="1">
      <c r="A6113" s="120"/>
      <c r="B6113" s="73"/>
      <c r="C6113" s="73"/>
      <c r="D6113" s="73"/>
      <c r="E6113" s="73"/>
      <c r="F6113" s="121"/>
      <c r="G6113" s="121"/>
      <c r="H6113" s="121"/>
    </row>
    <row r="6114" spans="1:8" s="65" customFormat="1">
      <c r="A6114" s="128"/>
      <c r="B6114" s="141"/>
      <c r="C6114" s="141"/>
      <c r="D6114" s="141"/>
      <c r="E6114" s="141"/>
      <c r="F6114" s="141"/>
      <c r="G6114" s="141"/>
      <c r="H6114" s="121"/>
    </row>
    <row r="6115" spans="1:8" s="65" customFormat="1">
      <c r="A6115" s="84"/>
      <c r="B6115" s="83"/>
      <c r="C6115" s="84"/>
      <c r="D6115" s="84"/>
      <c r="E6115" s="84"/>
      <c r="F6115" s="84"/>
      <c r="G6115" s="144"/>
      <c r="H6115" s="133"/>
    </row>
    <row r="6116" spans="1:8" s="65" customFormat="1">
      <c r="A6116" s="84"/>
      <c r="B6116" s="83"/>
      <c r="C6116" s="84"/>
      <c r="D6116" s="84"/>
      <c r="E6116" s="84"/>
      <c r="G6116" s="104"/>
      <c r="H6116" s="140"/>
    </row>
    <row r="6117" spans="1:8" s="65" customFormat="1">
      <c r="A6117" s="120"/>
      <c r="B6117" s="73"/>
      <c r="C6117" s="73"/>
      <c r="D6117" s="73"/>
      <c r="E6117" s="73"/>
      <c r="G6117" s="121"/>
      <c r="H6117" s="140"/>
    </row>
    <row r="6118" spans="1:8" s="65" customFormat="1">
      <c r="A6118" s="128"/>
      <c r="B6118" s="141"/>
      <c r="C6118" s="141"/>
      <c r="D6118" s="141"/>
      <c r="E6118" s="141"/>
      <c r="F6118" s="141"/>
      <c r="G6118" s="141"/>
      <c r="H6118" s="140"/>
    </row>
    <row r="6119" spans="1:8" s="65" customFormat="1">
      <c r="A6119" s="172"/>
      <c r="B6119" s="83"/>
      <c r="C6119" s="84"/>
      <c r="D6119" s="84"/>
      <c r="E6119" s="84"/>
      <c r="F6119" s="141"/>
      <c r="G6119" s="168"/>
      <c r="H6119" s="140"/>
    </row>
    <row r="6120" spans="1:8" s="65" customFormat="1">
      <c r="A6120" s="173"/>
      <c r="B6120" s="83"/>
      <c r="C6120" s="148"/>
      <c r="D6120" s="84"/>
      <c r="E6120" s="84"/>
      <c r="F6120" s="141"/>
      <c r="G6120" s="168"/>
      <c r="H6120" s="140"/>
    </row>
    <row r="6121" spans="1:8" s="65" customFormat="1">
      <c r="A6121" s="150"/>
      <c r="B6121" s="83"/>
      <c r="C6121" s="148"/>
      <c r="D6121" s="84"/>
      <c r="E6121" s="84"/>
      <c r="F6121" s="141"/>
      <c r="G6121" s="168"/>
      <c r="H6121" s="140"/>
    </row>
    <row r="6122" spans="1:8" s="65" customFormat="1">
      <c r="A6122" s="150"/>
      <c r="B6122" s="83"/>
      <c r="C6122" s="148"/>
      <c r="D6122" s="84"/>
      <c r="E6122" s="84"/>
      <c r="F6122" s="84"/>
      <c r="G6122" s="168"/>
      <c r="H6122" s="133"/>
    </row>
    <row r="6123" spans="1:8" s="65" customFormat="1">
      <c r="A6123" s="91"/>
      <c r="B6123" s="91"/>
      <c r="C6123" s="91"/>
      <c r="D6123" s="91"/>
      <c r="E6123" s="91"/>
      <c r="G6123" s="104"/>
      <c r="H6123" s="140"/>
    </row>
    <row r="6124" spans="1:8" s="65" customFormat="1">
      <c r="A6124" s="120"/>
      <c r="B6124" s="73"/>
      <c r="C6124" s="73"/>
      <c r="D6124" s="73"/>
      <c r="E6124" s="73"/>
      <c r="G6124" s="121"/>
      <c r="H6124" s="140"/>
    </row>
    <row r="6125" spans="1:8" s="65" customFormat="1">
      <c r="A6125" s="128"/>
      <c r="B6125" s="141"/>
      <c r="C6125" s="141"/>
      <c r="D6125" s="141"/>
      <c r="E6125" s="141"/>
      <c r="F6125" s="141"/>
      <c r="G6125" s="141"/>
      <c r="H6125" s="140"/>
    </row>
    <row r="6126" spans="1:8" s="65" customFormat="1">
      <c r="A6126" s="146"/>
      <c r="B6126" s="147"/>
      <c r="C6126" s="148"/>
      <c r="D6126" s="84"/>
      <c r="E6126" s="143"/>
      <c r="F6126" s="84"/>
      <c r="G6126" s="144"/>
      <c r="H6126" s="133"/>
    </row>
    <row r="6127" spans="1:8" s="65" customFormat="1">
      <c r="A6127" s="91"/>
      <c r="B6127" s="91"/>
      <c r="C6127" s="91"/>
      <c r="D6127" s="91"/>
      <c r="E6127" s="91"/>
      <c r="G6127" s="104"/>
      <c r="H6127" s="140"/>
    </row>
    <row r="6128" spans="1:8" s="65" customFormat="1">
      <c r="A6128" s="120"/>
      <c r="B6128" s="73"/>
      <c r="C6128" s="73"/>
      <c r="D6128" s="73"/>
      <c r="E6128" s="73"/>
      <c r="G6128" s="121"/>
      <c r="H6128" s="140"/>
    </row>
    <row r="6129" spans="1:9" s="65" customFormat="1">
      <c r="A6129" s="128"/>
      <c r="B6129" s="141"/>
      <c r="C6129" s="141"/>
      <c r="D6129" s="141"/>
      <c r="E6129" s="141"/>
      <c r="F6129" s="141"/>
      <c r="G6129" s="141"/>
      <c r="H6129" s="140"/>
    </row>
    <row r="6130" spans="1:9" s="65" customFormat="1">
      <c r="A6130" s="142"/>
      <c r="B6130" s="143"/>
      <c r="C6130" s="143"/>
      <c r="D6130" s="143"/>
      <c r="E6130" s="143"/>
      <c r="F6130" s="84"/>
      <c r="G6130" s="144"/>
      <c r="H6130" s="145"/>
    </row>
    <row r="6131" spans="1:9" s="65" customFormat="1">
      <c r="A6131" s="123"/>
      <c r="B6131" s="95"/>
      <c r="C6131" s="95"/>
      <c r="D6131" s="95"/>
      <c r="E6131" s="95"/>
      <c r="G6131" s="104"/>
      <c r="H6131" s="121"/>
    </row>
    <row r="6132" spans="1:9" s="65" customFormat="1">
      <c r="A6132" s="123"/>
      <c r="B6132" s="95"/>
      <c r="C6132" s="95"/>
      <c r="D6132" s="95"/>
      <c r="E6132" s="95"/>
      <c r="G6132" s="121"/>
      <c r="H6132" s="133"/>
    </row>
    <row r="6133" spans="1:9" s="65" customFormat="1">
      <c r="B6133" s="97"/>
      <c r="C6133" s="98"/>
      <c r="D6133" s="98"/>
      <c r="E6133" s="98"/>
      <c r="G6133" s="128"/>
    </row>
    <row r="6134" spans="1:9" s="65" customFormat="1">
      <c r="B6134" s="97"/>
      <c r="C6134" s="98"/>
      <c r="D6134" s="98"/>
      <c r="E6134" s="98"/>
      <c r="F6134" s="128"/>
      <c r="G6134" s="133"/>
      <c r="H6134" s="134"/>
    </row>
    <row r="6135" spans="1:9" s="65" customFormat="1">
      <c r="A6135" s="633"/>
      <c r="B6135" s="633"/>
      <c r="C6135" s="633"/>
      <c r="D6135" s="633"/>
      <c r="E6135" s="633"/>
      <c r="F6135" s="633"/>
      <c r="G6135" s="633"/>
    </row>
    <row r="6136" spans="1:9" s="65" customFormat="1">
      <c r="H6136" s="156"/>
      <c r="I6136" s="151"/>
    </row>
    <row r="6137" spans="1:9" s="65" customFormat="1">
      <c r="A6137" s="645"/>
      <c r="B6137" s="156"/>
      <c r="C6137" s="156"/>
      <c r="D6137" s="156"/>
      <c r="E6137" s="156"/>
      <c r="F6137" s="156"/>
      <c r="G6137" s="156"/>
      <c r="H6137" s="156"/>
      <c r="I6137" s="152"/>
    </row>
    <row r="6138" spans="1:9" s="65" customFormat="1">
      <c r="A6138" s="645"/>
      <c r="B6138" s="156"/>
      <c r="C6138" s="156"/>
      <c r="D6138" s="156"/>
      <c r="E6138" s="156"/>
      <c r="F6138" s="156"/>
      <c r="G6138" s="156"/>
    </row>
    <row r="6139" spans="1:9" s="65" customFormat="1">
      <c r="A6139" s="69"/>
      <c r="B6139" s="69"/>
      <c r="C6139" s="69"/>
      <c r="D6139" s="69"/>
      <c r="E6139" s="69"/>
    </row>
    <row r="6140" spans="1:9" s="65" customFormat="1">
      <c r="A6140" s="120"/>
      <c r="B6140" s="73"/>
      <c r="C6140" s="73"/>
      <c r="D6140" s="73"/>
      <c r="E6140" s="73"/>
      <c r="F6140" s="121"/>
      <c r="G6140" s="121"/>
      <c r="H6140" s="121"/>
    </row>
    <row r="6141" spans="1:9" s="65" customFormat="1">
      <c r="A6141" s="128"/>
      <c r="B6141" s="141"/>
      <c r="C6141" s="141"/>
      <c r="D6141" s="141"/>
      <c r="E6141" s="141"/>
      <c r="F6141" s="141"/>
      <c r="G6141" s="141"/>
      <c r="H6141" s="121"/>
    </row>
    <row r="6142" spans="1:9" s="65" customFormat="1">
      <c r="A6142" s="84"/>
      <c r="B6142" s="83"/>
      <c r="C6142" s="84"/>
      <c r="D6142" s="84"/>
      <c r="E6142" s="84"/>
      <c r="F6142" s="84"/>
      <c r="G6142" s="144"/>
      <c r="H6142" s="133"/>
    </row>
    <row r="6143" spans="1:9" s="65" customFormat="1">
      <c r="A6143" s="84"/>
      <c r="B6143" s="83"/>
      <c r="C6143" s="84"/>
      <c r="D6143" s="84"/>
      <c r="E6143" s="84"/>
      <c r="G6143" s="104"/>
      <c r="H6143" s="140"/>
    </row>
    <row r="6144" spans="1:9" s="65" customFormat="1">
      <c r="A6144" s="120"/>
      <c r="B6144" s="73"/>
      <c r="C6144" s="73"/>
      <c r="D6144" s="73"/>
      <c r="E6144" s="73"/>
      <c r="G6144" s="121"/>
      <c r="H6144" s="140"/>
    </row>
    <row r="6145" spans="1:8" s="65" customFormat="1">
      <c r="A6145" s="128"/>
      <c r="B6145" s="141"/>
      <c r="C6145" s="141"/>
      <c r="D6145" s="141"/>
      <c r="E6145" s="141"/>
      <c r="F6145" s="141"/>
      <c r="G6145" s="141"/>
      <c r="H6145" s="140"/>
    </row>
    <row r="6146" spans="1:8" s="65" customFormat="1">
      <c r="A6146" s="172"/>
      <c r="B6146" s="83"/>
      <c r="C6146" s="84"/>
      <c r="D6146" s="84"/>
      <c r="E6146" s="84"/>
      <c r="F6146" s="141"/>
      <c r="G6146" s="168"/>
      <c r="H6146" s="140"/>
    </row>
    <row r="6147" spans="1:8" s="65" customFormat="1">
      <c r="A6147" s="173"/>
      <c r="B6147" s="83"/>
      <c r="C6147" s="148"/>
      <c r="D6147" s="84"/>
      <c r="E6147" s="84"/>
      <c r="F6147" s="141"/>
      <c r="G6147" s="168"/>
      <c r="H6147" s="140"/>
    </row>
    <row r="6148" spans="1:8" s="65" customFormat="1">
      <c r="A6148" s="150"/>
      <c r="B6148" s="83"/>
      <c r="C6148" s="148"/>
      <c r="D6148" s="84"/>
      <c r="E6148" s="84"/>
      <c r="F6148" s="84"/>
      <c r="G6148" s="168"/>
      <c r="H6148" s="133"/>
    </row>
    <row r="6149" spans="1:8" s="65" customFormat="1">
      <c r="A6149" s="91"/>
      <c r="B6149" s="91"/>
      <c r="C6149" s="91"/>
      <c r="D6149" s="91"/>
      <c r="E6149" s="91"/>
      <c r="G6149" s="104"/>
      <c r="H6149" s="140"/>
    </row>
    <row r="6150" spans="1:8" s="65" customFormat="1">
      <c r="A6150" s="120"/>
      <c r="B6150" s="73"/>
      <c r="C6150" s="73"/>
      <c r="D6150" s="73"/>
      <c r="E6150" s="73"/>
      <c r="G6150" s="121"/>
      <c r="H6150" s="140"/>
    </row>
    <row r="6151" spans="1:8" s="65" customFormat="1">
      <c r="A6151" s="128"/>
      <c r="B6151" s="141"/>
      <c r="C6151" s="141"/>
      <c r="D6151" s="141"/>
      <c r="E6151" s="141"/>
      <c r="F6151" s="141"/>
      <c r="G6151" s="141"/>
      <c r="H6151" s="140"/>
    </row>
    <row r="6152" spans="1:8" s="65" customFormat="1">
      <c r="A6152" s="146"/>
      <c r="B6152" s="147"/>
      <c r="C6152" s="148"/>
      <c r="D6152" s="84"/>
      <c r="E6152" s="143"/>
      <c r="F6152" s="84"/>
      <c r="G6152" s="144"/>
      <c r="H6152" s="133"/>
    </row>
    <row r="6153" spans="1:8" s="65" customFormat="1">
      <c r="A6153" s="91"/>
      <c r="B6153" s="91"/>
      <c r="C6153" s="91"/>
      <c r="D6153" s="91"/>
      <c r="E6153" s="91"/>
      <c r="G6153" s="104"/>
      <c r="H6153" s="140"/>
    </row>
    <row r="6154" spans="1:8" s="65" customFormat="1">
      <c r="A6154" s="120"/>
      <c r="B6154" s="73"/>
      <c r="C6154" s="73"/>
      <c r="D6154" s="73"/>
      <c r="E6154" s="73"/>
      <c r="G6154" s="121"/>
      <c r="H6154" s="140"/>
    </row>
    <row r="6155" spans="1:8" s="65" customFormat="1">
      <c r="A6155" s="128"/>
      <c r="B6155" s="141"/>
      <c r="C6155" s="141"/>
      <c r="D6155" s="141"/>
      <c r="E6155" s="141"/>
      <c r="F6155" s="141"/>
      <c r="G6155" s="141"/>
      <c r="H6155" s="140"/>
    </row>
    <row r="6156" spans="1:8" s="65" customFormat="1">
      <c r="A6156" s="142"/>
      <c r="B6156" s="143"/>
      <c r="C6156" s="143"/>
      <c r="D6156" s="143"/>
      <c r="E6156" s="143"/>
      <c r="F6156" s="84"/>
      <c r="G6156" s="144"/>
      <c r="H6156" s="145"/>
    </row>
    <row r="6157" spans="1:8" s="65" customFormat="1">
      <c r="A6157" s="123"/>
      <c r="B6157" s="95"/>
      <c r="C6157" s="95"/>
      <c r="D6157" s="95"/>
      <c r="E6157" s="95"/>
      <c r="G6157" s="104"/>
      <c r="H6157" s="121"/>
    </row>
    <row r="6158" spans="1:8" s="65" customFormat="1">
      <c r="A6158" s="123"/>
      <c r="B6158" s="95"/>
      <c r="C6158" s="95"/>
      <c r="D6158" s="95"/>
      <c r="E6158" s="95"/>
      <c r="G6158" s="121"/>
      <c r="H6158" s="133"/>
    </row>
    <row r="6159" spans="1:8" s="65" customFormat="1">
      <c r="B6159" s="97"/>
      <c r="C6159" s="98"/>
      <c r="D6159" s="98"/>
      <c r="E6159" s="98"/>
      <c r="G6159" s="128"/>
    </row>
    <row r="6160" spans="1:8" s="65" customFormat="1">
      <c r="B6160" s="97"/>
      <c r="C6160" s="98"/>
      <c r="D6160" s="98"/>
      <c r="E6160" s="98"/>
      <c r="F6160" s="128"/>
      <c r="G6160" s="133"/>
      <c r="H6160" s="134"/>
    </row>
    <row r="6161" spans="1:9" s="65" customFormat="1">
      <c r="A6161" s="633"/>
      <c r="B6161" s="633"/>
      <c r="C6161" s="633"/>
      <c r="D6161" s="633"/>
      <c r="E6161" s="633"/>
      <c r="F6161" s="633"/>
      <c r="G6161" s="633"/>
    </row>
    <row r="6162" spans="1:9" s="65" customFormat="1">
      <c r="H6162" s="156"/>
      <c r="I6162" s="151"/>
    </row>
    <row r="6163" spans="1:9" s="65" customFormat="1">
      <c r="A6163" s="645"/>
      <c r="B6163" s="156"/>
      <c r="C6163" s="156"/>
      <c r="D6163" s="156"/>
      <c r="E6163" s="156"/>
      <c r="F6163" s="156"/>
      <c r="G6163" s="156"/>
      <c r="H6163" s="156"/>
      <c r="I6163" s="152"/>
    </row>
    <row r="6164" spans="1:9" s="65" customFormat="1">
      <c r="A6164" s="645"/>
      <c r="B6164" s="156"/>
      <c r="C6164" s="156"/>
      <c r="D6164" s="156"/>
      <c r="E6164" s="156"/>
      <c r="F6164" s="156"/>
      <c r="G6164" s="156"/>
    </row>
    <row r="6165" spans="1:9" s="65" customFormat="1">
      <c r="A6165" s="69"/>
      <c r="B6165" s="69"/>
      <c r="C6165" s="69"/>
      <c r="D6165" s="69"/>
      <c r="E6165" s="69"/>
    </row>
    <row r="6166" spans="1:9" s="65" customFormat="1">
      <c r="A6166" s="120"/>
      <c r="B6166" s="73"/>
      <c r="C6166" s="73"/>
      <c r="D6166" s="73"/>
      <c r="E6166" s="73"/>
      <c r="F6166" s="121"/>
      <c r="G6166" s="121"/>
      <c r="H6166" s="121"/>
    </row>
    <row r="6167" spans="1:9" s="65" customFormat="1">
      <c r="A6167" s="128"/>
      <c r="B6167" s="141"/>
      <c r="C6167" s="141"/>
      <c r="D6167" s="141"/>
      <c r="E6167" s="141"/>
      <c r="F6167" s="141"/>
      <c r="G6167" s="141"/>
      <c r="H6167" s="121"/>
    </row>
    <row r="6168" spans="1:9" s="65" customFormat="1">
      <c r="A6168" s="84"/>
      <c r="B6168" s="83"/>
      <c r="C6168" s="84"/>
      <c r="D6168" s="84"/>
      <c r="E6168" s="84"/>
      <c r="F6168" s="84"/>
      <c r="G6168" s="144"/>
      <c r="H6168" s="133"/>
    </row>
    <row r="6169" spans="1:9" s="65" customFormat="1">
      <c r="A6169" s="84"/>
      <c r="B6169" s="83"/>
      <c r="C6169" s="84"/>
      <c r="D6169" s="84"/>
      <c r="E6169" s="84"/>
      <c r="G6169" s="104"/>
      <c r="H6169" s="140"/>
    </row>
    <row r="6170" spans="1:9" s="65" customFormat="1">
      <c r="A6170" s="120"/>
      <c r="B6170" s="73"/>
      <c r="C6170" s="73"/>
      <c r="D6170" s="73"/>
      <c r="E6170" s="73"/>
      <c r="G6170" s="121"/>
      <c r="H6170" s="140"/>
    </row>
    <row r="6171" spans="1:9" s="65" customFormat="1">
      <c r="A6171" s="128"/>
      <c r="B6171" s="141"/>
      <c r="C6171" s="141"/>
      <c r="D6171" s="141"/>
      <c r="E6171" s="141"/>
      <c r="F6171" s="141"/>
      <c r="G6171" s="141"/>
      <c r="H6171" s="140"/>
    </row>
    <row r="6172" spans="1:9" s="65" customFormat="1">
      <c r="A6172" s="172"/>
      <c r="B6172" s="83"/>
      <c r="C6172" s="84"/>
      <c r="D6172" s="84"/>
      <c r="E6172" s="84"/>
      <c r="F6172" s="141"/>
      <c r="G6172" s="168"/>
      <c r="H6172" s="140"/>
    </row>
    <row r="6173" spans="1:9" s="65" customFormat="1">
      <c r="A6173" s="173"/>
      <c r="B6173" s="83"/>
      <c r="C6173" s="148"/>
      <c r="D6173" s="84"/>
      <c r="E6173" s="84"/>
      <c r="F6173" s="141"/>
      <c r="G6173" s="168"/>
      <c r="H6173" s="140"/>
    </row>
    <row r="6174" spans="1:9" s="65" customFormat="1">
      <c r="A6174" s="150"/>
      <c r="B6174" s="83"/>
      <c r="C6174" s="148"/>
      <c r="D6174" s="84"/>
      <c r="E6174" s="84"/>
      <c r="F6174" s="84"/>
      <c r="G6174" s="168"/>
      <c r="H6174" s="133"/>
    </row>
    <row r="6175" spans="1:9" s="65" customFormat="1">
      <c r="A6175" s="91"/>
      <c r="B6175" s="91"/>
      <c r="C6175" s="91"/>
      <c r="D6175" s="91"/>
      <c r="E6175" s="91"/>
      <c r="G6175" s="104"/>
      <c r="H6175" s="140"/>
    </row>
    <row r="6176" spans="1:9" s="65" customFormat="1">
      <c r="A6176" s="120"/>
      <c r="B6176" s="73"/>
      <c r="C6176" s="73"/>
      <c r="D6176" s="73"/>
      <c r="E6176" s="73"/>
      <c r="G6176" s="121"/>
      <c r="H6176" s="140"/>
    </row>
    <row r="6177" spans="1:9" s="65" customFormat="1">
      <c r="A6177" s="128"/>
      <c r="B6177" s="141"/>
      <c r="C6177" s="141"/>
      <c r="D6177" s="141"/>
      <c r="E6177" s="141"/>
      <c r="F6177" s="141"/>
      <c r="G6177" s="141"/>
      <c r="H6177" s="140"/>
    </row>
    <row r="6178" spans="1:9" s="65" customFormat="1">
      <c r="A6178" s="146"/>
      <c r="B6178" s="147"/>
      <c r="C6178" s="148"/>
      <c r="D6178" s="84"/>
      <c r="E6178" s="143"/>
      <c r="F6178" s="84"/>
      <c r="G6178" s="144"/>
      <c r="H6178" s="133"/>
    </row>
    <row r="6179" spans="1:9" s="65" customFormat="1">
      <c r="A6179" s="91"/>
      <c r="B6179" s="91"/>
      <c r="C6179" s="91"/>
      <c r="D6179" s="91"/>
      <c r="E6179" s="91"/>
      <c r="G6179" s="104"/>
      <c r="H6179" s="140"/>
    </row>
    <row r="6180" spans="1:9" s="65" customFormat="1">
      <c r="A6180" s="120"/>
      <c r="B6180" s="73"/>
      <c r="C6180" s="73"/>
      <c r="D6180" s="73"/>
      <c r="E6180" s="73"/>
      <c r="G6180" s="121"/>
      <c r="H6180" s="140"/>
    </row>
    <row r="6181" spans="1:9" s="65" customFormat="1">
      <c r="A6181" s="128"/>
      <c r="B6181" s="141"/>
      <c r="C6181" s="141"/>
      <c r="D6181" s="141"/>
      <c r="E6181" s="141"/>
      <c r="F6181" s="141"/>
      <c r="G6181" s="141"/>
      <c r="H6181" s="140"/>
    </row>
    <row r="6182" spans="1:9" s="65" customFormat="1">
      <c r="A6182" s="142"/>
      <c r="B6182" s="143"/>
      <c r="C6182" s="143"/>
      <c r="D6182" s="143"/>
      <c r="E6182" s="143"/>
      <c r="F6182" s="84"/>
      <c r="G6182" s="144"/>
      <c r="H6182" s="145"/>
    </row>
    <row r="6183" spans="1:9" s="65" customFormat="1">
      <c r="A6183" s="123"/>
      <c r="B6183" s="95"/>
      <c r="C6183" s="95"/>
      <c r="D6183" s="95"/>
      <c r="E6183" s="95"/>
      <c r="G6183" s="104"/>
      <c r="H6183" s="121"/>
    </row>
    <row r="6184" spans="1:9" s="65" customFormat="1">
      <c r="A6184" s="123"/>
      <c r="B6184" s="95"/>
      <c r="C6184" s="95"/>
      <c r="D6184" s="95"/>
      <c r="E6184" s="95"/>
      <c r="G6184" s="121"/>
      <c r="H6184" s="133"/>
    </row>
    <row r="6185" spans="1:9" s="65" customFormat="1">
      <c r="B6185" s="97"/>
      <c r="C6185" s="98"/>
      <c r="D6185" s="98"/>
      <c r="E6185" s="98"/>
      <c r="G6185" s="128"/>
    </row>
    <row r="6186" spans="1:9" s="65" customFormat="1">
      <c r="B6186" s="97"/>
      <c r="C6186" s="98"/>
      <c r="D6186" s="98"/>
      <c r="E6186" s="98"/>
      <c r="F6186" s="128"/>
      <c r="G6186" s="133"/>
      <c r="H6186" s="134"/>
    </row>
    <row r="6187" spans="1:9" s="65" customFormat="1">
      <c r="A6187" s="633"/>
      <c r="B6187" s="633"/>
      <c r="C6187" s="633"/>
      <c r="D6187" s="633"/>
      <c r="E6187" s="633"/>
      <c r="F6187" s="633"/>
      <c r="G6187" s="633"/>
    </row>
    <row r="6188" spans="1:9" s="65" customFormat="1">
      <c r="H6188" s="156"/>
      <c r="I6188" s="151"/>
    </row>
    <row r="6189" spans="1:9" s="65" customFormat="1">
      <c r="A6189" s="645"/>
      <c r="B6189" s="156"/>
      <c r="C6189" s="156"/>
      <c r="D6189" s="156"/>
      <c r="E6189" s="156"/>
      <c r="F6189" s="156"/>
      <c r="G6189" s="156"/>
      <c r="H6189" s="156"/>
      <c r="I6189" s="152"/>
    </row>
    <row r="6190" spans="1:9" s="65" customFormat="1">
      <c r="A6190" s="645"/>
      <c r="B6190" s="156"/>
      <c r="C6190" s="156"/>
      <c r="D6190" s="156"/>
      <c r="E6190" s="156"/>
      <c r="F6190" s="156"/>
      <c r="G6190" s="156"/>
    </row>
    <row r="6191" spans="1:9" s="65" customFormat="1">
      <c r="A6191" s="69"/>
      <c r="B6191" s="69"/>
      <c r="C6191" s="69"/>
      <c r="D6191" s="69"/>
      <c r="E6191" s="69"/>
    </row>
    <row r="6192" spans="1:9" s="65" customFormat="1">
      <c r="A6192" s="120"/>
      <c r="B6192" s="73"/>
      <c r="C6192" s="73"/>
      <c r="D6192" s="73"/>
      <c r="E6192" s="73"/>
      <c r="F6192" s="121"/>
      <c r="G6192" s="121"/>
      <c r="H6192" s="121"/>
    </row>
    <row r="6193" spans="1:8" s="65" customFormat="1">
      <c r="A6193" s="128"/>
      <c r="B6193" s="141"/>
      <c r="C6193" s="141"/>
      <c r="D6193" s="141"/>
      <c r="E6193" s="141"/>
      <c r="F6193" s="141"/>
      <c r="G6193" s="141"/>
      <c r="H6193" s="121"/>
    </row>
    <row r="6194" spans="1:8" s="65" customFormat="1">
      <c r="A6194" s="84"/>
      <c r="B6194" s="83"/>
      <c r="C6194" s="84"/>
      <c r="D6194" s="84"/>
      <c r="E6194" s="84"/>
      <c r="F6194" s="84"/>
      <c r="G6194" s="144"/>
      <c r="H6194" s="133"/>
    </row>
    <row r="6195" spans="1:8" s="65" customFormat="1">
      <c r="A6195" s="84"/>
      <c r="B6195" s="83"/>
      <c r="C6195" s="84"/>
      <c r="D6195" s="84"/>
      <c r="E6195" s="84"/>
      <c r="G6195" s="104"/>
      <c r="H6195" s="140"/>
    </row>
    <row r="6196" spans="1:8" s="65" customFormat="1">
      <c r="A6196" s="120"/>
      <c r="B6196" s="73"/>
      <c r="C6196" s="73"/>
      <c r="D6196" s="73"/>
      <c r="E6196" s="73"/>
      <c r="G6196" s="121"/>
      <c r="H6196" s="140"/>
    </row>
    <row r="6197" spans="1:8" s="65" customFormat="1">
      <c r="A6197" s="128"/>
      <c r="B6197" s="141"/>
      <c r="C6197" s="141"/>
      <c r="D6197" s="141"/>
      <c r="E6197" s="141"/>
      <c r="F6197" s="141"/>
      <c r="G6197" s="141"/>
      <c r="H6197" s="140"/>
    </row>
    <row r="6198" spans="1:8" s="65" customFormat="1">
      <c r="A6198" s="172"/>
      <c r="B6198" s="83"/>
      <c r="C6198" s="84"/>
      <c r="D6198" s="84"/>
      <c r="E6198" s="84"/>
      <c r="F6198" s="141"/>
      <c r="G6198" s="168"/>
      <c r="H6198" s="140"/>
    </row>
    <row r="6199" spans="1:8" s="65" customFormat="1">
      <c r="A6199" s="173"/>
      <c r="B6199" s="83"/>
      <c r="C6199" s="148"/>
      <c r="D6199" s="84"/>
      <c r="E6199" s="84"/>
      <c r="F6199" s="141"/>
      <c r="G6199" s="168"/>
      <c r="H6199" s="140"/>
    </row>
    <row r="6200" spans="1:8" s="65" customFormat="1">
      <c r="A6200" s="150"/>
      <c r="B6200" s="83"/>
      <c r="C6200" s="148"/>
      <c r="D6200" s="84"/>
      <c r="E6200" s="84"/>
      <c r="F6200" s="84"/>
      <c r="G6200" s="168"/>
      <c r="H6200" s="133"/>
    </row>
    <row r="6201" spans="1:8" s="65" customFormat="1">
      <c r="A6201" s="91"/>
      <c r="B6201" s="91"/>
      <c r="C6201" s="91"/>
      <c r="D6201" s="91"/>
      <c r="E6201" s="91"/>
      <c r="G6201" s="104"/>
      <c r="H6201" s="140"/>
    </row>
    <row r="6202" spans="1:8" s="65" customFormat="1">
      <c r="A6202" s="120"/>
      <c r="B6202" s="73"/>
      <c r="C6202" s="73"/>
      <c r="D6202" s="73"/>
      <c r="E6202" s="73"/>
      <c r="G6202" s="121"/>
      <c r="H6202" s="140"/>
    </row>
    <row r="6203" spans="1:8" s="65" customFormat="1">
      <c r="A6203" s="128"/>
      <c r="B6203" s="141"/>
      <c r="C6203" s="141"/>
      <c r="D6203" s="141"/>
      <c r="E6203" s="141"/>
      <c r="F6203" s="141"/>
      <c r="G6203" s="141"/>
      <c r="H6203" s="140"/>
    </row>
    <row r="6204" spans="1:8" s="65" customFormat="1">
      <c r="A6204" s="146"/>
      <c r="B6204" s="147"/>
      <c r="C6204" s="148"/>
      <c r="D6204" s="84"/>
      <c r="E6204" s="143"/>
      <c r="F6204" s="84"/>
      <c r="G6204" s="144"/>
      <c r="H6204" s="133"/>
    </row>
    <row r="6205" spans="1:8" s="65" customFormat="1">
      <c r="A6205" s="91"/>
      <c r="B6205" s="91"/>
      <c r="C6205" s="91"/>
      <c r="D6205" s="91"/>
      <c r="E6205" s="91"/>
      <c r="G6205" s="104"/>
      <c r="H6205" s="140"/>
    </row>
    <row r="6206" spans="1:8" s="65" customFormat="1">
      <c r="A6206" s="120"/>
      <c r="B6206" s="73"/>
      <c r="C6206" s="73"/>
      <c r="D6206" s="73"/>
      <c r="E6206" s="73"/>
      <c r="G6206" s="121"/>
      <c r="H6206" s="140"/>
    </row>
    <row r="6207" spans="1:8" s="65" customFormat="1">
      <c r="A6207" s="128"/>
      <c r="B6207" s="141"/>
      <c r="C6207" s="141"/>
      <c r="D6207" s="141"/>
      <c r="E6207" s="141"/>
      <c r="F6207" s="141"/>
      <c r="G6207" s="141"/>
      <c r="H6207" s="140"/>
    </row>
    <row r="6208" spans="1:8" s="65" customFormat="1">
      <c r="A6208" s="142"/>
      <c r="B6208" s="143"/>
      <c r="C6208" s="143"/>
      <c r="D6208" s="143"/>
      <c r="E6208" s="143"/>
      <c r="F6208" s="84"/>
      <c r="G6208" s="144"/>
      <c r="H6208" s="145"/>
    </row>
    <row r="6209" spans="1:9" s="65" customFormat="1">
      <c r="A6209" s="123"/>
      <c r="B6209" s="95"/>
      <c r="C6209" s="95"/>
      <c r="D6209" s="95"/>
      <c r="E6209" s="95"/>
      <c r="G6209" s="104"/>
      <c r="H6209" s="121"/>
    </row>
    <row r="6210" spans="1:9" s="65" customFormat="1">
      <c r="A6210" s="123"/>
      <c r="B6210" s="95"/>
      <c r="C6210" s="95"/>
      <c r="D6210" s="95"/>
      <c r="E6210" s="95"/>
      <c r="G6210" s="121"/>
      <c r="H6210" s="133"/>
    </row>
    <row r="6211" spans="1:9" s="65" customFormat="1">
      <c r="B6211" s="97"/>
      <c r="C6211" s="98"/>
      <c r="D6211" s="98"/>
      <c r="E6211" s="98"/>
      <c r="G6211" s="128"/>
    </row>
    <row r="6212" spans="1:9" s="65" customFormat="1">
      <c r="B6212" s="97"/>
      <c r="C6212" s="98"/>
      <c r="D6212" s="98"/>
      <c r="E6212" s="98"/>
      <c r="F6212" s="128"/>
      <c r="G6212" s="133"/>
      <c r="H6212" s="134"/>
    </row>
    <row r="6213" spans="1:9" s="65" customFormat="1">
      <c r="A6213" s="633"/>
      <c r="B6213" s="633"/>
      <c r="C6213" s="633"/>
      <c r="D6213" s="633"/>
      <c r="E6213" s="633"/>
      <c r="F6213" s="633"/>
      <c r="G6213" s="633"/>
    </row>
    <row r="6214" spans="1:9" s="65" customFormat="1">
      <c r="H6214" s="156"/>
      <c r="I6214" s="151"/>
    </row>
    <row r="6215" spans="1:9" s="65" customFormat="1">
      <c r="A6215" s="645"/>
      <c r="B6215" s="156"/>
      <c r="C6215" s="156"/>
      <c r="D6215" s="156"/>
      <c r="E6215" s="156"/>
      <c r="F6215" s="156"/>
      <c r="G6215" s="156"/>
      <c r="H6215" s="156"/>
      <c r="I6215" s="152"/>
    </row>
    <row r="6216" spans="1:9" s="65" customFormat="1">
      <c r="A6216" s="645"/>
      <c r="B6216" s="156"/>
      <c r="C6216" s="156"/>
      <c r="D6216" s="156"/>
      <c r="E6216" s="156"/>
      <c r="F6216" s="156"/>
      <c r="G6216" s="156"/>
    </row>
    <row r="6217" spans="1:9" s="65" customFormat="1">
      <c r="A6217" s="69"/>
      <c r="B6217" s="69"/>
      <c r="C6217" s="69"/>
      <c r="D6217" s="69"/>
      <c r="E6217" s="69"/>
    </row>
    <row r="6218" spans="1:9" s="65" customFormat="1">
      <c r="A6218" s="120"/>
      <c r="B6218" s="73"/>
      <c r="C6218" s="73"/>
      <c r="D6218" s="73"/>
      <c r="E6218" s="73"/>
      <c r="F6218" s="121"/>
      <c r="G6218" s="121"/>
      <c r="H6218" s="121"/>
    </row>
    <row r="6219" spans="1:9" s="65" customFormat="1">
      <c r="A6219" s="128"/>
      <c r="B6219" s="141"/>
      <c r="C6219" s="141"/>
      <c r="D6219" s="141"/>
      <c r="E6219" s="141"/>
      <c r="F6219" s="141"/>
      <c r="G6219" s="141"/>
      <c r="H6219" s="121"/>
    </row>
    <row r="6220" spans="1:9" s="65" customFormat="1">
      <c r="A6220" s="84"/>
      <c r="B6220" s="83"/>
      <c r="C6220" s="84"/>
      <c r="D6220" s="84"/>
      <c r="E6220" s="84"/>
      <c r="F6220" s="84"/>
      <c r="G6220" s="144"/>
      <c r="H6220" s="133"/>
    </row>
    <row r="6221" spans="1:9" s="65" customFormat="1">
      <c r="A6221" s="84"/>
      <c r="B6221" s="83"/>
      <c r="C6221" s="84"/>
      <c r="D6221" s="84"/>
      <c r="E6221" s="84"/>
      <c r="G6221" s="104"/>
      <c r="H6221" s="140"/>
    </row>
    <row r="6222" spans="1:9" s="65" customFormat="1">
      <c r="A6222" s="120"/>
      <c r="B6222" s="73"/>
      <c r="C6222" s="73"/>
      <c r="D6222" s="73"/>
      <c r="E6222" s="73"/>
      <c r="G6222" s="121"/>
      <c r="H6222" s="140"/>
    </row>
    <row r="6223" spans="1:9" s="65" customFormat="1">
      <c r="A6223" s="128"/>
      <c r="B6223" s="141"/>
      <c r="C6223" s="141"/>
      <c r="D6223" s="141"/>
      <c r="E6223" s="141"/>
      <c r="F6223" s="141"/>
      <c r="G6223" s="141"/>
      <c r="H6223" s="140"/>
    </row>
    <row r="6224" spans="1:9" s="65" customFormat="1">
      <c r="A6224" s="172"/>
      <c r="B6224" s="83"/>
      <c r="C6224" s="84"/>
      <c r="D6224" s="84"/>
      <c r="E6224" s="168"/>
      <c r="F6224" s="141"/>
      <c r="G6224" s="168"/>
      <c r="H6224" s="140"/>
    </row>
    <row r="6225" spans="1:8" s="65" customFormat="1">
      <c r="A6225" s="173"/>
      <c r="B6225" s="83"/>
      <c r="C6225" s="84"/>
      <c r="D6225" s="84"/>
      <c r="E6225" s="168"/>
      <c r="F6225" s="141"/>
      <c r="G6225" s="168"/>
      <c r="H6225" s="140"/>
    </row>
    <row r="6226" spans="1:8" s="65" customFormat="1">
      <c r="A6226" s="173"/>
      <c r="B6226" s="83"/>
      <c r="C6226" s="84"/>
      <c r="D6226" s="84"/>
      <c r="E6226" s="168"/>
      <c r="F6226" s="141"/>
      <c r="G6226" s="168"/>
      <c r="H6226" s="140"/>
    </row>
    <row r="6227" spans="1:8" s="65" customFormat="1">
      <c r="A6227" s="150"/>
      <c r="B6227" s="83"/>
      <c r="C6227" s="148"/>
      <c r="D6227" s="84"/>
      <c r="E6227" s="168"/>
      <c r="F6227" s="84"/>
      <c r="G6227" s="168"/>
      <c r="H6227" s="133"/>
    </row>
    <row r="6228" spans="1:8" s="65" customFormat="1">
      <c r="A6228" s="91"/>
      <c r="B6228" s="91"/>
      <c r="C6228" s="91"/>
      <c r="D6228" s="91"/>
      <c r="E6228" s="91"/>
      <c r="G6228" s="104"/>
      <c r="H6228" s="140"/>
    </row>
    <row r="6229" spans="1:8" s="65" customFormat="1">
      <c r="A6229" s="120"/>
      <c r="B6229" s="73"/>
      <c r="C6229" s="73"/>
      <c r="D6229" s="73"/>
      <c r="E6229" s="73"/>
      <c r="G6229" s="121"/>
      <c r="H6229" s="140"/>
    </row>
    <row r="6230" spans="1:8" s="65" customFormat="1">
      <c r="A6230" s="128"/>
      <c r="B6230" s="141"/>
      <c r="C6230" s="141"/>
      <c r="D6230" s="141"/>
      <c r="E6230" s="141"/>
      <c r="F6230" s="141"/>
      <c r="G6230" s="141"/>
      <c r="H6230" s="140"/>
    </row>
    <row r="6231" spans="1:8" s="65" customFormat="1">
      <c r="A6231" s="128"/>
      <c r="B6231" s="83"/>
      <c r="C6231" s="148"/>
      <c r="D6231" s="84"/>
      <c r="E6231" s="84"/>
      <c r="F6231" s="141"/>
      <c r="G6231" s="84"/>
      <c r="H6231" s="140"/>
    </row>
    <row r="6232" spans="1:8" s="65" customFormat="1">
      <c r="A6232" s="146"/>
      <c r="B6232" s="147"/>
      <c r="C6232" s="148"/>
      <c r="D6232" s="84"/>
      <c r="E6232" s="143"/>
      <c r="F6232" s="84"/>
      <c r="G6232" s="144"/>
      <c r="H6232" s="133"/>
    </row>
    <row r="6233" spans="1:8" s="65" customFormat="1">
      <c r="A6233" s="91"/>
      <c r="B6233" s="91"/>
      <c r="C6233" s="91"/>
      <c r="D6233" s="91"/>
      <c r="E6233" s="91"/>
      <c r="G6233" s="104"/>
      <c r="H6233" s="140"/>
    </row>
    <row r="6234" spans="1:8" s="65" customFormat="1">
      <c r="A6234" s="120"/>
      <c r="B6234" s="73"/>
      <c r="C6234" s="73"/>
      <c r="D6234" s="73"/>
      <c r="E6234" s="73"/>
      <c r="G6234" s="121"/>
      <c r="H6234" s="140"/>
    </row>
    <row r="6235" spans="1:8" s="65" customFormat="1">
      <c r="A6235" s="128"/>
      <c r="B6235" s="141"/>
      <c r="C6235" s="141"/>
      <c r="D6235" s="141"/>
      <c r="E6235" s="141"/>
      <c r="F6235" s="141"/>
      <c r="G6235" s="141"/>
      <c r="H6235" s="140"/>
    </row>
    <row r="6236" spans="1:8" s="65" customFormat="1">
      <c r="A6236" s="142"/>
      <c r="B6236" s="143"/>
      <c r="C6236" s="143"/>
      <c r="D6236" s="143"/>
      <c r="E6236" s="143"/>
      <c r="F6236" s="84"/>
      <c r="G6236" s="144"/>
      <c r="H6236" s="145"/>
    </row>
    <row r="6237" spans="1:8" s="65" customFormat="1">
      <c r="A6237" s="123"/>
      <c r="B6237" s="95"/>
      <c r="C6237" s="95"/>
      <c r="D6237" s="95"/>
      <c r="E6237" s="95"/>
      <c r="G6237" s="104"/>
      <c r="H6237" s="121"/>
    </row>
    <row r="6238" spans="1:8" s="65" customFormat="1">
      <c r="A6238" s="123"/>
      <c r="B6238" s="95"/>
      <c r="C6238" s="95"/>
      <c r="D6238" s="95"/>
      <c r="E6238" s="95"/>
      <c r="G6238" s="121"/>
      <c r="H6238" s="133"/>
    </row>
    <row r="6239" spans="1:8" s="65" customFormat="1">
      <c r="B6239" s="97"/>
      <c r="C6239" s="98"/>
      <c r="D6239" s="98"/>
      <c r="E6239" s="98"/>
      <c r="G6239" s="128"/>
    </row>
    <row r="6240" spans="1:8" s="65" customFormat="1">
      <c r="B6240" s="97"/>
      <c r="C6240" s="98"/>
      <c r="D6240" s="98"/>
      <c r="E6240" s="98"/>
      <c r="F6240" s="128"/>
      <c r="G6240" s="133"/>
      <c r="H6240" s="134"/>
    </row>
    <row r="6241" spans="1:9" s="65" customFormat="1">
      <c r="A6241" s="633"/>
      <c r="B6241" s="633"/>
      <c r="C6241" s="633"/>
      <c r="D6241" s="633"/>
      <c r="E6241" s="633"/>
      <c r="F6241" s="633"/>
      <c r="G6241" s="633"/>
    </row>
    <row r="6242" spans="1:9" s="65" customFormat="1">
      <c r="H6242" s="156"/>
      <c r="I6242" s="151"/>
    </row>
    <row r="6243" spans="1:9" s="65" customFormat="1">
      <c r="A6243" s="645"/>
      <c r="B6243" s="156"/>
      <c r="C6243" s="156"/>
      <c r="D6243" s="156"/>
      <c r="E6243" s="156"/>
      <c r="F6243" s="156"/>
      <c r="G6243" s="156"/>
      <c r="H6243" s="156"/>
      <c r="I6243" s="152"/>
    </row>
    <row r="6244" spans="1:9" s="65" customFormat="1">
      <c r="A6244" s="645"/>
      <c r="B6244" s="156"/>
      <c r="C6244" s="156"/>
      <c r="D6244" s="156"/>
      <c r="E6244" s="156"/>
      <c r="F6244" s="156"/>
      <c r="G6244" s="156"/>
    </row>
    <row r="6245" spans="1:9" s="65" customFormat="1">
      <c r="A6245" s="69"/>
      <c r="B6245" s="69"/>
      <c r="C6245" s="69"/>
      <c r="D6245" s="69"/>
      <c r="E6245" s="69"/>
    </row>
    <row r="6246" spans="1:9" s="65" customFormat="1">
      <c r="A6246" s="120"/>
      <c r="B6246" s="73"/>
      <c r="C6246" s="73"/>
      <c r="D6246" s="73"/>
      <c r="E6246" s="73"/>
      <c r="F6246" s="121"/>
      <c r="G6246" s="121"/>
      <c r="H6246" s="121"/>
    </row>
    <row r="6247" spans="1:9" s="65" customFormat="1">
      <c r="A6247" s="128"/>
      <c r="B6247" s="141"/>
      <c r="C6247" s="141"/>
      <c r="D6247" s="141"/>
      <c r="E6247" s="141"/>
      <c r="F6247" s="141"/>
      <c r="G6247" s="141"/>
      <c r="H6247" s="121"/>
    </row>
    <row r="6248" spans="1:9" s="65" customFormat="1">
      <c r="A6248" s="84"/>
      <c r="B6248" s="83"/>
      <c r="C6248" s="84"/>
      <c r="D6248" s="84"/>
      <c r="E6248" s="84"/>
      <c r="F6248" s="84"/>
      <c r="G6248" s="144"/>
      <c r="H6248" s="133"/>
    </row>
    <row r="6249" spans="1:9" s="65" customFormat="1">
      <c r="A6249" s="84"/>
      <c r="B6249" s="83"/>
      <c r="C6249" s="84"/>
      <c r="D6249" s="84"/>
      <c r="E6249" s="84"/>
      <c r="G6249" s="104"/>
      <c r="H6249" s="140"/>
    </row>
    <row r="6250" spans="1:9" s="65" customFormat="1">
      <c r="A6250" s="120"/>
      <c r="B6250" s="73"/>
      <c r="C6250" s="73"/>
      <c r="D6250" s="73"/>
      <c r="E6250" s="73"/>
      <c r="G6250" s="121"/>
      <c r="H6250" s="140"/>
    </row>
    <row r="6251" spans="1:9" s="65" customFormat="1">
      <c r="A6251" s="128"/>
      <c r="B6251" s="141"/>
      <c r="C6251" s="141"/>
      <c r="D6251" s="141"/>
      <c r="E6251" s="141"/>
      <c r="F6251" s="141"/>
      <c r="G6251" s="141"/>
      <c r="H6251" s="140"/>
    </row>
    <row r="6252" spans="1:9" s="65" customFormat="1">
      <c r="A6252" s="172"/>
      <c r="B6252" s="83"/>
      <c r="C6252" s="84"/>
      <c r="D6252" s="84"/>
      <c r="E6252" s="168"/>
      <c r="F6252" s="141"/>
      <c r="G6252" s="168"/>
      <c r="H6252" s="140"/>
    </row>
    <row r="6253" spans="1:9" s="65" customFormat="1">
      <c r="A6253" s="173"/>
      <c r="B6253" s="83"/>
      <c r="C6253" s="84"/>
      <c r="D6253" s="84"/>
      <c r="E6253" s="84"/>
      <c r="F6253" s="141"/>
      <c r="G6253" s="168"/>
      <c r="H6253" s="140"/>
    </row>
    <row r="6254" spans="1:9" s="65" customFormat="1">
      <c r="A6254" s="173"/>
      <c r="B6254" s="83"/>
      <c r="C6254" s="84"/>
      <c r="D6254" s="84"/>
      <c r="E6254" s="84"/>
      <c r="F6254" s="141"/>
      <c r="G6254" s="168"/>
      <c r="H6254" s="140"/>
    </row>
    <row r="6255" spans="1:9" s="65" customFormat="1">
      <c r="A6255" s="150"/>
      <c r="B6255" s="83"/>
      <c r="C6255" s="148"/>
      <c r="D6255" s="84"/>
      <c r="E6255" s="84"/>
      <c r="F6255" s="84"/>
      <c r="G6255" s="168"/>
      <c r="H6255" s="133"/>
    </row>
    <row r="6256" spans="1:9" s="65" customFormat="1">
      <c r="A6256" s="91"/>
      <c r="B6256" s="91"/>
      <c r="C6256" s="91"/>
      <c r="D6256" s="91"/>
      <c r="E6256" s="91"/>
      <c r="G6256" s="104"/>
      <c r="H6256" s="140"/>
    </row>
    <row r="6257" spans="1:9" s="65" customFormat="1">
      <c r="A6257" s="120"/>
      <c r="B6257" s="73"/>
      <c r="C6257" s="73"/>
      <c r="D6257" s="73"/>
      <c r="E6257" s="73"/>
      <c r="G6257" s="121"/>
      <c r="H6257" s="140"/>
    </row>
    <row r="6258" spans="1:9" s="65" customFormat="1">
      <c r="A6258" s="128"/>
      <c r="B6258" s="141"/>
      <c r="C6258" s="141"/>
      <c r="D6258" s="141"/>
      <c r="E6258" s="141"/>
      <c r="F6258" s="141"/>
      <c r="G6258" s="141"/>
      <c r="H6258" s="140"/>
    </row>
    <row r="6259" spans="1:9" s="65" customFormat="1">
      <c r="A6259" s="128"/>
      <c r="B6259" s="83"/>
      <c r="C6259" s="148"/>
      <c r="D6259" s="84"/>
      <c r="E6259" s="84"/>
      <c r="F6259" s="141"/>
      <c r="G6259" s="84"/>
      <c r="H6259" s="140"/>
    </row>
    <row r="6260" spans="1:9" s="65" customFormat="1">
      <c r="A6260" s="146"/>
      <c r="B6260" s="147"/>
      <c r="C6260" s="148"/>
      <c r="D6260" s="84"/>
      <c r="E6260" s="143"/>
      <c r="F6260" s="84"/>
      <c r="G6260" s="144"/>
      <c r="H6260" s="133"/>
    </row>
    <row r="6261" spans="1:9" s="65" customFormat="1">
      <c r="A6261" s="91"/>
      <c r="B6261" s="91"/>
      <c r="C6261" s="91"/>
      <c r="D6261" s="91"/>
      <c r="E6261" s="91"/>
      <c r="G6261" s="104"/>
      <c r="H6261" s="140"/>
    </row>
    <row r="6262" spans="1:9" s="65" customFormat="1">
      <c r="A6262" s="120"/>
      <c r="B6262" s="73"/>
      <c r="C6262" s="73"/>
      <c r="D6262" s="73"/>
      <c r="E6262" s="73"/>
      <c r="G6262" s="121"/>
      <c r="H6262" s="140"/>
    </row>
    <row r="6263" spans="1:9" s="65" customFormat="1">
      <c r="A6263" s="128"/>
      <c r="B6263" s="141"/>
      <c r="C6263" s="141"/>
      <c r="D6263" s="141"/>
      <c r="E6263" s="141"/>
      <c r="F6263" s="141"/>
      <c r="G6263" s="141"/>
      <c r="H6263" s="140"/>
    </row>
    <row r="6264" spans="1:9" s="65" customFormat="1">
      <c r="A6264" s="142"/>
      <c r="B6264" s="143"/>
      <c r="C6264" s="143"/>
      <c r="D6264" s="143"/>
      <c r="E6264" s="143"/>
      <c r="F6264" s="84"/>
      <c r="G6264" s="144"/>
      <c r="H6264" s="145"/>
    </row>
    <row r="6265" spans="1:9" s="65" customFormat="1">
      <c r="A6265" s="123"/>
      <c r="B6265" s="95"/>
      <c r="C6265" s="95"/>
      <c r="D6265" s="95"/>
      <c r="E6265" s="95"/>
      <c r="G6265" s="104"/>
      <c r="H6265" s="121"/>
    </row>
    <row r="6266" spans="1:9" s="65" customFormat="1">
      <c r="A6266" s="123"/>
      <c r="B6266" s="95"/>
      <c r="C6266" s="95"/>
      <c r="D6266" s="95"/>
      <c r="E6266" s="95"/>
      <c r="G6266" s="121"/>
      <c r="H6266" s="133"/>
    </row>
    <row r="6267" spans="1:9" s="65" customFormat="1">
      <c r="B6267" s="97"/>
      <c r="C6267" s="98"/>
      <c r="D6267" s="98"/>
      <c r="E6267" s="98"/>
      <c r="G6267" s="128"/>
    </row>
    <row r="6268" spans="1:9" s="65" customFormat="1">
      <c r="B6268" s="97"/>
      <c r="C6268" s="98"/>
      <c r="D6268" s="98"/>
      <c r="E6268" s="98"/>
      <c r="F6268" s="128"/>
      <c r="G6268" s="133"/>
      <c r="H6268" s="134"/>
    </row>
    <row r="6269" spans="1:9" s="65" customFormat="1">
      <c r="A6269" s="633"/>
      <c r="B6269" s="633"/>
      <c r="C6269" s="633"/>
      <c r="D6269" s="633"/>
      <c r="E6269" s="633"/>
      <c r="F6269" s="633"/>
      <c r="G6269" s="633"/>
    </row>
    <row r="6270" spans="1:9" s="65" customFormat="1">
      <c r="H6270" s="156"/>
      <c r="I6270" s="151"/>
    </row>
    <row r="6271" spans="1:9" s="65" customFormat="1">
      <c r="A6271" s="645"/>
      <c r="B6271" s="156"/>
      <c r="C6271" s="156"/>
      <c r="D6271" s="156"/>
      <c r="E6271" s="156"/>
      <c r="F6271" s="156"/>
      <c r="G6271" s="156"/>
      <c r="H6271" s="156"/>
      <c r="I6271" s="152"/>
    </row>
    <row r="6272" spans="1:9" s="65" customFormat="1">
      <c r="A6272" s="645"/>
      <c r="B6272" s="156"/>
      <c r="C6272" s="156"/>
      <c r="D6272" s="156"/>
      <c r="E6272" s="156"/>
      <c r="F6272" s="156"/>
      <c r="G6272" s="156"/>
    </row>
    <row r="6273" spans="1:8" s="65" customFormat="1">
      <c r="A6273" s="69"/>
      <c r="B6273" s="69"/>
      <c r="C6273" s="69"/>
      <c r="D6273" s="69"/>
      <c r="E6273" s="69"/>
    </row>
    <row r="6274" spans="1:8" s="65" customFormat="1">
      <c r="A6274" s="120"/>
      <c r="B6274" s="73"/>
      <c r="C6274" s="73"/>
      <c r="D6274" s="73"/>
      <c r="E6274" s="73"/>
      <c r="F6274" s="121"/>
      <c r="G6274" s="121"/>
      <c r="H6274" s="121"/>
    </row>
    <row r="6275" spans="1:8" s="65" customFormat="1">
      <c r="A6275" s="128"/>
      <c r="B6275" s="141"/>
      <c r="C6275" s="141"/>
      <c r="D6275" s="141"/>
      <c r="E6275" s="141"/>
      <c r="F6275" s="141"/>
      <c r="G6275" s="141"/>
      <c r="H6275" s="121"/>
    </row>
    <row r="6276" spans="1:8" s="65" customFormat="1">
      <c r="A6276" s="84"/>
      <c r="B6276" s="83"/>
      <c r="C6276" s="84"/>
      <c r="D6276" s="84"/>
      <c r="E6276" s="84"/>
      <c r="F6276" s="84"/>
      <c r="G6276" s="144"/>
      <c r="H6276" s="133"/>
    </row>
    <row r="6277" spans="1:8" s="65" customFormat="1">
      <c r="A6277" s="84"/>
      <c r="B6277" s="83"/>
      <c r="C6277" s="84"/>
      <c r="D6277" s="84"/>
      <c r="E6277" s="84"/>
      <c r="G6277" s="104"/>
      <c r="H6277" s="140"/>
    </row>
    <row r="6278" spans="1:8" s="65" customFormat="1">
      <c r="A6278" s="120"/>
      <c r="B6278" s="73"/>
      <c r="C6278" s="73"/>
      <c r="D6278" s="73"/>
      <c r="E6278" s="73"/>
      <c r="G6278" s="121"/>
      <c r="H6278" s="140"/>
    </row>
    <row r="6279" spans="1:8" s="65" customFormat="1">
      <c r="A6279" s="128"/>
      <c r="B6279" s="141"/>
      <c r="C6279" s="141"/>
      <c r="D6279" s="141"/>
      <c r="E6279" s="141"/>
      <c r="F6279" s="141"/>
      <c r="G6279" s="141"/>
      <c r="H6279" s="140"/>
    </row>
    <row r="6280" spans="1:8" s="65" customFormat="1">
      <c r="A6280" s="172"/>
      <c r="B6280" s="83"/>
      <c r="C6280" s="84"/>
      <c r="D6280" s="84"/>
      <c r="E6280" s="168"/>
      <c r="F6280" s="141"/>
      <c r="G6280" s="168"/>
      <c r="H6280" s="140"/>
    </row>
    <row r="6281" spans="1:8" s="65" customFormat="1">
      <c r="A6281" s="173"/>
      <c r="B6281" s="83"/>
      <c r="C6281" s="84"/>
      <c r="D6281" s="84"/>
      <c r="E6281" s="84"/>
      <c r="F6281" s="141"/>
      <c r="G6281" s="168"/>
      <c r="H6281" s="133"/>
    </row>
    <row r="6282" spans="1:8" s="65" customFormat="1">
      <c r="A6282" s="91"/>
      <c r="B6282" s="91"/>
      <c r="C6282" s="91"/>
      <c r="D6282" s="91"/>
      <c r="E6282" s="91"/>
      <c r="G6282" s="104"/>
      <c r="H6282" s="140"/>
    </row>
    <row r="6283" spans="1:8" s="65" customFormat="1">
      <c r="A6283" s="120"/>
      <c r="B6283" s="73"/>
      <c r="C6283" s="73"/>
      <c r="D6283" s="73"/>
      <c r="E6283" s="73"/>
      <c r="G6283" s="121"/>
      <c r="H6283" s="140"/>
    </row>
    <row r="6284" spans="1:8" s="65" customFormat="1">
      <c r="A6284" s="128"/>
      <c r="B6284" s="141"/>
      <c r="C6284" s="141"/>
      <c r="D6284" s="141"/>
      <c r="E6284" s="141"/>
      <c r="F6284" s="141"/>
      <c r="G6284" s="141"/>
      <c r="H6284" s="140"/>
    </row>
    <row r="6285" spans="1:8" s="65" customFormat="1">
      <c r="A6285" s="146"/>
      <c r="B6285" s="147"/>
      <c r="C6285" s="148"/>
      <c r="D6285" s="84"/>
      <c r="E6285" s="143"/>
      <c r="F6285" s="84"/>
      <c r="G6285" s="144"/>
      <c r="H6285" s="133"/>
    </row>
    <row r="6286" spans="1:8" s="65" customFormat="1">
      <c r="A6286" s="91"/>
      <c r="B6286" s="91"/>
      <c r="C6286" s="91"/>
      <c r="D6286" s="91"/>
      <c r="E6286" s="91"/>
      <c r="G6286" s="104"/>
      <c r="H6286" s="140"/>
    </row>
    <row r="6287" spans="1:8" s="65" customFormat="1">
      <c r="A6287" s="120"/>
      <c r="B6287" s="73"/>
      <c r="C6287" s="73"/>
      <c r="D6287" s="73"/>
      <c r="E6287" s="73"/>
      <c r="G6287" s="121"/>
      <c r="H6287" s="140"/>
    </row>
    <row r="6288" spans="1:8" s="65" customFormat="1">
      <c r="A6288" s="128"/>
      <c r="B6288" s="141"/>
      <c r="C6288" s="141"/>
      <c r="D6288" s="141"/>
      <c r="E6288" s="141"/>
      <c r="F6288" s="141"/>
      <c r="G6288" s="141"/>
      <c r="H6288" s="140"/>
    </row>
    <row r="6289" spans="1:9" s="65" customFormat="1">
      <c r="A6289" s="142"/>
      <c r="B6289" s="143"/>
      <c r="C6289" s="143"/>
      <c r="D6289" s="143"/>
      <c r="E6289" s="143"/>
      <c r="F6289" s="84"/>
      <c r="G6289" s="144"/>
      <c r="H6289" s="133"/>
    </row>
    <row r="6290" spans="1:9" s="65" customFormat="1">
      <c r="A6290" s="123"/>
      <c r="B6290" s="95"/>
      <c r="C6290" s="95"/>
      <c r="D6290" s="95"/>
      <c r="E6290" s="95"/>
      <c r="G6290" s="104"/>
      <c r="H6290" s="121"/>
    </row>
    <row r="6291" spans="1:9" s="65" customFormat="1">
      <c r="A6291" s="123"/>
      <c r="B6291" s="95"/>
      <c r="C6291" s="95"/>
      <c r="D6291" s="95"/>
      <c r="E6291" s="95"/>
      <c r="G6291" s="121"/>
      <c r="H6291" s="133"/>
    </row>
    <row r="6292" spans="1:9" s="65" customFormat="1">
      <c r="B6292" s="97"/>
      <c r="C6292" s="98"/>
      <c r="D6292" s="98"/>
      <c r="E6292" s="98"/>
      <c r="G6292" s="128"/>
    </row>
    <row r="6293" spans="1:9" s="65" customFormat="1">
      <c r="B6293" s="97"/>
      <c r="C6293" s="98"/>
      <c r="D6293" s="98"/>
      <c r="E6293" s="98"/>
      <c r="F6293" s="128"/>
      <c r="G6293" s="133"/>
      <c r="H6293" s="134"/>
    </row>
    <row r="6294" spans="1:9" s="65" customFormat="1">
      <c r="A6294" s="633"/>
      <c r="B6294" s="633"/>
      <c r="C6294" s="633"/>
      <c r="D6294" s="633"/>
      <c r="E6294" s="633"/>
      <c r="F6294" s="633"/>
      <c r="G6294" s="633"/>
    </row>
    <row r="6295" spans="1:9" s="65" customFormat="1">
      <c r="H6295" s="156"/>
      <c r="I6295" s="151"/>
    </row>
    <row r="6296" spans="1:9" s="65" customFormat="1">
      <c r="A6296" s="655"/>
      <c r="B6296" s="156"/>
      <c r="C6296" s="156"/>
      <c r="D6296" s="156"/>
      <c r="E6296" s="156"/>
      <c r="F6296" s="156"/>
      <c r="G6296" s="156"/>
      <c r="H6296" s="156"/>
      <c r="I6296" s="152"/>
    </row>
    <row r="6297" spans="1:9" s="65" customFormat="1">
      <c r="A6297" s="645"/>
      <c r="B6297" s="156"/>
      <c r="C6297" s="156"/>
      <c r="D6297" s="156"/>
      <c r="E6297" s="156"/>
      <c r="F6297" s="156"/>
      <c r="G6297" s="156"/>
    </row>
    <row r="6298" spans="1:9" s="65" customFormat="1">
      <c r="A6298" s="69"/>
      <c r="B6298" s="69"/>
      <c r="C6298" s="69"/>
      <c r="D6298" s="69"/>
      <c r="E6298" s="69"/>
    </row>
    <row r="6299" spans="1:9" s="65" customFormat="1">
      <c r="A6299" s="120"/>
      <c r="B6299" s="73"/>
      <c r="C6299" s="73"/>
      <c r="D6299" s="73"/>
      <c r="E6299" s="73"/>
      <c r="F6299" s="121"/>
      <c r="G6299" s="121"/>
      <c r="H6299" s="121"/>
    </row>
    <row r="6300" spans="1:9" s="65" customFormat="1">
      <c r="A6300" s="128"/>
      <c r="B6300" s="141"/>
      <c r="C6300" s="141"/>
      <c r="D6300" s="141"/>
      <c r="E6300" s="141"/>
      <c r="F6300" s="141"/>
      <c r="G6300" s="141"/>
      <c r="H6300" s="121"/>
    </row>
    <row r="6301" spans="1:9" s="65" customFormat="1">
      <c r="A6301" s="84"/>
      <c r="B6301" s="83"/>
      <c r="C6301" s="84"/>
      <c r="D6301" s="84"/>
      <c r="E6301" s="84"/>
      <c r="F6301" s="84"/>
      <c r="G6301" s="144"/>
      <c r="H6301" s="133"/>
    </row>
    <row r="6302" spans="1:9" s="65" customFormat="1">
      <c r="A6302" s="84"/>
      <c r="B6302" s="83"/>
      <c r="C6302" s="84"/>
      <c r="D6302" s="84"/>
      <c r="E6302" s="84"/>
      <c r="G6302" s="104"/>
      <c r="H6302" s="140"/>
    </row>
    <row r="6303" spans="1:9" s="65" customFormat="1">
      <c r="A6303" s="120"/>
      <c r="B6303" s="73"/>
      <c r="C6303" s="73"/>
      <c r="D6303" s="73"/>
      <c r="E6303" s="73"/>
      <c r="G6303" s="121"/>
      <c r="H6303" s="140"/>
    </row>
    <row r="6304" spans="1:9" s="65" customFormat="1">
      <c r="A6304" s="128"/>
      <c r="B6304" s="141"/>
      <c r="C6304" s="141"/>
      <c r="D6304" s="141"/>
      <c r="E6304" s="141"/>
      <c r="F6304" s="141"/>
      <c r="G6304" s="141"/>
      <c r="H6304" s="140"/>
    </row>
    <row r="6305" spans="1:9" s="65" customFormat="1">
      <c r="A6305" s="172"/>
      <c r="B6305" s="83"/>
      <c r="C6305" s="84"/>
      <c r="D6305" s="84"/>
      <c r="E6305" s="168"/>
      <c r="F6305" s="141"/>
      <c r="G6305" s="168"/>
      <c r="H6305" s="133"/>
    </row>
    <row r="6306" spans="1:9" s="65" customFormat="1">
      <c r="A6306" s="91"/>
      <c r="B6306" s="91"/>
      <c r="C6306" s="91"/>
      <c r="D6306" s="91"/>
      <c r="E6306" s="91"/>
      <c r="G6306" s="104"/>
      <c r="H6306" s="140"/>
    </row>
    <row r="6307" spans="1:9" s="65" customFormat="1">
      <c r="A6307" s="120"/>
      <c r="B6307" s="73"/>
      <c r="C6307" s="73"/>
      <c r="D6307" s="73"/>
      <c r="E6307" s="73"/>
      <c r="G6307" s="121"/>
      <c r="H6307" s="140"/>
    </row>
    <row r="6308" spans="1:9" s="65" customFormat="1">
      <c r="A6308" s="128"/>
      <c r="B6308" s="141"/>
      <c r="C6308" s="141"/>
      <c r="D6308" s="141"/>
      <c r="E6308" s="141"/>
      <c r="F6308" s="141"/>
      <c r="G6308" s="141"/>
      <c r="H6308" s="140"/>
    </row>
    <row r="6309" spans="1:9" s="65" customFormat="1">
      <c r="A6309" s="146"/>
      <c r="B6309" s="147"/>
      <c r="C6309" s="148"/>
      <c r="D6309" s="84"/>
      <c r="E6309" s="143"/>
      <c r="F6309" s="84"/>
      <c r="G6309" s="144"/>
      <c r="H6309" s="133"/>
    </row>
    <row r="6310" spans="1:9" s="65" customFormat="1">
      <c r="A6310" s="91"/>
      <c r="B6310" s="91"/>
      <c r="C6310" s="91"/>
      <c r="D6310" s="91"/>
      <c r="E6310" s="91"/>
      <c r="G6310" s="104"/>
      <c r="H6310" s="140"/>
    </row>
    <row r="6311" spans="1:9" s="65" customFormat="1">
      <c r="A6311" s="120"/>
      <c r="B6311" s="73"/>
      <c r="C6311" s="73"/>
      <c r="D6311" s="73"/>
      <c r="E6311" s="73"/>
      <c r="G6311" s="121"/>
      <c r="H6311" s="140"/>
    </row>
    <row r="6312" spans="1:9" s="65" customFormat="1">
      <c r="A6312" s="128"/>
      <c r="B6312" s="141"/>
      <c r="C6312" s="141"/>
      <c r="D6312" s="141"/>
      <c r="E6312" s="141"/>
      <c r="F6312" s="141"/>
      <c r="G6312" s="141"/>
      <c r="H6312" s="140"/>
    </row>
    <row r="6313" spans="1:9" s="65" customFormat="1">
      <c r="A6313" s="142"/>
      <c r="B6313" s="143"/>
      <c r="C6313" s="143"/>
      <c r="D6313" s="143"/>
      <c r="E6313" s="143"/>
      <c r="F6313" s="84"/>
      <c r="G6313" s="144"/>
      <c r="H6313" s="133"/>
    </row>
    <row r="6314" spans="1:9" s="65" customFormat="1">
      <c r="A6314" s="123"/>
      <c r="B6314" s="95"/>
      <c r="C6314" s="95"/>
      <c r="D6314" s="95"/>
      <c r="E6314" s="95"/>
      <c r="G6314" s="104"/>
      <c r="H6314" s="121"/>
    </row>
    <row r="6315" spans="1:9" s="65" customFormat="1">
      <c r="A6315" s="123"/>
      <c r="B6315" s="95"/>
      <c r="C6315" s="95"/>
      <c r="D6315" s="95"/>
      <c r="E6315" s="95"/>
      <c r="G6315" s="121"/>
      <c r="H6315" s="133"/>
    </row>
    <row r="6316" spans="1:9" s="65" customFormat="1">
      <c r="B6316" s="97"/>
      <c r="C6316" s="98"/>
      <c r="D6316" s="98"/>
      <c r="E6316" s="98"/>
      <c r="G6316" s="128"/>
    </row>
    <row r="6317" spans="1:9" s="65" customFormat="1">
      <c r="B6317" s="97"/>
      <c r="C6317" s="98"/>
      <c r="D6317" s="98"/>
      <c r="E6317" s="98"/>
      <c r="F6317" s="128"/>
      <c r="G6317" s="133"/>
      <c r="H6317" s="134"/>
    </row>
    <row r="6318" spans="1:9" s="65" customFormat="1">
      <c r="A6318" s="633"/>
      <c r="B6318" s="633"/>
      <c r="C6318" s="633"/>
      <c r="D6318" s="633"/>
      <c r="E6318" s="633"/>
      <c r="F6318" s="633"/>
      <c r="G6318" s="633"/>
    </row>
    <row r="6319" spans="1:9" s="65" customFormat="1">
      <c r="H6319" s="156"/>
      <c r="I6319" s="151"/>
    </row>
    <row r="6320" spans="1:9" s="65" customFormat="1">
      <c r="A6320" s="655"/>
      <c r="B6320" s="156"/>
      <c r="C6320" s="156"/>
      <c r="D6320" s="156"/>
      <c r="E6320" s="156"/>
      <c r="F6320" s="156"/>
      <c r="G6320" s="156"/>
      <c r="H6320" s="156"/>
      <c r="I6320" s="152"/>
    </row>
    <row r="6321" spans="1:8" s="65" customFormat="1">
      <c r="A6321" s="645"/>
      <c r="B6321" s="156"/>
      <c r="C6321" s="156"/>
      <c r="D6321" s="156"/>
      <c r="E6321" s="156"/>
      <c r="F6321" s="156"/>
      <c r="G6321" s="156"/>
    </row>
    <row r="6322" spans="1:8" s="65" customFormat="1">
      <c r="A6322" s="69"/>
      <c r="B6322" s="69"/>
      <c r="C6322" s="69"/>
      <c r="D6322" s="69"/>
      <c r="E6322" s="69"/>
    </row>
    <row r="6323" spans="1:8" s="65" customFormat="1">
      <c r="A6323" s="120"/>
      <c r="B6323" s="73"/>
      <c r="C6323" s="73"/>
      <c r="D6323" s="73"/>
      <c r="E6323" s="73"/>
      <c r="F6323" s="121"/>
      <c r="G6323" s="121"/>
      <c r="H6323" s="121"/>
    </row>
    <row r="6324" spans="1:8" s="65" customFormat="1">
      <c r="A6324" s="128"/>
      <c r="B6324" s="141"/>
      <c r="C6324" s="141"/>
      <c r="D6324" s="141"/>
      <c r="E6324" s="141"/>
      <c r="F6324" s="141"/>
      <c r="G6324" s="141"/>
      <c r="H6324" s="121"/>
    </row>
    <row r="6325" spans="1:8" s="65" customFormat="1">
      <c r="A6325" s="174"/>
      <c r="B6325" s="83"/>
      <c r="C6325" s="84"/>
      <c r="D6325" s="84"/>
      <c r="E6325" s="84"/>
      <c r="F6325" s="84"/>
      <c r="G6325" s="84"/>
      <c r="H6325" s="121"/>
    </row>
    <row r="6326" spans="1:8" s="65" customFormat="1">
      <c r="A6326" s="174"/>
      <c r="B6326" s="83"/>
      <c r="C6326" s="84"/>
      <c r="D6326" s="84"/>
      <c r="E6326" s="84"/>
      <c r="F6326" s="84"/>
      <c r="G6326" s="84"/>
      <c r="H6326" s="121"/>
    </row>
    <row r="6327" spans="1:8" s="65" customFormat="1">
      <c r="A6327" s="174"/>
      <c r="B6327" s="83"/>
      <c r="C6327" s="84"/>
      <c r="D6327" s="84"/>
      <c r="E6327" s="84"/>
      <c r="F6327" s="84"/>
      <c r="G6327" s="84"/>
      <c r="H6327" s="121"/>
    </row>
    <row r="6328" spans="1:8" s="65" customFormat="1">
      <c r="A6328" s="84"/>
      <c r="B6328" s="83"/>
      <c r="C6328" s="84"/>
      <c r="D6328" s="84"/>
      <c r="E6328" s="84"/>
      <c r="F6328" s="84"/>
      <c r="G6328" s="144"/>
      <c r="H6328" s="133"/>
    </row>
    <row r="6329" spans="1:8" s="65" customFormat="1">
      <c r="A6329" s="84"/>
      <c r="B6329" s="83"/>
      <c r="C6329" s="84"/>
      <c r="D6329" s="84"/>
      <c r="E6329" s="84"/>
      <c r="G6329" s="104"/>
      <c r="H6329" s="140"/>
    </row>
    <row r="6330" spans="1:8" s="65" customFormat="1">
      <c r="A6330" s="120"/>
      <c r="B6330" s="73"/>
      <c r="C6330" s="73"/>
      <c r="D6330" s="73"/>
      <c r="E6330" s="73"/>
      <c r="G6330" s="121"/>
      <c r="H6330" s="140"/>
    </row>
    <row r="6331" spans="1:8" s="65" customFormat="1">
      <c r="A6331" s="128"/>
      <c r="B6331" s="141"/>
      <c r="C6331" s="141"/>
      <c r="D6331" s="141"/>
      <c r="E6331" s="141"/>
      <c r="F6331" s="141"/>
      <c r="G6331" s="141"/>
      <c r="H6331" s="140"/>
    </row>
    <row r="6332" spans="1:8" s="65" customFormat="1">
      <c r="A6332" s="175"/>
      <c r="B6332" s="83"/>
      <c r="C6332" s="84"/>
      <c r="D6332" s="84"/>
      <c r="E6332" s="84"/>
      <c r="F6332" s="84"/>
      <c r="G6332" s="84"/>
      <c r="H6332" s="140"/>
    </row>
    <row r="6333" spans="1:8" s="65" customFormat="1">
      <c r="A6333" s="175"/>
      <c r="B6333" s="83"/>
      <c r="C6333" s="84"/>
      <c r="D6333" s="84"/>
      <c r="E6333" s="84"/>
      <c r="F6333" s="84"/>
      <c r="G6333" s="84"/>
      <c r="H6333" s="140"/>
    </row>
    <row r="6334" spans="1:8" s="65" customFormat="1">
      <c r="A6334" s="175"/>
      <c r="B6334" s="83"/>
      <c r="C6334" s="84"/>
      <c r="D6334" s="84"/>
      <c r="E6334" s="84"/>
      <c r="F6334" s="84"/>
      <c r="G6334" s="84"/>
      <c r="H6334" s="133"/>
    </row>
    <row r="6335" spans="1:8" s="65" customFormat="1">
      <c r="A6335" s="175"/>
      <c r="B6335" s="83"/>
      <c r="C6335" s="84"/>
      <c r="D6335" s="84"/>
      <c r="E6335" s="84"/>
      <c r="F6335" s="84"/>
      <c r="G6335" s="84"/>
      <c r="H6335" s="140"/>
    </row>
    <row r="6336" spans="1:8" s="65" customFormat="1">
      <c r="A6336" s="120"/>
      <c r="B6336" s="73"/>
      <c r="C6336" s="73"/>
      <c r="D6336" s="73"/>
      <c r="E6336" s="73"/>
      <c r="G6336" s="121"/>
      <c r="H6336" s="140"/>
    </row>
    <row r="6337" spans="1:9" s="65" customFormat="1">
      <c r="A6337" s="128"/>
      <c r="B6337" s="141"/>
      <c r="C6337" s="141"/>
      <c r="D6337" s="141"/>
      <c r="E6337" s="141"/>
      <c r="F6337" s="141"/>
      <c r="G6337" s="141"/>
      <c r="H6337" s="140"/>
    </row>
    <row r="6338" spans="1:9" s="65" customFormat="1">
      <c r="A6338" s="174"/>
      <c r="B6338" s="83"/>
      <c r="C6338" s="84"/>
      <c r="D6338" s="84"/>
      <c r="E6338" s="84"/>
      <c r="F6338" s="141"/>
      <c r="G6338" s="84"/>
      <c r="H6338" s="140"/>
    </row>
    <row r="6339" spans="1:9" s="65" customFormat="1">
      <c r="A6339" s="174"/>
      <c r="B6339" s="83"/>
      <c r="C6339" s="84"/>
      <c r="D6339" s="84"/>
      <c r="E6339" s="84"/>
      <c r="F6339" s="141"/>
      <c r="G6339" s="84"/>
      <c r="H6339" s="140"/>
    </row>
    <row r="6340" spans="1:9" s="65" customFormat="1">
      <c r="A6340" s="146"/>
      <c r="B6340" s="176"/>
      <c r="C6340" s="148"/>
      <c r="D6340" s="84"/>
      <c r="E6340" s="84"/>
      <c r="F6340" s="84"/>
      <c r="G6340" s="144"/>
      <c r="H6340" s="133"/>
    </row>
    <row r="6341" spans="1:9" s="65" customFormat="1">
      <c r="A6341" s="91"/>
      <c r="B6341" s="91"/>
      <c r="C6341" s="91"/>
      <c r="D6341" s="91"/>
      <c r="E6341" s="91"/>
      <c r="G6341" s="104"/>
      <c r="H6341" s="140"/>
    </row>
    <row r="6342" spans="1:9" s="65" customFormat="1">
      <c r="A6342" s="120"/>
      <c r="B6342" s="73"/>
      <c r="C6342" s="73"/>
      <c r="D6342" s="73"/>
      <c r="E6342" s="73"/>
      <c r="G6342" s="121"/>
      <c r="H6342" s="140"/>
    </row>
    <row r="6343" spans="1:9" s="65" customFormat="1">
      <c r="A6343" s="128"/>
      <c r="B6343" s="141"/>
      <c r="C6343" s="141"/>
      <c r="D6343" s="141"/>
      <c r="E6343" s="141"/>
      <c r="F6343" s="141"/>
      <c r="G6343" s="141"/>
      <c r="H6343" s="140"/>
    </row>
    <row r="6344" spans="1:9" s="65" customFormat="1">
      <c r="A6344" s="142"/>
      <c r="B6344" s="143"/>
      <c r="C6344" s="143"/>
      <c r="D6344" s="143"/>
      <c r="E6344" s="143"/>
      <c r="F6344" s="84"/>
      <c r="G6344" s="144"/>
      <c r="H6344" s="133"/>
    </row>
    <row r="6345" spans="1:9" s="65" customFormat="1">
      <c r="A6345" s="123"/>
      <c r="B6345" s="95"/>
      <c r="C6345" s="95"/>
      <c r="D6345" s="95"/>
      <c r="E6345" s="95"/>
      <c r="G6345" s="104"/>
      <c r="H6345" s="121"/>
    </row>
    <row r="6346" spans="1:9" s="65" customFormat="1">
      <c r="A6346" s="123"/>
      <c r="B6346" s="95"/>
      <c r="C6346" s="95"/>
      <c r="D6346" s="95"/>
      <c r="E6346" s="95"/>
      <c r="G6346" s="121"/>
      <c r="H6346" s="133"/>
    </row>
    <row r="6347" spans="1:9" s="65" customFormat="1">
      <c r="B6347" s="97"/>
      <c r="C6347" s="98"/>
      <c r="D6347" s="98"/>
      <c r="E6347" s="98"/>
      <c r="G6347" s="128"/>
    </row>
    <row r="6348" spans="1:9" s="65" customFormat="1">
      <c r="B6348" s="97"/>
      <c r="C6348" s="98"/>
      <c r="D6348" s="98"/>
      <c r="E6348" s="98"/>
      <c r="F6348" s="128"/>
      <c r="G6348" s="133"/>
      <c r="H6348" s="134"/>
    </row>
    <row r="6349" spans="1:9" s="65" customFormat="1">
      <c r="A6349" s="633"/>
      <c r="B6349" s="633"/>
      <c r="C6349" s="633"/>
      <c r="D6349" s="633"/>
      <c r="E6349" s="633"/>
      <c r="F6349" s="633"/>
      <c r="G6349" s="633"/>
    </row>
    <row r="6350" spans="1:9" s="65" customFormat="1">
      <c r="H6350" s="177"/>
      <c r="I6350" s="178"/>
    </row>
    <row r="6351" spans="1:9" s="65" customFormat="1">
      <c r="A6351" s="654"/>
      <c r="B6351" s="177"/>
      <c r="C6351" s="177"/>
      <c r="D6351" s="177"/>
      <c r="E6351" s="177"/>
      <c r="F6351" s="177"/>
      <c r="G6351" s="177"/>
      <c r="H6351" s="177"/>
      <c r="I6351" s="179"/>
    </row>
    <row r="6352" spans="1:9" s="65" customFormat="1">
      <c r="A6352" s="654"/>
      <c r="B6352" s="177"/>
      <c r="C6352" s="177"/>
      <c r="D6352" s="177"/>
      <c r="E6352" s="177"/>
      <c r="F6352" s="177"/>
      <c r="G6352" s="177"/>
      <c r="H6352" s="180"/>
    </row>
    <row r="6353" spans="1:9" s="65" customFormat="1">
      <c r="A6353" s="69"/>
      <c r="B6353" s="69"/>
      <c r="C6353" s="69"/>
      <c r="D6353" s="69"/>
      <c r="E6353" s="69"/>
      <c r="G6353" s="180"/>
      <c r="H6353" s="180"/>
    </row>
    <row r="6354" spans="1:9" s="65" customFormat="1">
      <c r="A6354" s="120"/>
      <c r="B6354" s="73"/>
      <c r="C6354" s="73"/>
      <c r="D6354" s="73"/>
      <c r="E6354" s="73"/>
      <c r="F6354" s="181"/>
      <c r="G6354" s="182"/>
      <c r="H6354" s="182"/>
    </row>
    <row r="6355" spans="1:9" s="65" customFormat="1">
      <c r="A6355" s="183"/>
      <c r="B6355" s="141"/>
      <c r="C6355" s="141"/>
      <c r="D6355" s="141"/>
      <c r="E6355" s="141"/>
      <c r="F6355" s="141"/>
      <c r="G6355" s="184"/>
      <c r="H6355" s="182"/>
    </row>
    <row r="6356" spans="1:9" s="65" customFormat="1">
      <c r="A6356" s="150"/>
      <c r="B6356" s="83"/>
      <c r="C6356" s="148"/>
      <c r="D6356" s="84"/>
      <c r="E6356" s="84"/>
      <c r="F6356" s="84"/>
      <c r="G6356" s="185"/>
      <c r="H6356" s="145"/>
    </row>
    <row r="6357" spans="1:9" s="65" customFormat="1">
      <c r="A6357" s="84"/>
      <c r="B6357" s="83"/>
      <c r="C6357" s="84"/>
      <c r="D6357" s="84"/>
      <c r="E6357" s="84"/>
      <c r="G6357" s="186"/>
      <c r="H6357" s="187"/>
    </row>
    <row r="6358" spans="1:9" s="65" customFormat="1">
      <c r="A6358" s="120"/>
      <c r="B6358" s="73"/>
      <c r="C6358" s="73"/>
      <c r="D6358" s="73"/>
      <c r="E6358" s="73"/>
      <c r="G6358" s="188"/>
      <c r="H6358" s="187"/>
    </row>
    <row r="6359" spans="1:9" s="65" customFormat="1">
      <c r="A6359" s="183"/>
      <c r="B6359" s="141"/>
      <c r="C6359" s="141"/>
      <c r="D6359" s="141"/>
      <c r="E6359" s="141"/>
      <c r="F6359" s="141"/>
      <c r="G6359" s="184"/>
      <c r="H6359" s="187"/>
      <c r="I6359" s="189"/>
    </row>
    <row r="6360" spans="1:9" s="65" customFormat="1">
      <c r="A6360" s="190"/>
      <c r="B6360" s="191"/>
      <c r="C6360" s="148"/>
      <c r="D6360" s="190"/>
      <c r="E6360" s="84"/>
      <c r="F6360" s="84"/>
      <c r="G6360" s="185"/>
      <c r="H6360" s="187"/>
      <c r="I6360" s="189"/>
    </row>
    <row r="6361" spans="1:9" s="65" customFormat="1">
      <c r="A6361" s="150"/>
      <c r="B6361" s="191"/>
      <c r="C6361" s="148"/>
      <c r="D6361" s="84"/>
      <c r="E6361" s="84"/>
      <c r="F6361" s="84"/>
      <c r="G6361" s="185"/>
      <c r="H6361" s="187"/>
    </row>
    <row r="6362" spans="1:9" s="65" customFormat="1">
      <c r="A6362" s="150"/>
      <c r="B6362" s="191"/>
      <c r="C6362" s="148"/>
      <c r="D6362" s="84"/>
      <c r="E6362" s="84"/>
      <c r="F6362" s="84"/>
      <c r="G6362" s="185"/>
      <c r="H6362" s="187"/>
    </row>
    <row r="6363" spans="1:9" s="65" customFormat="1">
      <c r="A6363" s="150"/>
      <c r="B6363" s="191"/>
      <c r="C6363" s="148"/>
      <c r="D6363" s="84"/>
      <c r="E6363" s="84"/>
      <c r="F6363" s="84"/>
      <c r="G6363" s="185"/>
      <c r="H6363" s="145"/>
    </row>
    <row r="6364" spans="1:9" s="65" customFormat="1">
      <c r="A6364" s="91"/>
      <c r="B6364" s="91"/>
      <c r="C6364" s="91"/>
      <c r="D6364" s="91"/>
      <c r="E6364" s="91"/>
      <c r="G6364" s="186"/>
      <c r="H6364" s="187"/>
    </row>
    <row r="6365" spans="1:9" s="65" customFormat="1">
      <c r="A6365" s="120"/>
      <c r="B6365" s="73"/>
      <c r="C6365" s="73"/>
      <c r="D6365" s="73"/>
      <c r="E6365" s="73"/>
      <c r="G6365" s="188"/>
      <c r="H6365" s="187"/>
    </row>
    <row r="6366" spans="1:9" s="65" customFormat="1">
      <c r="A6366" s="183"/>
      <c r="B6366" s="141"/>
      <c r="C6366" s="141"/>
      <c r="D6366" s="141"/>
      <c r="E6366" s="141"/>
      <c r="F6366" s="141"/>
      <c r="G6366" s="184"/>
      <c r="H6366" s="187"/>
    </row>
    <row r="6367" spans="1:9" s="65" customFormat="1">
      <c r="A6367" s="146"/>
      <c r="B6367" s="83"/>
      <c r="C6367" s="148"/>
      <c r="D6367" s="84"/>
      <c r="E6367" s="84"/>
      <c r="F6367" s="84"/>
      <c r="G6367" s="185"/>
      <c r="H6367" s="145"/>
    </row>
    <row r="6368" spans="1:9" s="65" customFormat="1">
      <c r="A6368" s="91"/>
      <c r="B6368" s="91"/>
      <c r="C6368" s="91"/>
      <c r="D6368" s="91"/>
      <c r="E6368" s="91"/>
      <c r="G6368" s="186"/>
      <c r="H6368" s="187"/>
    </row>
    <row r="6369" spans="1:9" s="65" customFormat="1">
      <c r="A6369" s="120"/>
      <c r="B6369" s="73"/>
      <c r="C6369" s="73"/>
      <c r="D6369" s="73"/>
      <c r="E6369" s="73"/>
      <c r="G6369" s="188"/>
      <c r="H6369" s="187"/>
    </row>
    <row r="6370" spans="1:9" s="65" customFormat="1">
      <c r="A6370" s="183"/>
      <c r="B6370" s="141"/>
      <c r="C6370" s="141"/>
      <c r="D6370" s="141"/>
      <c r="E6370" s="141"/>
      <c r="F6370" s="141"/>
      <c r="G6370" s="184"/>
      <c r="H6370" s="187"/>
    </row>
    <row r="6371" spans="1:9" s="65" customFormat="1">
      <c r="A6371" s="142"/>
      <c r="B6371" s="143"/>
      <c r="C6371" s="143"/>
      <c r="D6371" s="143"/>
      <c r="E6371" s="143"/>
      <c r="F6371" s="84"/>
      <c r="G6371" s="185"/>
      <c r="H6371" s="145"/>
    </row>
    <row r="6372" spans="1:9" s="65" customFormat="1">
      <c r="A6372" s="123"/>
      <c r="B6372" s="95"/>
      <c r="C6372" s="95"/>
      <c r="D6372" s="95"/>
      <c r="E6372" s="95"/>
      <c r="G6372" s="186"/>
      <c r="H6372" s="182"/>
    </row>
    <row r="6373" spans="1:9" s="65" customFormat="1">
      <c r="A6373" s="123"/>
      <c r="B6373" s="95"/>
      <c r="C6373" s="95"/>
      <c r="D6373" s="95"/>
      <c r="E6373" s="95"/>
      <c r="G6373" s="188"/>
      <c r="H6373" s="133"/>
    </row>
    <row r="6374" spans="1:9" s="65" customFormat="1">
      <c r="B6374" s="97"/>
      <c r="C6374" s="98"/>
      <c r="D6374" s="98"/>
      <c r="E6374" s="98"/>
      <c r="G6374" s="192"/>
      <c r="H6374" s="180"/>
    </row>
    <row r="6375" spans="1:9" s="65" customFormat="1">
      <c r="B6375" s="97"/>
      <c r="C6375" s="98"/>
      <c r="D6375" s="98"/>
      <c r="E6375" s="98"/>
      <c r="F6375" s="183"/>
      <c r="G6375" s="193"/>
      <c r="H6375" s="177"/>
      <c r="I6375" s="178"/>
    </row>
    <row r="6376" spans="1:9" s="65" customFormat="1">
      <c r="A6376" s="654"/>
      <c r="B6376" s="177"/>
      <c r="C6376" s="177"/>
      <c r="D6376" s="177"/>
      <c r="E6376" s="177"/>
      <c r="F6376" s="177"/>
      <c r="G6376" s="177"/>
      <c r="H6376" s="177"/>
      <c r="I6376" s="179"/>
    </row>
    <row r="6377" spans="1:9" s="65" customFormat="1">
      <c r="A6377" s="654"/>
      <c r="B6377" s="177"/>
      <c r="C6377" s="177"/>
      <c r="D6377" s="177"/>
      <c r="E6377" s="177"/>
      <c r="F6377" s="177"/>
      <c r="G6377" s="177"/>
      <c r="H6377" s="180"/>
    </row>
    <row r="6378" spans="1:9" s="65" customFormat="1">
      <c r="A6378" s="69"/>
      <c r="B6378" s="69"/>
      <c r="C6378" s="69"/>
      <c r="D6378" s="69"/>
      <c r="E6378" s="69"/>
      <c r="G6378" s="180"/>
      <c r="H6378" s="180"/>
    </row>
    <row r="6379" spans="1:9" s="65" customFormat="1">
      <c r="A6379" s="120"/>
      <c r="B6379" s="73"/>
      <c r="C6379" s="73"/>
      <c r="D6379" s="73"/>
      <c r="E6379" s="73"/>
      <c r="F6379" s="181"/>
      <c r="G6379" s="182"/>
      <c r="H6379" s="182"/>
    </row>
    <row r="6380" spans="1:9" s="65" customFormat="1">
      <c r="A6380" s="183"/>
      <c r="B6380" s="141"/>
      <c r="C6380" s="141"/>
      <c r="D6380" s="141"/>
      <c r="E6380" s="141"/>
      <c r="F6380" s="141"/>
      <c r="G6380" s="194"/>
      <c r="H6380" s="182"/>
    </row>
    <row r="6381" spans="1:9" s="65" customFormat="1">
      <c r="A6381" s="150"/>
      <c r="B6381" s="83"/>
      <c r="C6381" s="148"/>
      <c r="D6381" s="84"/>
      <c r="E6381" s="84"/>
      <c r="F6381" s="84"/>
      <c r="G6381" s="195"/>
      <c r="H6381" s="187"/>
    </row>
    <row r="6382" spans="1:9" s="65" customFormat="1">
      <c r="A6382" s="84"/>
      <c r="B6382" s="83"/>
      <c r="C6382" s="84"/>
      <c r="D6382" s="84"/>
      <c r="E6382" s="84"/>
      <c r="G6382" s="196"/>
      <c r="H6382" s="187"/>
    </row>
    <row r="6383" spans="1:9" s="65" customFormat="1">
      <c r="A6383" s="120"/>
      <c r="B6383" s="73"/>
      <c r="C6383" s="73"/>
      <c r="D6383" s="73"/>
      <c r="E6383" s="73"/>
      <c r="G6383" s="182"/>
      <c r="H6383" s="187"/>
    </row>
    <row r="6384" spans="1:9" s="65" customFormat="1">
      <c r="A6384" s="183"/>
      <c r="B6384" s="141"/>
      <c r="C6384" s="141"/>
      <c r="D6384" s="141"/>
      <c r="E6384" s="141"/>
      <c r="F6384" s="141"/>
      <c r="G6384" s="194"/>
      <c r="H6384" s="187"/>
      <c r="I6384" s="189"/>
    </row>
    <row r="6385" spans="1:9" s="65" customFormat="1">
      <c r="A6385" s="197"/>
      <c r="B6385" s="83"/>
      <c r="C6385" s="148"/>
      <c r="D6385" s="190"/>
      <c r="E6385" s="84"/>
      <c r="F6385" s="84"/>
      <c r="G6385" s="195"/>
      <c r="H6385" s="187"/>
    </row>
    <row r="6386" spans="1:9" s="65" customFormat="1">
      <c r="A6386" s="91"/>
      <c r="B6386" s="91"/>
      <c r="C6386" s="91"/>
      <c r="D6386" s="91"/>
      <c r="E6386" s="91"/>
      <c r="G6386" s="196"/>
      <c r="H6386" s="187"/>
    </row>
    <row r="6387" spans="1:9" s="65" customFormat="1">
      <c r="A6387" s="120"/>
      <c r="B6387" s="73"/>
      <c r="C6387" s="73"/>
      <c r="D6387" s="73"/>
      <c r="E6387" s="73"/>
      <c r="G6387" s="182"/>
      <c r="H6387" s="187"/>
    </row>
    <row r="6388" spans="1:9" s="65" customFormat="1">
      <c r="A6388" s="183"/>
      <c r="B6388" s="141"/>
      <c r="C6388" s="141"/>
      <c r="D6388" s="141"/>
      <c r="E6388" s="141"/>
      <c r="F6388" s="141"/>
      <c r="G6388" s="194"/>
      <c r="H6388" s="187"/>
    </row>
    <row r="6389" spans="1:9" s="65" customFormat="1">
      <c r="A6389" s="146"/>
      <c r="B6389" s="83"/>
      <c r="C6389" s="148"/>
      <c r="D6389" s="84"/>
      <c r="E6389" s="84"/>
      <c r="F6389" s="84"/>
      <c r="G6389" s="195"/>
      <c r="H6389" s="187"/>
    </row>
    <row r="6390" spans="1:9" s="65" customFormat="1">
      <c r="A6390" s="91"/>
      <c r="B6390" s="91"/>
      <c r="C6390" s="91"/>
      <c r="D6390" s="91"/>
      <c r="E6390" s="91"/>
      <c r="G6390" s="196"/>
      <c r="H6390" s="187"/>
    </row>
    <row r="6391" spans="1:9" s="65" customFormat="1">
      <c r="A6391" s="120"/>
      <c r="B6391" s="73"/>
      <c r="C6391" s="73"/>
      <c r="D6391" s="73"/>
      <c r="E6391" s="73"/>
      <c r="G6391" s="182"/>
      <c r="H6391" s="187"/>
    </row>
    <row r="6392" spans="1:9" s="65" customFormat="1">
      <c r="A6392" s="183"/>
      <c r="B6392" s="141"/>
      <c r="C6392" s="141"/>
      <c r="D6392" s="141"/>
      <c r="E6392" s="141"/>
      <c r="F6392" s="141"/>
      <c r="G6392" s="194"/>
      <c r="H6392" s="187"/>
    </row>
    <row r="6393" spans="1:9" s="65" customFormat="1">
      <c r="A6393" s="142"/>
      <c r="B6393" s="143"/>
      <c r="C6393" s="143"/>
      <c r="D6393" s="143"/>
      <c r="E6393" s="143"/>
      <c r="F6393" s="84"/>
      <c r="G6393" s="195"/>
      <c r="H6393" s="187"/>
    </row>
    <row r="6394" spans="1:9" s="65" customFormat="1">
      <c r="A6394" s="123"/>
      <c r="B6394" s="95"/>
      <c r="C6394" s="95"/>
      <c r="D6394" s="95"/>
      <c r="E6394" s="95"/>
      <c r="G6394" s="196"/>
      <c r="H6394" s="182"/>
    </row>
    <row r="6395" spans="1:9" s="65" customFormat="1">
      <c r="A6395" s="123"/>
      <c r="B6395" s="95"/>
      <c r="C6395" s="95"/>
      <c r="D6395" s="95"/>
      <c r="E6395" s="95"/>
      <c r="G6395" s="182"/>
      <c r="H6395" s="193"/>
    </row>
    <row r="6396" spans="1:9" s="65" customFormat="1">
      <c r="B6396" s="97"/>
      <c r="C6396" s="98"/>
      <c r="D6396" s="98"/>
      <c r="E6396" s="98"/>
      <c r="G6396" s="192"/>
      <c r="H6396" s="193"/>
    </row>
    <row r="6397" spans="1:9" s="65" customFormat="1">
      <c r="B6397" s="97"/>
      <c r="C6397" s="98"/>
      <c r="D6397" s="98"/>
      <c r="E6397" s="98"/>
      <c r="G6397" s="192"/>
      <c r="H6397" s="177"/>
      <c r="I6397" s="178"/>
    </row>
    <row r="6398" spans="1:9" s="65" customFormat="1">
      <c r="A6398" s="654"/>
      <c r="B6398" s="177"/>
      <c r="C6398" s="177"/>
      <c r="D6398" s="177"/>
      <c r="E6398" s="177"/>
      <c r="F6398" s="177"/>
      <c r="G6398" s="177"/>
      <c r="H6398" s="177"/>
      <c r="I6398" s="179"/>
    </row>
    <row r="6399" spans="1:9" s="65" customFormat="1">
      <c r="A6399" s="654"/>
      <c r="B6399" s="177"/>
      <c r="C6399" s="177"/>
      <c r="D6399" s="177"/>
      <c r="E6399" s="177"/>
      <c r="F6399" s="177"/>
      <c r="G6399" s="177"/>
      <c r="H6399" s="180"/>
    </row>
    <row r="6400" spans="1:9" s="65" customFormat="1">
      <c r="A6400" s="69"/>
      <c r="B6400" s="69"/>
      <c r="C6400" s="69"/>
      <c r="D6400" s="69"/>
      <c r="E6400" s="69"/>
      <c r="G6400" s="180"/>
      <c r="H6400" s="180"/>
    </row>
    <row r="6401" spans="1:9" s="65" customFormat="1">
      <c r="A6401" s="120"/>
      <c r="B6401" s="73"/>
      <c r="C6401" s="73"/>
      <c r="D6401" s="73"/>
      <c r="E6401" s="73"/>
      <c r="F6401" s="181"/>
      <c r="G6401" s="182"/>
      <c r="H6401" s="182"/>
    </row>
    <row r="6402" spans="1:9" s="65" customFormat="1">
      <c r="A6402" s="183"/>
      <c r="B6402" s="141"/>
      <c r="C6402" s="141"/>
      <c r="D6402" s="141"/>
      <c r="E6402" s="141"/>
      <c r="F6402" s="141"/>
      <c r="G6402" s="194"/>
      <c r="H6402" s="182"/>
    </row>
    <row r="6403" spans="1:9" s="65" customFormat="1">
      <c r="A6403" s="150"/>
      <c r="B6403" s="83"/>
      <c r="C6403" s="148"/>
      <c r="D6403" s="84"/>
      <c r="E6403" s="84"/>
      <c r="F6403" s="84"/>
      <c r="G6403" s="195"/>
      <c r="H6403" s="187"/>
    </row>
    <row r="6404" spans="1:9" s="65" customFormat="1">
      <c r="A6404" s="84"/>
      <c r="B6404" s="83"/>
      <c r="C6404" s="84"/>
      <c r="D6404" s="84"/>
      <c r="E6404" s="84"/>
      <c r="G6404" s="196"/>
      <c r="H6404" s="187"/>
    </row>
    <row r="6405" spans="1:9" s="65" customFormat="1">
      <c r="A6405" s="120"/>
      <c r="B6405" s="73"/>
      <c r="C6405" s="73"/>
      <c r="D6405" s="73"/>
      <c r="E6405" s="73"/>
      <c r="G6405" s="182"/>
      <c r="H6405" s="187"/>
    </row>
    <row r="6406" spans="1:9" s="65" customFormat="1">
      <c r="A6406" s="183"/>
      <c r="B6406" s="141"/>
      <c r="C6406" s="141"/>
      <c r="D6406" s="141"/>
      <c r="E6406" s="141"/>
      <c r="F6406" s="141"/>
      <c r="G6406" s="194"/>
      <c r="H6406" s="187"/>
      <c r="I6406" s="189"/>
    </row>
    <row r="6407" spans="1:9" s="65" customFormat="1">
      <c r="A6407" s="197"/>
      <c r="B6407" s="83"/>
      <c r="C6407" s="148"/>
      <c r="D6407" s="190"/>
      <c r="E6407" s="84"/>
      <c r="F6407" s="84"/>
      <c r="G6407" s="195"/>
      <c r="H6407" s="187"/>
    </row>
    <row r="6408" spans="1:9" s="65" customFormat="1">
      <c r="A6408" s="150"/>
      <c r="B6408" s="83"/>
      <c r="C6408" s="148"/>
      <c r="D6408" s="84"/>
      <c r="E6408" s="84"/>
      <c r="F6408" s="84"/>
      <c r="G6408" s="195"/>
      <c r="H6408" s="187"/>
    </row>
    <row r="6409" spans="1:9" s="65" customFormat="1">
      <c r="A6409" s="91"/>
      <c r="B6409" s="91"/>
      <c r="C6409" s="91"/>
      <c r="D6409" s="91"/>
      <c r="E6409" s="91"/>
      <c r="G6409" s="196"/>
      <c r="H6409" s="187"/>
    </row>
    <row r="6410" spans="1:9" s="65" customFormat="1">
      <c r="A6410" s="120"/>
      <c r="B6410" s="73"/>
      <c r="C6410" s="73"/>
      <c r="D6410" s="73"/>
      <c r="E6410" s="73"/>
      <c r="G6410" s="182"/>
      <c r="H6410" s="187"/>
    </row>
    <row r="6411" spans="1:9" s="65" customFormat="1">
      <c r="A6411" s="183"/>
      <c r="B6411" s="141"/>
      <c r="C6411" s="141"/>
      <c r="D6411" s="141"/>
      <c r="E6411" s="141"/>
      <c r="F6411" s="141"/>
      <c r="G6411" s="194"/>
      <c r="H6411" s="187"/>
    </row>
    <row r="6412" spans="1:9" s="65" customFormat="1">
      <c r="A6412" s="146"/>
      <c r="B6412" s="83"/>
      <c r="C6412" s="148"/>
      <c r="D6412" s="84"/>
      <c r="E6412" s="84"/>
      <c r="F6412" s="84"/>
      <c r="G6412" s="195"/>
      <c r="H6412" s="187"/>
    </row>
    <row r="6413" spans="1:9" s="65" customFormat="1">
      <c r="A6413" s="91"/>
      <c r="B6413" s="91"/>
      <c r="C6413" s="91"/>
      <c r="D6413" s="91"/>
      <c r="E6413" s="91"/>
      <c r="G6413" s="196"/>
      <c r="H6413" s="187"/>
    </row>
    <row r="6414" spans="1:9" s="65" customFormat="1">
      <c r="A6414" s="120"/>
      <c r="B6414" s="73"/>
      <c r="C6414" s="73"/>
      <c r="D6414" s="73"/>
      <c r="E6414" s="73"/>
      <c r="G6414" s="182"/>
      <c r="H6414" s="187"/>
    </row>
    <row r="6415" spans="1:9" s="65" customFormat="1">
      <c r="A6415" s="183"/>
      <c r="B6415" s="141"/>
      <c r="C6415" s="141"/>
      <c r="D6415" s="141"/>
      <c r="E6415" s="141"/>
      <c r="F6415" s="141"/>
      <c r="G6415" s="194"/>
      <c r="H6415" s="187"/>
    </row>
    <row r="6416" spans="1:9" s="65" customFormat="1">
      <c r="A6416" s="142"/>
      <c r="B6416" s="143"/>
      <c r="C6416" s="143"/>
      <c r="D6416" s="143"/>
      <c r="E6416" s="143"/>
      <c r="F6416" s="84"/>
      <c r="G6416" s="195"/>
      <c r="H6416" s="187"/>
    </row>
    <row r="6417" spans="1:9" s="65" customFormat="1">
      <c r="A6417" s="123"/>
      <c r="B6417" s="95"/>
      <c r="C6417" s="95"/>
      <c r="D6417" s="95"/>
      <c r="E6417" s="95"/>
      <c r="G6417" s="196"/>
      <c r="H6417" s="182"/>
    </row>
    <row r="6418" spans="1:9" s="65" customFormat="1">
      <c r="A6418" s="123"/>
      <c r="B6418" s="95"/>
      <c r="C6418" s="95"/>
      <c r="D6418" s="95"/>
      <c r="E6418" s="95"/>
      <c r="G6418" s="182"/>
      <c r="H6418" s="193"/>
    </row>
    <row r="6419" spans="1:9" s="65" customFormat="1">
      <c r="B6419" s="97"/>
      <c r="C6419" s="98"/>
      <c r="D6419" s="98"/>
      <c r="E6419" s="98"/>
      <c r="G6419" s="192"/>
      <c r="H6419" s="193"/>
    </row>
    <row r="6420" spans="1:9" s="65" customFormat="1">
      <c r="B6420" s="97"/>
      <c r="C6420" s="98"/>
      <c r="D6420" s="98"/>
      <c r="E6420" s="98"/>
      <c r="G6420" s="192"/>
      <c r="H6420" s="177"/>
      <c r="I6420" s="178"/>
    </row>
    <row r="6421" spans="1:9" s="65" customFormat="1">
      <c r="A6421" s="654"/>
      <c r="B6421" s="177"/>
      <c r="C6421" s="177"/>
      <c r="D6421" s="177"/>
      <c r="E6421" s="177"/>
      <c r="F6421" s="177"/>
      <c r="G6421" s="177"/>
      <c r="H6421" s="177"/>
      <c r="I6421" s="179"/>
    </row>
    <row r="6422" spans="1:9" s="65" customFormat="1">
      <c r="A6422" s="654"/>
      <c r="B6422" s="177"/>
      <c r="C6422" s="177"/>
      <c r="D6422" s="177"/>
      <c r="E6422" s="177"/>
      <c r="F6422" s="177"/>
      <c r="G6422" s="177"/>
      <c r="H6422" s="180"/>
    </row>
    <row r="6423" spans="1:9" s="65" customFormat="1">
      <c r="A6423" s="69"/>
      <c r="B6423" s="69"/>
      <c r="C6423" s="69"/>
      <c r="D6423" s="69"/>
      <c r="E6423" s="69"/>
      <c r="G6423" s="180"/>
      <c r="H6423" s="180"/>
    </row>
    <row r="6424" spans="1:9" s="65" customFormat="1">
      <c r="A6424" s="120"/>
      <c r="B6424" s="73"/>
      <c r="C6424" s="73"/>
      <c r="D6424" s="73"/>
      <c r="E6424" s="73"/>
      <c r="F6424" s="181"/>
      <c r="G6424" s="182"/>
      <c r="H6424" s="182"/>
    </row>
    <row r="6425" spans="1:9" s="65" customFormat="1">
      <c r="A6425" s="183"/>
      <c r="B6425" s="141"/>
      <c r="C6425" s="141"/>
      <c r="D6425" s="141"/>
      <c r="E6425" s="141"/>
      <c r="F6425" s="141"/>
      <c r="G6425" s="194"/>
      <c r="H6425" s="182"/>
    </row>
    <row r="6426" spans="1:9" s="65" customFormat="1">
      <c r="A6426" s="150"/>
      <c r="B6426" s="83"/>
      <c r="C6426" s="148"/>
      <c r="D6426" s="84"/>
      <c r="E6426" s="84"/>
      <c r="F6426" s="84"/>
      <c r="G6426" s="195"/>
      <c r="H6426" s="187"/>
    </row>
    <row r="6427" spans="1:9" s="65" customFormat="1">
      <c r="A6427" s="84"/>
      <c r="B6427" s="83"/>
      <c r="C6427" s="84"/>
      <c r="D6427" s="84"/>
      <c r="E6427" s="84"/>
      <c r="G6427" s="196"/>
      <c r="H6427" s="187"/>
    </row>
    <row r="6428" spans="1:9" s="65" customFormat="1">
      <c r="A6428" s="120"/>
      <c r="B6428" s="73"/>
      <c r="C6428" s="73"/>
      <c r="D6428" s="73"/>
      <c r="E6428" s="73"/>
      <c r="G6428" s="182"/>
      <c r="H6428" s="187"/>
    </row>
    <row r="6429" spans="1:9" s="65" customFormat="1">
      <c r="A6429" s="183"/>
      <c r="B6429" s="141"/>
      <c r="C6429" s="141"/>
      <c r="D6429" s="141"/>
      <c r="E6429" s="141"/>
      <c r="F6429" s="141"/>
      <c r="G6429" s="194"/>
      <c r="H6429" s="187"/>
      <c r="I6429" s="189"/>
    </row>
    <row r="6430" spans="1:9" s="65" customFormat="1">
      <c r="A6430" s="197"/>
      <c r="B6430" s="83"/>
      <c r="C6430" s="148"/>
      <c r="D6430" s="190"/>
      <c r="E6430" s="84"/>
      <c r="F6430" s="84"/>
      <c r="G6430" s="195"/>
      <c r="H6430" s="187"/>
    </row>
    <row r="6431" spans="1:9" s="65" customFormat="1">
      <c r="A6431" s="150"/>
      <c r="B6431" s="83"/>
      <c r="C6431" s="148"/>
      <c r="D6431" s="84"/>
      <c r="E6431" s="84"/>
      <c r="F6431" s="84"/>
      <c r="G6431" s="195"/>
      <c r="H6431" s="187"/>
    </row>
    <row r="6432" spans="1:9" s="65" customFormat="1">
      <c r="A6432" s="150"/>
      <c r="B6432" s="83"/>
      <c r="C6432" s="148"/>
      <c r="D6432" s="84"/>
      <c r="E6432" s="84"/>
      <c r="F6432" s="84"/>
      <c r="G6432" s="195"/>
      <c r="H6432" s="187"/>
    </row>
    <row r="6433" spans="1:9" s="65" customFormat="1">
      <c r="A6433" s="91"/>
      <c r="B6433" s="91"/>
      <c r="C6433" s="91"/>
      <c r="D6433" s="91"/>
      <c r="E6433" s="91"/>
      <c r="G6433" s="196"/>
      <c r="H6433" s="187"/>
    </row>
    <row r="6434" spans="1:9" s="65" customFormat="1">
      <c r="A6434" s="120"/>
      <c r="B6434" s="73"/>
      <c r="C6434" s="73"/>
      <c r="D6434" s="73"/>
      <c r="E6434" s="73"/>
      <c r="G6434" s="182"/>
      <c r="H6434" s="187"/>
    </row>
    <row r="6435" spans="1:9" s="65" customFormat="1">
      <c r="A6435" s="183"/>
      <c r="B6435" s="141"/>
      <c r="C6435" s="141"/>
      <c r="D6435" s="141"/>
      <c r="E6435" s="141"/>
      <c r="F6435" s="141"/>
      <c r="G6435" s="194"/>
      <c r="H6435" s="187"/>
    </row>
    <row r="6436" spans="1:9" s="65" customFormat="1">
      <c r="A6436" s="146"/>
      <c r="B6436" s="83"/>
      <c r="C6436" s="148"/>
      <c r="D6436" s="84"/>
      <c r="E6436" s="84"/>
      <c r="F6436" s="84"/>
      <c r="G6436" s="195"/>
      <c r="H6436" s="187"/>
    </row>
    <row r="6437" spans="1:9" s="65" customFormat="1">
      <c r="A6437" s="91"/>
      <c r="B6437" s="91"/>
      <c r="C6437" s="91"/>
      <c r="D6437" s="91"/>
      <c r="E6437" s="91"/>
      <c r="G6437" s="196"/>
      <c r="H6437" s="187"/>
    </row>
    <row r="6438" spans="1:9" s="65" customFormat="1">
      <c r="A6438" s="120"/>
      <c r="B6438" s="73"/>
      <c r="C6438" s="73"/>
      <c r="D6438" s="73"/>
      <c r="E6438" s="73"/>
      <c r="G6438" s="182"/>
      <c r="H6438" s="187"/>
    </row>
    <row r="6439" spans="1:9" s="65" customFormat="1">
      <c r="A6439" s="183"/>
      <c r="B6439" s="141"/>
      <c r="C6439" s="141"/>
      <c r="D6439" s="141"/>
      <c r="E6439" s="141"/>
      <c r="F6439" s="141"/>
      <c r="G6439" s="194"/>
      <c r="H6439" s="187"/>
    </row>
    <row r="6440" spans="1:9" s="65" customFormat="1">
      <c r="A6440" s="142"/>
      <c r="B6440" s="143"/>
      <c r="C6440" s="143"/>
      <c r="D6440" s="143"/>
      <c r="E6440" s="143"/>
      <c r="F6440" s="84"/>
      <c r="G6440" s="195"/>
      <c r="H6440" s="187"/>
    </row>
    <row r="6441" spans="1:9" s="65" customFormat="1">
      <c r="A6441" s="123"/>
      <c r="B6441" s="95"/>
      <c r="C6441" s="95"/>
      <c r="D6441" s="95"/>
      <c r="E6441" s="95"/>
      <c r="G6441" s="196"/>
      <c r="H6441" s="182"/>
    </row>
    <row r="6442" spans="1:9" s="65" customFormat="1">
      <c r="A6442" s="123"/>
      <c r="B6442" s="95"/>
      <c r="C6442" s="95"/>
      <c r="D6442" s="95"/>
      <c r="E6442" s="95"/>
      <c r="G6442" s="182"/>
      <c r="H6442" s="193"/>
    </row>
    <row r="6443" spans="1:9" s="65" customFormat="1">
      <c r="B6443" s="97"/>
      <c r="C6443" s="98"/>
      <c r="D6443" s="98"/>
      <c r="E6443" s="98"/>
      <c r="G6443" s="192"/>
      <c r="H6443" s="193"/>
    </row>
    <row r="6444" spans="1:9" s="65" customFormat="1">
      <c r="B6444" s="97"/>
      <c r="C6444" s="98"/>
      <c r="D6444" s="98"/>
      <c r="E6444" s="98"/>
      <c r="G6444" s="192"/>
      <c r="H6444" s="177"/>
      <c r="I6444" s="178"/>
    </row>
    <row r="6445" spans="1:9" s="65" customFormat="1">
      <c r="A6445" s="654"/>
      <c r="B6445" s="177"/>
      <c r="C6445" s="177"/>
      <c r="D6445" s="177"/>
      <c r="E6445" s="177"/>
      <c r="F6445" s="177"/>
      <c r="G6445" s="177"/>
      <c r="H6445" s="177"/>
      <c r="I6445" s="179"/>
    </row>
    <row r="6446" spans="1:9" s="65" customFormat="1">
      <c r="A6446" s="654"/>
      <c r="B6446" s="177"/>
      <c r="C6446" s="177"/>
      <c r="D6446" s="177"/>
      <c r="E6446" s="177"/>
      <c r="F6446" s="177"/>
      <c r="G6446" s="177"/>
      <c r="H6446" s="180"/>
    </row>
    <row r="6447" spans="1:9" s="65" customFormat="1">
      <c r="A6447" s="69"/>
      <c r="B6447" s="69"/>
      <c r="C6447" s="69"/>
      <c r="D6447" s="69"/>
      <c r="E6447" s="69"/>
      <c r="G6447" s="180"/>
      <c r="H6447" s="180"/>
    </row>
    <row r="6448" spans="1:9" s="65" customFormat="1">
      <c r="A6448" s="120"/>
      <c r="B6448" s="73"/>
      <c r="C6448" s="73"/>
      <c r="D6448" s="73"/>
      <c r="E6448" s="73"/>
      <c r="F6448" s="181"/>
      <c r="G6448" s="182"/>
      <c r="H6448" s="182"/>
    </row>
    <row r="6449" spans="1:9" s="65" customFormat="1">
      <c r="A6449" s="183"/>
      <c r="B6449" s="141"/>
      <c r="C6449" s="141"/>
      <c r="D6449" s="141"/>
      <c r="E6449" s="141"/>
      <c r="F6449" s="141"/>
      <c r="G6449" s="194"/>
      <c r="H6449" s="182"/>
    </row>
    <row r="6450" spans="1:9" s="65" customFormat="1">
      <c r="A6450" s="150"/>
      <c r="B6450" s="83"/>
      <c r="C6450" s="148"/>
      <c r="D6450" s="84"/>
      <c r="E6450" s="84"/>
      <c r="F6450" s="84"/>
      <c r="G6450" s="195"/>
      <c r="H6450" s="187"/>
    </row>
    <row r="6451" spans="1:9" s="65" customFormat="1">
      <c r="A6451" s="84"/>
      <c r="B6451" s="83"/>
      <c r="C6451" s="84"/>
      <c r="D6451" s="84"/>
      <c r="E6451" s="84"/>
      <c r="G6451" s="196"/>
      <c r="H6451" s="187"/>
    </row>
    <row r="6452" spans="1:9" s="65" customFormat="1">
      <c r="A6452" s="120"/>
      <c r="B6452" s="73"/>
      <c r="C6452" s="73"/>
      <c r="D6452" s="73"/>
      <c r="E6452" s="73"/>
      <c r="G6452" s="182"/>
      <c r="H6452" s="187"/>
    </row>
    <row r="6453" spans="1:9" s="65" customFormat="1">
      <c r="A6453" s="183"/>
      <c r="B6453" s="141"/>
      <c r="C6453" s="141"/>
      <c r="D6453" s="141"/>
      <c r="E6453" s="141"/>
      <c r="F6453" s="141"/>
      <c r="G6453" s="194"/>
      <c r="H6453" s="187"/>
      <c r="I6453" s="189"/>
    </row>
    <row r="6454" spans="1:9" s="65" customFormat="1">
      <c r="A6454" s="197"/>
      <c r="B6454" s="83"/>
      <c r="C6454" s="148"/>
      <c r="D6454" s="190"/>
      <c r="E6454" s="84"/>
      <c r="F6454" s="84"/>
      <c r="G6454" s="195"/>
      <c r="H6454" s="187"/>
    </row>
    <row r="6455" spans="1:9" s="65" customFormat="1">
      <c r="A6455" s="91"/>
      <c r="B6455" s="91"/>
      <c r="C6455" s="91"/>
      <c r="D6455" s="91"/>
      <c r="E6455" s="91"/>
      <c r="G6455" s="196"/>
      <c r="H6455" s="187"/>
    </row>
    <row r="6456" spans="1:9" s="65" customFormat="1">
      <c r="A6456" s="120"/>
      <c r="B6456" s="73"/>
      <c r="C6456" s="73"/>
      <c r="D6456" s="73"/>
      <c r="E6456" s="73"/>
      <c r="G6456" s="182"/>
      <c r="H6456" s="187"/>
    </row>
    <row r="6457" spans="1:9" s="65" customFormat="1">
      <c r="A6457" s="183"/>
      <c r="B6457" s="141"/>
      <c r="C6457" s="141"/>
      <c r="D6457" s="141"/>
      <c r="E6457" s="141"/>
      <c r="F6457" s="141"/>
      <c r="G6457" s="194"/>
      <c r="H6457" s="187"/>
    </row>
    <row r="6458" spans="1:9" s="65" customFormat="1">
      <c r="A6458" s="146"/>
      <c r="B6458" s="83"/>
      <c r="C6458" s="148"/>
      <c r="D6458" s="84"/>
      <c r="E6458" s="84"/>
      <c r="F6458" s="84"/>
      <c r="G6458" s="195"/>
      <c r="H6458" s="187"/>
    </row>
    <row r="6459" spans="1:9" s="65" customFormat="1">
      <c r="A6459" s="91"/>
      <c r="B6459" s="91"/>
      <c r="C6459" s="91"/>
      <c r="D6459" s="91"/>
      <c r="E6459" s="91"/>
      <c r="G6459" s="196"/>
      <c r="H6459" s="187"/>
    </row>
    <row r="6460" spans="1:9" s="65" customFormat="1">
      <c r="A6460" s="120"/>
      <c r="B6460" s="73"/>
      <c r="C6460" s="73"/>
      <c r="D6460" s="73"/>
      <c r="E6460" s="73"/>
      <c r="G6460" s="182"/>
      <c r="H6460" s="187"/>
    </row>
    <row r="6461" spans="1:9" s="65" customFormat="1">
      <c r="A6461" s="183"/>
      <c r="B6461" s="141"/>
      <c r="C6461" s="141"/>
      <c r="D6461" s="141"/>
      <c r="E6461" s="141"/>
      <c r="F6461" s="141"/>
      <c r="G6461" s="194"/>
      <c r="H6461" s="187"/>
    </row>
    <row r="6462" spans="1:9" s="65" customFormat="1">
      <c r="A6462" s="142"/>
      <c r="B6462" s="143"/>
      <c r="C6462" s="143"/>
      <c r="D6462" s="143"/>
      <c r="E6462" s="143"/>
      <c r="F6462" s="84"/>
      <c r="G6462" s="195"/>
      <c r="H6462" s="187"/>
    </row>
    <row r="6463" spans="1:9" s="65" customFormat="1">
      <c r="A6463" s="123"/>
      <c r="B6463" s="95"/>
      <c r="C6463" s="95"/>
      <c r="D6463" s="95"/>
      <c r="E6463" s="95"/>
      <c r="G6463" s="196"/>
      <c r="H6463" s="182"/>
    </row>
    <row r="6464" spans="1:9" s="65" customFormat="1">
      <c r="A6464" s="123"/>
      <c r="B6464" s="95"/>
      <c r="C6464" s="95"/>
      <c r="D6464" s="95"/>
      <c r="E6464" s="95"/>
      <c r="G6464" s="182"/>
      <c r="H6464" s="193"/>
    </row>
    <row r="6465" spans="1:9" s="65" customFormat="1">
      <c r="B6465" s="97"/>
      <c r="C6465" s="98"/>
      <c r="D6465" s="98"/>
      <c r="E6465" s="98"/>
      <c r="G6465" s="192"/>
      <c r="H6465" s="193"/>
    </row>
    <row r="6466" spans="1:9" s="65" customFormat="1">
      <c r="B6466" s="97"/>
      <c r="C6466" s="98"/>
      <c r="D6466" s="98"/>
      <c r="E6466" s="98"/>
      <c r="G6466" s="192"/>
      <c r="H6466" s="177"/>
      <c r="I6466" s="178"/>
    </row>
    <row r="6467" spans="1:9" s="65" customFormat="1">
      <c r="A6467" s="654"/>
      <c r="B6467" s="177"/>
      <c r="C6467" s="177"/>
      <c r="D6467" s="177"/>
      <c r="E6467" s="177"/>
      <c r="F6467" s="177"/>
      <c r="G6467" s="177"/>
      <c r="H6467" s="177"/>
      <c r="I6467" s="179"/>
    </row>
    <row r="6468" spans="1:9" s="65" customFormat="1">
      <c r="A6468" s="654"/>
      <c r="B6468" s="177"/>
      <c r="C6468" s="177"/>
      <c r="D6468" s="177"/>
      <c r="E6468" s="177"/>
      <c r="F6468" s="177"/>
      <c r="G6468" s="177"/>
      <c r="H6468" s="180"/>
    </row>
    <row r="6469" spans="1:9" s="65" customFormat="1">
      <c r="A6469" s="69"/>
      <c r="B6469" s="69"/>
      <c r="C6469" s="69"/>
      <c r="D6469" s="69"/>
      <c r="E6469" s="69"/>
      <c r="G6469" s="180"/>
      <c r="H6469" s="180"/>
    </row>
    <row r="6470" spans="1:9" s="65" customFormat="1">
      <c r="A6470" s="120"/>
      <c r="B6470" s="73"/>
      <c r="C6470" s="73"/>
      <c r="D6470" s="73"/>
      <c r="E6470" s="73"/>
      <c r="F6470" s="181"/>
      <c r="G6470" s="182"/>
      <c r="H6470" s="182"/>
    </row>
    <row r="6471" spans="1:9" s="65" customFormat="1">
      <c r="A6471" s="183"/>
      <c r="B6471" s="141"/>
      <c r="C6471" s="141"/>
      <c r="D6471" s="141"/>
      <c r="E6471" s="141"/>
      <c r="F6471" s="141"/>
      <c r="G6471" s="194"/>
      <c r="H6471" s="182"/>
    </row>
    <row r="6472" spans="1:9" s="65" customFormat="1">
      <c r="A6472" s="150"/>
      <c r="B6472" s="83"/>
      <c r="C6472" s="148"/>
      <c r="D6472" s="84"/>
      <c r="E6472" s="84"/>
      <c r="F6472" s="84"/>
      <c r="G6472" s="195"/>
      <c r="H6472" s="187"/>
    </row>
    <row r="6473" spans="1:9" s="65" customFormat="1">
      <c r="A6473" s="84"/>
      <c r="B6473" s="83"/>
      <c r="C6473" s="84"/>
      <c r="D6473" s="84"/>
      <c r="E6473" s="84"/>
      <c r="G6473" s="196"/>
      <c r="H6473" s="187"/>
    </row>
    <row r="6474" spans="1:9" s="65" customFormat="1">
      <c r="A6474" s="120"/>
      <c r="B6474" s="73"/>
      <c r="C6474" s="73"/>
      <c r="D6474" s="73"/>
      <c r="E6474" s="73"/>
      <c r="G6474" s="182"/>
      <c r="H6474" s="187"/>
    </row>
    <row r="6475" spans="1:9" s="65" customFormat="1">
      <c r="A6475" s="183"/>
      <c r="B6475" s="141"/>
      <c r="C6475" s="141"/>
      <c r="D6475" s="141"/>
      <c r="E6475" s="141"/>
      <c r="F6475" s="141"/>
      <c r="G6475" s="194"/>
      <c r="H6475" s="187"/>
      <c r="I6475" s="189"/>
    </row>
    <row r="6476" spans="1:9" s="65" customFormat="1">
      <c r="A6476" s="197"/>
      <c r="B6476" s="83"/>
      <c r="C6476" s="148"/>
      <c r="D6476" s="190"/>
      <c r="E6476" s="84"/>
      <c r="F6476" s="84"/>
      <c r="G6476" s="195"/>
      <c r="H6476" s="187"/>
    </row>
    <row r="6477" spans="1:9" s="65" customFormat="1">
      <c r="A6477" s="91"/>
      <c r="B6477" s="91"/>
      <c r="C6477" s="91"/>
      <c r="D6477" s="91"/>
      <c r="E6477" s="91"/>
      <c r="G6477" s="196"/>
      <c r="H6477" s="187"/>
    </row>
    <row r="6478" spans="1:9" s="65" customFormat="1">
      <c r="A6478" s="120"/>
      <c r="B6478" s="73"/>
      <c r="C6478" s="73"/>
      <c r="D6478" s="73"/>
      <c r="E6478" s="73"/>
      <c r="G6478" s="182"/>
      <c r="H6478" s="187"/>
    </row>
    <row r="6479" spans="1:9" s="65" customFormat="1">
      <c r="A6479" s="183"/>
      <c r="B6479" s="141"/>
      <c r="C6479" s="141"/>
      <c r="D6479" s="141"/>
      <c r="E6479" s="141"/>
      <c r="F6479" s="141"/>
      <c r="G6479" s="194"/>
      <c r="H6479" s="187"/>
    </row>
    <row r="6480" spans="1:9" s="65" customFormat="1">
      <c r="A6480" s="146"/>
      <c r="B6480" s="83"/>
      <c r="C6480" s="148"/>
      <c r="D6480" s="84"/>
      <c r="E6480" s="84"/>
      <c r="F6480" s="84"/>
      <c r="G6480" s="195"/>
      <c r="H6480" s="187"/>
    </row>
    <row r="6481" spans="1:9" s="65" customFormat="1">
      <c r="A6481" s="91"/>
      <c r="B6481" s="91"/>
      <c r="C6481" s="91"/>
      <c r="D6481" s="91"/>
      <c r="E6481" s="91"/>
      <c r="G6481" s="196"/>
      <c r="H6481" s="187"/>
    </row>
    <row r="6482" spans="1:9" s="65" customFormat="1">
      <c r="A6482" s="120"/>
      <c r="B6482" s="73"/>
      <c r="C6482" s="73"/>
      <c r="D6482" s="73"/>
      <c r="E6482" s="73"/>
      <c r="G6482" s="182"/>
      <c r="H6482" s="187"/>
    </row>
    <row r="6483" spans="1:9" s="65" customFormat="1">
      <c r="A6483" s="183"/>
      <c r="B6483" s="141"/>
      <c r="C6483" s="141"/>
      <c r="D6483" s="141"/>
      <c r="E6483" s="141"/>
      <c r="F6483" s="141"/>
      <c r="G6483" s="194"/>
      <c r="H6483" s="187"/>
    </row>
    <row r="6484" spans="1:9" s="65" customFormat="1">
      <c r="A6484" s="142"/>
      <c r="B6484" s="143"/>
      <c r="C6484" s="143"/>
      <c r="D6484" s="143"/>
      <c r="E6484" s="143"/>
      <c r="F6484" s="84"/>
      <c r="G6484" s="195"/>
      <c r="H6484" s="187"/>
    </row>
    <row r="6485" spans="1:9" s="65" customFormat="1">
      <c r="A6485" s="123"/>
      <c r="B6485" s="95"/>
      <c r="C6485" s="95"/>
      <c r="D6485" s="95"/>
      <c r="E6485" s="95"/>
      <c r="G6485" s="196"/>
      <c r="H6485" s="182"/>
    </row>
    <row r="6486" spans="1:9" s="65" customFormat="1">
      <c r="A6486" s="123"/>
      <c r="B6486" s="95"/>
      <c r="C6486" s="95"/>
      <c r="D6486" s="95"/>
      <c r="E6486" s="95"/>
      <c r="G6486" s="182"/>
      <c r="H6486" s="193"/>
    </row>
    <row r="6487" spans="1:9" s="65" customFormat="1">
      <c r="B6487" s="97"/>
      <c r="C6487" s="98"/>
      <c r="D6487" s="98"/>
      <c r="E6487" s="98"/>
      <c r="G6487" s="192"/>
      <c r="H6487" s="193"/>
    </row>
    <row r="6488" spans="1:9" s="65" customFormat="1">
      <c r="B6488" s="97"/>
      <c r="C6488" s="98"/>
      <c r="D6488" s="98"/>
      <c r="E6488" s="98"/>
      <c r="G6488" s="192"/>
      <c r="H6488" s="177"/>
      <c r="I6488" s="178"/>
    </row>
    <row r="6489" spans="1:9" s="65" customFormat="1">
      <c r="A6489" s="654"/>
      <c r="B6489" s="177"/>
      <c r="C6489" s="177"/>
      <c r="D6489" s="177"/>
      <c r="E6489" s="177"/>
      <c r="F6489" s="177"/>
      <c r="G6489" s="177"/>
      <c r="H6489" s="177"/>
      <c r="I6489" s="179"/>
    </row>
    <row r="6490" spans="1:9" s="65" customFormat="1">
      <c r="A6490" s="654"/>
      <c r="B6490" s="177"/>
      <c r="C6490" s="177"/>
      <c r="D6490" s="177"/>
      <c r="E6490" s="177"/>
      <c r="F6490" s="177"/>
      <c r="G6490" s="177"/>
      <c r="H6490" s="180"/>
    </row>
    <row r="6491" spans="1:9" s="65" customFormat="1">
      <c r="A6491" s="69"/>
      <c r="B6491" s="69"/>
      <c r="C6491" s="69"/>
      <c r="D6491" s="69"/>
      <c r="E6491" s="69"/>
      <c r="G6491" s="180"/>
      <c r="H6491" s="180"/>
    </row>
    <row r="6492" spans="1:9" s="65" customFormat="1">
      <c r="A6492" s="120"/>
      <c r="B6492" s="73"/>
      <c r="C6492" s="73"/>
      <c r="D6492" s="73"/>
      <c r="E6492" s="73"/>
      <c r="F6492" s="181"/>
      <c r="G6492" s="182"/>
      <c r="H6492" s="182"/>
    </row>
    <row r="6493" spans="1:9" s="65" customFormat="1">
      <c r="A6493" s="183"/>
      <c r="B6493" s="141"/>
      <c r="C6493" s="141"/>
      <c r="D6493" s="141"/>
      <c r="E6493" s="141"/>
      <c r="F6493" s="141"/>
      <c r="G6493" s="194"/>
      <c r="H6493" s="182"/>
    </row>
    <row r="6494" spans="1:9" s="65" customFormat="1">
      <c r="A6494" s="150"/>
      <c r="B6494" s="83"/>
      <c r="C6494" s="148"/>
      <c r="D6494" s="84"/>
      <c r="E6494" s="84"/>
      <c r="F6494" s="84"/>
      <c r="G6494" s="195"/>
      <c r="H6494" s="187"/>
    </row>
    <row r="6495" spans="1:9" s="65" customFormat="1">
      <c r="A6495" s="84"/>
      <c r="B6495" s="83"/>
      <c r="C6495" s="84"/>
      <c r="D6495" s="84"/>
      <c r="E6495" s="84"/>
      <c r="G6495" s="196"/>
      <c r="H6495" s="187"/>
    </row>
    <row r="6496" spans="1:9" s="65" customFormat="1">
      <c r="A6496" s="120"/>
      <c r="B6496" s="73"/>
      <c r="C6496" s="73"/>
      <c r="D6496" s="73"/>
      <c r="E6496" s="73"/>
      <c r="G6496" s="182"/>
      <c r="H6496" s="187"/>
    </row>
    <row r="6497" spans="1:9" s="65" customFormat="1">
      <c r="A6497" s="183"/>
      <c r="B6497" s="141"/>
      <c r="C6497" s="141"/>
      <c r="D6497" s="141"/>
      <c r="E6497" s="141"/>
      <c r="F6497" s="141"/>
      <c r="G6497" s="194"/>
      <c r="H6497" s="187"/>
      <c r="I6497" s="189"/>
    </row>
    <row r="6498" spans="1:9" s="65" customFormat="1">
      <c r="A6498" s="197"/>
      <c r="B6498" s="83"/>
      <c r="C6498" s="148"/>
      <c r="D6498" s="190"/>
      <c r="E6498" s="84"/>
      <c r="F6498" s="84"/>
      <c r="G6498" s="195"/>
      <c r="H6498" s="187"/>
    </row>
    <row r="6499" spans="1:9" s="65" customFormat="1">
      <c r="A6499" s="91"/>
      <c r="B6499" s="91"/>
      <c r="C6499" s="91"/>
      <c r="D6499" s="91"/>
      <c r="E6499" s="91"/>
      <c r="G6499" s="196"/>
      <c r="H6499" s="187"/>
    </row>
    <row r="6500" spans="1:9" s="65" customFormat="1">
      <c r="A6500" s="120"/>
      <c r="B6500" s="73"/>
      <c r="C6500" s="73"/>
      <c r="D6500" s="73"/>
      <c r="E6500" s="73"/>
      <c r="G6500" s="182"/>
      <c r="H6500" s="187"/>
    </row>
    <row r="6501" spans="1:9" s="65" customFormat="1">
      <c r="A6501" s="183"/>
      <c r="B6501" s="141"/>
      <c r="C6501" s="141"/>
      <c r="D6501" s="141"/>
      <c r="E6501" s="141"/>
      <c r="F6501" s="141"/>
      <c r="G6501" s="194"/>
      <c r="H6501" s="187"/>
    </row>
    <row r="6502" spans="1:9" s="65" customFormat="1">
      <c r="A6502" s="146"/>
      <c r="B6502" s="83"/>
      <c r="C6502" s="148"/>
      <c r="D6502" s="84"/>
      <c r="E6502" s="84"/>
      <c r="F6502" s="84"/>
      <c r="G6502" s="195"/>
      <c r="H6502" s="187"/>
    </row>
    <row r="6503" spans="1:9" s="65" customFormat="1">
      <c r="A6503" s="91"/>
      <c r="B6503" s="91"/>
      <c r="C6503" s="91"/>
      <c r="D6503" s="91"/>
      <c r="E6503" s="91"/>
      <c r="G6503" s="196"/>
      <c r="H6503" s="187"/>
    </row>
    <row r="6504" spans="1:9" s="65" customFormat="1">
      <c r="A6504" s="120"/>
      <c r="B6504" s="73"/>
      <c r="C6504" s="73"/>
      <c r="D6504" s="73"/>
      <c r="E6504" s="73"/>
      <c r="G6504" s="182"/>
      <c r="H6504" s="187"/>
    </row>
    <row r="6505" spans="1:9" s="65" customFormat="1">
      <c r="A6505" s="183"/>
      <c r="B6505" s="141"/>
      <c r="C6505" s="141"/>
      <c r="D6505" s="141"/>
      <c r="E6505" s="141"/>
      <c r="F6505" s="141"/>
      <c r="G6505" s="194"/>
      <c r="H6505" s="187"/>
    </row>
    <row r="6506" spans="1:9" s="65" customFormat="1">
      <c r="A6506" s="142"/>
      <c r="B6506" s="143"/>
      <c r="C6506" s="143"/>
      <c r="D6506" s="143"/>
      <c r="E6506" s="143"/>
      <c r="F6506" s="84"/>
      <c r="G6506" s="195"/>
      <c r="H6506" s="187"/>
    </row>
    <row r="6507" spans="1:9" s="65" customFormat="1">
      <c r="A6507" s="123"/>
      <c r="B6507" s="95"/>
      <c r="C6507" s="95"/>
      <c r="D6507" s="95"/>
      <c r="E6507" s="95"/>
      <c r="G6507" s="196"/>
      <c r="H6507" s="182"/>
    </row>
    <row r="6508" spans="1:9" s="65" customFormat="1">
      <c r="A6508" s="123"/>
      <c r="B6508" s="95"/>
      <c r="C6508" s="95"/>
      <c r="D6508" s="95"/>
      <c r="E6508" s="95"/>
      <c r="G6508" s="182"/>
      <c r="H6508" s="193"/>
    </row>
    <row r="6509" spans="1:9" s="65" customFormat="1">
      <c r="B6509" s="97"/>
      <c r="C6509" s="98"/>
      <c r="D6509" s="98"/>
      <c r="E6509" s="98"/>
      <c r="G6509" s="192"/>
      <c r="H6509" s="193"/>
    </row>
    <row r="6510" spans="1:9" s="65" customFormat="1">
      <c r="B6510" s="97"/>
      <c r="C6510" s="98"/>
      <c r="D6510" s="98"/>
      <c r="E6510" s="98"/>
      <c r="G6510" s="192"/>
      <c r="H6510" s="177"/>
      <c r="I6510" s="178"/>
    </row>
    <row r="6511" spans="1:9" s="65" customFormat="1">
      <c r="A6511" s="654"/>
      <c r="B6511" s="177"/>
      <c r="C6511" s="177"/>
      <c r="D6511" s="177"/>
      <c r="E6511" s="177"/>
      <c r="F6511" s="177"/>
      <c r="G6511" s="177"/>
      <c r="H6511" s="177"/>
      <c r="I6511" s="179"/>
    </row>
    <row r="6512" spans="1:9" s="65" customFormat="1">
      <c r="A6512" s="654"/>
      <c r="B6512" s="177"/>
      <c r="C6512" s="177"/>
      <c r="D6512" s="177"/>
      <c r="E6512" s="177"/>
      <c r="F6512" s="177"/>
      <c r="G6512" s="177"/>
      <c r="H6512" s="180"/>
    </row>
    <row r="6513" spans="1:9" s="65" customFormat="1">
      <c r="A6513" s="69"/>
      <c r="B6513" s="69"/>
      <c r="C6513" s="69"/>
      <c r="D6513" s="69"/>
      <c r="E6513" s="69"/>
      <c r="G6513" s="180"/>
      <c r="H6513" s="180"/>
    </row>
    <row r="6514" spans="1:9" s="65" customFormat="1">
      <c r="A6514" s="120"/>
      <c r="B6514" s="73"/>
      <c r="C6514" s="73"/>
      <c r="D6514" s="73"/>
      <c r="E6514" s="73"/>
      <c r="F6514" s="181"/>
      <c r="G6514" s="182"/>
      <c r="H6514" s="182"/>
    </row>
    <row r="6515" spans="1:9" s="65" customFormat="1">
      <c r="A6515" s="183"/>
      <c r="B6515" s="141"/>
      <c r="C6515" s="141"/>
      <c r="D6515" s="141"/>
      <c r="E6515" s="141"/>
      <c r="F6515" s="141"/>
      <c r="G6515" s="194"/>
      <c r="H6515" s="182"/>
    </row>
    <row r="6516" spans="1:9" s="65" customFormat="1">
      <c r="A6516" s="150"/>
      <c r="B6516" s="83"/>
      <c r="C6516" s="148"/>
      <c r="D6516" s="84"/>
      <c r="E6516" s="84"/>
      <c r="F6516" s="84"/>
      <c r="G6516" s="195"/>
      <c r="H6516" s="187"/>
    </row>
    <row r="6517" spans="1:9" s="65" customFormat="1">
      <c r="A6517" s="84"/>
      <c r="B6517" s="83"/>
      <c r="C6517" s="84"/>
      <c r="D6517" s="84"/>
      <c r="E6517" s="84"/>
      <c r="G6517" s="196"/>
      <c r="H6517" s="187"/>
    </row>
    <row r="6518" spans="1:9" s="65" customFormat="1">
      <c r="A6518" s="120"/>
      <c r="B6518" s="73"/>
      <c r="C6518" s="73"/>
      <c r="D6518" s="73"/>
      <c r="E6518" s="73"/>
      <c r="G6518" s="182"/>
      <c r="H6518" s="187"/>
    </row>
    <row r="6519" spans="1:9" s="65" customFormat="1">
      <c r="A6519" s="183"/>
      <c r="B6519" s="141"/>
      <c r="C6519" s="141"/>
      <c r="D6519" s="141"/>
      <c r="E6519" s="141"/>
      <c r="F6519" s="141"/>
      <c r="G6519" s="194"/>
      <c r="H6519" s="187"/>
      <c r="I6519" s="189"/>
    </row>
    <row r="6520" spans="1:9" s="65" customFormat="1">
      <c r="A6520" s="197"/>
      <c r="B6520" s="83"/>
      <c r="C6520" s="148"/>
      <c r="D6520" s="190"/>
      <c r="E6520" s="84"/>
      <c r="F6520" s="84"/>
      <c r="G6520" s="195"/>
      <c r="H6520" s="187"/>
      <c r="I6520" s="189"/>
    </row>
    <row r="6521" spans="1:9" s="65" customFormat="1">
      <c r="A6521" s="197"/>
      <c r="B6521" s="83"/>
      <c r="C6521" s="148"/>
      <c r="D6521" s="190"/>
      <c r="E6521" s="84"/>
      <c r="F6521" s="84"/>
      <c r="G6521" s="195"/>
      <c r="H6521" s="187"/>
      <c r="I6521" s="189"/>
    </row>
    <row r="6522" spans="1:9" s="65" customFormat="1">
      <c r="A6522" s="197"/>
      <c r="B6522" s="198"/>
      <c r="C6522" s="148"/>
      <c r="D6522" s="190"/>
      <c r="E6522" s="84"/>
      <c r="F6522" s="84"/>
      <c r="G6522" s="195"/>
      <c r="H6522" s="187"/>
    </row>
    <row r="6523" spans="1:9" s="65" customFormat="1">
      <c r="A6523" s="91"/>
      <c r="B6523" s="91"/>
      <c r="C6523" s="91"/>
      <c r="D6523" s="91"/>
      <c r="E6523" s="91"/>
      <c r="G6523" s="196"/>
      <c r="H6523" s="187"/>
    </row>
    <row r="6524" spans="1:9" s="65" customFormat="1">
      <c r="A6524" s="120"/>
      <c r="B6524" s="73"/>
      <c r="C6524" s="73"/>
      <c r="D6524" s="73"/>
      <c r="E6524" s="73"/>
      <c r="G6524" s="182"/>
      <c r="H6524" s="187"/>
    </row>
    <row r="6525" spans="1:9" s="65" customFormat="1">
      <c r="A6525" s="183"/>
      <c r="B6525" s="141"/>
      <c r="C6525" s="141"/>
      <c r="D6525" s="141"/>
      <c r="E6525" s="141"/>
      <c r="F6525" s="141"/>
      <c r="G6525" s="194"/>
      <c r="H6525" s="187"/>
    </row>
    <row r="6526" spans="1:9" s="65" customFormat="1">
      <c r="A6526" s="146"/>
      <c r="B6526" s="83"/>
      <c r="C6526" s="148"/>
      <c r="D6526" s="84"/>
      <c r="E6526" s="84"/>
      <c r="F6526" s="84"/>
      <c r="G6526" s="195"/>
      <c r="H6526" s="187"/>
    </row>
    <row r="6527" spans="1:9" s="65" customFormat="1">
      <c r="A6527" s="91"/>
      <c r="B6527" s="91"/>
      <c r="C6527" s="91"/>
      <c r="D6527" s="91"/>
      <c r="E6527" s="91"/>
      <c r="G6527" s="196"/>
      <c r="H6527" s="187"/>
    </row>
    <row r="6528" spans="1:9" s="65" customFormat="1">
      <c r="A6528" s="120"/>
      <c r="B6528" s="73"/>
      <c r="C6528" s="73"/>
      <c r="D6528" s="73"/>
      <c r="E6528" s="73"/>
      <c r="G6528" s="182"/>
      <c r="H6528" s="187"/>
    </row>
    <row r="6529" spans="1:9" s="65" customFormat="1">
      <c r="A6529" s="183"/>
      <c r="B6529" s="141"/>
      <c r="C6529" s="141"/>
      <c r="D6529" s="141"/>
      <c r="E6529" s="141"/>
      <c r="F6529" s="141"/>
      <c r="G6529" s="194"/>
      <c r="H6529" s="187"/>
    </row>
    <row r="6530" spans="1:9" s="65" customFormat="1">
      <c r="A6530" s="142"/>
      <c r="B6530" s="143"/>
      <c r="C6530" s="143"/>
      <c r="D6530" s="143"/>
      <c r="E6530" s="143"/>
      <c r="F6530" s="84"/>
      <c r="G6530" s="195"/>
      <c r="H6530" s="187"/>
    </row>
    <row r="6531" spans="1:9" s="65" customFormat="1">
      <c r="A6531" s="123"/>
      <c r="B6531" s="95"/>
      <c r="C6531" s="95"/>
      <c r="D6531" s="95"/>
      <c r="E6531" s="95"/>
      <c r="G6531" s="196"/>
      <c r="H6531" s="182"/>
    </row>
    <row r="6532" spans="1:9" s="65" customFormat="1">
      <c r="A6532" s="123"/>
      <c r="B6532" s="95"/>
      <c r="C6532" s="95"/>
      <c r="D6532" s="95"/>
      <c r="E6532" s="95"/>
      <c r="G6532" s="182"/>
      <c r="H6532" s="193"/>
    </row>
    <row r="6533" spans="1:9" s="65" customFormat="1">
      <c r="B6533" s="97"/>
      <c r="C6533" s="98"/>
      <c r="D6533" s="98"/>
      <c r="E6533" s="98"/>
      <c r="G6533" s="192"/>
      <c r="H6533" s="180"/>
    </row>
    <row r="6534" spans="1:9" s="65" customFormat="1">
      <c r="A6534" s="69"/>
      <c r="B6534" s="69"/>
      <c r="C6534" s="69"/>
      <c r="D6534" s="69"/>
      <c r="E6534" s="69"/>
      <c r="G6534" s="180"/>
      <c r="H6534" s="177"/>
      <c r="I6534" s="178"/>
    </row>
    <row r="6535" spans="1:9" s="65" customFormat="1">
      <c r="A6535" s="654"/>
      <c r="B6535" s="177"/>
      <c r="C6535" s="177"/>
      <c r="D6535" s="177"/>
      <c r="E6535" s="177"/>
      <c r="F6535" s="177"/>
      <c r="G6535" s="177"/>
      <c r="H6535" s="177"/>
      <c r="I6535" s="179"/>
    </row>
    <row r="6536" spans="1:9" s="65" customFormat="1">
      <c r="A6536" s="654"/>
      <c r="B6536" s="177"/>
      <c r="C6536" s="177"/>
      <c r="D6536" s="177"/>
      <c r="E6536" s="177"/>
      <c r="F6536" s="177"/>
      <c r="G6536" s="177"/>
      <c r="H6536" s="180"/>
    </row>
    <row r="6537" spans="1:9" s="65" customFormat="1">
      <c r="A6537" s="69"/>
      <c r="B6537" s="69"/>
      <c r="C6537" s="69"/>
      <c r="D6537" s="69"/>
      <c r="E6537" s="69"/>
      <c r="G6537" s="180"/>
      <c r="H6537" s="180"/>
    </row>
    <row r="6538" spans="1:9" s="65" customFormat="1">
      <c r="A6538" s="120"/>
      <c r="B6538" s="73"/>
      <c r="C6538" s="73"/>
      <c r="D6538" s="73"/>
      <c r="E6538" s="73"/>
      <c r="F6538" s="181"/>
      <c r="G6538" s="182"/>
      <c r="H6538" s="182"/>
    </row>
    <row r="6539" spans="1:9" s="65" customFormat="1">
      <c r="A6539" s="183"/>
      <c r="B6539" s="141"/>
      <c r="C6539" s="141"/>
      <c r="D6539" s="141"/>
      <c r="E6539" s="141"/>
      <c r="F6539" s="141"/>
      <c r="G6539" s="194"/>
      <c r="H6539" s="182"/>
    </row>
    <row r="6540" spans="1:9" s="65" customFormat="1">
      <c r="A6540" s="150"/>
      <c r="B6540" s="83"/>
      <c r="C6540" s="148"/>
      <c r="D6540" s="84"/>
      <c r="E6540" s="84"/>
      <c r="F6540" s="84"/>
      <c r="G6540" s="195"/>
      <c r="H6540" s="187"/>
    </row>
    <row r="6541" spans="1:9" s="65" customFormat="1">
      <c r="A6541" s="84"/>
      <c r="B6541" s="83"/>
      <c r="C6541" s="84"/>
      <c r="D6541" s="84"/>
      <c r="E6541" s="84"/>
      <c r="G6541" s="196"/>
      <c r="H6541" s="187"/>
    </row>
    <row r="6542" spans="1:9" s="65" customFormat="1">
      <c r="A6542" s="120"/>
      <c r="B6542" s="73"/>
      <c r="C6542" s="73"/>
      <c r="D6542" s="73"/>
      <c r="E6542" s="73"/>
      <c r="G6542" s="182"/>
      <c r="H6542" s="187"/>
    </row>
    <row r="6543" spans="1:9" s="65" customFormat="1">
      <c r="A6543" s="183"/>
      <c r="B6543" s="141"/>
      <c r="C6543" s="141"/>
      <c r="D6543" s="141"/>
      <c r="E6543" s="141"/>
      <c r="F6543" s="141"/>
      <c r="G6543" s="194"/>
      <c r="H6543" s="187"/>
      <c r="I6543" s="189"/>
    </row>
    <row r="6544" spans="1:9" s="65" customFormat="1">
      <c r="A6544" s="197"/>
      <c r="B6544" s="83"/>
      <c r="C6544" s="148"/>
      <c r="D6544" s="190"/>
      <c r="E6544" s="84"/>
      <c r="F6544" s="84"/>
      <c r="G6544" s="195"/>
      <c r="H6544" s="187"/>
    </row>
    <row r="6545" spans="1:9" s="65" customFormat="1">
      <c r="A6545" s="91"/>
      <c r="B6545" s="91"/>
      <c r="C6545" s="91"/>
      <c r="D6545" s="91"/>
      <c r="E6545" s="91"/>
      <c r="G6545" s="196"/>
      <c r="H6545" s="187"/>
    </row>
    <row r="6546" spans="1:9" s="65" customFormat="1">
      <c r="A6546" s="120"/>
      <c r="B6546" s="73"/>
      <c r="C6546" s="73"/>
      <c r="D6546" s="73"/>
      <c r="E6546" s="73"/>
      <c r="G6546" s="182"/>
      <c r="H6546" s="187"/>
    </row>
    <row r="6547" spans="1:9" s="65" customFormat="1">
      <c r="A6547" s="183"/>
      <c r="B6547" s="141"/>
      <c r="C6547" s="141"/>
      <c r="D6547" s="141"/>
      <c r="E6547" s="141"/>
      <c r="F6547" s="141"/>
      <c r="G6547" s="194"/>
      <c r="H6547" s="187"/>
    </row>
    <row r="6548" spans="1:9" s="65" customFormat="1">
      <c r="A6548" s="146"/>
      <c r="B6548" s="83"/>
      <c r="C6548" s="148"/>
      <c r="D6548" s="84"/>
      <c r="E6548" s="84"/>
      <c r="F6548" s="84"/>
      <c r="G6548" s="195"/>
      <c r="H6548" s="187"/>
    </row>
    <row r="6549" spans="1:9" s="65" customFormat="1">
      <c r="A6549" s="91"/>
      <c r="B6549" s="91"/>
      <c r="C6549" s="91"/>
      <c r="D6549" s="91"/>
      <c r="E6549" s="91"/>
      <c r="G6549" s="196"/>
      <c r="H6549" s="187"/>
    </row>
    <row r="6550" spans="1:9" s="65" customFormat="1">
      <c r="A6550" s="120"/>
      <c r="B6550" s="73"/>
      <c r="C6550" s="73"/>
      <c r="D6550" s="73"/>
      <c r="E6550" s="73"/>
      <c r="G6550" s="182"/>
      <c r="H6550" s="187"/>
    </row>
    <row r="6551" spans="1:9" s="65" customFormat="1">
      <c r="A6551" s="183"/>
      <c r="B6551" s="141"/>
      <c r="C6551" s="141"/>
      <c r="D6551" s="141"/>
      <c r="E6551" s="141"/>
      <c r="F6551" s="141"/>
      <c r="G6551" s="194"/>
      <c r="H6551" s="187"/>
    </row>
    <row r="6552" spans="1:9" s="65" customFormat="1">
      <c r="A6552" s="142"/>
      <c r="B6552" s="143"/>
      <c r="C6552" s="143"/>
      <c r="D6552" s="143"/>
      <c r="E6552" s="143"/>
      <c r="F6552" s="84"/>
      <c r="G6552" s="195"/>
      <c r="H6552" s="187"/>
    </row>
    <row r="6553" spans="1:9" s="65" customFormat="1">
      <c r="A6553" s="123"/>
      <c r="B6553" s="95"/>
      <c r="C6553" s="95"/>
      <c r="D6553" s="95"/>
      <c r="E6553" s="95"/>
      <c r="G6553" s="196"/>
      <c r="H6553" s="182"/>
    </row>
    <row r="6554" spans="1:9" s="65" customFormat="1">
      <c r="A6554" s="123"/>
      <c r="B6554" s="95"/>
      <c r="C6554" s="95"/>
      <c r="D6554" s="95"/>
      <c r="E6554" s="95"/>
      <c r="G6554" s="182"/>
      <c r="H6554" s="193"/>
    </row>
    <row r="6555" spans="1:9" s="65" customFormat="1">
      <c r="B6555" s="97"/>
      <c r="C6555" s="98"/>
      <c r="D6555" s="98"/>
      <c r="E6555" s="98"/>
      <c r="G6555" s="192"/>
      <c r="H6555" s="180"/>
    </row>
    <row r="6556" spans="1:9" s="65" customFormat="1">
      <c r="A6556" s="69"/>
      <c r="B6556" s="69"/>
      <c r="C6556" s="69"/>
      <c r="D6556" s="69"/>
      <c r="E6556" s="69"/>
      <c r="G6556" s="180"/>
      <c r="H6556" s="177"/>
      <c r="I6556" s="178"/>
    </row>
    <row r="6557" spans="1:9" s="65" customFormat="1">
      <c r="A6557" s="654"/>
      <c r="B6557" s="177"/>
      <c r="C6557" s="177"/>
      <c r="D6557" s="177"/>
      <c r="E6557" s="177"/>
      <c r="F6557" s="177"/>
      <c r="G6557" s="177"/>
      <c r="H6557" s="177"/>
      <c r="I6557" s="179"/>
    </row>
    <row r="6558" spans="1:9" s="65" customFormat="1">
      <c r="A6558" s="654"/>
      <c r="B6558" s="177"/>
      <c r="C6558" s="177"/>
      <c r="D6558" s="177"/>
      <c r="E6558" s="177"/>
      <c r="F6558" s="177"/>
      <c r="G6558" s="177"/>
      <c r="H6558" s="180"/>
    </row>
    <row r="6559" spans="1:9" s="65" customFormat="1">
      <c r="A6559" s="69"/>
      <c r="B6559" s="69"/>
      <c r="C6559" s="69"/>
      <c r="D6559" s="69"/>
      <c r="E6559" s="69"/>
      <c r="G6559" s="180"/>
      <c r="H6559" s="180"/>
    </row>
    <row r="6560" spans="1:9" s="65" customFormat="1">
      <c r="A6560" s="120"/>
      <c r="B6560" s="73"/>
      <c r="C6560" s="73"/>
      <c r="D6560" s="73"/>
      <c r="E6560" s="73"/>
      <c r="F6560" s="181"/>
      <c r="G6560" s="182"/>
      <c r="H6560" s="182"/>
    </row>
    <row r="6561" spans="1:9" s="65" customFormat="1">
      <c r="A6561" s="183"/>
      <c r="B6561" s="141"/>
      <c r="C6561" s="141"/>
      <c r="D6561" s="141"/>
      <c r="E6561" s="141"/>
      <c r="F6561" s="141"/>
      <c r="G6561" s="194"/>
      <c r="H6561" s="182"/>
    </row>
    <row r="6562" spans="1:9" s="65" customFormat="1">
      <c r="A6562" s="150"/>
      <c r="B6562" s="83"/>
      <c r="C6562" s="148"/>
      <c r="D6562" s="84"/>
      <c r="E6562" s="84"/>
      <c r="F6562" s="84"/>
      <c r="G6562" s="195"/>
      <c r="H6562" s="187"/>
    </row>
    <row r="6563" spans="1:9" s="65" customFormat="1">
      <c r="A6563" s="84"/>
      <c r="B6563" s="83"/>
      <c r="C6563" s="84"/>
      <c r="D6563" s="84"/>
      <c r="E6563" s="84"/>
      <c r="G6563" s="196"/>
      <c r="H6563" s="187"/>
    </row>
    <row r="6564" spans="1:9" s="65" customFormat="1">
      <c r="A6564" s="120"/>
      <c r="B6564" s="73"/>
      <c r="C6564" s="73"/>
      <c r="D6564" s="73"/>
      <c r="E6564" s="73"/>
      <c r="G6564" s="182"/>
      <c r="H6564" s="187"/>
    </row>
    <row r="6565" spans="1:9" s="65" customFormat="1">
      <c r="A6565" s="183"/>
      <c r="B6565" s="141"/>
      <c r="C6565" s="141"/>
      <c r="D6565" s="141"/>
      <c r="E6565" s="141"/>
      <c r="F6565" s="141"/>
      <c r="G6565" s="194"/>
      <c r="H6565" s="187"/>
      <c r="I6565" s="189"/>
    </row>
    <row r="6566" spans="1:9" s="65" customFormat="1">
      <c r="A6566" s="197"/>
      <c r="B6566" s="83"/>
      <c r="C6566" s="148"/>
      <c r="D6566" s="190"/>
      <c r="E6566" s="84"/>
      <c r="F6566" s="84"/>
      <c r="G6566" s="195"/>
      <c r="H6566" s="187"/>
    </row>
    <row r="6567" spans="1:9" s="65" customFormat="1">
      <c r="A6567" s="91"/>
      <c r="B6567" s="91"/>
      <c r="C6567" s="91"/>
      <c r="D6567" s="91"/>
      <c r="E6567" s="91"/>
      <c r="G6567" s="196"/>
      <c r="H6567" s="187"/>
    </row>
    <row r="6568" spans="1:9" s="65" customFormat="1">
      <c r="A6568" s="120"/>
      <c r="B6568" s="73"/>
      <c r="C6568" s="73"/>
      <c r="D6568" s="73"/>
      <c r="E6568" s="73"/>
      <c r="G6568" s="182"/>
      <c r="H6568" s="187"/>
    </row>
    <row r="6569" spans="1:9" s="65" customFormat="1">
      <c r="A6569" s="183"/>
      <c r="B6569" s="141"/>
      <c r="C6569" s="141"/>
      <c r="D6569" s="141"/>
      <c r="E6569" s="141"/>
      <c r="F6569" s="141"/>
      <c r="G6569" s="194"/>
      <c r="H6569" s="187"/>
    </row>
    <row r="6570" spans="1:9" s="65" customFormat="1">
      <c r="A6570" s="146"/>
      <c r="B6570" s="83"/>
      <c r="C6570" s="148"/>
      <c r="D6570" s="84"/>
      <c r="E6570" s="84"/>
      <c r="F6570" s="84"/>
      <c r="G6570" s="195"/>
      <c r="H6570" s="187"/>
    </row>
    <row r="6571" spans="1:9" s="65" customFormat="1">
      <c r="A6571" s="91"/>
      <c r="B6571" s="91"/>
      <c r="C6571" s="91"/>
      <c r="D6571" s="91"/>
      <c r="E6571" s="91"/>
      <c r="G6571" s="196"/>
      <c r="H6571" s="187"/>
    </row>
    <row r="6572" spans="1:9" s="65" customFormat="1">
      <c r="A6572" s="120"/>
      <c r="B6572" s="73"/>
      <c r="C6572" s="73"/>
      <c r="D6572" s="73"/>
      <c r="E6572" s="73"/>
      <c r="G6572" s="182"/>
      <c r="H6572" s="187"/>
    </row>
    <row r="6573" spans="1:9" s="65" customFormat="1">
      <c r="A6573" s="183"/>
      <c r="B6573" s="141"/>
      <c r="C6573" s="141"/>
      <c r="D6573" s="141"/>
      <c r="E6573" s="141"/>
      <c r="F6573" s="141"/>
      <c r="G6573" s="194"/>
      <c r="H6573" s="187"/>
    </row>
    <row r="6574" spans="1:9" s="65" customFormat="1">
      <c r="A6574" s="142"/>
      <c r="B6574" s="143"/>
      <c r="C6574" s="143"/>
      <c r="D6574" s="143"/>
      <c r="E6574" s="143"/>
      <c r="F6574" s="84"/>
      <c r="G6574" s="195"/>
      <c r="H6574" s="187"/>
    </row>
    <row r="6575" spans="1:9" s="65" customFormat="1">
      <c r="A6575" s="123"/>
      <c r="B6575" s="95"/>
      <c r="C6575" s="95"/>
      <c r="D6575" s="95"/>
      <c r="E6575" s="95"/>
      <c r="G6575" s="196"/>
      <c r="H6575" s="182"/>
    </row>
    <row r="6576" spans="1:9" s="65" customFormat="1">
      <c r="A6576" s="123"/>
      <c r="B6576" s="95"/>
      <c r="C6576" s="95"/>
      <c r="D6576" s="95"/>
      <c r="E6576" s="95"/>
      <c r="G6576" s="182"/>
      <c r="H6576" s="193"/>
    </row>
    <row r="6577" spans="1:9" s="65" customFormat="1">
      <c r="B6577" s="97"/>
      <c r="C6577" s="98"/>
      <c r="D6577" s="98"/>
      <c r="E6577" s="98"/>
      <c r="G6577" s="192"/>
      <c r="H6577" s="193"/>
    </row>
    <row r="6578" spans="1:9" s="65" customFormat="1">
      <c r="B6578" s="97"/>
      <c r="C6578" s="98"/>
      <c r="D6578" s="98"/>
      <c r="E6578" s="98"/>
      <c r="G6578" s="192"/>
      <c r="H6578" s="177"/>
      <c r="I6578" s="178"/>
    </row>
    <row r="6579" spans="1:9" s="65" customFormat="1">
      <c r="A6579" s="654"/>
      <c r="B6579" s="177"/>
      <c r="C6579" s="177"/>
      <c r="D6579" s="177"/>
      <c r="E6579" s="177"/>
      <c r="F6579" s="177"/>
      <c r="G6579" s="177"/>
      <c r="H6579" s="177"/>
      <c r="I6579" s="179"/>
    </row>
    <row r="6580" spans="1:9" s="65" customFormat="1">
      <c r="A6580" s="654"/>
      <c r="B6580" s="177"/>
      <c r="C6580" s="177"/>
      <c r="D6580" s="177"/>
      <c r="E6580" s="177"/>
      <c r="F6580" s="177"/>
      <c r="G6580" s="177"/>
      <c r="H6580" s="180"/>
    </row>
    <row r="6581" spans="1:9" s="65" customFormat="1">
      <c r="A6581" s="69"/>
      <c r="B6581" s="69"/>
      <c r="C6581" s="69"/>
      <c r="D6581" s="69"/>
      <c r="E6581" s="69"/>
      <c r="G6581" s="180"/>
      <c r="H6581" s="180"/>
    </row>
    <row r="6582" spans="1:9" s="65" customFormat="1">
      <c r="A6582" s="120"/>
      <c r="B6582" s="73"/>
      <c r="C6582" s="73"/>
      <c r="D6582" s="73"/>
      <c r="E6582" s="73"/>
      <c r="F6582" s="181"/>
      <c r="G6582" s="182"/>
      <c r="H6582" s="182"/>
    </row>
    <row r="6583" spans="1:9" s="65" customFormat="1">
      <c r="A6583" s="183"/>
      <c r="B6583" s="141"/>
      <c r="C6583" s="141"/>
      <c r="D6583" s="141"/>
      <c r="E6583" s="141"/>
      <c r="F6583" s="141"/>
      <c r="G6583" s="194"/>
      <c r="H6583" s="182"/>
    </row>
    <row r="6584" spans="1:9" s="65" customFormat="1">
      <c r="A6584" s="150"/>
      <c r="B6584" s="83"/>
      <c r="C6584" s="148"/>
      <c r="D6584" s="84"/>
      <c r="E6584" s="84"/>
      <c r="F6584" s="84"/>
      <c r="G6584" s="195"/>
      <c r="H6584" s="187"/>
    </row>
    <row r="6585" spans="1:9" s="65" customFormat="1">
      <c r="A6585" s="84"/>
      <c r="B6585" s="83"/>
      <c r="C6585" s="84"/>
      <c r="D6585" s="84"/>
      <c r="E6585" s="84"/>
      <c r="G6585" s="196"/>
      <c r="H6585" s="187"/>
    </row>
    <row r="6586" spans="1:9" s="65" customFormat="1">
      <c r="A6586" s="120"/>
      <c r="B6586" s="73"/>
      <c r="C6586" s="73"/>
      <c r="D6586" s="73"/>
      <c r="E6586" s="73"/>
      <c r="G6586" s="182"/>
      <c r="H6586" s="187"/>
    </row>
    <row r="6587" spans="1:9" s="65" customFormat="1">
      <c r="A6587" s="183"/>
      <c r="B6587" s="141"/>
      <c r="C6587" s="141"/>
      <c r="D6587" s="141"/>
      <c r="E6587" s="141"/>
      <c r="F6587" s="141"/>
      <c r="G6587" s="194"/>
      <c r="H6587" s="187"/>
      <c r="I6587" s="189"/>
    </row>
    <row r="6588" spans="1:9" s="65" customFormat="1">
      <c r="A6588" s="197"/>
      <c r="B6588" s="83"/>
      <c r="C6588" s="148"/>
      <c r="D6588" s="190"/>
      <c r="E6588" s="84"/>
      <c r="F6588" s="84"/>
      <c r="G6588" s="195"/>
      <c r="H6588" s="187"/>
      <c r="I6588" s="189"/>
    </row>
    <row r="6589" spans="1:9" s="65" customFormat="1">
      <c r="A6589" s="150"/>
      <c r="B6589" s="83"/>
      <c r="C6589" s="148"/>
      <c r="D6589" s="84"/>
      <c r="E6589" s="84"/>
      <c r="F6589" s="84"/>
      <c r="G6589" s="195"/>
      <c r="H6589" s="187"/>
    </row>
    <row r="6590" spans="1:9" s="65" customFormat="1">
      <c r="A6590" s="150"/>
      <c r="B6590" s="83"/>
      <c r="C6590" s="148"/>
      <c r="D6590" s="84"/>
      <c r="E6590" s="84"/>
      <c r="F6590" s="84"/>
      <c r="G6590" s="195"/>
      <c r="H6590" s="187"/>
    </row>
    <row r="6591" spans="1:9" s="65" customFormat="1">
      <c r="A6591" s="150"/>
      <c r="B6591" s="83"/>
      <c r="C6591" s="148"/>
      <c r="D6591" s="84"/>
      <c r="E6591" s="84"/>
      <c r="F6591" s="84"/>
      <c r="G6591" s="195"/>
      <c r="H6591" s="187"/>
    </row>
    <row r="6592" spans="1:9" s="65" customFormat="1">
      <c r="A6592" s="91"/>
      <c r="B6592" s="91"/>
      <c r="C6592" s="91"/>
      <c r="D6592" s="91"/>
      <c r="E6592" s="91"/>
      <c r="G6592" s="196"/>
      <c r="H6592" s="187"/>
    </row>
    <row r="6593" spans="1:9" s="65" customFormat="1">
      <c r="A6593" s="120"/>
      <c r="B6593" s="73"/>
      <c r="C6593" s="73"/>
      <c r="D6593" s="73"/>
      <c r="E6593" s="73"/>
      <c r="G6593" s="182"/>
      <c r="H6593" s="187"/>
    </row>
    <row r="6594" spans="1:9" s="65" customFormat="1">
      <c r="A6594" s="183"/>
      <c r="B6594" s="141"/>
      <c r="C6594" s="141"/>
      <c r="D6594" s="141"/>
      <c r="E6594" s="141"/>
      <c r="F6594" s="141"/>
      <c r="G6594" s="194"/>
      <c r="H6594" s="187"/>
    </row>
    <row r="6595" spans="1:9" s="65" customFormat="1">
      <c r="A6595" s="146"/>
      <c r="B6595" s="83"/>
      <c r="C6595" s="148"/>
      <c r="D6595" s="84"/>
      <c r="E6595" s="84"/>
      <c r="F6595" s="84"/>
      <c r="G6595" s="195"/>
      <c r="H6595" s="187"/>
    </row>
    <row r="6596" spans="1:9" s="65" customFormat="1">
      <c r="A6596" s="91"/>
      <c r="B6596" s="91"/>
      <c r="C6596" s="91"/>
      <c r="D6596" s="91"/>
      <c r="E6596" s="91"/>
      <c r="G6596" s="196"/>
      <c r="H6596" s="187"/>
    </row>
    <row r="6597" spans="1:9" s="65" customFormat="1">
      <c r="A6597" s="120"/>
      <c r="B6597" s="73"/>
      <c r="C6597" s="73"/>
      <c r="D6597" s="73"/>
      <c r="E6597" s="73"/>
      <c r="G6597" s="182"/>
      <c r="H6597" s="187"/>
    </row>
    <row r="6598" spans="1:9" s="65" customFormat="1">
      <c r="A6598" s="183"/>
      <c r="B6598" s="141"/>
      <c r="C6598" s="141"/>
      <c r="D6598" s="141"/>
      <c r="E6598" s="141"/>
      <c r="F6598" s="141"/>
      <c r="G6598" s="194"/>
      <c r="H6598" s="187"/>
    </row>
    <row r="6599" spans="1:9" s="65" customFormat="1">
      <c r="A6599" s="142"/>
      <c r="B6599" s="143"/>
      <c r="C6599" s="143"/>
      <c r="D6599" s="143"/>
      <c r="E6599" s="143"/>
      <c r="F6599" s="84"/>
      <c r="G6599" s="195"/>
      <c r="H6599" s="187"/>
    </row>
    <row r="6600" spans="1:9" s="65" customFormat="1">
      <c r="A6600" s="123"/>
      <c r="B6600" s="95"/>
      <c r="C6600" s="95"/>
      <c r="D6600" s="95"/>
      <c r="E6600" s="95"/>
      <c r="G6600" s="196"/>
      <c r="H6600" s="182"/>
    </row>
    <row r="6601" spans="1:9" s="65" customFormat="1">
      <c r="A6601" s="123"/>
      <c r="B6601" s="95"/>
      <c r="C6601" s="95"/>
      <c r="D6601" s="95"/>
      <c r="E6601" s="95"/>
      <c r="G6601" s="182"/>
      <c r="H6601" s="193"/>
    </row>
    <row r="6602" spans="1:9" s="65" customFormat="1">
      <c r="B6602" s="97"/>
      <c r="C6602" s="98"/>
      <c r="D6602" s="98"/>
      <c r="E6602" s="98"/>
      <c r="G6602" s="192"/>
      <c r="H6602" s="193"/>
    </row>
    <row r="6603" spans="1:9" s="65" customFormat="1">
      <c r="B6603" s="97"/>
      <c r="C6603" s="98"/>
      <c r="D6603" s="98"/>
      <c r="E6603" s="98"/>
      <c r="G6603" s="192"/>
      <c r="H6603" s="177"/>
      <c r="I6603" s="178"/>
    </row>
    <row r="6604" spans="1:9" s="65" customFormat="1">
      <c r="A6604" s="654"/>
      <c r="B6604" s="177"/>
      <c r="C6604" s="177"/>
      <c r="D6604" s="177"/>
      <c r="E6604" s="177"/>
      <c r="F6604" s="177"/>
      <c r="G6604" s="177"/>
      <c r="H6604" s="177"/>
      <c r="I6604" s="179"/>
    </row>
    <row r="6605" spans="1:9" s="65" customFormat="1">
      <c r="A6605" s="654"/>
      <c r="B6605" s="177"/>
      <c r="C6605" s="177"/>
      <c r="D6605" s="177"/>
      <c r="E6605" s="177"/>
      <c r="F6605" s="177"/>
      <c r="G6605" s="177"/>
      <c r="H6605" s="180"/>
    </row>
    <row r="6606" spans="1:9" s="65" customFormat="1">
      <c r="A6606" s="69"/>
      <c r="B6606" s="69"/>
      <c r="C6606" s="69"/>
      <c r="D6606" s="69"/>
      <c r="E6606" s="69"/>
      <c r="G6606" s="180"/>
      <c r="H6606" s="180"/>
    </row>
    <row r="6607" spans="1:9" s="65" customFormat="1">
      <c r="A6607" s="120"/>
      <c r="B6607" s="73"/>
      <c r="C6607" s="73"/>
      <c r="D6607" s="73"/>
      <c r="E6607" s="73"/>
      <c r="F6607" s="181"/>
      <c r="G6607" s="182"/>
      <c r="H6607" s="182"/>
    </row>
    <row r="6608" spans="1:9" s="65" customFormat="1">
      <c r="A6608" s="183"/>
      <c r="B6608" s="141"/>
      <c r="C6608" s="141"/>
      <c r="D6608" s="141"/>
      <c r="E6608" s="141"/>
      <c r="F6608" s="141"/>
      <c r="G6608" s="194"/>
      <c r="H6608" s="182"/>
    </row>
    <row r="6609" spans="1:9" s="65" customFormat="1">
      <c r="A6609" s="150"/>
      <c r="B6609" s="83"/>
      <c r="C6609" s="148"/>
      <c r="D6609" s="84"/>
      <c r="E6609" s="84"/>
      <c r="F6609" s="84"/>
      <c r="G6609" s="195"/>
      <c r="H6609" s="187"/>
    </row>
    <row r="6610" spans="1:9" s="65" customFormat="1">
      <c r="A6610" s="84"/>
      <c r="B6610" s="83"/>
      <c r="C6610" s="84"/>
      <c r="D6610" s="84"/>
      <c r="E6610" s="84"/>
      <c r="G6610" s="196"/>
      <c r="H6610" s="187"/>
    </row>
    <row r="6611" spans="1:9" s="65" customFormat="1">
      <c r="A6611" s="120"/>
      <c r="B6611" s="73"/>
      <c r="C6611" s="73"/>
      <c r="D6611" s="73"/>
      <c r="E6611" s="73"/>
      <c r="G6611" s="182"/>
      <c r="H6611" s="187"/>
    </row>
    <row r="6612" spans="1:9" s="65" customFormat="1">
      <c r="A6612" s="183"/>
      <c r="B6612" s="141"/>
      <c r="C6612" s="141"/>
      <c r="D6612" s="141"/>
      <c r="E6612" s="141"/>
      <c r="F6612" s="141"/>
      <c r="G6612" s="194"/>
      <c r="H6612" s="187"/>
      <c r="I6612" s="189"/>
    </row>
    <row r="6613" spans="1:9" s="65" customFormat="1">
      <c r="A6613" s="197"/>
      <c r="B6613" s="83"/>
      <c r="C6613" s="148"/>
      <c r="D6613" s="190"/>
      <c r="E6613" s="84"/>
      <c r="F6613" s="84"/>
      <c r="G6613" s="195"/>
      <c r="H6613" s="187"/>
      <c r="I6613" s="189"/>
    </row>
    <row r="6614" spans="1:9" s="65" customFormat="1">
      <c r="A6614" s="150"/>
      <c r="B6614" s="83"/>
      <c r="C6614" s="148"/>
      <c r="D6614" s="84"/>
      <c r="E6614" s="84"/>
      <c r="F6614" s="84"/>
      <c r="G6614" s="195"/>
      <c r="H6614" s="187"/>
    </row>
    <row r="6615" spans="1:9" s="65" customFormat="1">
      <c r="A6615" s="150"/>
      <c r="B6615" s="83"/>
      <c r="C6615" s="148"/>
      <c r="D6615" s="84"/>
      <c r="E6615" s="84"/>
      <c r="F6615" s="84"/>
      <c r="G6615" s="195"/>
      <c r="H6615" s="187"/>
    </row>
    <row r="6616" spans="1:9" s="65" customFormat="1">
      <c r="A6616" s="150"/>
      <c r="B6616" s="83"/>
      <c r="C6616" s="148"/>
      <c r="D6616" s="84"/>
      <c r="E6616" s="84"/>
      <c r="F6616" s="84"/>
      <c r="G6616" s="195"/>
      <c r="H6616" s="187"/>
    </row>
    <row r="6617" spans="1:9" s="65" customFormat="1">
      <c r="A6617" s="91"/>
      <c r="B6617" s="91"/>
      <c r="C6617" s="91"/>
      <c r="D6617" s="91"/>
      <c r="E6617" s="91"/>
      <c r="G6617" s="196"/>
      <c r="H6617" s="187"/>
    </row>
    <row r="6618" spans="1:9" s="65" customFormat="1">
      <c r="A6618" s="120"/>
      <c r="B6618" s="73"/>
      <c r="C6618" s="73"/>
      <c r="D6618" s="73"/>
      <c r="E6618" s="73"/>
      <c r="G6618" s="182"/>
      <c r="H6618" s="187"/>
    </row>
    <row r="6619" spans="1:9" s="65" customFormat="1">
      <c r="A6619" s="183"/>
      <c r="B6619" s="141"/>
      <c r="C6619" s="141"/>
      <c r="D6619" s="141"/>
      <c r="E6619" s="141"/>
      <c r="F6619" s="141"/>
      <c r="G6619" s="194"/>
      <c r="H6619" s="187"/>
    </row>
    <row r="6620" spans="1:9" s="65" customFormat="1">
      <c r="A6620" s="146"/>
      <c r="B6620" s="83"/>
      <c r="C6620" s="148"/>
      <c r="D6620" s="84"/>
      <c r="E6620" s="84"/>
      <c r="F6620" s="84"/>
      <c r="G6620" s="195"/>
      <c r="H6620" s="187"/>
    </row>
    <row r="6621" spans="1:9" s="65" customFormat="1">
      <c r="A6621" s="91"/>
      <c r="B6621" s="91"/>
      <c r="C6621" s="91"/>
      <c r="D6621" s="91"/>
      <c r="E6621" s="91"/>
      <c r="G6621" s="196"/>
      <c r="H6621" s="187"/>
    </row>
    <row r="6622" spans="1:9" s="65" customFormat="1">
      <c r="A6622" s="120"/>
      <c r="B6622" s="73"/>
      <c r="C6622" s="73"/>
      <c r="D6622" s="73"/>
      <c r="E6622" s="73"/>
      <c r="G6622" s="182"/>
      <c r="H6622" s="187"/>
    </row>
    <row r="6623" spans="1:9" s="65" customFormat="1">
      <c r="A6623" s="183"/>
      <c r="B6623" s="141"/>
      <c r="C6623" s="141"/>
      <c r="D6623" s="141"/>
      <c r="E6623" s="141"/>
      <c r="F6623" s="141"/>
      <c r="G6623" s="194"/>
      <c r="H6623" s="187"/>
    </row>
    <row r="6624" spans="1:9" s="65" customFormat="1">
      <c r="A6624" s="142"/>
      <c r="B6624" s="143"/>
      <c r="C6624" s="143"/>
      <c r="D6624" s="143"/>
      <c r="E6624" s="143"/>
      <c r="F6624" s="84"/>
      <c r="G6624" s="195"/>
      <c r="H6624" s="187"/>
    </row>
    <row r="6625" spans="1:9" s="65" customFormat="1">
      <c r="A6625" s="123"/>
      <c r="B6625" s="95"/>
      <c r="C6625" s="95"/>
      <c r="D6625" s="95"/>
      <c r="E6625" s="95"/>
      <c r="G6625" s="196"/>
      <c r="H6625" s="182"/>
    </row>
    <row r="6626" spans="1:9" s="65" customFormat="1">
      <c r="A6626" s="123"/>
      <c r="B6626" s="95"/>
      <c r="C6626" s="95"/>
      <c r="D6626" s="95"/>
      <c r="E6626" s="95"/>
      <c r="G6626" s="182"/>
      <c r="H6626" s="193"/>
    </row>
    <row r="6627" spans="1:9" s="65" customFormat="1">
      <c r="B6627" s="97"/>
      <c r="C6627" s="98"/>
      <c r="D6627" s="98"/>
      <c r="E6627" s="98"/>
      <c r="G6627" s="192"/>
      <c r="H6627" s="193"/>
    </row>
    <row r="6628" spans="1:9" s="65" customFormat="1">
      <c r="B6628" s="97"/>
      <c r="C6628" s="98"/>
      <c r="D6628" s="98"/>
      <c r="E6628" s="98"/>
      <c r="G6628" s="192"/>
      <c r="H6628" s="177"/>
      <c r="I6628" s="178"/>
    </row>
    <row r="6629" spans="1:9" s="65" customFormat="1">
      <c r="A6629" s="654"/>
      <c r="B6629" s="177"/>
      <c r="C6629" s="177"/>
      <c r="D6629" s="177"/>
      <c r="E6629" s="177"/>
      <c r="F6629" s="177"/>
      <c r="G6629" s="177"/>
      <c r="H6629" s="177"/>
      <c r="I6629" s="179"/>
    </row>
    <row r="6630" spans="1:9" s="65" customFormat="1">
      <c r="A6630" s="654"/>
      <c r="B6630" s="177"/>
      <c r="C6630" s="177"/>
      <c r="D6630" s="177"/>
      <c r="E6630" s="177"/>
      <c r="F6630" s="177"/>
      <c r="G6630" s="177"/>
      <c r="H6630" s="180"/>
    </row>
    <row r="6631" spans="1:9" s="65" customFormat="1">
      <c r="A6631" s="69"/>
      <c r="B6631" s="69"/>
      <c r="C6631" s="69"/>
      <c r="D6631" s="69"/>
      <c r="E6631" s="69"/>
      <c r="G6631" s="180"/>
      <c r="H6631" s="180"/>
    </row>
    <row r="6632" spans="1:9" s="65" customFormat="1">
      <c r="A6632" s="120"/>
      <c r="B6632" s="73"/>
      <c r="C6632" s="73"/>
      <c r="D6632" s="73"/>
      <c r="E6632" s="73"/>
      <c r="F6632" s="181"/>
      <c r="G6632" s="182"/>
      <c r="H6632" s="182"/>
    </row>
    <row r="6633" spans="1:9" s="65" customFormat="1">
      <c r="A6633" s="183"/>
      <c r="B6633" s="141"/>
      <c r="C6633" s="141"/>
      <c r="D6633" s="141"/>
      <c r="E6633" s="141"/>
      <c r="F6633" s="141"/>
      <c r="G6633" s="194"/>
      <c r="H6633" s="182"/>
    </row>
    <row r="6634" spans="1:9" s="65" customFormat="1">
      <c r="A6634" s="150"/>
      <c r="B6634" s="83"/>
      <c r="C6634" s="148"/>
      <c r="D6634" s="84"/>
      <c r="E6634" s="84"/>
      <c r="F6634" s="84"/>
      <c r="G6634" s="195"/>
      <c r="H6634" s="187"/>
    </row>
    <row r="6635" spans="1:9" s="65" customFormat="1">
      <c r="A6635" s="84"/>
      <c r="B6635" s="83"/>
      <c r="C6635" s="84"/>
      <c r="D6635" s="84"/>
      <c r="E6635" s="84"/>
      <c r="G6635" s="196"/>
      <c r="H6635" s="187"/>
    </row>
    <row r="6636" spans="1:9" s="65" customFormat="1">
      <c r="A6636" s="120"/>
      <c r="B6636" s="73"/>
      <c r="C6636" s="73"/>
      <c r="D6636" s="73"/>
      <c r="E6636" s="73"/>
      <c r="G6636" s="182"/>
      <c r="H6636" s="187"/>
    </row>
    <row r="6637" spans="1:9" s="65" customFormat="1">
      <c r="A6637" s="183"/>
      <c r="B6637" s="141"/>
      <c r="C6637" s="141"/>
      <c r="D6637" s="141"/>
      <c r="E6637" s="141"/>
      <c r="F6637" s="141"/>
      <c r="G6637" s="194"/>
      <c r="H6637" s="187"/>
      <c r="I6637" s="189"/>
    </row>
    <row r="6638" spans="1:9" s="65" customFormat="1">
      <c r="A6638" s="197"/>
      <c r="B6638" s="83"/>
      <c r="C6638" s="148"/>
      <c r="D6638" s="190"/>
      <c r="E6638" s="84"/>
      <c r="F6638" s="84"/>
      <c r="G6638" s="195"/>
      <c r="H6638" s="187"/>
      <c r="I6638" s="189"/>
    </row>
    <row r="6639" spans="1:9" s="65" customFormat="1">
      <c r="A6639" s="150"/>
      <c r="B6639" s="83"/>
      <c r="C6639" s="148"/>
      <c r="D6639" s="84"/>
      <c r="E6639" s="84"/>
      <c r="F6639" s="84"/>
      <c r="G6639" s="195"/>
      <c r="H6639" s="187"/>
    </row>
    <row r="6640" spans="1:9" s="65" customFormat="1">
      <c r="A6640" s="91"/>
      <c r="B6640" s="91"/>
      <c r="C6640" s="91"/>
      <c r="D6640" s="91"/>
      <c r="E6640" s="91"/>
      <c r="G6640" s="196"/>
      <c r="H6640" s="187"/>
    </row>
    <row r="6641" spans="1:9" s="65" customFormat="1">
      <c r="A6641" s="120"/>
      <c r="B6641" s="73"/>
      <c r="C6641" s="73"/>
      <c r="D6641" s="73"/>
      <c r="E6641" s="73"/>
      <c r="G6641" s="182"/>
      <c r="H6641" s="187"/>
    </row>
    <row r="6642" spans="1:9" s="65" customFormat="1">
      <c r="A6642" s="183"/>
      <c r="B6642" s="141"/>
      <c r="C6642" s="141"/>
      <c r="D6642" s="141"/>
      <c r="E6642" s="141"/>
      <c r="F6642" s="141"/>
      <c r="G6642" s="194"/>
      <c r="H6642" s="187"/>
    </row>
    <row r="6643" spans="1:9" s="65" customFormat="1">
      <c r="A6643" s="146"/>
      <c r="B6643" s="83"/>
      <c r="C6643" s="148"/>
      <c r="D6643" s="84"/>
      <c r="E6643" s="84"/>
      <c r="F6643" s="84"/>
      <c r="G6643" s="195"/>
      <c r="H6643" s="187"/>
    </row>
    <row r="6644" spans="1:9" s="65" customFormat="1">
      <c r="A6644" s="91"/>
      <c r="B6644" s="91"/>
      <c r="C6644" s="91"/>
      <c r="D6644" s="91"/>
      <c r="E6644" s="91"/>
      <c r="G6644" s="196"/>
      <c r="H6644" s="187"/>
    </row>
    <row r="6645" spans="1:9" s="65" customFormat="1">
      <c r="A6645" s="120"/>
      <c r="B6645" s="73"/>
      <c r="C6645" s="73"/>
      <c r="D6645" s="73"/>
      <c r="E6645" s="73"/>
      <c r="G6645" s="182"/>
      <c r="H6645" s="187"/>
    </row>
    <row r="6646" spans="1:9" s="65" customFormat="1">
      <c r="A6646" s="183"/>
      <c r="B6646" s="141"/>
      <c r="C6646" s="141"/>
      <c r="D6646" s="141"/>
      <c r="E6646" s="141"/>
      <c r="F6646" s="141"/>
      <c r="G6646" s="194"/>
      <c r="H6646" s="187"/>
    </row>
    <row r="6647" spans="1:9" s="65" customFormat="1">
      <c r="A6647" s="142"/>
      <c r="B6647" s="143"/>
      <c r="C6647" s="143"/>
      <c r="D6647" s="143"/>
      <c r="E6647" s="143"/>
      <c r="F6647" s="84"/>
      <c r="G6647" s="195"/>
      <c r="H6647" s="187"/>
    </row>
    <row r="6648" spans="1:9" s="65" customFormat="1">
      <c r="A6648" s="123"/>
      <c r="B6648" s="95"/>
      <c r="C6648" s="95"/>
      <c r="D6648" s="95"/>
      <c r="E6648" s="95"/>
      <c r="G6648" s="196"/>
      <c r="H6648" s="182"/>
    </row>
    <row r="6649" spans="1:9" s="65" customFormat="1">
      <c r="A6649" s="123"/>
      <c r="B6649" s="95"/>
      <c r="C6649" s="95"/>
      <c r="D6649" s="95"/>
      <c r="E6649" s="95"/>
      <c r="G6649" s="182"/>
      <c r="H6649" s="193"/>
    </row>
    <row r="6650" spans="1:9" s="65" customFormat="1">
      <c r="B6650" s="97"/>
      <c r="C6650" s="98"/>
      <c r="D6650" s="98"/>
      <c r="E6650" s="98"/>
      <c r="G6650" s="192"/>
      <c r="H6650" s="193"/>
    </row>
    <row r="6651" spans="1:9" s="65" customFormat="1">
      <c r="B6651" s="97"/>
      <c r="C6651" s="98"/>
      <c r="D6651" s="98"/>
      <c r="E6651" s="98"/>
      <c r="G6651" s="192"/>
      <c r="H6651" s="177"/>
      <c r="I6651" s="178"/>
    </row>
    <row r="6652" spans="1:9" s="65" customFormat="1">
      <c r="A6652" s="654"/>
      <c r="B6652" s="177"/>
      <c r="C6652" s="177"/>
      <c r="D6652" s="177"/>
      <c r="E6652" s="177"/>
      <c r="F6652" s="177"/>
      <c r="G6652" s="177"/>
      <c r="H6652" s="177"/>
      <c r="I6652" s="179"/>
    </row>
    <row r="6653" spans="1:9" s="65" customFormat="1">
      <c r="A6653" s="654"/>
      <c r="B6653" s="177"/>
      <c r="C6653" s="177"/>
      <c r="D6653" s="177"/>
      <c r="E6653" s="177"/>
      <c r="F6653" s="177"/>
      <c r="G6653" s="177"/>
      <c r="H6653" s="180"/>
    </row>
    <row r="6654" spans="1:9" s="65" customFormat="1">
      <c r="A6654" s="69"/>
      <c r="B6654" s="69"/>
      <c r="C6654" s="69"/>
      <c r="D6654" s="69"/>
      <c r="E6654" s="69"/>
      <c r="G6654" s="180"/>
      <c r="H6654" s="180"/>
    </row>
    <row r="6655" spans="1:9" s="65" customFormat="1">
      <c r="A6655" s="120"/>
      <c r="B6655" s="73"/>
      <c r="C6655" s="73"/>
      <c r="D6655" s="73"/>
      <c r="E6655" s="73"/>
      <c r="F6655" s="181"/>
      <c r="G6655" s="182"/>
      <c r="H6655" s="182"/>
    </row>
    <row r="6656" spans="1:9" s="65" customFormat="1">
      <c r="A6656" s="183"/>
      <c r="B6656" s="141"/>
      <c r="C6656" s="141"/>
      <c r="D6656" s="141"/>
      <c r="E6656" s="141"/>
      <c r="F6656" s="141"/>
      <c r="G6656" s="194"/>
      <c r="H6656" s="182"/>
    </row>
    <row r="6657" spans="1:9" s="65" customFormat="1">
      <c r="A6657" s="150"/>
      <c r="B6657" s="83"/>
      <c r="C6657" s="148"/>
      <c r="D6657" s="84"/>
      <c r="E6657" s="84"/>
      <c r="F6657" s="84"/>
      <c r="G6657" s="195"/>
      <c r="H6657" s="187"/>
    </row>
    <row r="6658" spans="1:9" s="65" customFormat="1">
      <c r="A6658" s="84"/>
      <c r="B6658" s="83"/>
      <c r="C6658" s="84"/>
      <c r="D6658" s="84"/>
      <c r="E6658" s="84"/>
      <c r="G6658" s="196"/>
      <c r="H6658" s="187"/>
    </row>
    <row r="6659" spans="1:9" s="65" customFormat="1">
      <c r="A6659" s="120"/>
      <c r="B6659" s="73"/>
      <c r="C6659" s="73"/>
      <c r="D6659" s="73"/>
      <c r="E6659" s="73"/>
      <c r="G6659" s="182"/>
      <c r="H6659" s="187"/>
    </row>
    <row r="6660" spans="1:9" s="65" customFormat="1">
      <c r="A6660" s="183"/>
      <c r="B6660" s="141"/>
      <c r="C6660" s="141"/>
      <c r="D6660" s="141"/>
      <c r="E6660" s="141"/>
      <c r="F6660" s="141"/>
      <c r="G6660" s="194"/>
      <c r="H6660" s="187"/>
      <c r="I6660" s="189"/>
    </row>
    <row r="6661" spans="1:9" s="65" customFormat="1">
      <c r="A6661" s="197"/>
      <c r="B6661" s="83"/>
      <c r="C6661" s="148"/>
      <c r="D6661" s="190"/>
      <c r="E6661" s="84"/>
      <c r="F6661" s="84"/>
      <c r="G6661" s="195"/>
      <c r="H6661" s="187"/>
      <c r="I6661" s="189"/>
    </row>
    <row r="6662" spans="1:9" s="65" customFormat="1">
      <c r="A6662" s="150"/>
      <c r="B6662" s="83"/>
      <c r="C6662" s="148"/>
      <c r="D6662" s="84"/>
      <c r="E6662" s="84"/>
      <c r="F6662" s="84"/>
      <c r="G6662" s="195"/>
      <c r="H6662" s="187"/>
    </row>
    <row r="6663" spans="1:9" s="65" customFormat="1">
      <c r="A6663" s="91"/>
      <c r="B6663" s="91"/>
      <c r="C6663" s="91"/>
      <c r="D6663" s="91"/>
      <c r="E6663" s="91"/>
      <c r="G6663" s="196"/>
      <c r="H6663" s="187"/>
    </row>
    <row r="6664" spans="1:9" s="65" customFormat="1">
      <c r="A6664" s="120"/>
      <c r="B6664" s="73"/>
      <c r="C6664" s="73"/>
      <c r="D6664" s="73"/>
      <c r="E6664" s="73"/>
      <c r="G6664" s="182"/>
      <c r="H6664" s="187"/>
    </row>
    <row r="6665" spans="1:9" s="65" customFormat="1">
      <c r="A6665" s="183"/>
      <c r="B6665" s="141"/>
      <c r="C6665" s="141"/>
      <c r="D6665" s="141"/>
      <c r="E6665" s="141"/>
      <c r="F6665" s="141"/>
      <c r="G6665" s="194"/>
      <c r="H6665" s="187"/>
    </row>
    <row r="6666" spans="1:9" s="65" customFormat="1">
      <c r="A6666" s="146"/>
      <c r="B6666" s="83"/>
      <c r="C6666" s="148"/>
      <c r="D6666" s="84"/>
      <c r="E6666" s="84"/>
      <c r="F6666" s="84"/>
      <c r="G6666" s="195"/>
      <c r="H6666" s="187"/>
    </row>
    <row r="6667" spans="1:9" s="65" customFormat="1">
      <c r="A6667" s="91"/>
      <c r="B6667" s="91"/>
      <c r="C6667" s="91"/>
      <c r="D6667" s="91"/>
      <c r="E6667" s="91"/>
      <c r="G6667" s="196"/>
      <c r="H6667" s="187"/>
    </row>
    <row r="6668" spans="1:9" s="65" customFormat="1">
      <c r="A6668" s="120"/>
      <c r="B6668" s="73"/>
      <c r="C6668" s="73"/>
      <c r="D6668" s="73"/>
      <c r="E6668" s="73"/>
      <c r="G6668" s="182"/>
      <c r="H6668" s="187"/>
    </row>
    <row r="6669" spans="1:9" s="65" customFormat="1">
      <c r="A6669" s="183"/>
      <c r="B6669" s="141"/>
      <c r="C6669" s="141"/>
      <c r="D6669" s="141"/>
      <c r="E6669" s="141"/>
      <c r="F6669" s="141"/>
      <c r="G6669" s="194"/>
      <c r="H6669" s="187"/>
    </row>
    <row r="6670" spans="1:9" s="65" customFormat="1">
      <c r="A6670" s="142"/>
      <c r="B6670" s="143"/>
      <c r="C6670" s="143"/>
      <c r="D6670" s="143"/>
      <c r="E6670" s="143"/>
      <c r="F6670" s="84"/>
      <c r="G6670" s="195"/>
      <c r="H6670" s="187"/>
    </row>
    <row r="6671" spans="1:9" s="65" customFormat="1">
      <c r="A6671" s="123"/>
      <c r="B6671" s="95"/>
      <c r="C6671" s="95"/>
      <c r="D6671" s="95"/>
      <c r="E6671" s="95"/>
      <c r="G6671" s="196"/>
      <c r="H6671" s="182"/>
    </row>
    <row r="6672" spans="1:9" s="65" customFormat="1">
      <c r="A6672" s="123"/>
      <c r="B6672" s="95"/>
      <c r="C6672" s="95"/>
      <c r="D6672" s="95"/>
      <c r="E6672" s="95"/>
      <c r="G6672" s="182"/>
      <c r="H6672" s="193"/>
    </row>
    <row r="6673" spans="1:9" s="65" customFormat="1">
      <c r="B6673" s="97"/>
      <c r="C6673" s="98"/>
      <c r="D6673" s="98"/>
      <c r="E6673" s="98"/>
      <c r="G6673" s="192"/>
      <c r="H6673" s="193"/>
    </row>
    <row r="6674" spans="1:9" s="65" customFormat="1">
      <c r="B6674" s="97"/>
      <c r="C6674" s="98"/>
      <c r="D6674" s="98"/>
      <c r="E6674" s="98"/>
      <c r="G6674" s="192"/>
      <c r="H6674" s="177"/>
      <c r="I6674" s="178"/>
    </row>
    <row r="6675" spans="1:9" s="65" customFormat="1">
      <c r="A6675" s="654"/>
      <c r="B6675" s="177"/>
      <c r="C6675" s="177"/>
      <c r="D6675" s="177"/>
      <c r="E6675" s="177"/>
      <c r="F6675" s="177"/>
      <c r="G6675" s="177"/>
      <c r="H6675" s="177"/>
      <c r="I6675" s="179"/>
    </row>
    <row r="6676" spans="1:9" s="65" customFormat="1">
      <c r="A6676" s="654"/>
      <c r="B6676" s="177"/>
      <c r="C6676" s="177"/>
      <c r="D6676" s="177"/>
      <c r="E6676" s="177"/>
      <c r="F6676" s="177"/>
      <c r="G6676" s="177"/>
      <c r="H6676" s="180"/>
    </row>
    <row r="6677" spans="1:9" s="65" customFormat="1">
      <c r="A6677" s="69"/>
      <c r="B6677" s="69"/>
      <c r="C6677" s="69"/>
      <c r="D6677" s="69"/>
      <c r="E6677" s="69"/>
      <c r="G6677" s="180"/>
      <c r="H6677" s="180"/>
    </row>
    <row r="6678" spans="1:9" s="65" customFormat="1">
      <c r="A6678" s="120"/>
      <c r="B6678" s="73"/>
      <c r="C6678" s="73"/>
      <c r="D6678" s="73"/>
      <c r="E6678" s="73"/>
      <c r="F6678" s="181"/>
      <c r="G6678" s="182"/>
      <c r="H6678" s="182"/>
    </row>
    <row r="6679" spans="1:9" s="65" customFormat="1">
      <c r="A6679" s="183"/>
      <c r="B6679" s="141"/>
      <c r="C6679" s="141"/>
      <c r="D6679" s="141"/>
      <c r="E6679" s="141"/>
      <c r="F6679" s="141"/>
      <c r="G6679" s="194"/>
      <c r="H6679" s="182"/>
    </row>
    <row r="6680" spans="1:9" s="65" customFormat="1">
      <c r="A6680" s="150"/>
      <c r="B6680" s="83"/>
      <c r="C6680" s="148"/>
      <c r="D6680" s="84"/>
      <c r="E6680" s="84"/>
      <c r="F6680" s="84"/>
      <c r="G6680" s="195"/>
      <c r="H6680" s="187"/>
    </row>
    <row r="6681" spans="1:9" s="65" customFormat="1">
      <c r="A6681" s="84"/>
      <c r="B6681" s="83"/>
      <c r="C6681" s="84"/>
      <c r="D6681" s="84"/>
      <c r="E6681" s="84"/>
      <c r="G6681" s="196"/>
      <c r="H6681" s="187"/>
    </row>
    <row r="6682" spans="1:9" s="65" customFormat="1">
      <c r="A6682" s="120"/>
      <c r="B6682" s="73"/>
      <c r="C6682" s="73"/>
      <c r="D6682" s="73"/>
      <c r="E6682" s="73"/>
      <c r="G6682" s="182"/>
      <c r="H6682" s="187"/>
    </row>
    <row r="6683" spans="1:9" s="65" customFormat="1">
      <c r="A6683" s="183"/>
      <c r="B6683" s="141"/>
      <c r="C6683" s="141"/>
      <c r="D6683" s="141"/>
      <c r="E6683" s="141"/>
      <c r="F6683" s="141"/>
      <c r="G6683" s="194"/>
      <c r="H6683" s="187"/>
      <c r="I6683" s="189"/>
    </row>
    <row r="6684" spans="1:9" s="65" customFormat="1">
      <c r="A6684" s="197"/>
      <c r="B6684" s="83"/>
      <c r="C6684" s="148"/>
      <c r="D6684" s="190"/>
      <c r="E6684" s="84"/>
      <c r="F6684" s="84"/>
      <c r="G6684" s="195"/>
      <c r="H6684" s="187"/>
      <c r="I6684" s="189"/>
    </row>
    <row r="6685" spans="1:9" s="65" customFormat="1">
      <c r="A6685" s="150"/>
      <c r="B6685" s="83"/>
      <c r="C6685" s="148"/>
      <c r="D6685" s="84"/>
      <c r="E6685" s="84"/>
      <c r="F6685" s="84"/>
      <c r="G6685" s="195"/>
      <c r="H6685" s="187"/>
    </row>
    <row r="6686" spans="1:9" s="65" customFormat="1">
      <c r="A6686" s="91"/>
      <c r="B6686" s="91"/>
      <c r="C6686" s="91"/>
      <c r="D6686" s="91"/>
      <c r="E6686" s="91"/>
      <c r="G6686" s="196"/>
      <c r="H6686" s="187"/>
    </row>
    <row r="6687" spans="1:9" s="65" customFormat="1">
      <c r="A6687" s="120"/>
      <c r="B6687" s="73"/>
      <c r="C6687" s="73"/>
      <c r="D6687" s="73"/>
      <c r="E6687" s="73"/>
      <c r="G6687" s="182"/>
      <c r="H6687" s="187"/>
    </row>
    <row r="6688" spans="1:9" s="65" customFormat="1">
      <c r="A6688" s="183"/>
      <c r="B6688" s="141"/>
      <c r="C6688" s="141"/>
      <c r="D6688" s="141"/>
      <c r="E6688" s="141"/>
      <c r="F6688" s="141"/>
      <c r="G6688" s="194"/>
      <c r="H6688" s="187"/>
    </row>
    <row r="6689" spans="1:9" s="65" customFormat="1">
      <c r="A6689" s="146"/>
      <c r="B6689" s="83"/>
      <c r="C6689" s="148"/>
      <c r="D6689" s="84"/>
      <c r="E6689" s="84"/>
      <c r="F6689" s="84"/>
      <c r="G6689" s="195"/>
      <c r="H6689" s="187"/>
    </row>
    <row r="6690" spans="1:9" s="65" customFormat="1">
      <c r="A6690" s="91"/>
      <c r="B6690" s="91"/>
      <c r="C6690" s="91"/>
      <c r="D6690" s="91"/>
      <c r="E6690" s="91"/>
      <c r="G6690" s="196"/>
      <c r="H6690" s="187"/>
    </row>
    <row r="6691" spans="1:9" s="65" customFormat="1">
      <c r="A6691" s="120"/>
      <c r="B6691" s="73"/>
      <c r="C6691" s="73"/>
      <c r="D6691" s="73"/>
      <c r="E6691" s="73"/>
      <c r="G6691" s="182"/>
      <c r="H6691" s="187"/>
    </row>
    <row r="6692" spans="1:9" s="65" customFormat="1">
      <c r="A6692" s="183"/>
      <c r="B6692" s="141"/>
      <c r="C6692" s="141"/>
      <c r="D6692" s="141"/>
      <c r="E6692" s="141"/>
      <c r="F6692" s="141"/>
      <c r="G6692" s="194"/>
      <c r="H6692" s="187"/>
    </row>
    <row r="6693" spans="1:9" s="65" customFormat="1">
      <c r="A6693" s="142"/>
      <c r="B6693" s="143"/>
      <c r="C6693" s="143"/>
      <c r="D6693" s="143"/>
      <c r="E6693" s="143"/>
      <c r="F6693" s="84"/>
      <c r="G6693" s="195"/>
      <c r="H6693" s="187"/>
    </row>
    <row r="6694" spans="1:9" s="65" customFormat="1">
      <c r="A6694" s="123"/>
      <c r="B6694" s="95"/>
      <c r="C6694" s="95"/>
      <c r="D6694" s="95"/>
      <c r="E6694" s="95"/>
      <c r="G6694" s="196"/>
      <c r="H6694" s="182"/>
    </row>
    <row r="6695" spans="1:9" s="65" customFormat="1">
      <c r="A6695" s="123"/>
      <c r="B6695" s="95"/>
      <c r="C6695" s="95"/>
      <c r="D6695" s="95"/>
      <c r="E6695" s="95"/>
      <c r="G6695" s="182"/>
      <c r="H6695" s="193"/>
    </row>
    <row r="6696" spans="1:9" s="65" customFormat="1">
      <c r="B6696" s="97"/>
      <c r="C6696" s="98"/>
      <c r="D6696" s="98"/>
      <c r="E6696" s="98"/>
      <c r="G6696" s="192"/>
      <c r="H6696" s="193"/>
    </row>
    <row r="6697" spans="1:9" s="65" customFormat="1">
      <c r="B6697" s="97"/>
      <c r="C6697" s="98"/>
      <c r="D6697" s="98"/>
      <c r="E6697" s="98"/>
      <c r="G6697" s="192"/>
      <c r="H6697" s="177"/>
      <c r="I6697" s="178"/>
    </row>
    <row r="6698" spans="1:9" s="65" customFormat="1">
      <c r="A6698" s="654"/>
      <c r="B6698" s="177"/>
      <c r="C6698" s="177"/>
      <c r="D6698" s="177"/>
      <c r="E6698" s="177"/>
      <c r="F6698" s="177"/>
      <c r="G6698" s="177"/>
      <c r="H6698" s="177"/>
      <c r="I6698" s="179"/>
    </row>
    <row r="6699" spans="1:9" s="65" customFormat="1">
      <c r="A6699" s="654"/>
      <c r="B6699" s="177"/>
      <c r="C6699" s="177"/>
      <c r="D6699" s="177"/>
      <c r="E6699" s="177"/>
      <c r="F6699" s="177"/>
      <c r="G6699" s="177"/>
      <c r="H6699" s="180"/>
    </row>
    <row r="6700" spans="1:9" s="65" customFormat="1">
      <c r="A6700" s="69"/>
      <c r="B6700" s="69"/>
      <c r="C6700" s="69"/>
      <c r="D6700" s="69"/>
      <c r="E6700" s="69"/>
      <c r="G6700" s="180"/>
      <c r="H6700" s="180"/>
    </row>
    <row r="6701" spans="1:9" s="65" customFormat="1">
      <c r="A6701" s="120"/>
      <c r="B6701" s="73"/>
      <c r="C6701" s="73"/>
      <c r="D6701" s="73"/>
      <c r="E6701" s="73"/>
      <c r="F6701" s="181"/>
      <c r="G6701" s="182"/>
      <c r="H6701" s="182"/>
    </row>
    <row r="6702" spans="1:9" s="65" customFormat="1">
      <c r="A6702" s="183"/>
      <c r="B6702" s="141"/>
      <c r="C6702" s="141"/>
      <c r="D6702" s="141"/>
      <c r="E6702" s="141"/>
      <c r="F6702" s="141"/>
      <c r="G6702" s="194"/>
      <c r="H6702" s="182"/>
    </row>
    <row r="6703" spans="1:9" s="65" customFormat="1">
      <c r="A6703" s="150"/>
      <c r="B6703" s="83"/>
      <c r="C6703" s="148"/>
      <c r="D6703" s="84"/>
      <c r="E6703" s="84"/>
      <c r="F6703" s="84"/>
      <c r="G6703" s="195"/>
      <c r="H6703" s="187"/>
    </row>
    <row r="6704" spans="1:9" s="65" customFormat="1">
      <c r="A6704" s="84"/>
      <c r="B6704" s="83"/>
      <c r="C6704" s="84"/>
      <c r="D6704" s="84"/>
      <c r="E6704" s="84"/>
      <c r="G6704" s="196"/>
      <c r="H6704" s="187"/>
    </row>
    <row r="6705" spans="1:9" s="65" customFormat="1">
      <c r="A6705" s="120"/>
      <c r="B6705" s="73"/>
      <c r="C6705" s="73"/>
      <c r="D6705" s="73"/>
      <c r="E6705" s="73"/>
      <c r="G6705" s="182"/>
      <c r="H6705" s="187"/>
    </row>
    <row r="6706" spans="1:9" s="65" customFormat="1">
      <c r="A6706" s="183"/>
      <c r="B6706" s="141"/>
      <c r="C6706" s="141"/>
      <c r="D6706" s="141"/>
      <c r="E6706" s="141"/>
      <c r="F6706" s="141"/>
      <c r="G6706" s="194"/>
      <c r="H6706" s="187"/>
      <c r="I6706" s="189"/>
    </row>
    <row r="6707" spans="1:9" s="65" customFormat="1">
      <c r="A6707" s="197"/>
      <c r="B6707" s="83"/>
      <c r="C6707" s="148"/>
      <c r="D6707" s="190"/>
      <c r="E6707" s="84"/>
      <c r="F6707" s="84"/>
      <c r="G6707" s="195"/>
      <c r="H6707" s="187"/>
      <c r="I6707" s="189"/>
    </row>
    <row r="6708" spans="1:9" s="65" customFormat="1">
      <c r="A6708" s="150"/>
      <c r="B6708" s="83"/>
      <c r="C6708" s="148"/>
      <c r="D6708" s="84"/>
      <c r="E6708" s="84"/>
      <c r="F6708" s="84"/>
      <c r="G6708" s="195"/>
      <c r="H6708" s="187"/>
    </row>
    <row r="6709" spans="1:9" s="65" customFormat="1">
      <c r="A6709" s="91"/>
      <c r="B6709" s="91"/>
      <c r="C6709" s="91"/>
      <c r="D6709" s="91"/>
      <c r="E6709" s="91"/>
      <c r="G6709" s="196"/>
      <c r="H6709" s="187"/>
    </row>
    <row r="6710" spans="1:9" s="65" customFormat="1">
      <c r="A6710" s="120"/>
      <c r="B6710" s="73"/>
      <c r="C6710" s="73"/>
      <c r="D6710" s="73"/>
      <c r="E6710" s="73"/>
      <c r="G6710" s="182"/>
      <c r="H6710" s="187"/>
    </row>
    <row r="6711" spans="1:9" s="65" customFormat="1">
      <c r="A6711" s="183"/>
      <c r="B6711" s="141"/>
      <c r="C6711" s="141"/>
      <c r="D6711" s="141"/>
      <c r="E6711" s="141"/>
      <c r="F6711" s="141"/>
      <c r="G6711" s="194"/>
      <c r="H6711" s="187"/>
    </row>
    <row r="6712" spans="1:9" s="65" customFormat="1">
      <c r="A6712" s="146"/>
      <c r="B6712" s="83"/>
      <c r="C6712" s="148"/>
      <c r="D6712" s="84"/>
      <c r="E6712" s="84"/>
      <c r="F6712" s="84"/>
      <c r="G6712" s="195"/>
      <c r="H6712" s="187"/>
    </row>
    <row r="6713" spans="1:9" s="65" customFormat="1">
      <c r="A6713" s="91"/>
      <c r="B6713" s="91"/>
      <c r="C6713" s="91"/>
      <c r="D6713" s="91"/>
      <c r="E6713" s="91"/>
      <c r="G6713" s="196"/>
      <c r="H6713" s="187"/>
    </row>
    <row r="6714" spans="1:9" s="65" customFormat="1">
      <c r="A6714" s="120"/>
      <c r="B6714" s="73"/>
      <c r="C6714" s="73"/>
      <c r="D6714" s="73"/>
      <c r="E6714" s="73"/>
      <c r="G6714" s="182"/>
      <c r="H6714" s="187"/>
    </row>
    <row r="6715" spans="1:9" s="65" customFormat="1">
      <c r="A6715" s="183"/>
      <c r="B6715" s="141"/>
      <c r="C6715" s="141"/>
      <c r="D6715" s="141"/>
      <c r="E6715" s="141"/>
      <c r="F6715" s="141"/>
      <c r="G6715" s="194"/>
      <c r="H6715" s="187"/>
    </row>
    <row r="6716" spans="1:9" s="65" customFormat="1">
      <c r="A6716" s="142"/>
      <c r="B6716" s="143"/>
      <c r="C6716" s="143"/>
      <c r="D6716" s="143"/>
      <c r="E6716" s="143"/>
      <c r="F6716" s="84"/>
      <c r="G6716" s="195"/>
      <c r="H6716" s="187"/>
    </row>
    <row r="6717" spans="1:9" s="65" customFormat="1">
      <c r="A6717" s="123"/>
      <c r="B6717" s="95"/>
      <c r="C6717" s="95"/>
      <c r="D6717" s="95"/>
      <c r="E6717" s="95"/>
      <c r="G6717" s="196"/>
      <c r="H6717" s="182"/>
    </row>
    <row r="6718" spans="1:9" s="65" customFormat="1">
      <c r="A6718" s="123"/>
      <c r="B6718" s="95"/>
      <c r="C6718" s="95"/>
      <c r="D6718" s="95"/>
      <c r="E6718" s="95"/>
      <c r="G6718" s="182"/>
      <c r="H6718" s="193"/>
    </row>
    <row r="6719" spans="1:9" s="65" customFormat="1">
      <c r="B6719" s="97"/>
      <c r="C6719" s="98"/>
      <c r="D6719" s="98"/>
      <c r="E6719" s="98"/>
      <c r="G6719" s="192"/>
      <c r="H6719" s="193"/>
    </row>
    <row r="6720" spans="1:9" s="65" customFormat="1">
      <c r="B6720" s="97"/>
      <c r="C6720" s="98"/>
      <c r="D6720" s="98"/>
      <c r="E6720" s="98"/>
      <c r="G6720" s="192"/>
      <c r="H6720" s="177"/>
      <c r="I6720" s="178"/>
    </row>
    <row r="6721" spans="1:9" s="65" customFormat="1">
      <c r="A6721" s="654"/>
      <c r="B6721" s="177"/>
      <c r="C6721" s="177"/>
      <c r="D6721" s="177"/>
      <c r="E6721" s="177"/>
      <c r="F6721" s="177"/>
      <c r="G6721" s="177"/>
      <c r="H6721" s="177"/>
      <c r="I6721" s="179"/>
    </row>
    <row r="6722" spans="1:9" s="65" customFormat="1">
      <c r="A6722" s="654"/>
      <c r="B6722" s="177"/>
      <c r="C6722" s="177"/>
      <c r="D6722" s="177"/>
      <c r="E6722" s="177"/>
      <c r="F6722" s="177"/>
      <c r="G6722" s="177"/>
      <c r="H6722" s="180"/>
    </row>
    <row r="6723" spans="1:9" s="65" customFormat="1">
      <c r="A6723" s="69"/>
      <c r="B6723" s="69"/>
      <c r="C6723" s="69"/>
      <c r="D6723" s="69"/>
      <c r="E6723" s="69"/>
      <c r="G6723" s="180"/>
      <c r="H6723" s="180"/>
    </row>
    <row r="6724" spans="1:9" s="65" customFormat="1">
      <c r="A6724" s="120"/>
      <c r="B6724" s="73"/>
      <c r="C6724" s="73"/>
      <c r="D6724" s="73"/>
      <c r="E6724" s="73"/>
      <c r="F6724" s="181"/>
      <c r="G6724" s="182"/>
      <c r="H6724" s="182"/>
    </row>
    <row r="6725" spans="1:9" s="65" customFormat="1">
      <c r="A6725" s="183"/>
      <c r="B6725" s="141"/>
      <c r="C6725" s="141"/>
      <c r="D6725" s="141"/>
      <c r="E6725" s="141"/>
      <c r="F6725" s="141"/>
      <c r="G6725" s="194"/>
      <c r="H6725" s="182"/>
    </row>
    <row r="6726" spans="1:9" s="65" customFormat="1">
      <c r="A6726" s="150"/>
      <c r="B6726" s="83"/>
      <c r="C6726" s="148"/>
      <c r="D6726" s="84"/>
      <c r="E6726" s="84"/>
      <c r="F6726" s="84"/>
      <c r="G6726" s="195"/>
      <c r="H6726" s="187"/>
    </row>
    <row r="6727" spans="1:9" s="65" customFormat="1">
      <c r="A6727" s="84"/>
      <c r="B6727" s="83"/>
      <c r="C6727" s="84"/>
      <c r="D6727" s="84"/>
      <c r="E6727" s="84"/>
      <c r="G6727" s="196"/>
      <c r="H6727" s="187"/>
    </row>
    <row r="6728" spans="1:9" s="65" customFormat="1">
      <c r="A6728" s="120"/>
      <c r="B6728" s="73"/>
      <c r="C6728" s="73"/>
      <c r="D6728" s="73"/>
      <c r="E6728" s="73"/>
      <c r="G6728" s="182"/>
      <c r="H6728" s="187"/>
    </row>
    <row r="6729" spans="1:9" s="65" customFormat="1">
      <c r="A6729" s="183"/>
      <c r="B6729" s="141"/>
      <c r="C6729" s="141"/>
      <c r="D6729" s="141"/>
      <c r="E6729" s="141"/>
      <c r="F6729" s="141"/>
      <c r="G6729" s="194"/>
      <c r="H6729" s="187"/>
      <c r="I6729" s="189"/>
    </row>
    <row r="6730" spans="1:9" s="65" customFormat="1">
      <c r="A6730" s="197"/>
      <c r="B6730" s="83"/>
      <c r="C6730" s="148"/>
      <c r="D6730" s="190"/>
      <c r="E6730" s="84"/>
      <c r="F6730" s="84"/>
      <c r="G6730" s="195"/>
      <c r="H6730" s="187"/>
      <c r="I6730" s="189"/>
    </row>
    <row r="6731" spans="1:9" s="65" customFormat="1">
      <c r="A6731" s="150"/>
      <c r="B6731" s="83"/>
      <c r="C6731" s="148"/>
      <c r="D6731" s="84"/>
      <c r="E6731" s="84"/>
      <c r="F6731" s="84"/>
      <c r="G6731" s="195"/>
      <c r="H6731" s="187"/>
    </row>
    <row r="6732" spans="1:9" s="65" customFormat="1">
      <c r="A6732" s="91"/>
      <c r="B6732" s="91"/>
      <c r="C6732" s="91"/>
      <c r="D6732" s="91"/>
      <c r="E6732" s="91"/>
      <c r="G6732" s="196"/>
      <c r="H6732" s="187"/>
    </row>
    <row r="6733" spans="1:9" s="65" customFormat="1">
      <c r="A6733" s="120"/>
      <c r="B6733" s="73"/>
      <c r="C6733" s="73"/>
      <c r="D6733" s="73"/>
      <c r="E6733" s="73"/>
      <c r="G6733" s="182"/>
      <c r="H6733" s="187"/>
    </row>
    <row r="6734" spans="1:9" s="65" customFormat="1">
      <c r="A6734" s="183"/>
      <c r="B6734" s="141"/>
      <c r="C6734" s="141"/>
      <c r="D6734" s="141"/>
      <c r="E6734" s="141"/>
      <c r="F6734" s="141"/>
      <c r="G6734" s="194"/>
      <c r="H6734" s="187"/>
    </row>
    <row r="6735" spans="1:9" s="65" customFormat="1">
      <c r="A6735" s="146"/>
      <c r="B6735" s="83"/>
      <c r="C6735" s="148"/>
      <c r="D6735" s="84"/>
      <c r="E6735" s="84"/>
      <c r="F6735" s="84"/>
      <c r="G6735" s="195"/>
      <c r="H6735" s="187"/>
    </row>
    <row r="6736" spans="1:9" s="65" customFormat="1">
      <c r="A6736" s="91"/>
      <c r="B6736" s="91"/>
      <c r="C6736" s="91"/>
      <c r="D6736" s="91"/>
      <c r="E6736" s="91"/>
      <c r="G6736" s="196"/>
      <c r="H6736" s="187"/>
    </row>
    <row r="6737" spans="1:9" s="65" customFormat="1">
      <c r="A6737" s="120"/>
      <c r="B6737" s="73"/>
      <c r="C6737" s="73"/>
      <c r="D6737" s="73"/>
      <c r="E6737" s="73"/>
      <c r="G6737" s="182"/>
      <c r="H6737" s="187"/>
    </row>
    <row r="6738" spans="1:9" s="65" customFormat="1">
      <c r="A6738" s="183"/>
      <c r="B6738" s="141"/>
      <c r="C6738" s="141"/>
      <c r="D6738" s="141"/>
      <c r="E6738" s="141"/>
      <c r="F6738" s="141"/>
      <c r="G6738" s="194"/>
      <c r="H6738" s="187"/>
    </row>
    <row r="6739" spans="1:9" s="65" customFormat="1">
      <c r="A6739" s="142"/>
      <c r="B6739" s="143"/>
      <c r="C6739" s="143"/>
      <c r="D6739" s="143"/>
      <c r="E6739" s="143"/>
      <c r="F6739" s="84"/>
      <c r="G6739" s="195"/>
      <c r="H6739" s="187"/>
    </row>
    <row r="6740" spans="1:9" s="65" customFormat="1">
      <c r="A6740" s="123"/>
      <c r="B6740" s="95"/>
      <c r="C6740" s="95"/>
      <c r="D6740" s="95"/>
      <c r="E6740" s="95"/>
      <c r="G6740" s="196"/>
      <c r="H6740" s="182"/>
    </row>
    <row r="6741" spans="1:9" s="65" customFormat="1">
      <c r="A6741" s="123"/>
      <c r="B6741" s="95"/>
      <c r="C6741" s="95"/>
      <c r="D6741" s="95"/>
      <c r="E6741" s="95"/>
      <c r="G6741" s="182"/>
      <c r="H6741" s="193"/>
    </row>
    <row r="6742" spans="1:9" s="65" customFormat="1">
      <c r="B6742" s="97"/>
      <c r="C6742" s="98"/>
      <c r="D6742" s="98"/>
      <c r="E6742" s="98"/>
      <c r="G6742" s="192"/>
    </row>
    <row r="6743" spans="1:9" s="65" customFormat="1">
      <c r="H6743" s="156"/>
      <c r="I6743" s="151"/>
    </row>
    <row r="6744" spans="1:9" s="65" customFormat="1">
      <c r="A6744" s="655"/>
      <c r="B6744" s="156"/>
      <c r="C6744" s="156"/>
      <c r="D6744" s="156"/>
      <c r="E6744" s="156"/>
      <c r="F6744" s="156"/>
      <c r="G6744" s="156"/>
      <c r="H6744" s="156"/>
      <c r="I6744" s="152"/>
    </row>
    <row r="6745" spans="1:9" s="65" customFormat="1">
      <c r="A6745" s="645"/>
      <c r="B6745" s="156"/>
      <c r="C6745" s="156"/>
      <c r="D6745" s="156"/>
      <c r="E6745" s="156"/>
      <c r="F6745" s="156"/>
      <c r="G6745" s="156"/>
    </row>
    <row r="6746" spans="1:9" s="65" customFormat="1">
      <c r="A6746" s="69"/>
      <c r="B6746" s="69"/>
      <c r="C6746" s="69"/>
      <c r="D6746" s="69"/>
      <c r="E6746" s="69"/>
    </row>
    <row r="6747" spans="1:9" s="65" customFormat="1">
      <c r="A6747" s="120"/>
      <c r="B6747" s="73"/>
      <c r="C6747" s="73"/>
      <c r="D6747" s="73"/>
      <c r="E6747" s="73"/>
      <c r="F6747" s="121"/>
      <c r="G6747" s="121"/>
      <c r="H6747" s="121"/>
    </row>
    <row r="6748" spans="1:9" s="65" customFormat="1">
      <c r="A6748" s="128"/>
      <c r="B6748" s="141"/>
      <c r="C6748" s="141"/>
      <c r="D6748" s="141"/>
      <c r="E6748" s="141"/>
      <c r="F6748" s="141"/>
      <c r="G6748" s="141"/>
      <c r="H6748" s="121"/>
    </row>
    <row r="6749" spans="1:9" s="65" customFormat="1">
      <c r="A6749" s="174"/>
      <c r="B6749" s="83"/>
      <c r="C6749" s="84"/>
      <c r="D6749" s="84"/>
      <c r="E6749" s="84"/>
      <c r="F6749" s="84"/>
      <c r="G6749" s="84"/>
      <c r="H6749" s="133"/>
    </row>
    <row r="6750" spans="1:9" s="65" customFormat="1">
      <c r="A6750" s="84"/>
      <c r="B6750" s="83"/>
      <c r="C6750" s="84"/>
      <c r="D6750" s="84"/>
      <c r="E6750" s="84"/>
      <c r="G6750" s="104"/>
      <c r="H6750" s="140"/>
    </row>
    <row r="6751" spans="1:9" s="65" customFormat="1">
      <c r="A6751" s="120"/>
      <c r="B6751" s="73"/>
      <c r="C6751" s="73"/>
      <c r="D6751" s="73"/>
      <c r="E6751" s="73"/>
      <c r="G6751" s="121"/>
      <c r="H6751" s="140"/>
    </row>
    <row r="6752" spans="1:9" s="65" customFormat="1">
      <c r="A6752" s="128"/>
      <c r="B6752" s="141"/>
      <c r="C6752" s="141"/>
      <c r="D6752" s="141"/>
      <c r="E6752" s="141"/>
      <c r="F6752" s="141"/>
      <c r="G6752" s="141"/>
      <c r="H6752" s="140"/>
    </row>
    <row r="6753" spans="1:8" s="65" customFormat="1">
      <c r="A6753" s="175"/>
      <c r="B6753" s="83"/>
      <c r="C6753" s="84"/>
      <c r="D6753" s="84"/>
      <c r="E6753" s="84"/>
      <c r="F6753" s="84"/>
      <c r="G6753" s="84"/>
      <c r="H6753" s="140"/>
    </row>
    <row r="6754" spans="1:8" s="65" customFormat="1">
      <c r="A6754" s="175"/>
      <c r="B6754" s="83"/>
      <c r="C6754" s="84"/>
      <c r="D6754" s="84"/>
      <c r="E6754" s="84"/>
      <c r="F6754" s="84"/>
      <c r="G6754" s="84"/>
      <c r="H6754" s="133"/>
    </row>
    <row r="6755" spans="1:8" s="65" customFormat="1">
      <c r="A6755" s="175"/>
      <c r="B6755" s="83"/>
      <c r="C6755" s="84"/>
      <c r="D6755" s="84"/>
      <c r="E6755" s="84"/>
      <c r="F6755" s="84"/>
      <c r="G6755" s="104"/>
      <c r="H6755" s="140"/>
    </row>
    <row r="6756" spans="1:8" s="65" customFormat="1">
      <c r="A6756" s="120"/>
      <c r="B6756" s="73"/>
      <c r="C6756" s="73"/>
      <c r="D6756" s="73"/>
      <c r="E6756" s="73"/>
      <c r="G6756" s="121"/>
      <c r="H6756" s="140"/>
    </row>
    <row r="6757" spans="1:8" s="65" customFormat="1">
      <c r="A6757" s="128"/>
      <c r="B6757" s="141"/>
      <c r="C6757" s="141"/>
      <c r="D6757" s="141"/>
      <c r="E6757" s="141"/>
      <c r="F6757" s="141"/>
      <c r="G6757" s="141"/>
      <c r="H6757" s="140"/>
    </row>
    <row r="6758" spans="1:8" s="65" customFormat="1">
      <c r="A6758" s="174"/>
      <c r="B6758" s="83"/>
      <c r="C6758" s="84"/>
      <c r="D6758" s="84"/>
      <c r="E6758" s="84"/>
      <c r="F6758" s="141"/>
      <c r="G6758" s="84"/>
      <c r="H6758" s="133"/>
    </row>
    <row r="6759" spans="1:8" s="65" customFormat="1">
      <c r="A6759" s="91"/>
      <c r="B6759" s="91"/>
      <c r="C6759" s="91"/>
      <c r="D6759" s="91"/>
      <c r="E6759" s="91"/>
      <c r="G6759" s="104"/>
      <c r="H6759" s="140"/>
    </row>
    <row r="6760" spans="1:8" s="65" customFormat="1">
      <c r="A6760" s="120"/>
      <c r="B6760" s="73"/>
      <c r="C6760" s="73"/>
      <c r="D6760" s="73"/>
      <c r="E6760" s="73"/>
      <c r="G6760" s="121"/>
      <c r="H6760" s="140"/>
    </row>
    <row r="6761" spans="1:8" s="65" customFormat="1">
      <c r="A6761" s="128"/>
      <c r="B6761" s="141"/>
      <c r="C6761" s="141"/>
      <c r="D6761" s="141"/>
      <c r="E6761" s="141"/>
      <c r="F6761" s="141"/>
      <c r="G6761" s="141"/>
      <c r="H6761" s="140"/>
    </row>
    <row r="6762" spans="1:8" s="65" customFormat="1">
      <c r="A6762" s="142"/>
      <c r="B6762" s="143"/>
      <c r="C6762" s="143"/>
      <c r="D6762" s="143"/>
      <c r="E6762" s="143"/>
      <c r="F6762" s="84"/>
      <c r="G6762" s="144"/>
      <c r="H6762" s="133"/>
    </row>
    <row r="6763" spans="1:8" s="65" customFormat="1">
      <c r="A6763" s="123"/>
      <c r="B6763" s="95"/>
      <c r="C6763" s="95"/>
      <c r="D6763" s="95"/>
      <c r="E6763" s="95"/>
      <c r="G6763" s="104"/>
      <c r="H6763" s="121"/>
    </row>
    <row r="6764" spans="1:8" s="65" customFormat="1">
      <c r="A6764" s="123"/>
      <c r="B6764" s="95"/>
      <c r="C6764" s="95"/>
      <c r="D6764" s="95"/>
      <c r="E6764" s="95"/>
      <c r="G6764" s="121"/>
      <c r="H6764" s="133"/>
    </row>
    <row r="6765" spans="1:8" s="65" customFormat="1">
      <c r="B6765" s="97"/>
      <c r="C6765" s="98"/>
      <c r="D6765" s="98"/>
      <c r="E6765" s="98"/>
      <c r="G6765" s="128"/>
    </row>
    <row r="6766" spans="1:8" s="65" customFormat="1">
      <c r="B6766" s="97"/>
      <c r="C6766" s="98"/>
      <c r="D6766" s="98"/>
      <c r="E6766" s="98"/>
      <c r="F6766" s="128"/>
      <c r="G6766" s="133"/>
      <c r="H6766" s="134"/>
    </row>
    <row r="6767" spans="1:8" s="65" customFormat="1">
      <c r="A6767" s="633"/>
      <c r="B6767" s="633"/>
      <c r="C6767" s="633"/>
      <c r="D6767" s="633"/>
      <c r="E6767" s="633"/>
      <c r="F6767" s="633"/>
      <c r="G6767" s="633"/>
    </row>
    <row r="6768" spans="1:8" s="65" customFormat="1"/>
    <row r="6769" s="65" customFormat="1"/>
    <row r="6770" s="65" customFormat="1"/>
    <row r="6771" s="65" customFormat="1"/>
    <row r="6772" s="65" customFormat="1"/>
    <row r="6773" s="65" customFormat="1"/>
    <row r="6774" s="65" customFormat="1"/>
    <row r="6775" s="65" customFormat="1"/>
    <row r="6776" s="65" customFormat="1"/>
    <row r="6777" s="65" customFormat="1"/>
    <row r="6778" s="65" customFormat="1"/>
    <row r="6779" s="65" customFormat="1"/>
    <row r="6780" s="65" customFormat="1"/>
    <row r="6781" s="65" customFormat="1"/>
    <row r="6782" s="65" customFormat="1"/>
    <row r="6783" s="65" customFormat="1"/>
    <row r="6784" s="65" customFormat="1"/>
    <row r="6785" spans="1:9" s="65" customFormat="1"/>
    <row r="6786" spans="1:9" s="65" customFormat="1"/>
    <row r="6787" spans="1:9" s="65" customFormat="1"/>
    <row r="6788" spans="1:9" s="65" customFormat="1"/>
    <row r="6789" spans="1:9" s="65" customFormat="1"/>
    <row r="6790" spans="1:9">
      <c r="A6790" s="65"/>
      <c r="B6790" s="65"/>
      <c r="C6790" s="65"/>
      <c r="D6790" s="65"/>
      <c r="E6790" s="65"/>
      <c r="F6790" s="65"/>
      <c r="G6790" s="65"/>
      <c r="H6790" s="65"/>
      <c r="I6790" s="65"/>
    </row>
    <row r="6791" spans="1:9">
      <c r="A6791" s="65"/>
      <c r="B6791" s="65"/>
      <c r="C6791" s="65"/>
      <c r="D6791" s="65"/>
      <c r="E6791" s="65"/>
      <c r="F6791" s="65"/>
      <c r="G6791" s="65"/>
      <c r="H6791" s="65"/>
      <c r="I6791" s="65"/>
    </row>
    <row r="6792" spans="1:9">
      <c r="A6792" s="65"/>
      <c r="B6792" s="65"/>
      <c r="C6792" s="65"/>
      <c r="D6792" s="65"/>
      <c r="E6792" s="65"/>
      <c r="F6792" s="65"/>
      <c r="G6792" s="65"/>
      <c r="H6792" s="65"/>
      <c r="I6792" s="65"/>
    </row>
    <row r="6793" spans="1:9">
      <c r="A6793" s="65"/>
      <c r="B6793" s="65"/>
      <c r="C6793" s="65"/>
      <c r="D6793" s="65"/>
      <c r="E6793" s="65"/>
      <c r="F6793" s="65"/>
      <c r="G6793" s="65"/>
      <c r="H6793" s="65"/>
      <c r="I6793" s="65"/>
    </row>
    <row r="6794" spans="1:9">
      <c r="A6794" s="65"/>
      <c r="B6794" s="65"/>
      <c r="C6794" s="65"/>
      <c r="D6794" s="65"/>
      <c r="E6794" s="65"/>
      <c r="F6794" s="65"/>
      <c r="G6794" s="65"/>
      <c r="H6794" s="65"/>
      <c r="I6794" s="65"/>
    </row>
    <row r="6795" spans="1:9">
      <c r="A6795" s="65"/>
      <c r="B6795" s="65"/>
      <c r="C6795" s="65"/>
      <c r="D6795" s="65"/>
      <c r="E6795" s="65"/>
      <c r="F6795" s="65"/>
      <c r="G6795" s="65"/>
      <c r="H6795" s="65"/>
      <c r="I6795" s="65"/>
    </row>
    <row r="6796" spans="1:9">
      <c r="A6796" s="65"/>
      <c r="B6796" s="65"/>
      <c r="C6796" s="65"/>
      <c r="D6796" s="65"/>
      <c r="E6796" s="65"/>
      <c r="F6796" s="65"/>
      <c r="G6796" s="65"/>
      <c r="H6796" s="65"/>
      <c r="I6796" s="65"/>
    </row>
    <row r="6797" spans="1:9">
      <c r="A6797" s="65"/>
      <c r="B6797" s="65"/>
      <c r="C6797" s="65"/>
      <c r="D6797" s="65"/>
      <c r="E6797" s="65"/>
      <c r="F6797" s="65"/>
      <c r="G6797" s="65"/>
      <c r="H6797" s="65"/>
      <c r="I6797" s="65"/>
    </row>
    <row r="6798" spans="1:9">
      <c r="A6798" s="65"/>
      <c r="B6798" s="65"/>
      <c r="C6798" s="65"/>
      <c r="D6798" s="65"/>
      <c r="E6798" s="65"/>
      <c r="F6798" s="65"/>
      <c r="G6798" s="65"/>
      <c r="H6798" s="65"/>
      <c r="I6798" s="65"/>
    </row>
    <row r="6799" spans="1:9">
      <c r="A6799" s="65"/>
      <c r="B6799" s="65"/>
      <c r="C6799" s="65"/>
      <c r="D6799" s="65"/>
      <c r="E6799" s="65"/>
      <c r="F6799" s="65"/>
      <c r="G6799" s="65"/>
      <c r="H6799" s="65"/>
      <c r="I6799" s="65"/>
    </row>
    <row r="6800" spans="1:9">
      <c r="A6800" s="65"/>
      <c r="B6800" s="65"/>
      <c r="C6800" s="65"/>
      <c r="D6800" s="65"/>
      <c r="E6800" s="65"/>
      <c r="F6800" s="65"/>
      <c r="G6800" s="65"/>
      <c r="H6800" s="65"/>
      <c r="I6800" s="65"/>
    </row>
    <row r="6801" spans="1:9">
      <c r="A6801" s="65"/>
      <c r="B6801" s="65"/>
      <c r="C6801" s="65"/>
      <c r="D6801" s="65"/>
      <c r="E6801" s="65"/>
      <c r="F6801" s="65"/>
      <c r="G6801" s="65"/>
      <c r="H6801" s="65"/>
      <c r="I6801" s="65"/>
    </row>
    <row r="6802" spans="1:9">
      <c r="A6802" s="65"/>
      <c r="B6802" s="65"/>
      <c r="C6802" s="65"/>
      <c r="D6802" s="65"/>
      <c r="E6802" s="65"/>
      <c r="F6802" s="65"/>
      <c r="G6802" s="65"/>
      <c r="H6802" s="65"/>
      <c r="I6802" s="65"/>
    </row>
    <row r="6803" spans="1:9">
      <c r="A6803" s="65"/>
      <c r="B6803" s="65"/>
      <c r="C6803" s="65"/>
      <c r="D6803" s="65"/>
      <c r="E6803" s="65"/>
      <c r="F6803" s="65"/>
      <c r="G6803" s="65"/>
      <c r="H6803" s="65"/>
      <c r="I6803" s="65"/>
    </row>
    <row r="6804" spans="1:9">
      <c r="A6804" s="65"/>
      <c r="B6804" s="65"/>
      <c r="C6804" s="65"/>
      <c r="D6804" s="65"/>
      <c r="E6804" s="65"/>
      <c r="F6804" s="65"/>
      <c r="G6804" s="65"/>
      <c r="H6804" s="65"/>
      <c r="I6804" s="65"/>
    </row>
    <row r="6805" spans="1:9">
      <c r="A6805" s="65"/>
      <c r="B6805" s="65"/>
      <c r="C6805" s="65"/>
      <c r="D6805" s="65"/>
      <c r="E6805" s="65"/>
      <c r="F6805" s="65"/>
      <c r="G6805" s="65"/>
      <c r="H6805" s="65"/>
      <c r="I6805" s="65"/>
    </row>
    <row r="6806" spans="1:9">
      <c r="A6806" s="65"/>
      <c r="B6806" s="65"/>
      <c r="C6806" s="65"/>
      <c r="D6806" s="65"/>
      <c r="E6806" s="65"/>
      <c r="F6806" s="65"/>
      <c r="G6806" s="65"/>
      <c r="H6806" s="65"/>
      <c r="I6806" s="65"/>
    </row>
    <row r="6807" spans="1:9">
      <c r="A6807" s="65"/>
      <c r="B6807" s="65"/>
      <c r="C6807" s="65"/>
      <c r="D6807" s="65"/>
      <c r="E6807" s="65"/>
      <c r="F6807" s="65"/>
      <c r="G6807" s="65"/>
      <c r="H6807" s="65"/>
      <c r="I6807" s="65"/>
    </row>
    <row r="6808" spans="1:9">
      <c r="A6808" s="65"/>
      <c r="B6808" s="65"/>
      <c r="C6808" s="65"/>
      <c r="D6808" s="65"/>
      <c r="E6808" s="65"/>
      <c r="F6808" s="65"/>
      <c r="G6808" s="65"/>
      <c r="H6808" s="65"/>
      <c r="I6808" s="65"/>
    </row>
    <row r="6809" spans="1:9">
      <c r="A6809" s="65"/>
      <c r="B6809" s="65"/>
      <c r="C6809" s="65"/>
      <c r="D6809" s="65"/>
      <c r="E6809" s="65"/>
      <c r="F6809" s="65"/>
      <c r="G6809" s="65"/>
      <c r="H6809" s="65"/>
      <c r="I6809" s="65"/>
    </row>
    <row r="6810" spans="1:9">
      <c r="A6810" s="65"/>
      <c r="B6810" s="65"/>
      <c r="C6810" s="65"/>
      <c r="D6810" s="65"/>
      <c r="E6810" s="65"/>
      <c r="F6810" s="65"/>
      <c r="G6810" s="65"/>
      <c r="H6810" s="65"/>
      <c r="I6810" s="65"/>
    </row>
    <row r="6811" spans="1:9">
      <c r="A6811" s="65"/>
      <c r="B6811" s="65"/>
      <c r="C6811" s="65"/>
      <c r="D6811" s="65"/>
      <c r="E6811" s="65"/>
      <c r="F6811" s="65"/>
      <c r="G6811" s="65"/>
      <c r="H6811" s="65"/>
      <c r="I6811" s="65"/>
    </row>
    <row r="6812" spans="1:9">
      <c r="A6812" s="65"/>
      <c r="B6812" s="65"/>
      <c r="C6812" s="65"/>
      <c r="D6812" s="65"/>
      <c r="E6812" s="65"/>
      <c r="F6812" s="65"/>
      <c r="G6812" s="65"/>
      <c r="H6812" s="65"/>
      <c r="I6812" s="65"/>
    </row>
    <row r="6813" spans="1:9">
      <c r="A6813" s="65"/>
      <c r="B6813" s="65"/>
      <c r="C6813" s="65"/>
      <c r="D6813" s="65"/>
      <c r="E6813" s="65"/>
      <c r="F6813" s="65"/>
      <c r="G6813" s="65"/>
      <c r="H6813" s="65"/>
      <c r="I6813" s="65"/>
    </row>
    <row r="6814" spans="1:9">
      <c r="A6814" s="65"/>
      <c r="B6814" s="65"/>
      <c r="C6814" s="65"/>
      <c r="D6814" s="65"/>
      <c r="E6814" s="65"/>
      <c r="F6814" s="65"/>
      <c r="G6814" s="65"/>
      <c r="H6814" s="65"/>
      <c r="I6814" s="65"/>
    </row>
    <row r="6815" spans="1:9">
      <c r="A6815" s="65"/>
      <c r="B6815" s="65"/>
      <c r="C6815" s="65"/>
      <c r="D6815" s="65"/>
      <c r="E6815" s="65"/>
      <c r="F6815" s="65"/>
      <c r="G6815" s="65"/>
      <c r="H6815" s="65"/>
      <c r="I6815" s="65"/>
    </row>
    <row r="6816" spans="1:9">
      <c r="A6816" s="65"/>
      <c r="B6816" s="65"/>
      <c r="C6816" s="65"/>
      <c r="D6816" s="65"/>
      <c r="E6816" s="65"/>
      <c r="F6816" s="65"/>
      <c r="G6816" s="65"/>
      <c r="H6816" s="65"/>
      <c r="I6816" s="65"/>
    </row>
    <row r="6817" spans="1:9">
      <c r="A6817" s="65"/>
      <c r="B6817" s="65"/>
      <c r="C6817" s="65"/>
      <c r="D6817" s="65"/>
      <c r="E6817" s="65"/>
      <c r="F6817" s="65"/>
      <c r="G6817" s="65"/>
      <c r="H6817" s="65"/>
      <c r="I6817" s="65"/>
    </row>
    <row r="6818" spans="1:9">
      <c r="A6818" s="65"/>
      <c r="B6818" s="65"/>
      <c r="C6818" s="65"/>
      <c r="D6818" s="65"/>
      <c r="E6818" s="65"/>
      <c r="F6818" s="65"/>
      <c r="G6818" s="65"/>
    </row>
  </sheetData>
  <mergeCells count="633">
    <mergeCell ref="A1:G1"/>
    <mergeCell ref="A2:A3"/>
    <mergeCell ref="B2:H3"/>
    <mergeCell ref="A24:G24"/>
    <mergeCell ref="A27:A28"/>
    <mergeCell ref="B27:H28"/>
    <mergeCell ref="L68:R69"/>
    <mergeCell ref="K115:Q115"/>
    <mergeCell ref="A177:A178"/>
    <mergeCell ref="B177:H178"/>
    <mergeCell ref="A149:G149"/>
    <mergeCell ref="A152:A153"/>
    <mergeCell ref="B152:H153"/>
    <mergeCell ref="A174:G174"/>
    <mergeCell ref="K68:K69"/>
    <mergeCell ref="A77:A78"/>
    <mergeCell ref="B77:H78"/>
    <mergeCell ref="A99:G99"/>
    <mergeCell ref="A377:A378"/>
    <mergeCell ref="B377:H378"/>
    <mergeCell ref="A327:A328"/>
    <mergeCell ref="B327:H328"/>
    <mergeCell ref="A399:G399"/>
    <mergeCell ref="A402:A403"/>
    <mergeCell ref="B402:H403"/>
    <mergeCell ref="A424:G424"/>
    <mergeCell ref="A427:A428"/>
    <mergeCell ref="B427:H428"/>
    <mergeCell ref="A199:G199"/>
    <mergeCell ref="A202:A203"/>
    <mergeCell ref="B202:H203"/>
    <mergeCell ref="A224:G224"/>
    <mergeCell ref="B277:H278"/>
    <mergeCell ref="A349:G349"/>
    <mergeCell ref="A352:A353"/>
    <mergeCell ref="B352:H353"/>
    <mergeCell ref="A374:G374"/>
    <mergeCell ref="A299:G299"/>
    <mergeCell ref="A302:A303"/>
    <mergeCell ref="B302:H303"/>
    <mergeCell ref="A324:G324"/>
    <mergeCell ref="A227:A228"/>
    <mergeCell ref="B227:H228"/>
    <mergeCell ref="A249:G249"/>
    <mergeCell ref="A252:A253"/>
    <mergeCell ref="B252:H253"/>
    <mergeCell ref="A274:G274"/>
    <mergeCell ref="A277:A278"/>
    <mergeCell ref="A678:A679"/>
    <mergeCell ref="B678:H679"/>
    <mergeCell ref="A700:G700"/>
    <mergeCell ref="A703:A704"/>
    <mergeCell ref="B703:H704"/>
    <mergeCell ref="A725:G725"/>
    <mergeCell ref="A449:G449"/>
    <mergeCell ref="A452:A453"/>
    <mergeCell ref="B452:H453"/>
    <mergeCell ref="A474:G474"/>
    <mergeCell ref="A477:A478"/>
    <mergeCell ref="B477:H478"/>
    <mergeCell ref="A650:G650"/>
    <mergeCell ref="A653:A654"/>
    <mergeCell ref="B653:H654"/>
    <mergeCell ref="B528:H529"/>
    <mergeCell ref="A550:G550"/>
    <mergeCell ref="A553:A554"/>
    <mergeCell ref="B553:H554"/>
    <mergeCell ref="A575:G575"/>
    <mergeCell ref="A578:A579"/>
    <mergeCell ref="B578:H579"/>
    <mergeCell ref="A600:G600"/>
    <mergeCell ref="A499:G499"/>
    <mergeCell ref="A502:A503"/>
    <mergeCell ref="B502:H503"/>
    <mergeCell ref="A524:G524"/>
    <mergeCell ref="A675:G675"/>
    <mergeCell ref="A603:A604"/>
    <mergeCell ref="B603:H604"/>
    <mergeCell ref="A625:G625"/>
    <mergeCell ref="A628:A629"/>
    <mergeCell ref="B628:H629"/>
    <mergeCell ref="A528:A529"/>
    <mergeCell ref="B1028:H1029"/>
    <mergeCell ref="A1050:G1050"/>
    <mergeCell ref="A1053:A1054"/>
    <mergeCell ref="B1053:H1054"/>
    <mergeCell ref="A900:G900"/>
    <mergeCell ref="A903:A904"/>
    <mergeCell ref="A875:G875"/>
    <mergeCell ref="A878:A879"/>
    <mergeCell ref="B878:H879"/>
    <mergeCell ref="B903:H904"/>
    <mergeCell ref="A925:G925"/>
    <mergeCell ref="A928:A929"/>
    <mergeCell ref="B928:H929"/>
    <mergeCell ref="A953:A954"/>
    <mergeCell ref="B953:H954"/>
    <mergeCell ref="A1302:G1302"/>
    <mergeCell ref="A1305:A1306"/>
    <mergeCell ref="B1305:H1306"/>
    <mergeCell ref="A1327:G1327"/>
    <mergeCell ref="A1330:A1331"/>
    <mergeCell ref="B1330:H1331"/>
    <mergeCell ref="A853:A854"/>
    <mergeCell ref="B853:H854"/>
    <mergeCell ref="A1075:G1075"/>
    <mergeCell ref="B1080:H1081"/>
    <mergeCell ref="B1105:H1106"/>
    <mergeCell ref="B1130:H1131"/>
    <mergeCell ref="A1152:G1152"/>
    <mergeCell ref="A1130:A1131"/>
    <mergeCell ref="A1155:A1156"/>
    <mergeCell ref="B1155:H1156"/>
    <mergeCell ref="A975:G975"/>
    <mergeCell ref="A978:A979"/>
    <mergeCell ref="B978:H979"/>
    <mergeCell ref="A1000:G1000"/>
    <mergeCell ref="A1003:A1004"/>
    <mergeCell ref="B1003:H1004"/>
    <mergeCell ref="A1025:G1025"/>
    <mergeCell ref="A1028:A1029"/>
    <mergeCell ref="A1601:G1601"/>
    <mergeCell ref="A1603:A1604"/>
    <mergeCell ref="A1625:G1625"/>
    <mergeCell ref="A1504:G1504"/>
    <mergeCell ref="A1506:A1507"/>
    <mergeCell ref="A1528:G1528"/>
    <mergeCell ref="A1530:A1531"/>
    <mergeCell ref="A1552:G1552"/>
    <mergeCell ref="B1603:H1604"/>
    <mergeCell ref="A1699:A1700"/>
    <mergeCell ref="A1721:G1721"/>
    <mergeCell ref="A1723:A1724"/>
    <mergeCell ref="A1745:G1745"/>
    <mergeCell ref="A1747:A1748"/>
    <mergeCell ref="A1769:G1769"/>
    <mergeCell ref="A1627:A1628"/>
    <mergeCell ref="A1649:G1649"/>
    <mergeCell ref="A1651:A1652"/>
    <mergeCell ref="A1673:G1673"/>
    <mergeCell ref="A1675:A1676"/>
    <mergeCell ref="A1697:G1697"/>
    <mergeCell ref="B1627:H1628"/>
    <mergeCell ref="B1651:H1652"/>
    <mergeCell ref="B1675:H1676"/>
    <mergeCell ref="B1699:H1700"/>
    <mergeCell ref="B1723:H1724"/>
    <mergeCell ref="B1747:H1748"/>
    <mergeCell ref="A1849:A1850"/>
    <mergeCell ref="A1873:G1873"/>
    <mergeCell ref="A1875:A1876"/>
    <mergeCell ref="A1897:G1897"/>
    <mergeCell ref="A1899:A1900"/>
    <mergeCell ref="A1921:G1921"/>
    <mergeCell ref="A1771:A1772"/>
    <mergeCell ref="A1795:G1795"/>
    <mergeCell ref="A1797:A1798"/>
    <mergeCell ref="A1821:G1821"/>
    <mergeCell ref="A1823:A1824"/>
    <mergeCell ref="A1847:G1847"/>
    <mergeCell ref="B1771:H1772"/>
    <mergeCell ref="A1793:G1793"/>
    <mergeCell ref="B1797:H1798"/>
    <mergeCell ref="A1819:G1819"/>
    <mergeCell ref="B1823:H1824"/>
    <mergeCell ref="A1845:G1845"/>
    <mergeCell ref="B1849:H1850"/>
    <mergeCell ref="A1871:G1871"/>
    <mergeCell ref="B1875:H1876"/>
    <mergeCell ref="B1899:H1900"/>
    <mergeCell ref="A1923:A1924"/>
    <mergeCell ref="A1945:G1945"/>
    <mergeCell ref="A1947:A1948"/>
    <mergeCell ref="A1969:G1969"/>
    <mergeCell ref="A1971:A1972"/>
    <mergeCell ref="A1993:G1993"/>
    <mergeCell ref="B1923:H1924"/>
    <mergeCell ref="B1947:H1948"/>
    <mergeCell ref="B1971:H1972"/>
    <mergeCell ref="B2187:H2188"/>
    <mergeCell ref="A2209:G2209"/>
    <mergeCell ref="A2211:A2212"/>
    <mergeCell ref="B2211:H2212"/>
    <mergeCell ref="A2233:G2233"/>
    <mergeCell ref="A1995:A1996"/>
    <mergeCell ref="A2017:G2017"/>
    <mergeCell ref="A2019:A2020"/>
    <mergeCell ref="A2041:G2041"/>
    <mergeCell ref="A2043:A2044"/>
    <mergeCell ref="A2065:G2065"/>
    <mergeCell ref="B1995:H1996"/>
    <mergeCell ref="B2019:H2020"/>
    <mergeCell ref="B2043:H2044"/>
    <mergeCell ref="A2091:A2092"/>
    <mergeCell ref="A2113:G2113"/>
    <mergeCell ref="A2115:A2116"/>
    <mergeCell ref="A2137:G2137"/>
    <mergeCell ref="B2067:H2068"/>
    <mergeCell ref="B2091:H2092"/>
    <mergeCell ref="B2115:H2116"/>
    <mergeCell ref="B2139:H2140"/>
    <mergeCell ref="B2163:H2164"/>
    <mergeCell ref="A2336:A2337"/>
    <mergeCell ref="B2336:H2337"/>
    <mergeCell ref="A2358:G2358"/>
    <mergeCell ref="A2361:A2362"/>
    <mergeCell ref="B2361:H2362"/>
    <mergeCell ref="A2383:G2383"/>
    <mergeCell ref="A2386:A2387"/>
    <mergeCell ref="B2386:H2387"/>
    <mergeCell ref="A2308:G2308"/>
    <mergeCell ref="A2311:A2312"/>
    <mergeCell ref="B2311:H2312"/>
    <mergeCell ref="A2482:G2482"/>
    <mergeCell ref="A2484:A2485"/>
    <mergeCell ref="A2506:G2506"/>
    <mergeCell ref="A2508:A2509"/>
    <mergeCell ref="A2530:G2530"/>
    <mergeCell ref="A2458:G2458"/>
    <mergeCell ref="A2408:G2408"/>
    <mergeCell ref="A2411:A2412"/>
    <mergeCell ref="B2411:H2412"/>
    <mergeCell ref="A2433:G2433"/>
    <mergeCell ref="A2436:A2437"/>
    <mergeCell ref="B2436:H2437"/>
    <mergeCell ref="B2460:H2461"/>
    <mergeCell ref="B2484:H2485"/>
    <mergeCell ref="A2460:A2461"/>
    <mergeCell ref="A2604:A2605"/>
    <mergeCell ref="A2626:G2626"/>
    <mergeCell ref="A2628:A2629"/>
    <mergeCell ref="A2650:G2650"/>
    <mergeCell ref="A2652:A2653"/>
    <mergeCell ref="A2674:G2674"/>
    <mergeCell ref="A2532:A2533"/>
    <mergeCell ref="A2554:G2554"/>
    <mergeCell ref="A2556:A2557"/>
    <mergeCell ref="A2578:G2578"/>
    <mergeCell ref="A2580:A2581"/>
    <mergeCell ref="A2602:G2602"/>
    <mergeCell ref="A2751:A2752"/>
    <mergeCell ref="A2776:G2776"/>
    <mergeCell ref="A2778:A2779"/>
    <mergeCell ref="A2800:G2800"/>
    <mergeCell ref="A2802:A2803"/>
    <mergeCell ref="A2829:G2829"/>
    <mergeCell ref="A2676:A2677"/>
    <mergeCell ref="A2698:G2698"/>
    <mergeCell ref="A2700:A2701"/>
    <mergeCell ref="A2725:G2725"/>
    <mergeCell ref="A2727:A2728"/>
    <mergeCell ref="A2749:G2749"/>
    <mergeCell ref="A2914:A2915"/>
    <mergeCell ref="A2939:G2939"/>
    <mergeCell ref="A2941:A2942"/>
    <mergeCell ref="A2966:G2966"/>
    <mergeCell ref="A2968:A2969"/>
    <mergeCell ref="A2995:G2995"/>
    <mergeCell ref="A2831:A2832"/>
    <mergeCell ref="A2858:G2858"/>
    <mergeCell ref="A2860:A2861"/>
    <mergeCell ref="A2884:G2884"/>
    <mergeCell ref="A2886:A2887"/>
    <mergeCell ref="A2912:G2912"/>
    <mergeCell ref="A3082:A3083"/>
    <mergeCell ref="A3107:G3107"/>
    <mergeCell ref="A3109:A3110"/>
    <mergeCell ref="A3133:G3133"/>
    <mergeCell ref="A3135:A3136"/>
    <mergeCell ref="A3161:G3161"/>
    <mergeCell ref="A2997:A2998"/>
    <mergeCell ref="A3025:G3025"/>
    <mergeCell ref="A3027:A3028"/>
    <mergeCell ref="A3054:G3054"/>
    <mergeCell ref="A3056:A3057"/>
    <mergeCell ref="A3080:G3080"/>
    <mergeCell ref="A3249:A3250"/>
    <mergeCell ref="A3276:G3276"/>
    <mergeCell ref="A3278:A3279"/>
    <mergeCell ref="A3305:G3305"/>
    <mergeCell ref="A3307:A3308"/>
    <mergeCell ref="A3332:G3332"/>
    <mergeCell ref="A3163:A3164"/>
    <mergeCell ref="A3191:G3191"/>
    <mergeCell ref="A3193:A3194"/>
    <mergeCell ref="A3217:G3217"/>
    <mergeCell ref="A3219:A3220"/>
    <mergeCell ref="A3247:G3247"/>
    <mergeCell ref="A3424:A3425"/>
    <mergeCell ref="A3447:G3447"/>
    <mergeCell ref="A3449:A3450"/>
    <mergeCell ref="A3472:G3472"/>
    <mergeCell ref="A3474:A3475"/>
    <mergeCell ref="A3505:G3505"/>
    <mergeCell ref="A3334:A3335"/>
    <mergeCell ref="A3359:G3359"/>
    <mergeCell ref="A3361:A3362"/>
    <mergeCell ref="A3387:G3387"/>
    <mergeCell ref="A3389:A3390"/>
    <mergeCell ref="A3422:G3422"/>
    <mergeCell ref="A3608:A3609"/>
    <mergeCell ref="A3633:G3633"/>
    <mergeCell ref="A3635:A3636"/>
    <mergeCell ref="A3659:G3659"/>
    <mergeCell ref="A3661:A3662"/>
    <mergeCell ref="A3685:G3685"/>
    <mergeCell ref="A3507:A3508"/>
    <mergeCell ref="A3538:G3538"/>
    <mergeCell ref="A3540:A3541"/>
    <mergeCell ref="A3571:G3571"/>
    <mergeCell ref="A3573:A3574"/>
    <mergeCell ref="A3606:G3606"/>
    <mergeCell ref="A3766:A3767"/>
    <mergeCell ref="A3797:G3797"/>
    <mergeCell ref="A3799:A3800"/>
    <mergeCell ref="A3826:G3826"/>
    <mergeCell ref="A3828:A3829"/>
    <mergeCell ref="A3861:G3861"/>
    <mergeCell ref="A3687:A3688"/>
    <mergeCell ref="A3710:G3710"/>
    <mergeCell ref="A3712:A3713"/>
    <mergeCell ref="A3736:G3736"/>
    <mergeCell ref="A3738:A3739"/>
    <mergeCell ref="A3764:G3764"/>
    <mergeCell ref="A3943:A3944"/>
    <mergeCell ref="A3965:G3965"/>
    <mergeCell ref="A3967:A3968"/>
    <mergeCell ref="A3989:G3989"/>
    <mergeCell ref="A3991:A3992"/>
    <mergeCell ref="A4013:G4013"/>
    <mergeCell ref="A3863:A3864"/>
    <mergeCell ref="A3885:G3885"/>
    <mergeCell ref="A3887:A3888"/>
    <mergeCell ref="A3916:G3916"/>
    <mergeCell ref="A3918:A3919"/>
    <mergeCell ref="A3941:G3941"/>
    <mergeCell ref="A4096:A4097"/>
    <mergeCell ref="A4121:G4121"/>
    <mergeCell ref="A4123:A4124"/>
    <mergeCell ref="A4147:G4147"/>
    <mergeCell ref="A4149:A4150"/>
    <mergeCell ref="A4173:G4173"/>
    <mergeCell ref="A4015:A4016"/>
    <mergeCell ref="A4046:G4046"/>
    <mergeCell ref="A4048:A4049"/>
    <mergeCell ref="A4070:G4070"/>
    <mergeCell ref="A4072:A4073"/>
    <mergeCell ref="A4094:G4094"/>
    <mergeCell ref="A4254:A4255"/>
    <mergeCell ref="A4278:G4278"/>
    <mergeCell ref="A4280:A4281"/>
    <mergeCell ref="A4303:G4303"/>
    <mergeCell ref="A4305:A4306"/>
    <mergeCell ref="A4334:G4334"/>
    <mergeCell ref="A4175:A4176"/>
    <mergeCell ref="A4199:G4199"/>
    <mergeCell ref="A4201:A4202"/>
    <mergeCell ref="A4225:G4225"/>
    <mergeCell ref="A4227:A4228"/>
    <mergeCell ref="A4252:G4252"/>
    <mergeCell ref="A4421:A4422"/>
    <mergeCell ref="A4445:G4445"/>
    <mergeCell ref="A4447:A4448"/>
    <mergeCell ref="A4469:G4469"/>
    <mergeCell ref="A4471:A4472"/>
    <mergeCell ref="A4496:G4496"/>
    <mergeCell ref="A4336:A4337"/>
    <mergeCell ref="A4363:G4363"/>
    <mergeCell ref="A4365:A4366"/>
    <mergeCell ref="A4392:G4392"/>
    <mergeCell ref="A4394:A4395"/>
    <mergeCell ref="A4419:G4419"/>
    <mergeCell ref="A4577:A4578"/>
    <mergeCell ref="A4602:G4602"/>
    <mergeCell ref="A4604:A4605"/>
    <mergeCell ref="A4631:G4631"/>
    <mergeCell ref="A4633:A4634"/>
    <mergeCell ref="A4660:G4660"/>
    <mergeCell ref="A4498:A4499"/>
    <mergeCell ref="A4523:G4523"/>
    <mergeCell ref="A4525:A4526"/>
    <mergeCell ref="A4548:G4548"/>
    <mergeCell ref="A4550:A4551"/>
    <mergeCell ref="A4575:G4575"/>
    <mergeCell ref="A4739:A4740"/>
    <mergeCell ref="A4761:G4761"/>
    <mergeCell ref="A4763:A4764"/>
    <mergeCell ref="A4785:G4785"/>
    <mergeCell ref="A4787:A4788"/>
    <mergeCell ref="A4809:G4809"/>
    <mergeCell ref="A4662:A4663"/>
    <mergeCell ref="A4689:G4689"/>
    <mergeCell ref="A4691:A4692"/>
    <mergeCell ref="A4713:G4713"/>
    <mergeCell ref="A4715:A4716"/>
    <mergeCell ref="A4737:G4737"/>
    <mergeCell ref="A4883:A4884"/>
    <mergeCell ref="A4905:G4905"/>
    <mergeCell ref="A4907:A4908"/>
    <mergeCell ref="A4929:G4929"/>
    <mergeCell ref="A4931:A4932"/>
    <mergeCell ref="A4953:G4953"/>
    <mergeCell ref="A4811:A4812"/>
    <mergeCell ref="A4833:G4833"/>
    <mergeCell ref="A4835:A4836"/>
    <mergeCell ref="A4857:G4857"/>
    <mergeCell ref="A4859:A4860"/>
    <mergeCell ref="A4881:G4881"/>
    <mergeCell ref="A5027:A5028"/>
    <mergeCell ref="A5049:G5049"/>
    <mergeCell ref="A5051:A5052"/>
    <mergeCell ref="A5073:G5073"/>
    <mergeCell ref="A5075:A5076"/>
    <mergeCell ref="A5097:G5097"/>
    <mergeCell ref="A4955:A4956"/>
    <mergeCell ref="A4977:G4977"/>
    <mergeCell ref="A4979:A4980"/>
    <mergeCell ref="A5001:G5001"/>
    <mergeCell ref="A5003:A5004"/>
    <mergeCell ref="A5025:G5025"/>
    <mergeCell ref="A5171:A5172"/>
    <mergeCell ref="A5193:G5193"/>
    <mergeCell ref="A5195:A5196"/>
    <mergeCell ref="A5217:G5217"/>
    <mergeCell ref="A5219:A5220"/>
    <mergeCell ref="A5241:G5241"/>
    <mergeCell ref="A5099:A5100"/>
    <mergeCell ref="A5121:G5121"/>
    <mergeCell ref="A5123:A5124"/>
    <mergeCell ref="A5145:G5145"/>
    <mergeCell ref="A5147:A5148"/>
    <mergeCell ref="A5169:G5169"/>
    <mergeCell ref="A5315:A5316"/>
    <mergeCell ref="A5337:G5337"/>
    <mergeCell ref="A5339:A5340"/>
    <mergeCell ref="A5361:G5361"/>
    <mergeCell ref="A5363:A5364"/>
    <mergeCell ref="A5385:G5385"/>
    <mergeCell ref="A5243:A5244"/>
    <mergeCell ref="A5265:G5265"/>
    <mergeCell ref="A5267:A5268"/>
    <mergeCell ref="A5289:G5289"/>
    <mergeCell ref="A5291:A5292"/>
    <mergeCell ref="A5313:G5313"/>
    <mergeCell ref="A5459:A5460"/>
    <mergeCell ref="A5481:G5481"/>
    <mergeCell ref="A5483:A5484"/>
    <mergeCell ref="A5505:G5505"/>
    <mergeCell ref="A5507:A5508"/>
    <mergeCell ref="A5529:G5529"/>
    <mergeCell ref="A5387:A5388"/>
    <mergeCell ref="A5409:G5409"/>
    <mergeCell ref="A5411:A5412"/>
    <mergeCell ref="A5433:G5433"/>
    <mergeCell ref="A5435:A5436"/>
    <mergeCell ref="A5457:G5457"/>
    <mergeCell ref="A5603:A5604"/>
    <mergeCell ref="A5625:G5625"/>
    <mergeCell ref="A5627:A5628"/>
    <mergeCell ref="A5649:G5649"/>
    <mergeCell ref="A5651:A5652"/>
    <mergeCell ref="A5673:G5673"/>
    <mergeCell ref="A5531:A5532"/>
    <mergeCell ref="A5553:G5553"/>
    <mergeCell ref="A5555:A5556"/>
    <mergeCell ref="A5577:G5577"/>
    <mergeCell ref="A5579:A5580"/>
    <mergeCell ref="A5601:G5601"/>
    <mergeCell ref="A5747:A5748"/>
    <mergeCell ref="A5769:G5769"/>
    <mergeCell ref="A5771:A5772"/>
    <mergeCell ref="A5793:G5793"/>
    <mergeCell ref="A5795:A5796"/>
    <mergeCell ref="A5817:G5817"/>
    <mergeCell ref="A5675:A5676"/>
    <mergeCell ref="A5697:G5697"/>
    <mergeCell ref="A5699:A5700"/>
    <mergeCell ref="A5721:G5721"/>
    <mergeCell ref="A5723:A5724"/>
    <mergeCell ref="A5745:G5745"/>
    <mergeCell ref="A5891:A5892"/>
    <mergeCell ref="A5913:G5913"/>
    <mergeCell ref="A5915:A5916"/>
    <mergeCell ref="A5937:G5937"/>
    <mergeCell ref="A5939:A5940"/>
    <mergeCell ref="A5961:G5961"/>
    <mergeCell ref="A5819:A5820"/>
    <mergeCell ref="A5841:G5841"/>
    <mergeCell ref="A5843:A5844"/>
    <mergeCell ref="A5865:G5865"/>
    <mergeCell ref="A5867:A5868"/>
    <mergeCell ref="A5889:G5889"/>
    <mergeCell ref="A6035:A6036"/>
    <mergeCell ref="A6057:G6057"/>
    <mergeCell ref="A6059:A6060"/>
    <mergeCell ref="A6081:G6081"/>
    <mergeCell ref="A6083:A6084"/>
    <mergeCell ref="A6108:G6108"/>
    <mergeCell ref="A5963:A5964"/>
    <mergeCell ref="A5985:G5985"/>
    <mergeCell ref="A5987:A5988"/>
    <mergeCell ref="A6009:G6009"/>
    <mergeCell ref="A6011:A6012"/>
    <mergeCell ref="A6033:G6033"/>
    <mergeCell ref="A6189:A6190"/>
    <mergeCell ref="A6213:G6213"/>
    <mergeCell ref="A6215:A6216"/>
    <mergeCell ref="A6241:G6241"/>
    <mergeCell ref="A6243:A6244"/>
    <mergeCell ref="A6269:G6269"/>
    <mergeCell ref="A6110:A6111"/>
    <mergeCell ref="A6135:G6135"/>
    <mergeCell ref="A6137:A6138"/>
    <mergeCell ref="A6161:G6161"/>
    <mergeCell ref="A6163:A6164"/>
    <mergeCell ref="A6187:G6187"/>
    <mergeCell ref="A6398:A6399"/>
    <mergeCell ref="A6421:A6422"/>
    <mergeCell ref="A6445:A6446"/>
    <mergeCell ref="A6467:A6468"/>
    <mergeCell ref="A6271:A6272"/>
    <mergeCell ref="A6294:G6294"/>
    <mergeCell ref="A6296:A6297"/>
    <mergeCell ref="A6318:G6318"/>
    <mergeCell ref="A6320:A6321"/>
    <mergeCell ref="A6349:G6349"/>
    <mergeCell ref="A6767:G6767"/>
    <mergeCell ref="A49:G49"/>
    <mergeCell ref="A52:A53"/>
    <mergeCell ref="B52:H53"/>
    <mergeCell ref="A74:G74"/>
    <mergeCell ref="A102:A103"/>
    <mergeCell ref="B102:H103"/>
    <mergeCell ref="A124:G124"/>
    <mergeCell ref="A127:A128"/>
    <mergeCell ref="B127:H128"/>
    <mergeCell ref="A6629:A6630"/>
    <mergeCell ref="A6652:A6653"/>
    <mergeCell ref="A6675:A6676"/>
    <mergeCell ref="A6698:A6699"/>
    <mergeCell ref="A6721:A6722"/>
    <mergeCell ref="A6744:A6745"/>
    <mergeCell ref="A6489:A6490"/>
    <mergeCell ref="A6511:A6512"/>
    <mergeCell ref="A6535:A6536"/>
    <mergeCell ref="A6557:A6558"/>
    <mergeCell ref="A6579:A6580"/>
    <mergeCell ref="A6604:A6605"/>
    <mergeCell ref="A6351:A6352"/>
    <mergeCell ref="A6376:A6377"/>
    <mergeCell ref="A728:A729"/>
    <mergeCell ref="B728:H729"/>
    <mergeCell ref="A750:G750"/>
    <mergeCell ref="A753:A754"/>
    <mergeCell ref="B753:H754"/>
    <mergeCell ref="A775:G775"/>
    <mergeCell ref="A778:A779"/>
    <mergeCell ref="B778:H779"/>
    <mergeCell ref="A950:G950"/>
    <mergeCell ref="A800:G800"/>
    <mergeCell ref="A803:A804"/>
    <mergeCell ref="B803:H804"/>
    <mergeCell ref="A825:G825"/>
    <mergeCell ref="A828:A829"/>
    <mergeCell ref="B828:H829"/>
    <mergeCell ref="A850:G850"/>
    <mergeCell ref="A1277:G1277"/>
    <mergeCell ref="A1280:A1281"/>
    <mergeCell ref="B1280:H1281"/>
    <mergeCell ref="A1077:G1077"/>
    <mergeCell ref="A1078:G1078"/>
    <mergeCell ref="A1080:A1081"/>
    <mergeCell ref="A1102:G1102"/>
    <mergeCell ref="A1252:G1252"/>
    <mergeCell ref="A1255:A1256"/>
    <mergeCell ref="B1255:H1256"/>
    <mergeCell ref="A1105:A1106"/>
    <mergeCell ref="A1127:G1127"/>
    <mergeCell ref="A1153:A1154"/>
    <mergeCell ref="A1177:G1177"/>
    <mergeCell ref="A1180:A1181"/>
    <mergeCell ref="B1180:H1181"/>
    <mergeCell ref="A1202:G1202"/>
    <mergeCell ref="A1205:A1206"/>
    <mergeCell ref="B1205:H1206"/>
    <mergeCell ref="A1227:G1227"/>
    <mergeCell ref="A1230:A1231"/>
    <mergeCell ref="B1230:H1231"/>
    <mergeCell ref="B1456:H1457"/>
    <mergeCell ref="A1478:G1478"/>
    <mergeCell ref="A1481:A1482"/>
    <mergeCell ref="B1481:H1482"/>
    <mergeCell ref="A1406:A1407"/>
    <mergeCell ref="A1430:G1430"/>
    <mergeCell ref="A1480:G1480"/>
    <mergeCell ref="A1380:A1381"/>
    <mergeCell ref="A1404:G1404"/>
    <mergeCell ref="B1431:H1432"/>
    <mergeCell ref="A1453:G1453"/>
    <mergeCell ref="A1456:A1457"/>
    <mergeCell ref="A1352:G1352"/>
    <mergeCell ref="A1355:A1356"/>
    <mergeCell ref="B1355:H1356"/>
    <mergeCell ref="A1377:G1377"/>
    <mergeCell ref="B1380:H1381"/>
    <mergeCell ref="A1402:G1402"/>
    <mergeCell ref="B1406:H1407"/>
    <mergeCell ref="A1428:G1428"/>
    <mergeCell ref="A1431:A1432"/>
    <mergeCell ref="A1503:G1503"/>
    <mergeCell ref="B1506:H1507"/>
    <mergeCell ref="B1530:H1531"/>
    <mergeCell ref="B1554:H1555"/>
    <mergeCell ref="B1579:H1580"/>
    <mergeCell ref="A1554:A1555"/>
    <mergeCell ref="A1576:G1576"/>
    <mergeCell ref="A1579:A1580"/>
    <mergeCell ref="A2333:G2333"/>
    <mergeCell ref="A2236:A2237"/>
    <mergeCell ref="B2236:H2237"/>
    <mergeCell ref="A2258:G2258"/>
    <mergeCell ref="A2261:A2262"/>
    <mergeCell ref="B2261:H2262"/>
    <mergeCell ref="A2283:G2283"/>
    <mergeCell ref="A2286:A2287"/>
    <mergeCell ref="B2286:H2287"/>
    <mergeCell ref="A2139:A2140"/>
    <mergeCell ref="A2161:G2161"/>
    <mergeCell ref="A2163:A2164"/>
    <mergeCell ref="A2185:G2185"/>
    <mergeCell ref="A2187:A2188"/>
    <mergeCell ref="A2067:A2068"/>
    <mergeCell ref="A2089:G2089"/>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9"/>
  <sheetViews>
    <sheetView topLeftCell="A116" zoomScale="87" zoomScaleNormal="87" zoomScalePageLayoutView="87" workbookViewId="0">
      <selection activeCell="F159" sqref="F159"/>
    </sheetView>
  </sheetViews>
  <sheetFormatPr baseColWidth="10" defaultColWidth="10.85546875" defaultRowHeight="15" customHeight="1"/>
  <cols>
    <col min="1" max="1" width="39.28515625" style="4" bestFit="1" customWidth="1"/>
    <col min="2" max="2" width="17.28515625" style="4" customWidth="1"/>
    <col min="3" max="4" width="14" style="4" customWidth="1"/>
    <col min="5" max="5" width="10.85546875" style="4"/>
    <col min="6" max="6" width="13" style="4" customWidth="1"/>
    <col min="7" max="8" width="10.85546875" style="4"/>
    <col min="9" max="9" width="12.7109375" style="4" customWidth="1"/>
    <col min="10" max="16384" width="10.85546875" style="4"/>
  </cols>
  <sheetData>
    <row r="1" spans="1:5" ht="15" customHeight="1">
      <c r="A1" s="5" t="s">
        <v>217</v>
      </c>
    </row>
    <row r="2" spans="1:5" ht="15" customHeight="1">
      <c r="A2" s="5"/>
    </row>
    <row r="3" spans="1:5" ht="15" customHeight="1">
      <c r="A3" s="5" t="s">
        <v>218</v>
      </c>
    </row>
    <row r="4" spans="1:5" ht="15" customHeight="1">
      <c r="A4" s="10" t="s">
        <v>273</v>
      </c>
      <c r="B4" s="11" t="s">
        <v>265</v>
      </c>
      <c r="C4" s="11" t="s">
        <v>263</v>
      </c>
      <c r="D4" s="35"/>
      <c r="E4" s="11" t="s">
        <v>264</v>
      </c>
    </row>
    <row r="5" spans="1:5" ht="15" customHeight="1">
      <c r="A5" s="6" t="s">
        <v>219</v>
      </c>
      <c r="B5" s="7">
        <v>433.97199999999998</v>
      </c>
      <c r="C5" s="7">
        <v>0.3</v>
      </c>
      <c r="D5" s="7"/>
      <c r="E5" s="7">
        <f>B5*C5</f>
        <v>130.19159999999999</v>
      </c>
    </row>
    <row r="6" spans="1:5" ht="15" customHeight="1">
      <c r="A6" s="6" t="s">
        <v>220</v>
      </c>
      <c r="B6" s="7">
        <v>3862.9</v>
      </c>
      <c r="C6" s="7">
        <v>0.3</v>
      </c>
      <c r="D6" s="7"/>
      <c r="E6" s="7">
        <f t="shared" ref="E6:E11" si="0">B6*C6</f>
        <v>1158.8699999999999</v>
      </c>
    </row>
    <row r="7" spans="1:5" ht="15" customHeight="1">
      <c r="A7" s="6" t="s">
        <v>221</v>
      </c>
      <c r="B7" s="7">
        <v>66.999999999999986</v>
      </c>
      <c r="C7" s="7">
        <v>0.3</v>
      </c>
      <c r="D7" s="7"/>
      <c r="E7" s="7">
        <f t="shared" si="0"/>
        <v>20.099999999999994</v>
      </c>
    </row>
    <row r="8" spans="1:5" ht="15" customHeight="1">
      <c r="A8" s="6" t="s">
        <v>232</v>
      </c>
      <c r="B8" s="7">
        <f>792/2</f>
        <v>396</v>
      </c>
      <c r="C8" s="7">
        <v>0.3</v>
      </c>
      <c r="D8" s="7"/>
      <c r="E8" s="7">
        <f t="shared" si="0"/>
        <v>118.8</v>
      </c>
    </row>
    <row r="9" spans="1:5" ht="15" customHeight="1">
      <c r="A9" s="6" t="s">
        <v>231</v>
      </c>
      <c r="B9" s="7">
        <v>357</v>
      </c>
      <c r="C9" s="7">
        <v>0.3</v>
      </c>
      <c r="D9" s="7"/>
      <c r="E9" s="7">
        <f t="shared" si="0"/>
        <v>107.1</v>
      </c>
    </row>
    <row r="10" spans="1:5" ht="15" customHeight="1">
      <c r="A10" s="6" t="s">
        <v>227</v>
      </c>
      <c r="B10" s="7">
        <v>121.6</v>
      </c>
      <c r="C10" s="7">
        <v>0.3</v>
      </c>
      <c r="D10" s="7"/>
      <c r="E10" s="7">
        <f t="shared" si="0"/>
        <v>36.479999999999997</v>
      </c>
    </row>
    <row r="11" spans="1:5" ht="15" customHeight="1">
      <c r="A11" s="6" t="s">
        <v>246</v>
      </c>
      <c r="B11" s="7">
        <v>16211</v>
      </c>
      <c r="C11" s="7">
        <v>0.3</v>
      </c>
      <c r="D11" s="7"/>
      <c r="E11" s="7">
        <f t="shared" si="0"/>
        <v>4863.3</v>
      </c>
    </row>
    <row r="12" spans="1:5" ht="15" customHeight="1">
      <c r="A12" s="704" t="s">
        <v>222</v>
      </c>
      <c r="B12" s="704"/>
      <c r="C12" s="704"/>
      <c r="D12" s="36"/>
      <c r="E12" s="12">
        <f>SUM(E5:E11)</f>
        <v>6434.8415999999997</v>
      </c>
    </row>
    <row r="14" spans="1:5" ht="15" customHeight="1">
      <c r="A14" s="5" t="s">
        <v>223</v>
      </c>
    </row>
    <row r="15" spans="1:5" ht="15" customHeight="1">
      <c r="A15" s="13" t="s">
        <v>273</v>
      </c>
      <c r="B15" s="14" t="s">
        <v>265</v>
      </c>
    </row>
    <row r="16" spans="1:5" ht="15" customHeight="1">
      <c r="A16" s="6" t="s">
        <v>230</v>
      </c>
      <c r="B16" s="7">
        <f>434+67</f>
        <v>501</v>
      </c>
    </row>
    <row r="17" spans="1:5" ht="15" customHeight="1">
      <c r="A17" s="6" t="s">
        <v>225</v>
      </c>
      <c r="B17" s="7">
        <v>3862.9</v>
      </c>
    </row>
    <row r="18" spans="1:5" ht="15" customHeight="1">
      <c r="A18" s="6" t="s">
        <v>221</v>
      </c>
      <c r="B18" s="7">
        <v>67</v>
      </c>
    </row>
    <row r="19" spans="1:5" ht="15" customHeight="1">
      <c r="A19" s="250" t="s">
        <v>1219</v>
      </c>
      <c r="B19" s="7">
        <v>396</v>
      </c>
    </row>
    <row r="20" spans="1:5" ht="15" customHeight="1">
      <c r="A20" s="6" t="s">
        <v>226</v>
      </c>
      <c r="B20" s="7">
        <v>357</v>
      </c>
    </row>
    <row r="21" spans="1:5" ht="15" customHeight="1">
      <c r="A21" s="6" t="s">
        <v>227</v>
      </c>
      <c r="B21" s="7">
        <v>121.61</v>
      </c>
    </row>
    <row r="22" spans="1:5" ht="15" customHeight="1">
      <c r="A22" s="6" t="s">
        <v>246</v>
      </c>
      <c r="B22" s="7">
        <v>16211</v>
      </c>
    </row>
    <row r="23" spans="1:5" ht="35.25" customHeight="1">
      <c r="A23" s="15" t="s">
        <v>228</v>
      </c>
      <c r="B23" s="16">
        <f>SUM(B16:B22)</f>
        <v>21516.51</v>
      </c>
    </row>
    <row r="25" spans="1:5" ht="34.5" customHeight="1">
      <c r="A25" s="53" t="s">
        <v>229</v>
      </c>
      <c r="B25" s="32">
        <f>4.27+4.2+14.67+11.37+4.63+4.08+5.5+26.44+11.2+56.66+9.97+28.25+19.14+19.14+14.95+3.22+30.82+3.89+3.89+3.89+5.38+9.4+15.35+0.82+0.82+15.4+12.7+0.67+4.89+6.91+10.93+10.93+4.89+6.91+10.93+10.93+57.45+5.48+5.48+17.69+12.14+18.52+20.47+45.88+11.75+2.8+4.69+11.04+17.69+18.52+18.52+4.99+4.99+11.75+10.15+18.82+18.82+15.58+8.01+8.01+11.27+11.04+45.88+11.75+18.52+16.23+12.14+2.8+16.15+3.66+4.32+46.61+20.47+33.14+31.5+27.77+10.3+6.89+7.87+17.31+2.74+9.37+9.37+8.87+2.74+17.31+6.89+10.3+28.91+59.55+8.98+1.55+3.52+2.06+3.41+1.54+3.41+1.09+54.93+13.46+44.8+5.28+6.59+0.63+20.17+24.71+19.15+6.57+30.9+8.37+5.58+11.05+34.33+15.97+16.2+5.84+15.62+26.98+59.17+44.76+41.61+64.28+106.6+70.69+5.63+57.07+39.81+5.8+5.9+7.76+9.81+8.33+24.17+1.74+51.81+26.21+31.7+11.66+10+15</f>
        <v>2381.1499999999992</v>
      </c>
    </row>
    <row r="28" spans="1:5" ht="22.5" customHeight="1" thickBot="1">
      <c r="A28" s="708" t="s">
        <v>253</v>
      </c>
      <c r="B28" s="708"/>
      <c r="C28" s="708"/>
      <c r="D28" s="708"/>
      <c r="E28" s="708"/>
    </row>
    <row r="29" spans="1:5" ht="15" customHeight="1" thickTop="1">
      <c r="A29" s="5" t="s">
        <v>252</v>
      </c>
      <c r="B29" s="5"/>
      <c r="C29" s="5"/>
      <c r="D29" s="5"/>
      <c r="E29" s="5"/>
    </row>
    <row r="30" spans="1:5" ht="15" customHeight="1">
      <c r="A30" s="5" t="s">
        <v>279</v>
      </c>
      <c r="B30" s="5"/>
      <c r="C30" s="5"/>
      <c r="D30" s="5"/>
      <c r="E30" s="5"/>
    </row>
    <row r="31" spans="1:5" ht="15" customHeight="1">
      <c r="A31" s="34" t="s">
        <v>273</v>
      </c>
      <c r="B31" s="35" t="s">
        <v>332</v>
      </c>
      <c r="C31" s="35" t="s">
        <v>249</v>
      </c>
      <c r="D31" s="35" t="s">
        <v>333</v>
      </c>
      <c r="E31" s="35" t="s">
        <v>268</v>
      </c>
    </row>
    <row r="32" spans="1:5" ht="15" customHeight="1">
      <c r="A32" s="6" t="s">
        <v>224</v>
      </c>
      <c r="B32" s="26">
        <v>15.4</v>
      </c>
      <c r="C32" s="26">
        <v>28.18</v>
      </c>
      <c r="D32" s="26">
        <v>2.83</v>
      </c>
      <c r="E32" s="22">
        <f>B32*C32*D32</f>
        <v>1228.14076</v>
      </c>
    </row>
    <row r="33" spans="1:10" ht="15" customHeight="1">
      <c r="A33" s="6" t="s">
        <v>221</v>
      </c>
      <c r="B33" s="26">
        <v>7</v>
      </c>
      <c r="C33" s="26">
        <v>9.1999999999999993</v>
      </c>
      <c r="D33" s="26">
        <v>5.73</v>
      </c>
      <c r="E33" s="22">
        <f>B33*C33*D33</f>
        <v>369.012</v>
      </c>
    </row>
    <row r="34" spans="1:10" ht="15" customHeight="1">
      <c r="A34" s="6" t="s">
        <v>232</v>
      </c>
      <c r="B34" s="26">
        <v>33</v>
      </c>
      <c r="C34" s="26">
        <v>24</v>
      </c>
      <c r="D34" s="26">
        <v>2.5</v>
      </c>
      <c r="E34" s="7">
        <f>B34*C34*D34</f>
        <v>1980</v>
      </c>
    </row>
    <row r="35" spans="1:10" ht="15" customHeight="1">
      <c r="A35" s="6" t="s">
        <v>238</v>
      </c>
      <c r="B35" s="44">
        <v>7</v>
      </c>
      <c r="C35" s="44">
        <v>51</v>
      </c>
      <c r="D35" s="44">
        <v>3.4</v>
      </c>
      <c r="E35" s="7">
        <f>B35*C35*D35</f>
        <v>1213.8</v>
      </c>
      <c r="G35" s="42"/>
      <c r="H35" s="42"/>
    </row>
    <row r="36" spans="1:10" ht="15" customHeight="1">
      <c r="A36" s="45" t="s">
        <v>334</v>
      </c>
      <c r="B36" s="44">
        <v>6</v>
      </c>
      <c r="C36" s="44">
        <v>4.2</v>
      </c>
      <c r="D36" s="44">
        <v>2.5</v>
      </c>
      <c r="E36" s="7">
        <f>B36*C36*D36</f>
        <v>63.000000000000007</v>
      </c>
      <c r="G36" s="42"/>
      <c r="H36" s="42"/>
      <c r="I36" s="42"/>
    </row>
    <row r="37" spans="1:10" ht="15" customHeight="1">
      <c r="G37" s="18"/>
      <c r="H37" s="18"/>
      <c r="I37" s="18"/>
      <c r="J37" s="18"/>
    </row>
    <row r="40" spans="1:10" ht="15" customHeight="1">
      <c r="A40" s="8" t="s">
        <v>276</v>
      </c>
    </row>
    <row r="41" spans="1:10" ht="15" customHeight="1">
      <c r="A41" s="11" t="s">
        <v>273</v>
      </c>
      <c r="B41" s="11" t="s">
        <v>267</v>
      </c>
      <c r="C41" s="11" t="s">
        <v>272</v>
      </c>
      <c r="D41" s="35" t="s">
        <v>335</v>
      </c>
      <c r="E41" s="11" t="s">
        <v>268</v>
      </c>
    </row>
    <row r="42" spans="1:10" ht="15" customHeight="1">
      <c r="A42" s="6" t="s">
        <v>237</v>
      </c>
      <c r="B42" s="26">
        <v>15.4</v>
      </c>
      <c r="C42" s="26">
        <v>28.18</v>
      </c>
      <c r="D42" s="7">
        <v>0.3</v>
      </c>
      <c r="E42" s="7">
        <f>B42*C42*D42</f>
        <v>130.19159999999999</v>
      </c>
    </row>
    <row r="43" spans="1:10" ht="15" customHeight="1">
      <c r="A43" s="6" t="s">
        <v>221</v>
      </c>
      <c r="B43" s="26">
        <v>7</v>
      </c>
      <c r="C43" s="26">
        <v>9.1999999999999993</v>
      </c>
      <c r="D43" s="7">
        <v>0.3</v>
      </c>
      <c r="E43" s="7">
        <f t="shared" ref="E43" si="1">B43*C43*D43</f>
        <v>19.319999999999997</v>
      </c>
    </row>
    <row r="44" spans="1:10" ht="15" customHeight="1">
      <c r="A44" s="6" t="s">
        <v>232</v>
      </c>
      <c r="B44" s="26">
        <v>33</v>
      </c>
      <c r="C44" s="26">
        <v>24</v>
      </c>
      <c r="D44" s="7">
        <v>0.3</v>
      </c>
      <c r="E44" s="7">
        <f>B44*C44*D44</f>
        <v>237.6</v>
      </c>
    </row>
    <row r="45" spans="1:10" ht="15" customHeight="1">
      <c r="A45" s="10" t="s">
        <v>273</v>
      </c>
      <c r="B45" s="21" t="s">
        <v>266</v>
      </c>
      <c r="C45" s="21" t="s">
        <v>269</v>
      </c>
      <c r="D45" s="40" t="s">
        <v>335</v>
      </c>
      <c r="E45" s="21" t="s">
        <v>268</v>
      </c>
    </row>
    <row r="46" spans="1:10" ht="15" customHeight="1">
      <c r="A46" s="6" t="s">
        <v>238</v>
      </c>
      <c r="B46" s="44">
        <v>7</v>
      </c>
      <c r="C46" s="44">
        <v>51</v>
      </c>
      <c r="D46" s="7">
        <v>0.3</v>
      </c>
      <c r="E46" s="7">
        <f>B46*C46*D46</f>
        <v>107.1</v>
      </c>
    </row>
    <row r="47" spans="1:10" ht="15" customHeight="1">
      <c r="A47" s="19"/>
      <c r="B47" s="20"/>
      <c r="C47" s="20"/>
      <c r="D47" s="20"/>
      <c r="E47" s="20"/>
    </row>
    <row r="48" spans="1:10" ht="15" customHeight="1">
      <c r="A48" s="5" t="s">
        <v>241</v>
      </c>
    </row>
    <row r="49" spans="1:7" ht="15" customHeight="1">
      <c r="A49" s="14" t="s">
        <v>273</v>
      </c>
      <c r="B49" s="14" t="s">
        <v>271</v>
      </c>
      <c r="C49" s="14" t="s">
        <v>272</v>
      </c>
      <c r="D49" s="36"/>
      <c r="E49" s="14" t="s">
        <v>265</v>
      </c>
    </row>
    <row r="50" spans="1:7" ht="15" customHeight="1">
      <c r="A50" s="6" t="s">
        <v>224</v>
      </c>
      <c r="B50" s="26">
        <v>15.4</v>
      </c>
      <c r="C50" s="26">
        <v>28.18</v>
      </c>
      <c r="D50" s="22"/>
      <c r="E50" s="7">
        <f>B50*C50+2.6</f>
        <v>436.572</v>
      </c>
    </row>
    <row r="51" spans="1:7" ht="15" customHeight="1">
      <c r="A51" s="6" t="s">
        <v>221</v>
      </c>
      <c r="B51" s="26">
        <v>7</v>
      </c>
      <c r="C51" s="26">
        <v>9.1999999999999993</v>
      </c>
      <c r="D51" s="22"/>
      <c r="E51" s="7">
        <f>B51*C51+2.6</f>
        <v>66.999999999999986</v>
      </c>
    </row>
    <row r="52" spans="1:7" ht="15" customHeight="1">
      <c r="A52" s="6" t="s">
        <v>232</v>
      </c>
      <c r="B52" s="26">
        <v>33</v>
      </c>
      <c r="C52" s="26">
        <v>24</v>
      </c>
      <c r="D52" s="22"/>
      <c r="E52" s="7">
        <f>B52*C52+2.6</f>
        <v>794.6</v>
      </c>
    </row>
    <row r="53" spans="1:7" ht="15" customHeight="1">
      <c r="A53" s="6" t="s">
        <v>238</v>
      </c>
      <c r="B53" s="44">
        <v>7</v>
      </c>
      <c r="C53" s="44">
        <v>51</v>
      </c>
      <c r="D53" s="22"/>
      <c r="E53" s="7">
        <f>B53*C53+2.6</f>
        <v>359.6</v>
      </c>
    </row>
    <row r="54" spans="1:7" ht="15" customHeight="1">
      <c r="A54" s="6"/>
      <c r="B54" s="44"/>
      <c r="C54" s="44"/>
      <c r="D54" s="22"/>
      <c r="E54" s="7"/>
    </row>
    <row r="55" spans="1:7" ht="15" customHeight="1">
      <c r="A55" s="6"/>
      <c r="B55" s="22"/>
      <c r="C55" s="22"/>
      <c r="D55" s="22"/>
      <c r="E55" s="7"/>
    </row>
    <row r="56" spans="1:7" ht="15" customHeight="1">
      <c r="A56" s="705" t="s">
        <v>250</v>
      </c>
      <c r="B56" s="706"/>
      <c r="C56" s="707"/>
      <c r="D56" s="37"/>
      <c r="E56" s="12">
        <f>SUM(E50:E55)</f>
        <v>1657.7719999999999</v>
      </c>
    </row>
    <row r="58" spans="1:7" ht="15" customHeight="1">
      <c r="A58" s="5" t="s">
        <v>69</v>
      </c>
    </row>
    <row r="59" spans="1:7" ht="15" customHeight="1">
      <c r="G59" s="18"/>
    </row>
    <row r="60" spans="1:7" ht="15" customHeight="1">
      <c r="A60" s="14" t="s">
        <v>273</v>
      </c>
      <c r="B60" s="14" t="s">
        <v>271</v>
      </c>
      <c r="C60" s="14" t="s">
        <v>272</v>
      </c>
      <c r="D60" s="36"/>
      <c r="E60" s="14" t="s">
        <v>265</v>
      </c>
    </row>
    <row r="61" spans="1:7" ht="15" customHeight="1">
      <c r="A61" s="6" t="s">
        <v>237</v>
      </c>
      <c r="B61" s="26">
        <v>15.4</v>
      </c>
      <c r="C61" s="26">
        <v>28.18</v>
      </c>
      <c r="D61" s="6"/>
      <c r="E61" s="7">
        <f>B61*C61</f>
        <v>433.97199999999998</v>
      </c>
    </row>
    <row r="62" spans="1:7" ht="15" customHeight="1">
      <c r="A62" s="6" t="s">
        <v>221</v>
      </c>
      <c r="B62" s="26">
        <v>7</v>
      </c>
      <c r="C62" s="26">
        <v>9.1999999999999993</v>
      </c>
      <c r="D62" s="6"/>
      <c r="E62" s="7">
        <f t="shared" ref="E62:E63" si="2">B62*C62</f>
        <v>64.399999999999991</v>
      </c>
    </row>
    <row r="63" spans="1:7" ht="15" customHeight="1">
      <c r="A63" s="6" t="s">
        <v>232</v>
      </c>
      <c r="B63" s="26">
        <v>33</v>
      </c>
      <c r="C63" s="26">
        <v>24</v>
      </c>
      <c r="D63" s="6"/>
      <c r="E63" s="7">
        <f t="shared" si="2"/>
        <v>792</v>
      </c>
    </row>
    <row r="64" spans="1:7" ht="15" customHeight="1">
      <c r="A64" s="6" t="s">
        <v>231</v>
      </c>
      <c r="B64" s="44">
        <v>7</v>
      </c>
      <c r="C64" s="44">
        <v>51</v>
      </c>
      <c r="D64" s="6"/>
      <c r="E64" s="7">
        <f>B64*C64</f>
        <v>357</v>
      </c>
    </row>
    <row r="65" spans="1:8" ht="15" customHeight="1">
      <c r="A65" s="705" t="s">
        <v>251</v>
      </c>
      <c r="B65" s="706"/>
      <c r="C65" s="707"/>
      <c r="D65" s="37"/>
      <c r="E65" s="12">
        <f>SUM(E61:E64)</f>
        <v>1647.3719999999998</v>
      </c>
    </row>
    <row r="67" spans="1:8" ht="15" customHeight="1">
      <c r="A67" s="5" t="s">
        <v>50</v>
      </c>
    </row>
    <row r="68" spans="1:8" ht="35.25" customHeight="1">
      <c r="A68" s="10" t="s">
        <v>273</v>
      </c>
      <c r="B68" s="11" t="s">
        <v>267</v>
      </c>
      <c r="C68" s="11" t="s">
        <v>272</v>
      </c>
      <c r="D68" s="35" t="s">
        <v>336</v>
      </c>
      <c r="E68" s="11" t="s">
        <v>264</v>
      </c>
    </row>
    <row r="69" spans="1:8" ht="15" customHeight="1">
      <c r="A69" s="6" t="s">
        <v>237</v>
      </c>
      <c r="B69" s="26">
        <v>15.4</v>
      </c>
      <c r="C69" s="26">
        <v>28.18</v>
      </c>
      <c r="D69" s="9">
        <v>0.05</v>
      </c>
      <c r="E69" s="7">
        <f>B69*C69*D69</f>
        <v>21.698599999999999</v>
      </c>
    </row>
    <row r="70" spans="1:8" ht="15" customHeight="1">
      <c r="A70" s="6" t="s">
        <v>221</v>
      </c>
      <c r="B70" s="26">
        <v>7</v>
      </c>
      <c r="C70" s="26">
        <v>9.1999999999999993</v>
      </c>
      <c r="D70" s="9">
        <v>0.05</v>
      </c>
      <c r="E70" s="7">
        <f t="shared" ref="E70:E72" si="3">B70*C70*D70</f>
        <v>3.2199999999999998</v>
      </c>
    </row>
    <row r="71" spans="1:8" ht="15" customHeight="1">
      <c r="A71" s="6" t="s">
        <v>232</v>
      </c>
      <c r="B71" s="26">
        <v>33</v>
      </c>
      <c r="C71" s="26">
        <v>24</v>
      </c>
      <c r="D71" s="9">
        <v>0.05</v>
      </c>
      <c r="E71" s="7">
        <f t="shared" si="3"/>
        <v>39.6</v>
      </c>
      <c r="H71" s="18"/>
    </row>
    <row r="72" spans="1:8" ht="15" customHeight="1">
      <c r="A72" s="6" t="s">
        <v>238</v>
      </c>
      <c r="B72" s="44">
        <v>7</v>
      </c>
      <c r="C72" s="44">
        <v>51</v>
      </c>
      <c r="D72" s="9">
        <v>0.05</v>
      </c>
      <c r="E72" s="7">
        <f t="shared" si="3"/>
        <v>17.850000000000001</v>
      </c>
    </row>
    <row r="73" spans="1:8" ht="15" customHeight="1">
      <c r="A73" s="705" t="s">
        <v>254</v>
      </c>
      <c r="B73" s="706"/>
      <c r="C73" s="707"/>
      <c r="D73" s="37"/>
      <c r="E73" s="12"/>
    </row>
    <row r="75" spans="1:8" ht="32.25" customHeight="1">
      <c r="A75" s="717" t="s">
        <v>255</v>
      </c>
      <c r="B75" s="717"/>
      <c r="C75" s="717"/>
      <c r="D75" s="717"/>
      <c r="E75" s="717"/>
    </row>
    <row r="76" spans="1:8" ht="15" customHeight="1">
      <c r="A76" s="10" t="s">
        <v>273</v>
      </c>
      <c r="B76" s="40" t="s">
        <v>267</v>
      </c>
      <c r="C76" s="40" t="s">
        <v>272</v>
      </c>
      <c r="D76" s="35" t="s">
        <v>269</v>
      </c>
      <c r="E76" s="11" t="s">
        <v>264</v>
      </c>
    </row>
    <row r="77" spans="1:8" ht="15" customHeight="1">
      <c r="A77" s="6" t="s">
        <v>237</v>
      </c>
      <c r="B77" s="48">
        <v>15.4</v>
      </c>
      <c r="C77" s="48">
        <v>28.18</v>
      </c>
      <c r="D77" s="9">
        <v>0.3</v>
      </c>
      <c r="E77" s="7">
        <f>B77*C77*D77</f>
        <v>130.19159999999999</v>
      </c>
    </row>
    <row r="78" spans="1:8" ht="15" customHeight="1">
      <c r="A78" s="6" t="s">
        <v>221</v>
      </c>
      <c r="B78" s="48">
        <v>7</v>
      </c>
      <c r="C78" s="48">
        <v>9.1999999999999993</v>
      </c>
      <c r="D78" s="9">
        <v>0.3</v>
      </c>
      <c r="E78" s="7">
        <f t="shared" ref="E78:E80" si="4">B78*C78*D78</f>
        <v>19.319999999999997</v>
      </c>
    </row>
    <row r="79" spans="1:8" ht="15" customHeight="1">
      <c r="A79" s="6" t="s">
        <v>232</v>
      </c>
      <c r="B79" s="48">
        <v>33</v>
      </c>
      <c r="C79" s="48">
        <v>24</v>
      </c>
      <c r="D79" s="9">
        <v>0.4</v>
      </c>
      <c r="E79" s="7">
        <f>B79*C79*D79</f>
        <v>316.8</v>
      </c>
    </row>
    <row r="80" spans="1:8" ht="15" customHeight="1">
      <c r="A80" s="6" t="s">
        <v>238</v>
      </c>
      <c r="B80" s="49">
        <v>7</v>
      </c>
      <c r="C80" s="49">
        <v>51</v>
      </c>
      <c r="D80" s="9">
        <v>0.2</v>
      </c>
      <c r="E80" s="7">
        <f t="shared" si="4"/>
        <v>71.400000000000006</v>
      </c>
    </row>
    <row r="81" spans="1:5" ht="15" customHeight="1">
      <c r="A81" s="705" t="s">
        <v>254</v>
      </c>
      <c r="B81" s="706"/>
      <c r="C81" s="707"/>
      <c r="D81" s="41"/>
      <c r="E81" s="12"/>
    </row>
    <row r="83" spans="1:5" ht="30" customHeight="1">
      <c r="A83" s="717" t="s">
        <v>256</v>
      </c>
      <c r="B83" s="717"/>
      <c r="C83" s="717"/>
      <c r="D83" s="717"/>
      <c r="E83" s="717"/>
    </row>
    <row r="84" spans="1:5" ht="34.5">
      <c r="A84" s="10" t="s">
        <v>273</v>
      </c>
      <c r="B84" s="11" t="s">
        <v>270</v>
      </c>
      <c r="C84" s="11" t="s">
        <v>272</v>
      </c>
      <c r="D84" s="35" t="s">
        <v>269</v>
      </c>
      <c r="E84" s="11" t="s">
        <v>264</v>
      </c>
    </row>
    <row r="85" spans="1:5" ht="15" customHeight="1">
      <c r="A85" s="715" t="s">
        <v>258</v>
      </c>
      <c r="B85" s="7">
        <v>2.41</v>
      </c>
      <c r="C85" s="9">
        <v>11.3</v>
      </c>
      <c r="D85" s="9">
        <v>0.3</v>
      </c>
      <c r="E85" s="7">
        <f t="shared" ref="E85:E91" si="5">B85*C85*D85*2</f>
        <v>16.3398</v>
      </c>
    </row>
    <row r="86" spans="1:5" ht="15" customHeight="1">
      <c r="A86" s="715"/>
      <c r="B86" s="7">
        <v>4.95</v>
      </c>
      <c r="C86" s="9">
        <v>1.1299999999999999</v>
      </c>
      <c r="D86" s="9">
        <v>0.3</v>
      </c>
      <c r="E86" s="7">
        <f t="shared" si="5"/>
        <v>3.3560999999999996</v>
      </c>
    </row>
    <row r="87" spans="1:5" ht="15" customHeight="1">
      <c r="A87" s="715"/>
      <c r="B87" s="7">
        <v>1.8</v>
      </c>
      <c r="C87" s="9">
        <v>1</v>
      </c>
      <c r="D87" s="9">
        <v>0.3</v>
      </c>
      <c r="E87" s="7">
        <f t="shared" si="5"/>
        <v>1.08</v>
      </c>
    </row>
    <row r="88" spans="1:5" ht="15" customHeight="1">
      <c r="A88" s="715"/>
      <c r="B88" s="7">
        <v>0.81</v>
      </c>
      <c r="C88" s="9">
        <v>1</v>
      </c>
      <c r="D88" s="9">
        <v>0.3</v>
      </c>
      <c r="E88" s="7">
        <f t="shared" si="5"/>
        <v>0.48599999999999999</v>
      </c>
    </row>
    <row r="89" spans="1:5" ht="15" customHeight="1">
      <c r="A89" s="715"/>
      <c r="B89" s="7">
        <v>1.1000000000000001</v>
      </c>
      <c r="C89" s="9">
        <v>1</v>
      </c>
      <c r="D89" s="9">
        <v>0.3</v>
      </c>
      <c r="E89" s="7">
        <f t="shared" si="5"/>
        <v>0.66</v>
      </c>
    </row>
    <row r="90" spans="1:5" ht="15" customHeight="1">
      <c r="A90" s="715"/>
      <c r="B90" s="7">
        <v>2.4500000000000002</v>
      </c>
      <c r="C90" s="9">
        <v>1.24</v>
      </c>
      <c r="D90" s="9">
        <v>0.3</v>
      </c>
      <c r="E90" s="7">
        <f t="shared" si="5"/>
        <v>1.8228</v>
      </c>
    </row>
    <row r="91" spans="1:5" ht="15" customHeight="1">
      <c r="A91" s="715"/>
      <c r="B91" s="7">
        <v>4.62</v>
      </c>
      <c r="C91" s="9">
        <v>2.4500000000000002</v>
      </c>
      <c r="D91" s="9">
        <v>0.3</v>
      </c>
      <c r="E91" s="7">
        <f t="shared" si="5"/>
        <v>6.7914000000000003</v>
      </c>
    </row>
    <row r="92" spans="1:5" ht="15" customHeight="1">
      <c r="A92" s="715"/>
      <c r="B92" s="7">
        <v>10.06</v>
      </c>
      <c r="C92" s="9">
        <v>1.69</v>
      </c>
      <c r="D92" s="9">
        <v>0.3</v>
      </c>
      <c r="E92" s="7">
        <f>B92*C92*D92</f>
        <v>5.1004199999999997</v>
      </c>
    </row>
    <row r="93" spans="1:5" ht="15" customHeight="1">
      <c r="A93" s="715"/>
      <c r="B93" s="7">
        <v>4.82</v>
      </c>
      <c r="C93" s="9">
        <v>2.4500000000000002</v>
      </c>
      <c r="D93" s="9">
        <v>0.3</v>
      </c>
      <c r="E93" s="7">
        <f>B93*C93*D93*2</f>
        <v>7.0854000000000008</v>
      </c>
    </row>
    <row r="94" spans="1:5" ht="15" customHeight="1">
      <c r="A94" s="715"/>
      <c r="B94" s="718" t="s">
        <v>257</v>
      </c>
      <c r="C94" s="718"/>
      <c r="D94" s="38"/>
      <c r="E94" s="17">
        <f>SUM(E85:E93)</f>
        <v>42.721920000000004</v>
      </c>
    </row>
    <row r="95" spans="1:5" ht="15" customHeight="1">
      <c r="A95" s="709" t="s">
        <v>221</v>
      </c>
      <c r="B95" s="54">
        <v>9.24</v>
      </c>
      <c r="C95" s="54">
        <v>5.68</v>
      </c>
      <c r="D95" s="54">
        <v>0.3</v>
      </c>
      <c r="E95" s="55">
        <f>B95*C95*D95*2</f>
        <v>31.489919999999998</v>
      </c>
    </row>
    <row r="96" spans="1:5" ht="15" customHeight="1">
      <c r="A96" s="710"/>
      <c r="B96" s="56">
        <v>4.8499999999999996</v>
      </c>
      <c r="C96" s="57">
        <v>3.6</v>
      </c>
      <c r="D96" s="57">
        <v>0.3</v>
      </c>
      <c r="E96" s="56">
        <f>B96*C96*D96*2</f>
        <v>10.476000000000001</v>
      </c>
    </row>
    <row r="97" spans="1:7" ht="15" customHeight="1">
      <c r="A97" s="711"/>
      <c r="B97" s="712" t="s">
        <v>286</v>
      </c>
      <c r="C97" s="713"/>
      <c r="D97" s="714"/>
      <c r="E97" s="58">
        <f>SUM(E95:E96)</f>
        <v>41.965919999999997</v>
      </c>
    </row>
    <row r="98" spans="1:7" ht="34.5">
      <c r="A98" s="715" t="s">
        <v>232</v>
      </c>
      <c r="B98" s="11" t="s">
        <v>270</v>
      </c>
      <c r="C98" s="11" t="s">
        <v>272</v>
      </c>
      <c r="D98" s="35" t="s">
        <v>269</v>
      </c>
      <c r="E98" s="11" t="s">
        <v>264</v>
      </c>
    </row>
    <row r="99" spans="1:7" ht="15" customHeight="1">
      <c r="A99" s="715"/>
      <c r="B99" s="7">
        <v>6.8</v>
      </c>
      <c r="C99" s="9">
        <v>22.74</v>
      </c>
      <c r="D99" s="9">
        <v>0.4</v>
      </c>
      <c r="E99" s="7">
        <f>(B99*C99)*2</f>
        <v>309.26399999999995</v>
      </c>
    </row>
    <row r="100" spans="1:7" ht="15" customHeight="1">
      <c r="A100" s="715"/>
      <c r="B100" s="7">
        <v>6.8</v>
      </c>
      <c r="C100" s="9">
        <v>31.3</v>
      </c>
      <c r="D100" s="9">
        <v>0.4</v>
      </c>
      <c r="E100" s="7">
        <f>(B100*C100)*2</f>
        <v>425.68</v>
      </c>
    </row>
    <row r="101" spans="1:7" ht="15" customHeight="1">
      <c r="A101" s="715"/>
      <c r="B101" s="7">
        <v>0.8</v>
      </c>
      <c r="C101" s="9">
        <v>21.1</v>
      </c>
      <c r="D101" s="9">
        <v>0.3</v>
      </c>
      <c r="E101" s="7">
        <f>(B101*C101*D101*48)*1</f>
        <v>243.07200000000006</v>
      </c>
    </row>
    <row r="102" spans="1:7" ht="15" customHeight="1">
      <c r="A102" s="715"/>
      <c r="B102" s="7">
        <v>3.64</v>
      </c>
      <c r="C102" s="9">
        <v>21.1</v>
      </c>
      <c r="D102" s="9">
        <v>0.3</v>
      </c>
      <c r="E102" s="7">
        <f>B102*C102*D102*8</f>
        <v>184.3296</v>
      </c>
      <c r="G102" s="18"/>
    </row>
    <row r="103" spans="1:7" ht="15" customHeight="1">
      <c r="A103" s="715"/>
      <c r="B103" s="716" t="s">
        <v>259</v>
      </c>
      <c r="C103" s="716"/>
      <c r="D103" s="39"/>
      <c r="E103" s="12">
        <f>SUM(E99:E102)</f>
        <v>1162.3456000000001</v>
      </c>
    </row>
    <row r="104" spans="1:7" ht="15" customHeight="1">
      <c r="A104" s="715" t="s">
        <v>238</v>
      </c>
      <c r="B104" s="7">
        <v>2.25</v>
      </c>
      <c r="C104" s="9">
        <v>49.8</v>
      </c>
      <c r="D104" s="9">
        <v>0.2</v>
      </c>
      <c r="E104" s="7">
        <f>B104*C104*D104*2</f>
        <v>44.82</v>
      </c>
    </row>
    <row r="105" spans="1:7" ht="15" customHeight="1">
      <c r="A105" s="715"/>
      <c r="B105" s="7">
        <v>2.2999999999999998</v>
      </c>
      <c r="C105" s="9">
        <v>6.3</v>
      </c>
      <c r="D105" s="9">
        <v>0.2</v>
      </c>
      <c r="E105" s="7">
        <f>B105*C105*D105*9</f>
        <v>26.081999999999997</v>
      </c>
    </row>
    <row r="106" spans="1:7" ht="15" customHeight="1">
      <c r="A106" s="6"/>
      <c r="B106" s="704" t="s">
        <v>260</v>
      </c>
      <c r="C106" s="704"/>
      <c r="D106" s="36"/>
      <c r="E106" s="12">
        <f>SUM(E104:E105)</f>
        <v>70.902000000000001</v>
      </c>
    </row>
    <row r="108" spans="1:7" ht="15" customHeight="1">
      <c r="A108" s="5" t="s">
        <v>53</v>
      </c>
    </row>
    <row r="110" spans="1:7" ht="15" customHeight="1">
      <c r="A110" s="14" t="s">
        <v>273</v>
      </c>
      <c r="B110" s="14" t="s">
        <v>271</v>
      </c>
    </row>
    <row r="111" spans="1:7" ht="15" customHeight="1">
      <c r="A111" s="6" t="s">
        <v>224</v>
      </c>
      <c r="B111" s="6">
        <f>62+7</f>
        <v>69</v>
      </c>
    </row>
    <row r="112" spans="1:7" ht="15" customHeight="1">
      <c r="A112" s="6" t="s">
        <v>221</v>
      </c>
      <c r="B112" s="6">
        <f>24.1+3</f>
        <v>27.1</v>
      </c>
    </row>
    <row r="113" spans="1:4" ht="15" customHeight="1">
      <c r="A113" s="6" t="s">
        <v>232</v>
      </c>
      <c r="B113" s="6">
        <f>(108*2)+4</f>
        <v>220</v>
      </c>
    </row>
    <row r="114" spans="1:4" ht="15" customHeight="1">
      <c r="A114" s="6" t="s">
        <v>238</v>
      </c>
      <c r="B114" s="6">
        <f>120.2+4</f>
        <v>124.2</v>
      </c>
    </row>
    <row r="115" spans="1:4" ht="15" customHeight="1">
      <c r="A115" s="14" t="s">
        <v>261</v>
      </c>
      <c r="B115" s="14">
        <f>SUM(B111:B114)</f>
        <v>440.3</v>
      </c>
    </row>
    <row r="117" spans="1:4" ht="15" customHeight="1">
      <c r="A117" s="5" t="s">
        <v>262</v>
      </c>
    </row>
    <row r="118" spans="1:4" ht="15" customHeight="1">
      <c r="A118" s="14" t="s">
        <v>273</v>
      </c>
      <c r="B118" s="14" t="s">
        <v>249</v>
      </c>
      <c r="C118" s="14" t="s">
        <v>233</v>
      </c>
      <c r="D118" s="50"/>
    </row>
    <row r="119" spans="1:4" ht="15" customHeight="1">
      <c r="A119" s="6" t="s">
        <v>237</v>
      </c>
      <c r="B119" s="6">
        <f>9.95+13.55+4.62+2.2+19.68</f>
        <v>50</v>
      </c>
      <c r="C119" s="6">
        <f>B119*2.5</f>
        <v>125</v>
      </c>
      <c r="D119" s="51"/>
    </row>
    <row r="120" spans="1:4" ht="15" customHeight="1">
      <c r="A120" s="705" t="s">
        <v>274</v>
      </c>
      <c r="B120" s="707"/>
      <c r="C120" s="13">
        <v>125</v>
      </c>
      <c r="D120" s="52"/>
    </row>
    <row r="121" spans="1:4" ht="15" customHeight="1">
      <c r="D121" s="18"/>
    </row>
    <row r="122" spans="1:4" ht="15" customHeight="1">
      <c r="A122" s="63" t="s">
        <v>70</v>
      </c>
    </row>
    <row r="123" spans="1:4" ht="15" customHeight="1">
      <c r="A123" s="25" t="s">
        <v>273</v>
      </c>
      <c r="B123" s="25" t="s">
        <v>271</v>
      </c>
      <c r="C123" s="25" t="s">
        <v>272</v>
      </c>
      <c r="D123" s="25" t="s">
        <v>265</v>
      </c>
    </row>
    <row r="124" spans="1:4" ht="15" customHeight="1">
      <c r="A124" s="46" t="s">
        <v>237</v>
      </c>
      <c r="B124" s="26">
        <v>15.4</v>
      </c>
      <c r="C124" s="26">
        <v>28.18</v>
      </c>
      <c r="D124" s="7">
        <f>B124*C124</f>
        <v>433.97199999999998</v>
      </c>
    </row>
    <row r="125" spans="1:4" ht="15" customHeight="1">
      <c r="A125" s="705" t="s">
        <v>285</v>
      </c>
      <c r="B125" s="706"/>
      <c r="C125" s="707"/>
      <c r="D125" s="12">
        <f>SUM(D124:D124)</f>
        <v>433.97199999999998</v>
      </c>
    </row>
    <row r="126" spans="1:4" ht="15" customHeight="1">
      <c r="A126" s="46" t="s">
        <v>221</v>
      </c>
      <c r="B126" s="26">
        <v>7</v>
      </c>
      <c r="C126" s="26">
        <v>9.1999999999999993</v>
      </c>
      <c r="D126" s="7">
        <f>B126*C126</f>
        <v>64.399999999999991</v>
      </c>
    </row>
    <row r="127" spans="1:4" ht="15" customHeight="1">
      <c r="A127" s="705" t="s">
        <v>286</v>
      </c>
      <c r="B127" s="706"/>
      <c r="C127" s="707"/>
      <c r="D127" s="12">
        <f>SUM(D126:D126)</f>
        <v>64.399999999999991</v>
      </c>
    </row>
    <row r="128" spans="1:4" ht="15" customHeight="1">
      <c r="A128" s="46" t="s">
        <v>232</v>
      </c>
      <c r="B128" s="26">
        <v>33</v>
      </c>
      <c r="C128" s="26">
        <v>24</v>
      </c>
      <c r="D128" s="7">
        <f>B128*C128</f>
        <v>792</v>
      </c>
    </row>
    <row r="129" spans="1:4" ht="15" customHeight="1">
      <c r="A129" s="705" t="s">
        <v>287</v>
      </c>
      <c r="B129" s="706"/>
      <c r="C129" s="707"/>
      <c r="D129" s="12">
        <f>SUM(D128:D128)</f>
        <v>792</v>
      </c>
    </row>
    <row r="130" spans="1:4" ht="15" customHeight="1">
      <c r="A130" s="47" t="s">
        <v>288</v>
      </c>
      <c r="B130" s="44">
        <v>6</v>
      </c>
      <c r="C130" s="44">
        <v>4.2</v>
      </c>
      <c r="D130" s="28">
        <f>B130*C130</f>
        <v>25.200000000000003</v>
      </c>
    </row>
    <row r="131" spans="1:4" ht="15" customHeight="1">
      <c r="A131" s="721" t="s">
        <v>289</v>
      </c>
      <c r="B131" s="722"/>
      <c r="C131" s="723"/>
      <c r="D131" s="12">
        <f>SUM(D130:D130)</f>
        <v>25.200000000000003</v>
      </c>
    </row>
    <row r="132" spans="1:4" ht="15" customHeight="1">
      <c r="A132" s="46" t="s">
        <v>231</v>
      </c>
      <c r="B132" s="44">
        <v>7</v>
      </c>
      <c r="C132" s="44">
        <v>51</v>
      </c>
      <c r="D132" s="29">
        <f>B132*C132</f>
        <v>357</v>
      </c>
    </row>
    <row r="133" spans="1:4" ht="15" customHeight="1">
      <c r="A133" s="705" t="s">
        <v>290</v>
      </c>
      <c r="B133" s="706"/>
      <c r="C133" s="707"/>
      <c r="D133" s="12">
        <f>SUM(D132:D132)</f>
        <v>357</v>
      </c>
    </row>
    <row r="134" spans="1:4" ht="15" customHeight="1">
      <c r="A134" s="705" t="s">
        <v>158</v>
      </c>
      <c r="B134" s="706"/>
      <c r="C134" s="707"/>
      <c r="D134" s="12" t="e">
        <f>D133+#REF!</f>
        <v>#REF!</v>
      </c>
    </row>
    <row r="136" spans="1:4" ht="15" customHeight="1">
      <c r="A136" s="5" t="s">
        <v>378</v>
      </c>
    </row>
    <row r="137" spans="1:4" ht="34.5">
      <c r="A137" s="23" t="s">
        <v>273</v>
      </c>
      <c r="B137" s="23" t="s">
        <v>77</v>
      </c>
      <c r="C137" s="24" t="s">
        <v>327</v>
      </c>
      <c r="D137" s="61"/>
    </row>
    <row r="138" spans="1:4" ht="15" customHeight="1">
      <c r="A138" s="31" t="s">
        <v>224</v>
      </c>
      <c r="B138" s="27"/>
      <c r="C138" s="30">
        <v>64.5</v>
      </c>
      <c r="D138" s="43"/>
    </row>
    <row r="139" spans="1:4" ht="15" customHeight="1">
      <c r="A139" s="728" t="s">
        <v>379</v>
      </c>
      <c r="B139" s="729"/>
      <c r="C139" s="33">
        <f>C138</f>
        <v>64.5</v>
      </c>
      <c r="D139" s="62"/>
    </row>
    <row r="140" spans="1:4" ht="15" customHeight="1">
      <c r="A140" s="6" t="s">
        <v>326</v>
      </c>
      <c r="B140" s="6"/>
      <c r="C140" s="6">
        <f>76.98/2</f>
        <v>38.49</v>
      </c>
      <c r="D140" s="51"/>
    </row>
    <row r="141" spans="1:4" ht="15" customHeight="1">
      <c r="A141" s="727" t="s">
        <v>380</v>
      </c>
      <c r="B141" s="727"/>
      <c r="C141" s="13">
        <f>C140</f>
        <v>38.49</v>
      </c>
      <c r="D141" s="52"/>
    </row>
    <row r="144" spans="1:4" ht="15" customHeight="1">
      <c r="A144" s="5" t="s">
        <v>352</v>
      </c>
    </row>
    <row r="146" spans="1:5" ht="34.5">
      <c r="A146" s="59" t="s">
        <v>353</v>
      </c>
      <c r="B146" s="59" t="s">
        <v>267</v>
      </c>
      <c r="C146" s="59" t="s">
        <v>272</v>
      </c>
      <c r="D146" s="59" t="s">
        <v>354</v>
      </c>
      <c r="E146" s="60" t="s">
        <v>264</v>
      </c>
    </row>
    <row r="147" spans="1:5" ht="15" customHeight="1">
      <c r="A147" s="6" t="s">
        <v>355</v>
      </c>
      <c r="B147" s="6">
        <v>2.6</v>
      </c>
      <c r="C147" s="6">
        <v>3.3</v>
      </c>
      <c r="D147" s="6">
        <v>1.45</v>
      </c>
      <c r="E147" s="6">
        <f>B147*C147*D147*4</f>
        <v>49.763999999999996</v>
      </c>
    </row>
    <row r="148" spans="1:5" ht="15" customHeight="1">
      <c r="A148" s="6" t="s">
        <v>356</v>
      </c>
      <c r="B148" s="6">
        <v>2</v>
      </c>
      <c r="C148" s="6">
        <v>3.3</v>
      </c>
      <c r="D148" s="6">
        <v>1.4</v>
      </c>
      <c r="E148" s="6">
        <f>B148*C148*D148*1</f>
        <v>9.2399999999999984</v>
      </c>
    </row>
    <row r="149" spans="1:5" ht="15" customHeight="1">
      <c r="A149" s="6" t="s">
        <v>357</v>
      </c>
      <c r="B149" s="6">
        <v>3.3</v>
      </c>
      <c r="C149" s="6">
        <v>2.6</v>
      </c>
      <c r="D149" s="6">
        <v>1.45</v>
      </c>
      <c r="E149" s="6">
        <f>B149*C149*D149*2</f>
        <v>24.881999999999998</v>
      </c>
    </row>
    <row r="150" spans="1:5" ht="15" customHeight="1">
      <c r="A150" s="704" t="s">
        <v>358</v>
      </c>
      <c r="B150" s="704"/>
      <c r="C150" s="704"/>
      <c r="D150" s="704"/>
      <c r="E150" s="13">
        <f>SUM(E147:E149)</f>
        <v>83.885999999999996</v>
      </c>
    </row>
    <row r="153" spans="1:5" ht="15" customHeight="1">
      <c r="A153" s="249" t="s">
        <v>808</v>
      </c>
      <c r="B153" s="1"/>
      <c r="C153" s="1"/>
      <c r="D153" s="1"/>
      <c r="E153" s="1"/>
    </row>
    <row r="154" spans="1:5" ht="15" customHeight="1">
      <c r="A154" s="32" t="s">
        <v>809</v>
      </c>
      <c r="B154" s="32" t="s">
        <v>267</v>
      </c>
      <c r="C154" s="247" t="s">
        <v>810</v>
      </c>
      <c r="D154" s="32" t="s">
        <v>811</v>
      </c>
      <c r="E154" s="1"/>
    </row>
    <row r="155" spans="1:5" ht="15" customHeight="1">
      <c r="A155" s="250" t="s">
        <v>812</v>
      </c>
      <c r="B155" s="250">
        <v>3.7</v>
      </c>
      <c r="C155" s="250" t="s">
        <v>813</v>
      </c>
      <c r="D155" s="251">
        <f>(3.7*0.15*0.2)*15</f>
        <v>1.6650000000000003</v>
      </c>
      <c r="E155" s="1"/>
    </row>
    <row r="156" spans="1:5" ht="15" customHeight="1">
      <c r="A156" s="1"/>
      <c r="B156" s="1"/>
      <c r="C156" s="1"/>
      <c r="D156" s="1"/>
      <c r="E156" s="1"/>
    </row>
    <row r="157" spans="1:5" ht="15" customHeight="1">
      <c r="A157" s="246" t="s">
        <v>814</v>
      </c>
      <c r="B157" s="246" t="s">
        <v>815</v>
      </c>
      <c r="C157" s="246" t="s">
        <v>332</v>
      </c>
      <c r="D157" s="246" t="s">
        <v>265</v>
      </c>
      <c r="E157" s="1"/>
    </row>
    <row r="158" spans="1:5" ht="15" customHeight="1">
      <c r="A158" s="724" t="s">
        <v>816</v>
      </c>
      <c r="B158" s="250">
        <v>8.5</v>
      </c>
      <c r="C158" s="250">
        <v>2.35</v>
      </c>
      <c r="D158" s="250">
        <f>B158*C158</f>
        <v>19.975000000000001</v>
      </c>
      <c r="E158" s="1"/>
    </row>
    <row r="159" spans="1:5" ht="15" customHeight="1">
      <c r="A159" s="725"/>
      <c r="B159" s="250">
        <v>5</v>
      </c>
      <c r="C159" s="250">
        <v>4.3</v>
      </c>
      <c r="D159" s="250">
        <f t="shared" ref="D159:D167" si="6">B159*C159</f>
        <v>21.5</v>
      </c>
      <c r="E159" s="1"/>
    </row>
    <row r="160" spans="1:5" ht="15" customHeight="1">
      <c r="A160" s="725"/>
      <c r="B160" s="250">
        <v>3.15</v>
      </c>
      <c r="C160" s="250">
        <v>1</v>
      </c>
      <c r="D160" s="250">
        <f t="shared" si="6"/>
        <v>3.15</v>
      </c>
      <c r="E160" s="1"/>
    </row>
    <row r="161" spans="1:5" ht="15" customHeight="1">
      <c r="A161" s="725"/>
      <c r="B161" s="250">
        <v>16.420000000000002</v>
      </c>
      <c r="C161" s="250">
        <v>1</v>
      </c>
      <c r="D161" s="250">
        <f t="shared" si="6"/>
        <v>16.420000000000002</v>
      </c>
      <c r="E161" s="1"/>
    </row>
    <row r="162" spans="1:5" ht="15" customHeight="1">
      <c r="A162" s="725"/>
      <c r="B162" s="250">
        <v>15.84</v>
      </c>
      <c r="C162" s="250">
        <v>1</v>
      </c>
      <c r="D162" s="250">
        <f t="shared" si="6"/>
        <v>15.84</v>
      </c>
      <c r="E162" s="1"/>
    </row>
    <row r="163" spans="1:5" ht="15" customHeight="1">
      <c r="A163" s="725"/>
      <c r="B163" s="250">
        <v>5.33</v>
      </c>
      <c r="C163" s="250">
        <v>1</v>
      </c>
      <c r="D163" s="250">
        <f t="shared" si="6"/>
        <v>5.33</v>
      </c>
      <c r="E163" s="1"/>
    </row>
    <row r="164" spans="1:5" ht="15" customHeight="1">
      <c r="A164" s="726"/>
      <c r="B164" s="250">
        <v>5.66</v>
      </c>
      <c r="C164" s="250">
        <v>1</v>
      </c>
      <c r="D164" s="250">
        <f t="shared" si="6"/>
        <v>5.66</v>
      </c>
      <c r="E164" s="1"/>
    </row>
    <row r="165" spans="1:5" ht="15" customHeight="1">
      <c r="A165" s="252" t="s">
        <v>817</v>
      </c>
      <c r="B165" s="250">
        <v>51.8</v>
      </c>
      <c r="C165" s="250">
        <v>2.5499999999999998</v>
      </c>
      <c r="D165" s="250">
        <f t="shared" si="6"/>
        <v>132.08999999999997</v>
      </c>
      <c r="E165" s="1"/>
    </row>
    <row r="166" spans="1:5" ht="15" customHeight="1">
      <c r="A166" s="719" t="s">
        <v>224</v>
      </c>
      <c r="B166" s="250">
        <v>13.7</v>
      </c>
      <c r="C166" s="250">
        <v>4.75</v>
      </c>
      <c r="D166" s="250">
        <f t="shared" si="6"/>
        <v>65.075000000000003</v>
      </c>
      <c r="E166" s="1"/>
    </row>
    <row r="167" spans="1:5" ht="15" customHeight="1">
      <c r="A167" s="719"/>
      <c r="B167" s="250">
        <v>7.6</v>
      </c>
      <c r="C167" s="250">
        <v>10.56</v>
      </c>
      <c r="D167" s="250">
        <f t="shared" si="6"/>
        <v>80.256</v>
      </c>
      <c r="E167" s="1"/>
    </row>
    <row r="168" spans="1:5" ht="15" customHeight="1">
      <c r="A168" s="1"/>
      <c r="B168" s="720" t="s">
        <v>818</v>
      </c>
      <c r="C168" s="720"/>
      <c r="D168" s="253">
        <f>SUM(D158:D167)</f>
        <v>365.29599999999994</v>
      </c>
      <c r="E168" s="1"/>
    </row>
    <row r="169" spans="1:5" ht="15" customHeight="1">
      <c r="A169" s="1"/>
      <c r="B169" s="1"/>
      <c r="C169" s="1"/>
      <c r="D169" s="1"/>
      <c r="E169" s="1"/>
    </row>
  </sheetData>
  <mergeCells count="29">
    <mergeCell ref="A166:A167"/>
    <mergeCell ref="B168:C168"/>
    <mergeCell ref="A131:C131"/>
    <mergeCell ref="A133:C133"/>
    <mergeCell ref="A158:A164"/>
    <mergeCell ref="A141:B141"/>
    <mergeCell ref="A139:B139"/>
    <mergeCell ref="A150:D150"/>
    <mergeCell ref="A98:A103"/>
    <mergeCell ref="A75:E75"/>
    <mergeCell ref="A83:E83"/>
    <mergeCell ref="B94:C94"/>
    <mergeCell ref="A104:A105"/>
    <mergeCell ref="A12:C12"/>
    <mergeCell ref="A56:C56"/>
    <mergeCell ref="A28:E28"/>
    <mergeCell ref="A129:C129"/>
    <mergeCell ref="A134:C134"/>
    <mergeCell ref="A125:C125"/>
    <mergeCell ref="A127:C127"/>
    <mergeCell ref="A65:C65"/>
    <mergeCell ref="A73:C73"/>
    <mergeCell ref="A120:B120"/>
    <mergeCell ref="A81:C81"/>
    <mergeCell ref="A95:A97"/>
    <mergeCell ref="B97:D97"/>
    <mergeCell ref="B106:C106"/>
    <mergeCell ref="A85:A94"/>
    <mergeCell ref="B103:C103"/>
  </mergeCells>
  <pageMargins left="0.70866141732283472" right="0.70866141732283472" top="0.74803149606299213" bottom="0.74803149606299213" header="0.31496062992125984" footer="0.31496062992125984"/>
  <pageSetup scale="85" orientation="portrait" verticalDpi="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PPTO  Obra Civil </vt:lpstr>
      <vt:lpstr>PPTO Obra Civil</vt:lpstr>
      <vt:lpstr>APU´s civil 1 </vt:lpstr>
      <vt:lpstr>APU' civil 2</vt:lpstr>
      <vt:lpstr>APU' civil 3</vt:lpstr>
      <vt:lpstr>PPTO Suministros </vt:lpstr>
      <vt:lpstr>PPTO Suministros</vt:lpstr>
      <vt:lpstr>APU Suministros</vt:lpstr>
      <vt:lpstr>Memoria de Calculo</vt:lpstr>
      <vt:lpstr>APU' PUESTA EN MARCHA</vt:lpstr>
      <vt:lpstr>Listado de insumos</vt:lpstr>
      <vt:lpstr>Resumen</vt:lpstr>
      <vt:lpstr>'Listado de insumos'!Área_de_impresión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 Andres Forero Ortiz</dc:creator>
  <cp:lastModifiedBy>JOSE JAVIER HERRERA GOMEZ</cp:lastModifiedBy>
  <cp:lastPrinted>2014-12-02T10:15:25Z</cp:lastPrinted>
  <dcterms:created xsi:type="dcterms:W3CDTF">2012-08-21T12:55:10Z</dcterms:created>
  <dcterms:modified xsi:type="dcterms:W3CDTF">2015-07-14T22:20:43Z</dcterms:modified>
</cp:coreProperties>
</file>